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6.xml" ContentType="application/vnd.openxmlformats-officedocument.drawing+xml"/>
  <Override PartName="/xl/charts/chart25.xml" ContentType="application/vnd.openxmlformats-officedocument.drawingml.chart+xml"/>
  <Override PartName="/xl/charts/style9.xml" ContentType="application/vnd.ms-office.chartstyle+xml"/>
  <Override PartName="/xl/charts/colors9.xml" ContentType="application/vnd.ms-office.chartcolorstyle+xml"/>
  <Override PartName="/xl/charts/chart26.xml" ContentType="application/vnd.openxmlformats-officedocument.drawingml.chart+xml"/>
  <Override PartName="/xl/charts/style10.xml" ContentType="application/vnd.ms-office.chartstyle+xml"/>
  <Override PartName="/xl/charts/colors10.xml" ContentType="application/vnd.ms-office.chartcolorstyle+xml"/>
  <Override PartName="/xl/charts/chart27.xml" ContentType="application/vnd.openxmlformats-officedocument.drawingml.chart+xml"/>
  <Override PartName="/xl/charts/style11.xml" ContentType="application/vnd.ms-office.chartstyle+xml"/>
  <Override PartName="/xl/charts/colors11.xml" ContentType="application/vnd.ms-office.chartcolorstyle+xml"/>
  <Override PartName="/xl/charts/chart28.xml" ContentType="application/vnd.openxmlformats-officedocument.drawingml.chart+xml"/>
  <Override PartName="/xl/charts/style12.xml" ContentType="application/vnd.ms-office.chartstyle+xml"/>
  <Override PartName="/xl/charts/colors12.xml" ContentType="application/vnd.ms-office.chartcolorstyle+xml"/>
  <Override PartName="/xl/charts/chart29.xml" ContentType="application/vnd.openxmlformats-officedocument.drawingml.chart+xml"/>
  <Override PartName="/xl/charts/style13.xml" ContentType="application/vnd.ms-office.chartstyle+xml"/>
  <Override PartName="/xl/charts/colors13.xml" ContentType="application/vnd.ms-office.chartcolorstyle+xml"/>
  <Override PartName="/xl/charts/chart30.xml" ContentType="application/vnd.openxmlformats-officedocument.drawingml.chart+xml"/>
  <Override PartName="/xl/charts/style14.xml" ContentType="application/vnd.ms-office.chartstyle+xml"/>
  <Override PartName="/xl/charts/colors14.xml" ContentType="application/vnd.ms-office.chartcolorstyle+xml"/>
  <Override PartName="/xl/charts/chart31.xml" ContentType="application/vnd.openxmlformats-officedocument.drawingml.chart+xml"/>
  <Override PartName="/xl/charts/style15.xml" ContentType="application/vnd.ms-office.chartstyle+xml"/>
  <Override PartName="/xl/charts/colors15.xml" ContentType="application/vnd.ms-office.chartcolorstyle+xml"/>
  <Override PartName="/xl/charts/chart32.xml" ContentType="application/vnd.openxmlformats-officedocument.drawingml.chart+xml"/>
  <Override PartName="/xl/charts/style16.xml" ContentType="application/vnd.ms-office.chartstyle+xml"/>
  <Override PartName="/xl/charts/colors16.xml" ContentType="application/vnd.ms-office.chartcolorstyle+xml"/>
  <Override PartName="/xl/charts/chart33.xml" ContentType="application/vnd.openxmlformats-officedocument.drawingml.chart+xml"/>
  <Override PartName="/xl/charts/style17.xml" ContentType="application/vnd.ms-office.chartstyle+xml"/>
  <Override PartName="/xl/charts/colors17.xml" ContentType="application/vnd.ms-office.chartcolorstyle+xml"/>
  <Override PartName="/xl/charts/chart34.xml" ContentType="application/vnd.openxmlformats-officedocument.drawingml.chart+xml"/>
  <Override PartName="/xl/charts/style18.xml" ContentType="application/vnd.ms-office.chartstyle+xml"/>
  <Override PartName="/xl/charts/colors18.xml" ContentType="application/vnd.ms-office.chartcolorstyle+xml"/>
  <Override PartName="/xl/charts/chart35.xml" ContentType="application/vnd.openxmlformats-officedocument.drawingml.chart+xml"/>
  <Override PartName="/xl/charts/style19.xml" ContentType="application/vnd.ms-office.chartstyle+xml"/>
  <Override PartName="/xl/charts/colors19.xml" ContentType="application/vnd.ms-office.chartcolorstyle+xml"/>
  <Override PartName="/xl/charts/chart36.xml" ContentType="application/vnd.openxmlformats-officedocument.drawingml.chart+xml"/>
  <Override PartName="/xl/charts/style20.xml" ContentType="application/vnd.ms-office.chartstyle+xml"/>
  <Override PartName="/xl/charts/colors20.xml" ContentType="application/vnd.ms-office.chartcolorstyle+xml"/>
  <Override PartName="/xl/charts/chart37.xml" ContentType="application/vnd.openxmlformats-officedocument.drawingml.chart+xml"/>
  <Override PartName="/xl/charts/style21.xml" ContentType="application/vnd.ms-office.chartstyle+xml"/>
  <Override PartName="/xl/charts/colors21.xml" ContentType="application/vnd.ms-office.chartcolorstyle+xml"/>
  <Override PartName="/xl/charts/chart38.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drawings/drawing7.xml" ContentType="application/vnd.openxmlformats-officedocument.drawing+xml"/>
  <Override PartName="/xl/charts/chart39.xml" ContentType="application/vnd.openxmlformats-officedocument.drawingml.chart+xml"/>
  <Override PartName="/xl/charts/style23.xml" ContentType="application/vnd.ms-office.chartstyle+xml"/>
  <Override PartName="/xl/charts/colors23.xml" ContentType="application/vnd.ms-office.chartcolorstyle+xml"/>
  <Override PartName="/xl/charts/chart40.xml" ContentType="application/vnd.openxmlformats-officedocument.drawingml.chart+xml"/>
  <Override PartName="/xl/charts/style24.xml" ContentType="application/vnd.ms-office.chartstyle+xml"/>
  <Override PartName="/xl/charts/colors24.xml" ContentType="application/vnd.ms-office.chartcolorstyle+xml"/>
  <Override PartName="/xl/charts/chart41.xml" ContentType="application/vnd.openxmlformats-officedocument.drawingml.chart+xml"/>
  <Override PartName="/xl/charts/style25.xml" ContentType="application/vnd.ms-office.chartstyle+xml"/>
  <Override PartName="/xl/charts/colors25.xml" ContentType="application/vnd.ms-office.chartcolorstyle+xml"/>
  <Override PartName="/xl/charts/chart42.xml" ContentType="application/vnd.openxmlformats-officedocument.drawingml.chart+xml"/>
  <Override PartName="/xl/charts/style26.xml" ContentType="application/vnd.ms-office.chartstyle+xml"/>
  <Override PartName="/xl/charts/colors26.xml" ContentType="application/vnd.ms-office.chartcolorstyle+xml"/>
  <Override PartName="/xl/charts/chart43.xml" ContentType="application/vnd.openxmlformats-officedocument.drawingml.chart+xml"/>
  <Override PartName="/xl/charts/style27.xml" ContentType="application/vnd.ms-office.chartstyle+xml"/>
  <Override PartName="/xl/charts/colors27.xml" ContentType="application/vnd.ms-office.chartcolorstyle+xml"/>
  <Override PartName="/xl/charts/chart44.xml" ContentType="application/vnd.openxmlformats-officedocument.drawingml.chart+xml"/>
  <Override PartName="/xl/charts/style28.xml" ContentType="application/vnd.ms-office.chartstyle+xml"/>
  <Override PartName="/xl/charts/colors28.xml" ContentType="application/vnd.ms-office.chartcolorstyle+xml"/>
  <Override PartName="/xl/charts/chart45.xml" ContentType="application/vnd.openxmlformats-officedocument.drawingml.chart+xml"/>
  <Override PartName="/xl/charts/style29.xml" ContentType="application/vnd.ms-office.chartstyle+xml"/>
  <Override PartName="/xl/charts/colors2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24226"/>
  <mc:AlternateContent xmlns:mc="http://schemas.openxmlformats.org/markup-compatibility/2006">
    <mc:Choice Requires="x15">
      <x15ac:absPath xmlns:x15ac="http://schemas.microsoft.com/office/spreadsheetml/2010/11/ac" url="https://ariztiacl-my.sharepoint.com/personal/cjimenez_ariztia_com/Documents/Informacion_Prevencion/SGSST/Accidentes/2023/"/>
    </mc:Choice>
  </mc:AlternateContent>
  <xr:revisionPtr revIDLastSave="6446" documentId="13_ncr:1_{4CD0DA39-DB46-49FA-B35B-0DA1CE5A5117}" xr6:coauthVersionLast="47" xr6:coauthVersionMax="47" xr10:uidLastSave="{117FAF82-B43E-44D3-92A8-08CB2C520691}"/>
  <bookViews>
    <workbookView xWindow="-120" yWindow="-120" windowWidth="20730" windowHeight="11040" tabRatio="603" xr2:uid="{00000000-000D-0000-FFFF-FFFF00000000}"/>
  </bookViews>
  <sheets>
    <sheet name="Consolidado Accidentes" sheetId="1" r:id="rId1"/>
    <sheet name="Consolidado Emergencia" sheetId="3" r:id="rId2"/>
    <sheet name="C. Trayecto-EP" sheetId="11" r:id="rId3"/>
    <sheet name="Datos Total" sheetId="5" r:id="rId4"/>
    <sheet name="Gráficos" sheetId="6" r:id="rId5"/>
    <sheet name="Grafica Sup." sheetId="7" r:id="rId6"/>
    <sheet name="ANALISIS DE ACC." sheetId="12" state="hidden" r:id="rId7"/>
    <sheet name="Hoja1" sheetId="8" state="hidden" r:id="rId8"/>
    <sheet name="Hoja2" sheetId="9" state="hidden" r:id="rId9"/>
    <sheet name="Hoja7" sheetId="16" state="hidden" r:id="rId10"/>
    <sheet name="Hoja3" sheetId="10" state="hidden" r:id="rId11"/>
    <sheet name="ANALISIS ESTADISTICO" sheetId="13" r:id="rId12"/>
    <sheet name="Hoja4" sheetId="17" r:id="rId13"/>
  </sheets>
  <externalReferences>
    <externalReference r:id="rId14"/>
    <externalReference r:id="rId15"/>
    <externalReference r:id="rId16"/>
  </externalReferences>
  <definedNames>
    <definedName name="_xlnm._FilterDatabase" localSheetId="2" hidden="1">'C. Trayecto-EP'!$A$6:$AG$358</definedName>
    <definedName name="_xlnm._FilterDatabase" localSheetId="0" hidden="1">'Consolidado Accidentes'!$A$6:$AQ$356</definedName>
    <definedName name="_xlnm._FilterDatabase" localSheetId="1" hidden="1">'Consolidado Emergencia'!$A$5:$U$5</definedName>
    <definedName name="_xlnm._FilterDatabase" localSheetId="3" hidden="1">'Datos Total'!$B$17:$D$33</definedName>
    <definedName name="accion_insegura" localSheetId="5">[1]Maestro!$M$4:$M$26</definedName>
    <definedName name="accion_insegura">[1]Maestro!$M$4:$M$26</definedName>
    <definedName name="AgenteACC" localSheetId="5">[1]Maestro!$I$4:$I$28</definedName>
    <definedName name="AgenteACC">[1]Maestro!$I$4:$I$28</definedName>
    <definedName name="Areas" localSheetId="5">[1]Maestro!$B$27:$B$35</definedName>
    <definedName name="Areas">[1]Maestro!$B$27:$B$35</definedName>
    <definedName name="condicion_insegura" localSheetId="5">[1]Maestro!$N$4:$N$29</definedName>
    <definedName name="condicion_insegura">[1]Maestro!$N$4:$N$29</definedName>
    <definedName name="DiaSuceso" localSheetId="5">[1]Maestro!$H$4:$H$10</definedName>
    <definedName name="DiaSuceso">[1]Maestro!$H$4:$H$10</definedName>
    <definedName name="investigacion_de_accidentes" localSheetId="5">[1]Maestro!$O$4:$O$8</definedName>
    <definedName name="investigacion_de_accidentes">[1]Maestro!$O$4:$O$8</definedName>
    <definedName name="meses" localSheetId="5">[1]Maestro!$D$2:$D$13</definedName>
    <definedName name="meses">[1]Maestro!$D$2:$D$13</definedName>
    <definedName name="Parte_afectada" localSheetId="5">[1]Maestro!$J$4:$J$32</definedName>
    <definedName name="Parte_afectada">[1]Maestro!$J$4:$J$32</definedName>
    <definedName name="pedropeña" localSheetId="5">[1]Maestro!$B$2:$B$18</definedName>
    <definedName name="pedropeña">[1]Maestro!$B$2:$B$18</definedName>
    <definedName name="tipo_acc" localSheetId="5">[1]Maestro!$L$4:$L$26</definedName>
    <definedName name="tipo_acc">[1]Maestro!$L$4:$L$26</definedName>
    <definedName name="Tipologia_lesion" localSheetId="5">[1]Maestro!$K$4:$K$21</definedName>
    <definedName name="Tipologia_lesion">[1]Maestro!$K$4:$K$21</definedName>
  </definedNames>
  <calcPr calcId="191028"/>
  <pivotCaches>
    <pivotCache cacheId="1" r:id="rId17"/>
    <pivotCache cacheId="2" r:id="rId18"/>
    <pivotCache cacheId="3" r:id="rId19"/>
    <pivotCache cacheId="4" r:id="rId20"/>
    <pivotCache cacheId="5" r:id="rId21"/>
    <pivotCache cacheId="6" r:id="rId22"/>
    <pivotCache cacheId="7" r:id="rId23"/>
    <pivotCache cacheId="8" r:id="rId24"/>
  </pivotCaches>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7" i="1" l="1"/>
  <c r="I102" i="1"/>
  <c r="K102" i="1" s="1"/>
  <c r="I237" i="1"/>
  <c r="K237" i="1" s="1"/>
  <c r="I235" i="1"/>
  <c r="K235" i="1" s="1"/>
  <c r="I229" i="1"/>
  <c r="K229" i="1" s="1"/>
  <c r="I230" i="1"/>
  <c r="K230" i="1" s="1"/>
  <c r="I231" i="1"/>
  <c r="K231" i="1" s="1"/>
  <c r="I232" i="1"/>
  <c r="K232" i="1" s="1"/>
  <c r="I233" i="1"/>
  <c r="K233" i="1" s="1"/>
  <c r="I234" i="1"/>
  <c r="K234" i="1" s="1"/>
  <c r="I236" i="1"/>
  <c r="K236" i="1" s="1"/>
  <c r="I238" i="1"/>
  <c r="K238" i="1" s="1"/>
  <c r="I239" i="1"/>
  <c r="K239" i="1" s="1"/>
  <c r="I240" i="1"/>
  <c r="K240" i="1" s="1"/>
  <c r="I241" i="1"/>
  <c r="K241" i="1" s="1"/>
  <c r="I242" i="1"/>
  <c r="K242" i="1" s="1"/>
  <c r="I243" i="1"/>
  <c r="K243" i="1" s="1"/>
  <c r="I244" i="1"/>
  <c r="K244" i="1" s="1"/>
  <c r="I245" i="1"/>
  <c r="K245" i="1" s="1"/>
  <c r="I246" i="1"/>
  <c r="K246" i="1" s="1"/>
  <c r="I247" i="1"/>
  <c r="K247" i="1" s="1"/>
  <c r="I248" i="1"/>
  <c r="K248" i="1" s="1"/>
  <c r="I249" i="1"/>
  <c r="K249" i="1" s="1"/>
  <c r="I250" i="1"/>
  <c r="K250" i="1" s="1"/>
  <c r="I251" i="1"/>
  <c r="K251" i="1" s="1"/>
  <c r="I252" i="1"/>
  <c r="K252" i="1" s="1"/>
  <c r="I253" i="1"/>
  <c r="K253" i="1" s="1"/>
  <c r="I254" i="1"/>
  <c r="K254" i="1" s="1"/>
  <c r="I255" i="1"/>
  <c r="K255" i="1" s="1"/>
  <c r="I256" i="1"/>
  <c r="K256" i="1" s="1"/>
  <c r="I257" i="1"/>
  <c r="K257" i="1" s="1"/>
  <c r="I258" i="1"/>
  <c r="K258" i="1" s="1"/>
  <c r="I259" i="1"/>
  <c r="K259" i="1" s="1"/>
  <c r="I260" i="1"/>
  <c r="K260" i="1" s="1"/>
  <c r="I261" i="1"/>
  <c r="K261" i="1" s="1"/>
  <c r="I262" i="1"/>
  <c r="K262" i="1" s="1"/>
  <c r="I263" i="1"/>
  <c r="K263" i="1" s="1"/>
  <c r="I264" i="1"/>
  <c r="K264" i="1" s="1"/>
  <c r="I265" i="1"/>
  <c r="K265" i="1" s="1"/>
  <c r="I266" i="1"/>
  <c r="K266" i="1" s="1"/>
  <c r="I267" i="1"/>
  <c r="K267" i="1" s="1"/>
  <c r="I268" i="1"/>
  <c r="K268" i="1" s="1"/>
  <c r="I269" i="1"/>
  <c r="K269" i="1" s="1"/>
  <c r="I270" i="1"/>
  <c r="K270" i="1" s="1"/>
  <c r="I271" i="1"/>
  <c r="K271" i="1" s="1"/>
  <c r="I272" i="1"/>
  <c r="K272" i="1" s="1"/>
  <c r="I273" i="1"/>
  <c r="K273" i="1" s="1"/>
  <c r="I274" i="1"/>
  <c r="K274" i="1" s="1"/>
  <c r="I275" i="1"/>
  <c r="K275" i="1" s="1"/>
  <c r="I276" i="1"/>
  <c r="K276" i="1" s="1"/>
  <c r="I277" i="1"/>
  <c r="K277" i="1" s="1"/>
  <c r="I278" i="1"/>
  <c r="K278" i="1" s="1"/>
  <c r="I279" i="1"/>
  <c r="K279" i="1" s="1"/>
  <c r="I280" i="1"/>
  <c r="K280" i="1" s="1"/>
  <c r="I281" i="1"/>
  <c r="K281" i="1" s="1"/>
  <c r="I282" i="1"/>
  <c r="K282" i="1" s="1"/>
  <c r="I283" i="1"/>
  <c r="K283" i="1" s="1"/>
  <c r="I284" i="1"/>
  <c r="K284" i="1" s="1"/>
  <c r="I285" i="1"/>
  <c r="K285" i="1" s="1"/>
  <c r="I286" i="1"/>
  <c r="K286" i="1" s="1"/>
  <c r="I287" i="1"/>
  <c r="K287" i="1" s="1"/>
  <c r="I288" i="1"/>
  <c r="K288" i="1" s="1"/>
  <c r="I289" i="1"/>
  <c r="K289" i="1" s="1"/>
  <c r="I290" i="1"/>
  <c r="K290" i="1" s="1"/>
  <c r="I291" i="1"/>
  <c r="K291" i="1" s="1"/>
  <c r="I292" i="1"/>
  <c r="K292" i="1" s="1"/>
  <c r="I293" i="1"/>
  <c r="K293" i="1" s="1"/>
  <c r="I294" i="1"/>
  <c r="K294" i="1" s="1"/>
  <c r="I295" i="1"/>
  <c r="K295" i="1" s="1"/>
  <c r="I296" i="1"/>
  <c r="K296" i="1" s="1"/>
  <c r="I297" i="1"/>
  <c r="K297" i="1" s="1"/>
  <c r="I298" i="1"/>
  <c r="K298" i="1" s="1"/>
  <c r="I299" i="1"/>
  <c r="K299" i="1" s="1"/>
  <c r="I300" i="1"/>
  <c r="K300" i="1" s="1"/>
  <c r="I301" i="1"/>
  <c r="K301" i="1" s="1"/>
  <c r="I302" i="1"/>
  <c r="K302" i="1" s="1"/>
  <c r="I303" i="1"/>
  <c r="K303" i="1" s="1"/>
  <c r="I304" i="1"/>
  <c r="K304" i="1" s="1"/>
  <c r="I305" i="1"/>
  <c r="K305" i="1" s="1"/>
  <c r="I306" i="1"/>
  <c r="K306" i="1" s="1"/>
  <c r="I307" i="1"/>
  <c r="K307" i="1" s="1"/>
  <c r="I308" i="1"/>
  <c r="K308" i="1" s="1"/>
  <c r="I309" i="1"/>
  <c r="K309" i="1" s="1"/>
  <c r="I310" i="1"/>
  <c r="K310" i="1" s="1"/>
  <c r="I311" i="1"/>
  <c r="K311" i="1" s="1"/>
  <c r="I312" i="1"/>
  <c r="K312" i="1" s="1"/>
  <c r="I313" i="1"/>
  <c r="K313" i="1" s="1"/>
  <c r="I314" i="1"/>
  <c r="K314" i="1" s="1"/>
  <c r="I315" i="1"/>
  <c r="K315" i="1" s="1"/>
  <c r="I316" i="1"/>
  <c r="K316" i="1" s="1"/>
  <c r="I317" i="1"/>
  <c r="K317" i="1" s="1"/>
  <c r="I318" i="1"/>
  <c r="K318" i="1" s="1"/>
  <c r="I319" i="1"/>
  <c r="K319" i="1" s="1"/>
  <c r="I320" i="1"/>
  <c r="K320" i="1" s="1"/>
  <c r="I321" i="1"/>
  <c r="K321" i="1" s="1"/>
  <c r="I322" i="1"/>
  <c r="K322" i="1" s="1"/>
  <c r="I323" i="1"/>
  <c r="K323" i="1" s="1"/>
  <c r="I324" i="1"/>
  <c r="K324" i="1" s="1"/>
  <c r="I325" i="1"/>
  <c r="K325" i="1" s="1"/>
  <c r="I326" i="1"/>
  <c r="K326" i="1" s="1"/>
  <c r="I327" i="1"/>
  <c r="K327" i="1" s="1"/>
  <c r="I328" i="1"/>
  <c r="K328" i="1" s="1"/>
  <c r="I329" i="1"/>
  <c r="K329" i="1" s="1"/>
  <c r="I330" i="1"/>
  <c r="K330" i="1" s="1"/>
  <c r="I331" i="1"/>
  <c r="K331" i="1" s="1"/>
  <c r="I332" i="1"/>
  <c r="K332" i="1" s="1"/>
  <c r="I333" i="1"/>
  <c r="K333" i="1" s="1"/>
  <c r="I334" i="1"/>
  <c r="K334" i="1" s="1"/>
  <c r="I335" i="1"/>
  <c r="K335" i="1" s="1"/>
  <c r="I336" i="1"/>
  <c r="K336" i="1" s="1"/>
  <c r="I337" i="1"/>
  <c r="K337" i="1" s="1"/>
  <c r="I338" i="1"/>
  <c r="K338" i="1" s="1"/>
  <c r="I339" i="1"/>
  <c r="K339" i="1" s="1"/>
  <c r="I340" i="1"/>
  <c r="K340" i="1" s="1"/>
  <c r="I341" i="1"/>
  <c r="K341" i="1" s="1"/>
  <c r="I342" i="1"/>
  <c r="K342" i="1" s="1"/>
  <c r="I343" i="1"/>
  <c r="K343" i="1" s="1"/>
  <c r="I344" i="1"/>
  <c r="K344" i="1" s="1"/>
  <c r="I345" i="1"/>
  <c r="K345" i="1" s="1"/>
  <c r="I346" i="1"/>
  <c r="K346" i="1" s="1"/>
  <c r="I347" i="1"/>
  <c r="K347" i="1" s="1"/>
  <c r="I348" i="1"/>
  <c r="K348" i="1" s="1"/>
  <c r="I349" i="1"/>
  <c r="K349" i="1" s="1"/>
  <c r="I350" i="1"/>
  <c r="K350" i="1" s="1"/>
  <c r="I351" i="1"/>
  <c r="K351" i="1" s="1"/>
  <c r="I352" i="1"/>
  <c r="K352" i="1" s="1"/>
  <c r="I353" i="1"/>
  <c r="K353" i="1" s="1"/>
  <c r="I354" i="1"/>
  <c r="K354" i="1" s="1"/>
  <c r="I355" i="1"/>
  <c r="K355" i="1" s="1"/>
  <c r="I356" i="1"/>
  <c r="K356" i="1" s="1"/>
  <c r="I48" i="11" l="1"/>
  <c r="K48" i="11" s="1"/>
  <c r="I228" i="1"/>
  <c r="K228" i="1" s="1"/>
  <c r="I227" i="1"/>
  <c r="K227" i="1" s="1"/>
  <c r="I226" i="1"/>
  <c r="K226" i="1" s="1"/>
  <c r="I225" i="1"/>
  <c r="K225" i="1" s="1"/>
  <c r="I224" i="1"/>
  <c r="K224" i="1" s="1"/>
  <c r="I223" i="1"/>
  <c r="K223" i="1" s="1"/>
  <c r="I222" i="1"/>
  <c r="K222" i="1" s="1"/>
  <c r="I221" i="1"/>
  <c r="K221" i="1" s="1"/>
  <c r="I220" i="1"/>
  <c r="K220" i="1" s="1"/>
  <c r="I219" i="1"/>
  <c r="K219" i="1" s="1"/>
  <c r="I38" i="11"/>
  <c r="K38" i="11" s="1"/>
  <c r="I218" i="1"/>
  <c r="K218" i="1" s="1"/>
  <c r="I217" i="1" l="1"/>
  <c r="K217" i="1" s="1"/>
  <c r="I216" i="1"/>
  <c r="K216" i="1" s="1"/>
  <c r="I215" i="1"/>
  <c r="K215" i="1" s="1"/>
  <c r="I214" i="1"/>
  <c r="K214" i="1" s="1"/>
  <c r="I213" i="1" l="1"/>
  <c r="K213" i="1" s="1"/>
  <c r="I212" i="1"/>
  <c r="K212" i="1" s="1"/>
  <c r="I211" i="1"/>
  <c r="K211" i="1" s="1"/>
  <c r="I210" i="1"/>
  <c r="K210" i="1" s="1"/>
  <c r="I206" i="1" l="1"/>
  <c r="K206" i="1" s="1"/>
  <c r="I207" i="1"/>
  <c r="K207" i="1" s="1"/>
  <c r="I208" i="1"/>
  <c r="K208" i="1" s="1"/>
  <c r="I209" i="1"/>
  <c r="K209" i="1" s="1"/>
  <c r="I205" i="1" l="1"/>
  <c r="K205" i="1" s="1"/>
  <c r="I204" i="1"/>
  <c r="K204" i="1" s="1"/>
  <c r="I203" i="1"/>
  <c r="K203" i="1" s="1"/>
  <c r="I202" i="1"/>
  <c r="K202" i="1" s="1"/>
  <c r="I201" i="1"/>
  <c r="K201" i="1" s="1"/>
  <c r="I200" i="1"/>
  <c r="K200" i="1" s="1"/>
  <c r="I195" i="1"/>
  <c r="K195" i="1" s="1"/>
  <c r="I196" i="1"/>
  <c r="K196" i="1" s="1"/>
  <c r="I197" i="1"/>
  <c r="K197" i="1" s="1"/>
  <c r="I198" i="1"/>
  <c r="K198" i="1" s="1"/>
  <c r="I199" i="1"/>
  <c r="K199" i="1" s="1"/>
  <c r="I194" i="1" l="1"/>
  <c r="K194" i="1" s="1"/>
  <c r="I193" i="1" l="1"/>
  <c r="K193" i="1" s="1"/>
  <c r="I190" i="1"/>
  <c r="K190" i="1" s="1"/>
  <c r="I191" i="1"/>
  <c r="K191" i="1" s="1"/>
  <c r="I192" i="1"/>
  <c r="K192" i="1" s="1"/>
  <c r="I169" i="1"/>
  <c r="I189" i="1" l="1"/>
  <c r="K189" i="1" s="1"/>
  <c r="I188" i="1"/>
  <c r="K188" i="1" s="1"/>
  <c r="I187" i="1"/>
  <c r="K187" i="1" s="1"/>
  <c r="I186" i="1"/>
  <c r="K186" i="1" s="1"/>
  <c r="I185" i="1" l="1"/>
  <c r="K185" i="1" s="1"/>
  <c r="I184" i="1"/>
  <c r="K184" i="1" s="1"/>
  <c r="I183" i="1"/>
  <c r="K183" i="1" s="1"/>
  <c r="I182" i="1"/>
  <c r="K182" i="1" s="1"/>
  <c r="I181" i="1" l="1"/>
  <c r="K181" i="1" s="1"/>
  <c r="I180" i="1"/>
  <c r="K180" i="1" s="1"/>
  <c r="I178" i="1"/>
  <c r="K178" i="1" s="1"/>
  <c r="I179" i="1"/>
  <c r="K179" i="1" s="1"/>
  <c r="I176" i="1" l="1"/>
  <c r="K176" i="1" s="1"/>
  <c r="I174" i="1"/>
  <c r="K174" i="1" s="1"/>
  <c r="I177" i="1"/>
  <c r="K177" i="1" s="1"/>
  <c r="I175" i="1" l="1"/>
  <c r="K175" i="1" s="1"/>
  <c r="I167" i="1" l="1"/>
  <c r="K167" i="1" s="1"/>
  <c r="I73" i="1"/>
  <c r="K13" i="16"/>
  <c r="E13" i="16"/>
  <c r="F13" i="16"/>
  <c r="G13" i="16"/>
  <c r="H13" i="16"/>
  <c r="I13" i="16"/>
  <c r="J13" i="16"/>
  <c r="D13" i="16"/>
  <c r="M63" i="5"/>
  <c r="M62" i="5"/>
  <c r="M61" i="5"/>
  <c r="M60" i="5"/>
  <c r="M59" i="5"/>
  <c r="M58" i="5"/>
  <c r="M57" i="5"/>
  <c r="M56" i="5"/>
  <c r="M55" i="5"/>
  <c r="M54" i="5"/>
  <c r="M53" i="5"/>
  <c r="M52" i="5"/>
  <c r="S26" i="5"/>
  <c r="S25" i="5"/>
  <c r="S24" i="5"/>
  <c r="S23" i="5"/>
  <c r="S22" i="5"/>
  <c r="S21" i="5"/>
  <c r="S20" i="5"/>
  <c r="S19" i="5"/>
  <c r="C19" i="5"/>
  <c r="S15" i="5"/>
  <c r="S14" i="5"/>
  <c r="S13" i="5"/>
  <c r="S12" i="5"/>
  <c r="S8" i="5"/>
  <c r="S5" i="5"/>
  <c r="S7" i="5"/>
  <c r="S6" i="5"/>
  <c r="S4" i="5"/>
  <c r="S11" i="5"/>
  <c r="S9" i="5"/>
  <c r="S10" i="5"/>
  <c r="E138" i="7"/>
  <c r="D138" i="7"/>
  <c r="C10" i="5" s="1"/>
  <c r="E126" i="7"/>
  <c r="D126" i="7"/>
  <c r="E125" i="7"/>
  <c r="D125" i="7"/>
  <c r="E123" i="7"/>
  <c r="D123" i="7"/>
  <c r="E122" i="7"/>
  <c r="D122" i="7"/>
  <c r="D107" i="7"/>
  <c r="D106" i="7"/>
  <c r="E97" i="7"/>
  <c r="D97" i="7"/>
  <c r="E96" i="7"/>
  <c r="D96" i="7"/>
  <c r="E95" i="7"/>
  <c r="D95" i="7"/>
  <c r="E94" i="7"/>
  <c r="D94" i="7"/>
  <c r="E93" i="7"/>
  <c r="D93" i="7"/>
  <c r="E92" i="7"/>
  <c r="D92" i="7"/>
  <c r="E91" i="7"/>
  <c r="D91" i="7"/>
  <c r="E90" i="7"/>
  <c r="D90" i="7"/>
  <c r="E89" i="7"/>
  <c r="D89" i="7"/>
  <c r="E88" i="7"/>
  <c r="D88" i="7"/>
  <c r="E87" i="7"/>
  <c r="D87" i="7"/>
  <c r="E76" i="7"/>
  <c r="D76" i="7"/>
  <c r="E75" i="7"/>
  <c r="D75" i="7"/>
  <c r="E74" i="7"/>
  <c r="D74" i="7"/>
  <c r="E61" i="7"/>
  <c r="D61" i="7"/>
  <c r="E60" i="7"/>
  <c r="D60" i="7"/>
  <c r="E49" i="7"/>
  <c r="D49" i="7"/>
  <c r="E48" i="7"/>
  <c r="D48" i="7"/>
  <c r="E47" i="7"/>
  <c r="D47" i="7"/>
  <c r="E46" i="7"/>
  <c r="D46" i="7"/>
  <c r="E37" i="7"/>
  <c r="D37" i="7"/>
  <c r="E36" i="7"/>
  <c r="D36" i="7"/>
  <c r="E35" i="7"/>
  <c r="D35" i="7"/>
  <c r="E34" i="7"/>
  <c r="D34" i="7"/>
  <c r="E33" i="7"/>
  <c r="D33" i="7"/>
  <c r="E24" i="7"/>
  <c r="D24" i="7"/>
  <c r="E23" i="7"/>
  <c r="D23" i="7"/>
  <c r="E22" i="7"/>
  <c r="D22" i="7"/>
  <c r="E21" i="7"/>
  <c r="D21" i="7"/>
  <c r="E20" i="7"/>
  <c r="D20" i="7"/>
  <c r="E19" i="7"/>
  <c r="D19" i="7"/>
  <c r="E18" i="7"/>
  <c r="D18" i="7"/>
  <c r="E17" i="7"/>
  <c r="D17" i="7"/>
  <c r="E8" i="7"/>
  <c r="D8" i="7"/>
  <c r="E7" i="7"/>
  <c r="D7" i="7"/>
  <c r="E6" i="7"/>
  <c r="D6" i="7"/>
  <c r="E5" i="7"/>
  <c r="D5" i="7"/>
  <c r="E4" i="7"/>
  <c r="D4" i="7"/>
  <c r="E3" i="7"/>
  <c r="D3" i="7"/>
  <c r="I148" i="1"/>
  <c r="K148" i="1" s="1"/>
  <c r="I157" i="1"/>
  <c r="K157" i="1" s="1"/>
  <c r="I147" i="1"/>
  <c r="K147" i="1" s="1"/>
  <c r="I158" i="1"/>
  <c r="K158" i="1" s="1"/>
  <c r="I145" i="1"/>
  <c r="K145" i="1" s="1"/>
  <c r="I144" i="1"/>
  <c r="K144" i="1" s="1"/>
  <c r="I163" i="1"/>
  <c r="K163" i="1" s="1"/>
  <c r="I170" i="1"/>
  <c r="K170" i="1" s="1"/>
  <c r="I155" i="1"/>
  <c r="K155" i="1" s="1"/>
  <c r="I159" i="1"/>
  <c r="K159" i="1" s="1"/>
  <c r="I161" i="1"/>
  <c r="K161" i="1" s="1"/>
  <c r="I172" i="1"/>
  <c r="K172" i="1" s="1"/>
  <c r="I165" i="1"/>
  <c r="K165" i="1" s="1"/>
  <c r="I160" i="1"/>
  <c r="K160" i="1" s="1"/>
  <c r="K25" i="1"/>
  <c r="I154" i="1"/>
  <c r="K154" i="1" s="1"/>
  <c r="I150" i="1"/>
  <c r="K150" i="1" s="1"/>
  <c r="I143" i="1"/>
  <c r="K143" i="1" s="1"/>
  <c r="I31" i="11"/>
  <c r="K31" i="11" s="1"/>
  <c r="I32" i="11"/>
  <c r="K32" i="11" s="1"/>
  <c r="I33" i="11"/>
  <c r="K33" i="11" s="1"/>
  <c r="I34" i="11"/>
  <c r="K34" i="11" s="1"/>
  <c r="I35" i="11"/>
  <c r="K35" i="11" s="1"/>
  <c r="I36" i="11"/>
  <c r="K36" i="11" s="1"/>
  <c r="I37" i="11"/>
  <c r="K37" i="11" s="1"/>
  <c r="I39" i="11"/>
  <c r="K39" i="11" s="1"/>
  <c r="I40" i="11"/>
  <c r="K40" i="11" s="1"/>
  <c r="I41" i="11"/>
  <c r="K41" i="11" s="1"/>
  <c r="I42" i="11"/>
  <c r="K42" i="11" s="1"/>
  <c r="I43" i="11"/>
  <c r="K43" i="11" s="1"/>
  <c r="I44" i="11"/>
  <c r="K44" i="11" s="1"/>
  <c r="I45" i="11"/>
  <c r="K45" i="11" s="1"/>
  <c r="I46" i="11"/>
  <c r="K46" i="11" s="1"/>
  <c r="I47" i="11"/>
  <c r="K47" i="11" s="1"/>
  <c r="K49" i="11"/>
  <c r="I50" i="11"/>
  <c r="K50" i="11" s="1"/>
  <c r="I51" i="11"/>
  <c r="K51" i="11" s="1"/>
  <c r="I52" i="11"/>
  <c r="K52" i="11" s="1"/>
  <c r="I53" i="11"/>
  <c r="K53" i="11" s="1"/>
  <c r="I54" i="11"/>
  <c r="K54" i="11" s="1"/>
  <c r="I55" i="11"/>
  <c r="K55" i="11" s="1"/>
  <c r="I56" i="11"/>
  <c r="K56" i="11" s="1"/>
  <c r="I57" i="11"/>
  <c r="K57" i="11" s="1"/>
  <c r="I58" i="11"/>
  <c r="K58" i="11" s="1"/>
  <c r="I59" i="11"/>
  <c r="K59" i="11" s="1"/>
  <c r="I60" i="11"/>
  <c r="K60" i="11" s="1"/>
  <c r="I61" i="11"/>
  <c r="K61" i="11" s="1"/>
  <c r="I62" i="11"/>
  <c r="K62" i="11" s="1"/>
  <c r="I63" i="11"/>
  <c r="K63" i="11" s="1"/>
  <c r="I64" i="11"/>
  <c r="K64" i="11" s="1"/>
  <c r="I65" i="11"/>
  <c r="K65" i="11" s="1"/>
  <c r="I66" i="11"/>
  <c r="K66" i="11" s="1"/>
  <c r="I67" i="11"/>
  <c r="K67" i="11" s="1"/>
  <c r="I68" i="11"/>
  <c r="K68" i="11" s="1"/>
  <c r="I69" i="11"/>
  <c r="K69" i="11" s="1"/>
  <c r="I70" i="11"/>
  <c r="K70" i="11" s="1"/>
  <c r="I71" i="11"/>
  <c r="K71" i="11" s="1"/>
  <c r="I72" i="11"/>
  <c r="K72" i="11" s="1"/>
  <c r="I73" i="11"/>
  <c r="K73" i="11" s="1"/>
  <c r="I74" i="11"/>
  <c r="K74" i="11" s="1"/>
  <c r="I75" i="11"/>
  <c r="K75" i="11" s="1"/>
  <c r="I76" i="11"/>
  <c r="K76" i="11" s="1"/>
  <c r="I77" i="11"/>
  <c r="K77" i="11" s="1"/>
  <c r="I78" i="11"/>
  <c r="K78" i="11" s="1"/>
  <c r="I79" i="11"/>
  <c r="K79" i="11" s="1"/>
  <c r="I80" i="11"/>
  <c r="K80" i="11" s="1"/>
  <c r="I81" i="11"/>
  <c r="K81" i="11" s="1"/>
  <c r="I82" i="11"/>
  <c r="K82" i="11" s="1"/>
  <c r="I83" i="11"/>
  <c r="K83" i="11" s="1"/>
  <c r="I84" i="11"/>
  <c r="K84" i="11" s="1"/>
  <c r="I85" i="11"/>
  <c r="K85" i="11" s="1"/>
  <c r="I86" i="11"/>
  <c r="K86" i="11" s="1"/>
  <c r="I87" i="11"/>
  <c r="K87" i="11" s="1"/>
  <c r="I88" i="11"/>
  <c r="K88" i="11" s="1"/>
  <c r="I89" i="11"/>
  <c r="K89" i="11" s="1"/>
  <c r="I90" i="11"/>
  <c r="K90" i="11" s="1"/>
  <c r="I91" i="11"/>
  <c r="K91" i="11" s="1"/>
  <c r="I92" i="11"/>
  <c r="K92" i="11" s="1"/>
  <c r="I93" i="11"/>
  <c r="K93" i="11" s="1"/>
  <c r="I94" i="11"/>
  <c r="K94" i="11" s="1"/>
  <c r="I95" i="11"/>
  <c r="K95" i="11" s="1"/>
  <c r="I96" i="11"/>
  <c r="K96" i="11" s="1"/>
  <c r="I97" i="11"/>
  <c r="K97" i="11" s="1"/>
  <c r="I98" i="11"/>
  <c r="K98" i="11" s="1"/>
  <c r="I99" i="11"/>
  <c r="K99" i="11" s="1"/>
  <c r="I100" i="11"/>
  <c r="K100" i="11" s="1"/>
  <c r="I101" i="11"/>
  <c r="K101" i="11" s="1"/>
  <c r="I102" i="11"/>
  <c r="K102" i="11" s="1"/>
  <c r="I103" i="11"/>
  <c r="K103" i="11" s="1"/>
  <c r="I104" i="11"/>
  <c r="K104" i="11" s="1"/>
  <c r="I105" i="11"/>
  <c r="K105" i="11" s="1"/>
  <c r="I106" i="11"/>
  <c r="K106" i="11" s="1"/>
  <c r="I107" i="11"/>
  <c r="K107" i="11" s="1"/>
  <c r="I108" i="11"/>
  <c r="K108" i="11" s="1"/>
  <c r="I109" i="11"/>
  <c r="K109" i="11" s="1"/>
  <c r="I110" i="11"/>
  <c r="K110" i="11" s="1"/>
  <c r="I111" i="11"/>
  <c r="K111" i="11" s="1"/>
  <c r="I112" i="11"/>
  <c r="K112" i="11" s="1"/>
  <c r="I113" i="11"/>
  <c r="K113" i="11" s="1"/>
  <c r="I114" i="11"/>
  <c r="K114" i="11" s="1"/>
  <c r="I115" i="11"/>
  <c r="K115" i="11" s="1"/>
  <c r="I116" i="11"/>
  <c r="K116" i="11" s="1"/>
  <c r="I117" i="11"/>
  <c r="K117" i="11" s="1"/>
  <c r="I118" i="11"/>
  <c r="K118" i="11" s="1"/>
  <c r="I119" i="11"/>
  <c r="K119" i="11" s="1"/>
  <c r="I120" i="11"/>
  <c r="K120" i="11" s="1"/>
  <c r="I121" i="11"/>
  <c r="K121" i="11" s="1"/>
  <c r="I122" i="11"/>
  <c r="K122" i="11" s="1"/>
  <c r="I123" i="11"/>
  <c r="K123" i="11" s="1"/>
  <c r="I124" i="11"/>
  <c r="K124" i="11" s="1"/>
  <c r="I125" i="11"/>
  <c r="K125" i="11" s="1"/>
  <c r="I126" i="11"/>
  <c r="K126" i="11" s="1"/>
  <c r="I127" i="11"/>
  <c r="K127" i="11" s="1"/>
  <c r="I128" i="11"/>
  <c r="K128" i="11" s="1"/>
  <c r="I129" i="11"/>
  <c r="K129" i="11" s="1"/>
  <c r="I130" i="11"/>
  <c r="K130" i="11" s="1"/>
  <c r="I131" i="11"/>
  <c r="K131" i="11" s="1"/>
  <c r="I132" i="11"/>
  <c r="K132" i="11" s="1"/>
  <c r="I133" i="11"/>
  <c r="K133" i="11" s="1"/>
  <c r="I134" i="11"/>
  <c r="K134" i="11" s="1"/>
  <c r="I135" i="11"/>
  <c r="K135" i="11" s="1"/>
  <c r="I136" i="11"/>
  <c r="K136" i="11" s="1"/>
  <c r="I137" i="11"/>
  <c r="K137" i="11" s="1"/>
  <c r="I138" i="11"/>
  <c r="K138" i="11" s="1"/>
  <c r="I139" i="11"/>
  <c r="K139" i="11" s="1"/>
  <c r="I140" i="11"/>
  <c r="K140" i="11" s="1"/>
  <c r="I141" i="11"/>
  <c r="K141" i="11" s="1"/>
  <c r="I142" i="11"/>
  <c r="K142" i="11" s="1"/>
  <c r="I143" i="11"/>
  <c r="K143" i="11" s="1"/>
  <c r="I144" i="11"/>
  <c r="K144" i="11" s="1"/>
  <c r="I145" i="11"/>
  <c r="K145" i="11" s="1"/>
  <c r="I146" i="11"/>
  <c r="K146" i="11" s="1"/>
  <c r="I147" i="11"/>
  <c r="K147" i="11" s="1"/>
  <c r="I148" i="11"/>
  <c r="K148" i="11" s="1"/>
  <c r="I149" i="11"/>
  <c r="K149" i="11" s="1"/>
  <c r="I150" i="11"/>
  <c r="K150" i="11" s="1"/>
  <c r="I151" i="11"/>
  <c r="K151" i="11" s="1"/>
  <c r="I152" i="11"/>
  <c r="K152" i="11" s="1"/>
  <c r="I153" i="11"/>
  <c r="K153" i="11" s="1"/>
  <c r="I154" i="11"/>
  <c r="K154" i="11" s="1"/>
  <c r="I155" i="11"/>
  <c r="K155" i="11" s="1"/>
  <c r="I156" i="11"/>
  <c r="K156" i="11" s="1"/>
  <c r="I157" i="11"/>
  <c r="K157" i="11" s="1"/>
  <c r="I158" i="11"/>
  <c r="K158" i="11" s="1"/>
  <c r="I159" i="11"/>
  <c r="K159" i="11" s="1"/>
  <c r="I160" i="11"/>
  <c r="K160" i="11" s="1"/>
  <c r="I161" i="11"/>
  <c r="K161" i="11" s="1"/>
  <c r="I162" i="11"/>
  <c r="K162" i="11" s="1"/>
  <c r="I163" i="11"/>
  <c r="K163" i="11" s="1"/>
  <c r="I164" i="11"/>
  <c r="K164" i="11" s="1"/>
  <c r="I165" i="11"/>
  <c r="K165" i="11" s="1"/>
  <c r="I166" i="11"/>
  <c r="K166" i="11" s="1"/>
  <c r="I167" i="11"/>
  <c r="K167" i="11" s="1"/>
  <c r="I168" i="11"/>
  <c r="K168" i="11" s="1"/>
  <c r="I169" i="11"/>
  <c r="K169" i="11" s="1"/>
  <c r="I170" i="11"/>
  <c r="K170" i="11" s="1"/>
  <c r="I171" i="11"/>
  <c r="K171" i="11" s="1"/>
  <c r="I172" i="11"/>
  <c r="K172" i="11" s="1"/>
  <c r="I173" i="11"/>
  <c r="K173" i="11" s="1"/>
  <c r="I174" i="11"/>
  <c r="K174" i="11" s="1"/>
  <c r="I175" i="11"/>
  <c r="K175" i="11" s="1"/>
  <c r="I176" i="11"/>
  <c r="K176" i="11" s="1"/>
  <c r="I177" i="11"/>
  <c r="K177" i="11" s="1"/>
  <c r="I178" i="11"/>
  <c r="K178" i="11" s="1"/>
  <c r="I179" i="11"/>
  <c r="K179" i="11" s="1"/>
  <c r="I180" i="11"/>
  <c r="K180" i="11" s="1"/>
  <c r="I181" i="11"/>
  <c r="K181" i="11" s="1"/>
  <c r="I182" i="11"/>
  <c r="K182" i="11" s="1"/>
  <c r="I183" i="11"/>
  <c r="K183" i="11" s="1"/>
  <c r="I184" i="11"/>
  <c r="K184" i="11" s="1"/>
  <c r="I185" i="11"/>
  <c r="K185" i="11" s="1"/>
  <c r="I186" i="11"/>
  <c r="K186" i="11" s="1"/>
  <c r="I187" i="11"/>
  <c r="K187" i="11" s="1"/>
  <c r="I188" i="11"/>
  <c r="K188" i="11" s="1"/>
  <c r="I189" i="11"/>
  <c r="K189" i="11" s="1"/>
  <c r="I190" i="11"/>
  <c r="K190" i="11" s="1"/>
  <c r="I191" i="11"/>
  <c r="K191" i="11" s="1"/>
  <c r="I192" i="11"/>
  <c r="K192" i="11" s="1"/>
  <c r="I193" i="11"/>
  <c r="K193" i="11" s="1"/>
  <c r="I194" i="11"/>
  <c r="K194" i="11" s="1"/>
  <c r="I173" i="1"/>
  <c r="K173" i="1" s="1"/>
  <c r="I164" i="1"/>
  <c r="K164" i="1" s="1"/>
  <c r="I171" i="1"/>
  <c r="K171" i="1" s="1"/>
  <c r="I142" i="1"/>
  <c r="K142" i="1" s="1"/>
  <c r="K169" i="1"/>
  <c r="I156" i="1"/>
  <c r="K156" i="1" s="1"/>
  <c r="I149" i="1"/>
  <c r="K149" i="1" s="1"/>
  <c r="I152" i="1"/>
  <c r="K152" i="1" s="1"/>
  <c r="I162" i="1"/>
  <c r="K162" i="1" s="1"/>
  <c r="I168" i="1"/>
  <c r="K168" i="1" s="1"/>
  <c r="I153" i="1"/>
  <c r="K153" i="1" s="1"/>
  <c r="I166" i="1"/>
  <c r="K166" i="1" s="1"/>
  <c r="I146" i="1"/>
  <c r="K146" i="1" s="1"/>
  <c r="I151" i="1"/>
  <c r="K151" i="1" s="1"/>
  <c r="I139" i="1"/>
  <c r="K139" i="1" s="1"/>
  <c r="I132" i="1"/>
  <c r="K132" i="1" s="1"/>
  <c r="I129" i="1"/>
  <c r="K129" i="1" s="1"/>
  <c r="I133" i="1"/>
  <c r="K133" i="1" s="1"/>
  <c r="I126" i="1"/>
  <c r="K126" i="1" s="1"/>
  <c r="I127" i="1"/>
  <c r="K127" i="1" s="1"/>
  <c r="I125" i="1"/>
  <c r="K125" i="1" s="1"/>
  <c r="I141" i="1"/>
  <c r="K141" i="1" s="1"/>
  <c r="I138" i="1"/>
  <c r="K138" i="1" s="1"/>
  <c r="I128" i="1"/>
  <c r="K128" i="1" s="1"/>
  <c r="I30" i="11"/>
  <c r="K30" i="11" s="1"/>
  <c r="I131" i="1"/>
  <c r="K131" i="1" s="1"/>
  <c r="I135" i="1"/>
  <c r="K135" i="1" s="1"/>
  <c r="I134" i="1"/>
  <c r="K134" i="1" s="1"/>
  <c r="I140" i="1"/>
  <c r="K140" i="1" s="1"/>
  <c r="I136" i="1"/>
  <c r="K136" i="1" s="1"/>
  <c r="I137" i="1"/>
  <c r="K137" i="1" s="1"/>
  <c r="I117" i="1"/>
  <c r="K117" i="1" s="1"/>
  <c r="I130" i="1"/>
  <c r="K130" i="1" s="1"/>
  <c r="I115" i="1"/>
  <c r="K115" i="1" s="1"/>
  <c r="I29" i="11"/>
  <c r="K29" i="11" s="1"/>
  <c r="I118" i="1"/>
  <c r="K118" i="1" s="1"/>
  <c r="I28" i="11"/>
  <c r="K17" i="11" s="1"/>
  <c r="I27" i="11"/>
  <c r="K27" i="11" s="1"/>
  <c r="I109" i="1"/>
  <c r="K109" i="1" s="1"/>
  <c r="I111" i="1"/>
  <c r="K111" i="1" s="1"/>
  <c r="I119" i="1"/>
  <c r="K119" i="1" s="1"/>
  <c r="I24" i="11"/>
  <c r="K24" i="11" s="1"/>
  <c r="I25" i="11"/>
  <c r="K25" i="11" s="1"/>
  <c r="I26" i="11"/>
  <c r="K15" i="11" s="1"/>
  <c r="I123" i="1"/>
  <c r="K123" i="1" s="1"/>
  <c r="I108" i="1"/>
  <c r="K108" i="1" s="1"/>
  <c r="I116" i="1"/>
  <c r="K116" i="1" s="1"/>
  <c r="I120" i="1"/>
  <c r="K120" i="1" s="1"/>
  <c r="I122" i="1"/>
  <c r="K122" i="1" s="1"/>
  <c r="I124" i="1"/>
  <c r="K124" i="1" s="1"/>
  <c r="I110" i="1"/>
  <c r="K110" i="1" s="1"/>
  <c r="I121" i="1"/>
  <c r="K121" i="1" s="1"/>
  <c r="I114" i="1"/>
  <c r="K114" i="1" s="1"/>
  <c r="I112" i="1"/>
  <c r="K112" i="1" s="1"/>
  <c r="I113" i="1"/>
  <c r="K113" i="1" s="1"/>
  <c r="I93" i="1"/>
  <c r="K93" i="1" s="1"/>
  <c r="I98" i="1"/>
  <c r="K98" i="1" s="1"/>
  <c r="I87" i="1"/>
  <c r="K87" i="1" s="1"/>
  <c r="I94" i="1"/>
  <c r="K94" i="1" s="1"/>
  <c r="I82" i="1"/>
  <c r="K82" i="1" s="1"/>
  <c r="I81" i="1"/>
  <c r="K81" i="1" s="1"/>
  <c r="I105" i="1"/>
  <c r="K105" i="1" s="1"/>
  <c r="I90" i="1"/>
  <c r="K90" i="1" s="1"/>
  <c r="K97" i="1"/>
  <c r="I88" i="1"/>
  <c r="K88" i="1" s="1"/>
  <c r="I96" i="1"/>
  <c r="K96" i="1" s="1"/>
  <c r="I23" i="11"/>
  <c r="K12" i="11" s="1"/>
  <c r="I14" i="11"/>
  <c r="I17" i="11"/>
  <c r="I8" i="11"/>
  <c r="I9" i="11"/>
  <c r="I10" i="11"/>
  <c r="I11" i="11"/>
  <c r="I12" i="11"/>
  <c r="I13" i="11"/>
  <c r="I15" i="11"/>
  <c r="I16" i="11"/>
  <c r="I7" i="11"/>
  <c r="I18" i="11"/>
  <c r="K18" i="11" s="1"/>
  <c r="I19" i="11"/>
  <c r="K8" i="11" s="1"/>
  <c r="I20" i="11"/>
  <c r="K20" i="11" s="1"/>
  <c r="I21" i="11"/>
  <c r="K21" i="11" s="1"/>
  <c r="I22" i="11"/>
  <c r="K11" i="11" s="1"/>
  <c r="I92" i="1"/>
  <c r="K92" i="1" s="1"/>
  <c r="I99" i="1"/>
  <c r="K99" i="1" s="1"/>
  <c r="I78" i="1"/>
  <c r="K78" i="1" s="1"/>
  <c r="I85" i="1"/>
  <c r="K85" i="1" s="1"/>
  <c r="I84" i="1"/>
  <c r="K84" i="1" s="1"/>
  <c r="I89" i="1"/>
  <c r="K89" i="1" s="1"/>
  <c r="I80" i="1"/>
  <c r="K80" i="1" s="1"/>
  <c r="I103" i="1"/>
  <c r="K103" i="1" s="1"/>
  <c r="I79" i="1"/>
  <c r="K79" i="1" s="1"/>
  <c r="I107" i="1"/>
  <c r="K107" i="1" s="1"/>
  <c r="I100" i="1"/>
  <c r="K100" i="1" s="1"/>
  <c r="I101" i="1"/>
  <c r="K101" i="1" s="1"/>
  <c r="I86" i="1"/>
  <c r="K86" i="1" s="1"/>
  <c r="I104" i="1"/>
  <c r="K104" i="1" s="1"/>
  <c r="I106" i="1"/>
  <c r="K106" i="1" s="1"/>
  <c r="I91" i="1"/>
  <c r="K91" i="1" s="1"/>
  <c r="I67" i="1"/>
  <c r="K67" i="1" s="1"/>
  <c r="I83" i="1"/>
  <c r="K83" i="1" s="1"/>
  <c r="I95" i="1"/>
  <c r="K95" i="1" s="1"/>
  <c r="I70" i="1"/>
  <c r="K70" i="1" s="1"/>
  <c r="I65" i="1"/>
  <c r="K65" i="1" s="1"/>
  <c r="I64" i="1"/>
  <c r="K64" i="1" s="1"/>
  <c r="I61" i="1"/>
  <c r="K61" i="1" s="1"/>
  <c r="I69" i="1"/>
  <c r="K69" i="1" s="1"/>
  <c r="I77" i="1"/>
  <c r="K77" i="1" s="1"/>
  <c r="I66" i="1"/>
  <c r="K66" i="1" s="1"/>
  <c r="I63" i="1"/>
  <c r="K63" i="1" s="1"/>
  <c r="I74" i="1"/>
  <c r="K74" i="1" s="1"/>
  <c r="I60" i="1"/>
  <c r="K60" i="1" s="1"/>
  <c r="I71" i="1"/>
  <c r="K71" i="1" s="1"/>
  <c r="I57" i="1"/>
  <c r="K57" i="1" s="1"/>
  <c r="I58" i="1"/>
  <c r="K58" i="1" s="1"/>
  <c r="I62" i="1"/>
  <c r="K62" i="1" s="1"/>
  <c r="I56" i="1"/>
  <c r="K56" i="1" s="1"/>
  <c r="I72" i="1"/>
  <c r="K72" i="1" s="1"/>
  <c r="I59" i="1"/>
  <c r="K59" i="1" s="1"/>
  <c r="I68" i="1"/>
  <c r="K68" i="1" s="1"/>
  <c r="I76" i="1"/>
  <c r="K76" i="1" s="1"/>
  <c r="I55" i="1"/>
  <c r="K55" i="1" s="1"/>
  <c r="K73" i="1"/>
  <c r="I75" i="1"/>
  <c r="K75" i="1" s="1"/>
  <c r="I42" i="1"/>
  <c r="K42" i="1" s="1"/>
  <c r="I40" i="1"/>
  <c r="K40" i="1" s="1"/>
  <c r="I38" i="1"/>
  <c r="K38" i="1" s="1"/>
  <c r="I48" i="1"/>
  <c r="K48" i="1" s="1"/>
  <c r="I35" i="1"/>
  <c r="K35" i="1" s="1"/>
  <c r="I44" i="1"/>
  <c r="K44" i="1" s="1"/>
  <c r="I47" i="1"/>
  <c r="K47" i="1" s="1"/>
  <c r="I24" i="1"/>
  <c r="K24" i="1" s="1"/>
  <c r="I23" i="1"/>
  <c r="K23" i="1" s="1"/>
  <c r="I29" i="1"/>
  <c r="K29" i="1" s="1"/>
  <c r="I28" i="1"/>
  <c r="K28" i="1" s="1"/>
  <c r="I33" i="1"/>
  <c r="K33" i="1" s="1"/>
  <c r="I54" i="1"/>
  <c r="K54" i="1" s="1"/>
  <c r="I37" i="1"/>
  <c r="K37" i="1" s="1"/>
  <c r="I50" i="1"/>
  <c r="K50" i="1" s="1"/>
  <c r="I51" i="1"/>
  <c r="K51" i="1" s="1"/>
  <c r="I49" i="1"/>
  <c r="K49" i="1" s="1"/>
  <c r="I41" i="1"/>
  <c r="K41" i="1" s="1"/>
  <c r="I45" i="1"/>
  <c r="K45" i="1" s="1"/>
  <c r="I34" i="1"/>
  <c r="K34" i="1" s="1"/>
  <c r="I36" i="1"/>
  <c r="K36" i="1" s="1"/>
  <c r="I32" i="1"/>
  <c r="K32" i="1" s="1"/>
  <c r="I39" i="1"/>
  <c r="K39" i="1" s="1"/>
  <c r="I46" i="1"/>
  <c r="K46" i="1" s="1"/>
  <c r="I53" i="1"/>
  <c r="K53" i="1" s="1"/>
  <c r="I43" i="1"/>
  <c r="K43" i="1" s="1"/>
  <c r="I31" i="1"/>
  <c r="K31" i="1" s="1"/>
  <c r="I52" i="1"/>
  <c r="K52" i="1" s="1"/>
  <c r="I27" i="1"/>
  <c r="K27" i="1" s="1"/>
  <c r="I13" i="1"/>
  <c r="K13" i="1" s="1"/>
  <c r="C17" i="7"/>
  <c r="I350" i="11"/>
  <c r="K350" i="11" s="1"/>
  <c r="I349" i="11"/>
  <c r="K349" i="11" s="1"/>
  <c r="I348" i="11"/>
  <c r="K348" i="11" s="1"/>
  <c r="I347" i="11"/>
  <c r="K347" i="11" s="1"/>
  <c r="I346" i="11"/>
  <c r="K346" i="11" s="1"/>
  <c r="I345" i="11"/>
  <c r="K345" i="11" s="1"/>
  <c r="I344" i="11"/>
  <c r="K344" i="11" s="1"/>
  <c r="I343" i="11"/>
  <c r="K343" i="11" s="1"/>
  <c r="I342" i="11"/>
  <c r="K342" i="11" s="1"/>
  <c r="I341" i="11"/>
  <c r="K341" i="11" s="1"/>
  <c r="I340" i="11"/>
  <c r="K340" i="11" s="1"/>
  <c r="I339" i="11"/>
  <c r="K339" i="11" s="1"/>
  <c r="I338" i="11"/>
  <c r="K338" i="11" s="1"/>
  <c r="I337" i="11"/>
  <c r="K337" i="11" s="1"/>
  <c r="I336" i="11"/>
  <c r="K336" i="11" s="1"/>
  <c r="I335" i="11"/>
  <c r="K335" i="11" s="1"/>
  <c r="I334" i="11"/>
  <c r="K334" i="11" s="1"/>
  <c r="I333" i="11"/>
  <c r="K333" i="11" s="1"/>
  <c r="I332" i="11"/>
  <c r="K332" i="11" s="1"/>
  <c r="I331" i="11"/>
  <c r="K331" i="11" s="1"/>
  <c r="I330" i="11"/>
  <c r="K330" i="11" s="1"/>
  <c r="I329" i="11"/>
  <c r="K329" i="11" s="1"/>
  <c r="I328" i="11"/>
  <c r="K328" i="11" s="1"/>
  <c r="I327" i="11"/>
  <c r="K327" i="11" s="1"/>
  <c r="I326" i="11"/>
  <c r="K326" i="11" s="1"/>
  <c r="I325" i="11"/>
  <c r="K325" i="11" s="1"/>
  <c r="I324" i="11"/>
  <c r="K324" i="11" s="1"/>
  <c r="I323" i="11"/>
  <c r="K323" i="11" s="1"/>
  <c r="I322" i="11"/>
  <c r="K322" i="11" s="1"/>
  <c r="I321" i="11"/>
  <c r="K321" i="11" s="1"/>
  <c r="I320" i="11"/>
  <c r="K320" i="11" s="1"/>
  <c r="I319" i="11"/>
  <c r="K319" i="11" s="1"/>
  <c r="I318" i="11"/>
  <c r="K318" i="11" s="1"/>
  <c r="I317" i="11"/>
  <c r="K317" i="11" s="1"/>
  <c r="I316" i="11"/>
  <c r="K316" i="11" s="1"/>
  <c r="I315" i="11"/>
  <c r="K315" i="11" s="1"/>
  <c r="I314" i="11"/>
  <c r="K314" i="11" s="1"/>
  <c r="I313" i="11"/>
  <c r="K313" i="11" s="1"/>
  <c r="I312" i="11"/>
  <c r="K312" i="11" s="1"/>
  <c r="I311" i="11"/>
  <c r="K311" i="11" s="1"/>
  <c r="I310" i="11"/>
  <c r="K310" i="11" s="1"/>
  <c r="I309" i="11"/>
  <c r="K309" i="11" s="1"/>
  <c r="I308" i="11"/>
  <c r="K308" i="11" s="1"/>
  <c r="I307" i="11"/>
  <c r="K307" i="11" s="1"/>
  <c r="I306" i="11"/>
  <c r="K306" i="11" s="1"/>
  <c r="I305" i="11"/>
  <c r="K305" i="11" s="1"/>
  <c r="I304" i="11"/>
  <c r="K304" i="11" s="1"/>
  <c r="I303" i="11"/>
  <c r="K303" i="11" s="1"/>
  <c r="I302" i="11"/>
  <c r="K302" i="11" s="1"/>
  <c r="I301" i="11"/>
  <c r="K301" i="11" s="1"/>
  <c r="I300" i="11"/>
  <c r="K300" i="11" s="1"/>
  <c r="I299" i="11"/>
  <c r="K299" i="11" s="1"/>
  <c r="I298" i="11"/>
  <c r="K298" i="11" s="1"/>
  <c r="I297" i="11"/>
  <c r="K297" i="11" s="1"/>
  <c r="I296" i="11"/>
  <c r="K296" i="11" s="1"/>
  <c r="I295" i="11"/>
  <c r="K295" i="11" s="1"/>
  <c r="I294" i="11"/>
  <c r="K294" i="11" s="1"/>
  <c r="I293" i="11"/>
  <c r="K293" i="11" s="1"/>
  <c r="I292" i="11"/>
  <c r="K292" i="11" s="1"/>
  <c r="I291" i="11"/>
  <c r="K291" i="11" s="1"/>
  <c r="I290" i="11"/>
  <c r="K290" i="11" s="1"/>
  <c r="I289" i="11"/>
  <c r="K289" i="11" s="1"/>
  <c r="I288" i="11"/>
  <c r="K288" i="11" s="1"/>
  <c r="I287" i="11"/>
  <c r="K287" i="11" s="1"/>
  <c r="I286" i="11"/>
  <c r="K286" i="11" s="1"/>
  <c r="I285" i="11"/>
  <c r="K285" i="11" s="1"/>
  <c r="I284" i="11"/>
  <c r="K284" i="11" s="1"/>
  <c r="I283" i="11"/>
  <c r="K283" i="11" s="1"/>
  <c r="I282" i="11"/>
  <c r="K282" i="11" s="1"/>
  <c r="I281" i="11"/>
  <c r="K281" i="11" s="1"/>
  <c r="I280" i="11"/>
  <c r="K280" i="11" s="1"/>
  <c r="I279" i="11"/>
  <c r="K279" i="11" s="1"/>
  <c r="I278" i="11"/>
  <c r="K278" i="11" s="1"/>
  <c r="I277" i="11"/>
  <c r="K277" i="11" s="1"/>
  <c r="I276" i="11"/>
  <c r="K276" i="11" s="1"/>
  <c r="I275" i="11"/>
  <c r="K275" i="11" s="1"/>
  <c r="I274" i="11"/>
  <c r="K274" i="11" s="1"/>
  <c r="I273" i="11"/>
  <c r="K273" i="11" s="1"/>
  <c r="I272" i="11"/>
  <c r="K272" i="11" s="1"/>
  <c r="I271" i="11"/>
  <c r="K271" i="11" s="1"/>
  <c r="I270" i="11"/>
  <c r="K270" i="11" s="1"/>
  <c r="I269" i="11"/>
  <c r="K269" i="11" s="1"/>
  <c r="I268" i="11"/>
  <c r="K268" i="11" s="1"/>
  <c r="I267" i="11"/>
  <c r="K267" i="11" s="1"/>
  <c r="I266" i="11"/>
  <c r="K266" i="11" s="1"/>
  <c r="I265" i="11"/>
  <c r="K265" i="11" s="1"/>
  <c r="I264" i="11"/>
  <c r="K264" i="11" s="1"/>
  <c r="I263" i="11"/>
  <c r="K263" i="11" s="1"/>
  <c r="I262" i="11"/>
  <c r="K262" i="11" s="1"/>
  <c r="I261" i="11"/>
  <c r="K261" i="11" s="1"/>
  <c r="I260" i="11"/>
  <c r="K260" i="11" s="1"/>
  <c r="I259" i="11"/>
  <c r="K259" i="11" s="1"/>
  <c r="I258" i="11"/>
  <c r="K258" i="11" s="1"/>
  <c r="I257" i="11"/>
  <c r="K257" i="11" s="1"/>
  <c r="I256" i="11"/>
  <c r="K256" i="11" s="1"/>
  <c r="I255" i="11"/>
  <c r="K255" i="11" s="1"/>
  <c r="I254" i="11"/>
  <c r="K254" i="11" s="1"/>
  <c r="I253" i="11"/>
  <c r="K253" i="11" s="1"/>
  <c r="I252" i="11"/>
  <c r="K252" i="11" s="1"/>
  <c r="I251" i="11"/>
  <c r="K251" i="11" s="1"/>
  <c r="I250" i="11"/>
  <c r="K250" i="11" s="1"/>
  <c r="I249" i="11"/>
  <c r="K249" i="11" s="1"/>
  <c r="I248" i="11"/>
  <c r="K248" i="11" s="1"/>
  <c r="I247" i="11"/>
  <c r="K247" i="11" s="1"/>
  <c r="I246" i="11"/>
  <c r="K246" i="11" s="1"/>
  <c r="I245" i="11"/>
  <c r="K245" i="11" s="1"/>
  <c r="I244" i="11"/>
  <c r="K244" i="11" s="1"/>
  <c r="I243" i="11"/>
  <c r="K243" i="11" s="1"/>
  <c r="I242" i="11"/>
  <c r="K242" i="11" s="1"/>
  <c r="I241" i="11"/>
  <c r="K241" i="11" s="1"/>
  <c r="I240" i="11"/>
  <c r="K240" i="11" s="1"/>
  <c r="I239" i="11"/>
  <c r="K239" i="11" s="1"/>
  <c r="I238" i="11"/>
  <c r="K238" i="11" s="1"/>
  <c r="I237" i="11"/>
  <c r="K237" i="11" s="1"/>
  <c r="I236" i="11"/>
  <c r="K236" i="11" s="1"/>
  <c r="I235" i="11"/>
  <c r="K235" i="11" s="1"/>
  <c r="I234" i="11"/>
  <c r="K234" i="11" s="1"/>
  <c r="I233" i="11"/>
  <c r="K233" i="11" s="1"/>
  <c r="I232" i="11"/>
  <c r="K232" i="11" s="1"/>
  <c r="I231" i="11"/>
  <c r="K231" i="11" s="1"/>
  <c r="I230" i="11"/>
  <c r="K230" i="11" s="1"/>
  <c r="I229" i="11"/>
  <c r="K229" i="11" s="1"/>
  <c r="I228" i="11"/>
  <c r="K228" i="11" s="1"/>
  <c r="I227" i="11"/>
  <c r="K227" i="11" s="1"/>
  <c r="I226" i="11"/>
  <c r="K226" i="11" s="1"/>
  <c r="I225" i="11"/>
  <c r="K225" i="11" s="1"/>
  <c r="I224" i="11"/>
  <c r="K224" i="11" s="1"/>
  <c r="I223" i="11"/>
  <c r="K223" i="11" s="1"/>
  <c r="I222" i="11"/>
  <c r="K222" i="11" s="1"/>
  <c r="I221" i="11"/>
  <c r="K221" i="11" s="1"/>
  <c r="I220" i="11"/>
  <c r="K220" i="11" s="1"/>
  <c r="I219" i="11"/>
  <c r="K219" i="11" s="1"/>
  <c r="I218" i="11"/>
  <c r="K218" i="11" s="1"/>
  <c r="I217" i="11"/>
  <c r="K217" i="11" s="1"/>
  <c r="I216" i="11"/>
  <c r="K216" i="11" s="1"/>
  <c r="I215" i="11"/>
  <c r="K215" i="11" s="1"/>
  <c r="I214" i="11"/>
  <c r="K214" i="11" s="1"/>
  <c r="I213" i="11"/>
  <c r="K213" i="11" s="1"/>
  <c r="I212" i="11"/>
  <c r="K212" i="11" s="1"/>
  <c r="I211" i="11"/>
  <c r="K211" i="11" s="1"/>
  <c r="I210" i="11"/>
  <c r="K210" i="11" s="1"/>
  <c r="I209" i="11"/>
  <c r="K209" i="11" s="1"/>
  <c r="I208" i="11"/>
  <c r="K208" i="11" s="1"/>
  <c r="I207" i="11"/>
  <c r="K207" i="11" s="1"/>
  <c r="I206" i="11"/>
  <c r="K206" i="11" s="1"/>
  <c r="I205" i="11"/>
  <c r="K205" i="11" s="1"/>
  <c r="I204" i="11"/>
  <c r="K204" i="11" s="1"/>
  <c r="I203" i="11"/>
  <c r="K203" i="11" s="1"/>
  <c r="I202" i="11"/>
  <c r="K202" i="11" s="1"/>
  <c r="I201" i="11"/>
  <c r="K201" i="11" s="1"/>
  <c r="I200" i="11"/>
  <c r="K200" i="11" s="1"/>
  <c r="I199" i="11"/>
  <c r="K199" i="11" s="1"/>
  <c r="I198" i="11"/>
  <c r="K198" i="11" s="1"/>
  <c r="I197" i="11"/>
  <c r="K197" i="11" s="1"/>
  <c r="I196" i="11"/>
  <c r="K196" i="11" s="1"/>
  <c r="I195" i="11"/>
  <c r="K195" i="11" s="1"/>
  <c r="H19" i="1"/>
  <c r="I19" i="1" s="1"/>
  <c r="K19" i="1" s="1"/>
  <c r="I10" i="1"/>
  <c r="K10" i="1" s="1"/>
  <c r="I7" i="1"/>
  <c r="K7" i="1" s="1"/>
  <c r="I14" i="1"/>
  <c r="K14" i="1" s="1"/>
  <c r="I16" i="1"/>
  <c r="K16" i="1" s="1"/>
  <c r="I15" i="1"/>
  <c r="K15" i="1" s="1"/>
  <c r="I18" i="1"/>
  <c r="K18" i="1" s="1"/>
  <c r="I17" i="1"/>
  <c r="K17" i="1" s="1"/>
  <c r="I8" i="1"/>
  <c r="K8" i="1" s="1"/>
  <c r="I9" i="1"/>
  <c r="K9" i="1" s="1"/>
  <c r="I12" i="1"/>
  <c r="K12" i="1" s="1"/>
  <c r="H22" i="5"/>
  <c r="I22" i="1"/>
  <c r="K22" i="1" s="1"/>
  <c r="I20" i="1"/>
  <c r="K20" i="1" s="1"/>
  <c r="I26" i="1"/>
  <c r="K26" i="1" s="1"/>
  <c r="I21" i="1"/>
  <c r="K21" i="1" s="1"/>
  <c r="I30" i="1"/>
  <c r="K30" i="1" s="1"/>
  <c r="I11" i="1"/>
  <c r="K11" i="1" s="1"/>
  <c r="H15" i="5"/>
  <c r="M26" i="5"/>
  <c r="M25" i="5"/>
  <c r="M24" i="5"/>
  <c r="M23" i="5"/>
  <c r="M21" i="5"/>
  <c r="M20" i="5"/>
  <c r="C40" i="5"/>
  <c r="C138" i="7"/>
  <c r="H7" i="5"/>
  <c r="C37" i="7"/>
  <c r="C36" i="7"/>
  <c r="C24" i="7"/>
  <c r="C33" i="7"/>
  <c r="C32" i="5"/>
  <c r="C22" i="7"/>
  <c r="C5" i="7"/>
  <c r="C21" i="7"/>
  <c r="C155" i="7"/>
  <c r="C30" i="5"/>
  <c r="H40" i="5"/>
  <c r="H4" i="5"/>
  <c r="H6" i="5"/>
  <c r="H8" i="5"/>
  <c r="H9" i="5"/>
  <c r="H14" i="5"/>
  <c r="H5" i="5"/>
  <c r="H13" i="5"/>
  <c r="H12" i="5"/>
  <c r="H11" i="5"/>
  <c r="H10" i="5"/>
  <c r="H16" i="5"/>
  <c r="M9" i="5"/>
  <c r="M4" i="5"/>
  <c r="M19" i="5"/>
  <c r="M15" i="5"/>
  <c r="M12" i="5"/>
  <c r="M14" i="5"/>
  <c r="M13" i="5"/>
  <c r="M8" i="5"/>
  <c r="M10" i="5"/>
  <c r="M6" i="5"/>
  <c r="M11" i="5"/>
  <c r="M5" i="5"/>
  <c r="M7" i="5"/>
  <c r="C96" i="7"/>
  <c r="C126" i="7"/>
  <c r="C125" i="7"/>
  <c r="C123" i="7"/>
  <c r="C122" i="7"/>
  <c r="C107" i="7"/>
  <c r="C106" i="7"/>
  <c r="C97" i="7"/>
  <c r="C95" i="7"/>
  <c r="C94" i="7"/>
  <c r="C93" i="7"/>
  <c r="C92" i="7"/>
  <c r="C91" i="7"/>
  <c r="C90" i="7"/>
  <c r="C89" i="7"/>
  <c r="C88" i="7"/>
  <c r="C87" i="7"/>
  <c r="C76" i="7"/>
  <c r="C75" i="7"/>
  <c r="C74" i="7"/>
  <c r="C61" i="7"/>
  <c r="C49" i="7"/>
  <c r="C48" i="7"/>
  <c r="C47" i="7"/>
  <c r="C46" i="7"/>
  <c r="C34" i="7"/>
  <c r="C35" i="7"/>
  <c r="C23" i="7"/>
  <c r="H42" i="5"/>
  <c r="H34" i="5"/>
  <c r="C24" i="5"/>
  <c r="C25" i="5"/>
  <c r="D157" i="7"/>
  <c r="E157" i="7"/>
  <c r="C156" i="7"/>
  <c r="C21" i="5"/>
  <c r="C28" i="5"/>
  <c r="C44" i="5"/>
  <c r="C33" i="5"/>
  <c r="C29" i="5"/>
  <c r="C58" i="5"/>
  <c r="C57" i="5"/>
  <c r="E108" i="7"/>
  <c r="H28" i="5"/>
  <c r="H36" i="5"/>
  <c r="H30" i="5"/>
  <c r="H39" i="5"/>
  <c r="H37" i="5"/>
  <c r="H38" i="5"/>
  <c r="H35" i="5"/>
  <c r="H41" i="5"/>
  <c r="H44" i="5"/>
  <c r="H45" i="5"/>
  <c r="H43" i="5"/>
  <c r="H29" i="5"/>
  <c r="C43" i="5"/>
  <c r="H33" i="5"/>
  <c r="H31" i="5"/>
  <c r="H27" i="5"/>
  <c r="H32" i="5"/>
  <c r="C41" i="5"/>
  <c r="C39" i="5"/>
  <c r="C45" i="5"/>
  <c r="C42" i="5"/>
  <c r="C31" i="5"/>
  <c r="C26" i="5"/>
  <c r="C23" i="5"/>
  <c r="C27" i="5"/>
  <c r="C22" i="5"/>
  <c r="C20" i="5"/>
  <c r="C18" i="5"/>
  <c r="M36" i="5"/>
  <c r="M35" i="5"/>
  <c r="M41" i="5"/>
  <c r="M40" i="5"/>
  <c r="M30" i="5"/>
  <c r="M29" i="5"/>
  <c r="M28" i="5"/>
  <c r="M27" i="5"/>
  <c r="M48" i="5"/>
  <c r="M47" i="5"/>
  <c r="M46" i="5"/>
  <c r="M45" i="5"/>
  <c r="C20" i="7"/>
  <c r="C18" i="7"/>
  <c r="C19" i="7"/>
  <c r="C60" i="7"/>
  <c r="C8" i="7"/>
  <c r="C7" i="7"/>
  <c r="C6" i="7"/>
  <c r="C4" i="7"/>
  <c r="H53" i="5"/>
  <c r="C3" i="7"/>
  <c r="H54" i="5"/>
  <c r="H52" i="5"/>
  <c r="H51" i="5"/>
  <c r="K9" i="11" l="1"/>
  <c r="K14" i="11"/>
  <c r="K10" i="11"/>
  <c r="K23" i="11"/>
  <c r="D108" i="7"/>
  <c r="C13" i="5" s="1"/>
  <c r="K16" i="11"/>
  <c r="K13" i="11"/>
  <c r="K26" i="11"/>
  <c r="K28" i="11"/>
  <c r="K22" i="11"/>
  <c r="K19" i="11"/>
  <c r="K7" i="11"/>
  <c r="D62" i="7"/>
  <c r="C12" i="5" s="1"/>
  <c r="D127" i="7"/>
  <c r="C4" i="5" s="1"/>
  <c r="E50" i="7"/>
  <c r="E77" i="7"/>
  <c r="E127" i="7"/>
  <c r="D50" i="7"/>
  <c r="C6" i="5" s="1"/>
  <c r="D77" i="7"/>
  <c r="C8" i="5" s="1"/>
  <c r="D98" i="7"/>
  <c r="C11" i="5" s="1"/>
  <c r="E98" i="7"/>
  <c r="E38" i="7"/>
  <c r="E62" i="7"/>
  <c r="S27" i="5"/>
  <c r="T19" i="5" s="1"/>
  <c r="S16" i="5"/>
  <c r="M65" i="5"/>
  <c r="N56" i="5" s="1"/>
  <c r="M37" i="5"/>
  <c r="N36" i="5" s="1"/>
  <c r="D25" i="7"/>
  <c r="C5" i="5" s="1"/>
  <c r="D38" i="7"/>
  <c r="C9" i="5" s="1"/>
  <c r="D9" i="7"/>
  <c r="C7" i="5" s="1"/>
  <c r="C77" i="7"/>
  <c r="E9" i="7"/>
  <c r="E25" i="7"/>
  <c r="C25" i="7"/>
  <c r="C9" i="7"/>
  <c r="C127" i="7"/>
  <c r="C59" i="5"/>
  <c r="D57" i="5" s="1"/>
  <c r="C62" i="7"/>
  <c r="C36" i="5"/>
  <c r="D32" i="5" s="1"/>
  <c r="C50" i="7"/>
  <c r="C108" i="7"/>
  <c r="C38" i="7"/>
  <c r="C47" i="5"/>
  <c r="D40" i="5" s="1"/>
  <c r="C51" i="5"/>
  <c r="S37" i="5"/>
  <c r="S31" i="5"/>
  <c r="S36" i="5"/>
  <c r="S30" i="5"/>
  <c r="S32" i="5"/>
  <c r="C53" i="5"/>
  <c r="C52" i="5"/>
  <c r="S35" i="5"/>
  <c r="H48" i="5"/>
  <c r="I42" i="5" s="1"/>
  <c r="C98" i="7"/>
  <c r="H19" i="5"/>
  <c r="I6" i="5" s="1"/>
  <c r="H55" i="5"/>
  <c r="I51" i="5" s="1"/>
  <c r="M16" i="5"/>
  <c r="N5" i="5" s="1"/>
  <c r="H24" i="5"/>
  <c r="M32" i="5"/>
  <c r="N30" i="5" s="1"/>
  <c r="C157" i="7"/>
  <c r="M49" i="5"/>
  <c r="N46" i="5" s="1"/>
  <c r="M42" i="5"/>
  <c r="N41" i="5" s="1"/>
  <c r="T22" i="5" l="1"/>
  <c r="D28" i="5"/>
  <c r="T26" i="5"/>
  <c r="D30" i="5"/>
  <c r="D19" i="5"/>
  <c r="D33" i="5"/>
  <c r="D31" i="5"/>
  <c r="N60" i="5"/>
  <c r="D22" i="5"/>
  <c r="N52" i="5"/>
  <c r="D20" i="5"/>
  <c r="T20" i="5"/>
  <c r="T23" i="5"/>
  <c r="T21" i="5"/>
  <c r="T24" i="5"/>
  <c r="D24" i="5"/>
  <c r="D18" i="5"/>
  <c r="E18" i="5" s="1"/>
  <c r="T25" i="5"/>
  <c r="D44" i="5"/>
  <c r="D41" i="5"/>
  <c r="D45" i="5"/>
  <c r="N57" i="5"/>
  <c r="N53" i="5"/>
  <c r="N54" i="5"/>
  <c r="N58" i="5"/>
  <c r="N61" i="5"/>
  <c r="N62" i="5"/>
  <c r="D27" i="5"/>
  <c r="D29" i="5"/>
  <c r="D25" i="5"/>
  <c r="N55" i="5"/>
  <c r="N63" i="5"/>
  <c r="N59" i="5"/>
  <c r="N35" i="5"/>
  <c r="O35" i="5" s="1"/>
  <c r="O36" i="5" s="1"/>
  <c r="D39" i="5"/>
  <c r="E39" i="5" s="1"/>
  <c r="E40" i="5" s="1"/>
  <c r="D21" i="5"/>
  <c r="D23" i="5"/>
  <c r="D26" i="5"/>
  <c r="C16" i="5"/>
  <c r="D6" i="5" s="1"/>
  <c r="I28" i="5"/>
  <c r="I45" i="5"/>
  <c r="I36" i="5"/>
  <c r="N4" i="7"/>
  <c r="I10" i="5"/>
  <c r="I4" i="5"/>
  <c r="J4" i="5" s="1"/>
  <c r="N40" i="5"/>
  <c r="O40" i="5" s="1"/>
  <c r="O41" i="5" s="1"/>
  <c r="I53" i="5"/>
  <c r="I52" i="5"/>
  <c r="N47" i="5"/>
  <c r="N3" i="7"/>
  <c r="D43" i="5"/>
  <c r="N6" i="7"/>
  <c r="E57" i="5"/>
  <c r="N11" i="5"/>
  <c r="N48" i="5"/>
  <c r="N13" i="5"/>
  <c r="I11" i="5"/>
  <c r="N9" i="5"/>
  <c r="N4" i="5"/>
  <c r="O4" i="5" s="1"/>
  <c r="O5" i="5" s="1"/>
  <c r="D42" i="5"/>
  <c r="D58" i="5"/>
  <c r="D59" i="5" s="1"/>
  <c r="C54" i="5"/>
  <c r="D51" i="5" s="1"/>
  <c r="N45" i="5"/>
  <c r="I7" i="5"/>
  <c r="I31" i="5"/>
  <c r="I16" i="5"/>
  <c r="I44" i="5"/>
  <c r="I27" i="5"/>
  <c r="I54" i="5"/>
  <c r="I39" i="5"/>
  <c r="S38" i="5"/>
  <c r="T35" i="5" s="1"/>
  <c r="S33" i="5"/>
  <c r="T32" i="5" s="1"/>
  <c r="I9" i="5"/>
  <c r="I14" i="5"/>
  <c r="I15" i="5"/>
  <c r="I8" i="5"/>
  <c r="I12" i="5"/>
  <c r="I43" i="5"/>
  <c r="N19" i="5"/>
  <c r="I5" i="5"/>
  <c r="I30" i="5"/>
  <c r="N27" i="5"/>
  <c r="N28" i="5"/>
  <c r="N14" i="5"/>
  <c r="N15" i="5"/>
  <c r="N8" i="5"/>
  <c r="N6" i="5"/>
  <c r="N10" i="5"/>
  <c r="N12" i="5"/>
  <c r="N7" i="5"/>
  <c r="N23" i="5"/>
  <c r="J51" i="5"/>
  <c r="I32" i="5"/>
  <c r="I38" i="5"/>
  <c r="I41" i="5"/>
  <c r="I35" i="5"/>
  <c r="I37" i="5"/>
  <c r="I40" i="5"/>
  <c r="I33" i="5"/>
  <c r="I34" i="5"/>
  <c r="I29" i="5"/>
  <c r="N25" i="5"/>
  <c r="N29" i="5"/>
  <c r="N22" i="5"/>
  <c r="N20" i="5"/>
  <c r="N24" i="5"/>
  <c r="N26" i="5"/>
  <c r="N21" i="5"/>
  <c r="I13" i="5"/>
  <c r="E19" i="5" l="1"/>
  <c r="E20" i="5" s="1"/>
  <c r="E21" i="5" s="1"/>
  <c r="E22" i="5" s="1"/>
  <c r="E23" i="5" s="1"/>
  <c r="E24" i="5" s="1"/>
  <c r="E25" i="5" s="1"/>
  <c r="E26" i="5" s="1"/>
  <c r="E27" i="5" s="1"/>
  <c r="E28" i="5" s="1"/>
  <c r="E29" i="5" s="1"/>
  <c r="E30" i="5" s="1"/>
  <c r="E31" i="5" s="1"/>
  <c r="E32" i="5" s="1"/>
  <c r="E33" i="5" s="1"/>
  <c r="N42" i="5"/>
  <c r="E41" i="5"/>
  <c r="E42" i="5" s="1"/>
  <c r="E43" i="5" s="1"/>
  <c r="E44" i="5" s="1"/>
  <c r="E45" i="5" s="1"/>
  <c r="N65" i="5"/>
  <c r="D14" i="5"/>
  <c r="D36" i="5"/>
  <c r="N7" i="7"/>
  <c r="D11" i="5"/>
  <c r="D7" i="5"/>
  <c r="D10" i="5"/>
  <c r="D5" i="5"/>
  <c r="N37" i="5"/>
  <c r="D8" i="5"/>
  <c r="D13" i="5"/>
  <c r="D9" i="5"/>
  <c r="D4" i="5"/>
  <c r="E4" i="5" s="1"/>
  <c r="D12" i="5"/>
  <c r="D47" i="5"/>
  <c r="I55" i="5"/>
  <c r="J52" i="5"/>
  <c r="J53" i="5" s="1"/>
  <c r="J54" i="5" s="1"/>
  <c r="O6" i="5"/>
  <c r="O7" i="5" s="1"/>
  <c r="O8" i="5" s="1"/>
  <c r="O9" i="5" s="1"/>
  <c r="O10" i="5" s="1"/>
  <c r="O11" i="5" s="1"/>
  <c r="O12" i="5" s="1"/>
  <c r="O13" i="5" s="1"/>
  <c r="O14" i="5" s="1"/>
  <c r="O15" i="5" s="1"/>
  <c r="N16" i="5"/>
  <c r="I19" i="5"/>
  <c r="E58" i="5"/>
  <c r="T37" i="5"/>
  <c r="D53" i="5"/>
  <c r="T31" i="5"/>
  <c r="D52" i="5"/>
  <c r="T36" i="5"/>
  <c r="N32" i="5"/>
  <c r="T30" i="5"/>
  <c r="I48" i="5"/>
  <c r="J27" i="5"/>
  <c r="J28" i="5" s="1"/>
  <c r="J29" i="5" s="1"/>
  <c r="J30" i="5" s="1"/>
  <c r="J31" i="5" s="1"/>
  <c r="J32" i="5" s="1"/>
  <c r="J33" i="5" s="1"/>
  <c r="J34" i="5" s="1"/>
  <c r="J35" i="5" s="1"/>
  <c r="J36" i="5" s="1"/>
  <c r="J37" i="5" s="1"/>
  <c r="J38" i="5" s="1"/>
  <c r="J39" i="5" s="1"/>
  <c r="J40" i="5" s="1"/>
  <c r="J41" i="5" s="1"/>
  <c r="J42" i="5" s="1"/>
  <c r="J43" i="5" s="1"/>
  <c r="J44" i="5" s="1"/>
  <c r="J45" i="5" s="1"/>
  <c r="N49" i="5"/>
  <c r="O45" i="5"/>
  <c r="O46" i="5" s="1"/>
  <c r="O47" i="5" s="1"/>
  <c r="O48" i="5" s="1"/>
  <c r="E51" i="5"/>
  <c r="J5" i="5"/>
  <c r="J6" i="5" s="1"/>
  <c r="J7" i="5" s="1"/>
  <c r="J8" i="5" s="1"/>
  <c r="J9" i="5" s="1"/>
  <c r="J10" i="5" s="1"/>
  <c r="J11" i="5" s="1"/>
  <c r="J12" i="5" s="1"/>
  <c r="J13" i="5" s="1"/>
  <c r="J14" i="5" s="1"/>
  <c r="J15" i="5" s="1"/>
  <c r="J16" i="5" s="1"/>
  <c r="E5" i="5" l="1"/>
  <c r="E6" i="5" s="1"/>
  <c r="E7" i="5" s="1"/>
  <c r="E8" i="5" s="1"/>
  <c r="E9" i="5" s="1"/>
  <c r="E10" i="5" s="1"/>
  <c r="E11" i="5" s="1"/>
  <c r="E12" i="5" s="1"/>
  <c r="E13" i="5" s="1"/>
  <c r="E14" i="5" s="1"/>
  <c r="E52" i="5"/>
  <c r="E53" i="5" s="1"/>
  <c r="D16" i="5"/>
  <c r="D54" i="5"/>
  <c r="T12" i="5" l="1"/>
  <c r="T5" i="5"/>
  <c r="T14" i="5"/>
  <c r="T6" i="5"/>
  <c r="T8" i="5"/>
  <c r="T9" i="5"/>
  <c r="T11" i="5"/>
  <c r="T13" i="5"/>
  <c r="T4" i="5"/>
  <c r="T7" i="5"/>
  <c r="T15" i="5"/>
  <c r="T1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Melissa Encina</author>
    <author>Nicolas Gomez</author>
    <author>tc={95BCF80C-0AC7-47F4-88D3-DA805DD14BF0}</author>
    <author>Alan Carrasco</author>
  </authors>
  <commentList>
    <comment ref="AQ12" authorId="0" shapeId="0" xr:uid="{7D56CB7D-B014-47F8-8B4A-DE610D7B8C08}">
      <text>
        <r>
          <rPr>
            <b/>
            <sz val="9"/>
            <color indexed="81"/>
            <rFont val="Tahoma"/>
            <family val="2"/>
          </rPr>
          <t>Melissa Encina:</t>
        </r>
        <r>
          <rPr>
            <sz val="9"/>
            <color indexed="81"/>
            <rFont val="Tahoma"/>
            <family val="2"/>
          </rPr>
          <t xml:space="preserve">
Condición: hielo
</t>
        </r>
      </text>
    </comment>
    <comment ref="AQ14" authorId="0" shapeId="0" xr:uid="{A865E9EA-0B4C-4D7D-A32D-EB6DA3F27B5A}">
      <text>
        <r>
          <rPr>
            <b/>
            <sz val="9"/>
            <color indexed="81"/>
            <rFont val="Tahoma"/>
            <family val="2"/>
          </rPr>
          <t>Melissa Encina:</t>
        </r>
        <r>
          <rPr>
            <sz val="9"/>
            <color indexed="81"/>
            <rFont val="Tahoma"/>
            <family val="2"/>
          </rPr>
          <t xml:space="preserve">
Condición: escalera con tierra</t>
        </r>
      </text>
    </comment>
    <comment ref="AQ15" authorId="0" shapeId="0" xr:uid="{4A5D1DB1-97EA-49F2-866E-4D709B943EEB}">
      <text>
        <r>
          <rPr>
            <b/>
            <sz val="9"/>
            <color indexed="81"/>
            <rFont val="Tahoma"/>
            <family val="2"/>
          </rPr>
          <t>Melissa Encina:</t>
        </r>
        <r>
          <rPr>
            <sz val="9"/>
            <color indexed="81"/>
            <rFont val="Tahoma"/>
            <family val="2"/>
          </rPr>
          <t xml:space="preserve">
Condición: piso resbaladizo</t>
        </r>
      </text>
    </comment>
    <comment ref="AQ19" authorId="0" shapeId="0" xr:uid="{2961A4A1-DF6D-4B86-B6CD-4E3F0B46A560}">
      <text>
        <r>
          <rPr>
            <b/>
            <sz val="9"/>
            <color indexed="81"/>
            <rFont val="Tahoma"/>
            <family val="2"/>
          </rPr>
          <t>Melissa Encina:</t>
        </r>
        <r>
          <rPr>
            <sz val="9"/>
            <color indexed="81"/>
            <rFont val="Tahoma"/>
            <family val="2"/>
          </rPr>
          <t xml:space="preserve">
Condición: piso resbaladizo</t>
        </r>
      </text>
    </comment>
    <comment ref="AQ24" authorId="0" shapeId="0" xr:uid="{7CA23AF3-FE66-4660-84A2-B203668A4BE1}">
      <text>
        <r>
          <rPr>
            <b/>
            <sz val="9"/>
            <color indexed="81"/>
            <rFont val="Tahoma"/>
            <family val="2"/>
          </rPr>
          <t>Melissa Encina:</t>
        </r>
        <r>
          <rPr>
            <sz val="9"/>
            <color indexed="81"/>
            <rFont val="Tahoma"/>
            <family val="2"/>
          </rPr>
          <t xml:space="preserve">
Condición: materia prima
</t>
        </r>
      </text>
    </comment>
    <comment ref="AQ25" authorId="0" shapeId="0" xr:uid="{D5CAC793-9CBB-4476-91F9-963EF283FC91}">
      <text>
        <r>
          <rPr>
            <b/>
            <sz val="9"/>
            <color indexed="81"/>
            <rFont val="Tahoma"/>
            <family val="2"/>
          </rPr>
          <t>Melissa Encina:</t>
        </r>
        <r>
          <rPr>
            <sz val="9"/>
            <color indexed="81"/>
            <rFont val="Tahoma"/>
            <family val="2"/>
          </rPr>
          <t xml:space="preserve">
Condición:ganchos desgastados.
</t>
        </r>
      </text>
    </comment>
    <comment ref="AQ32" authorId="0" shapeId="0" xr:uid="{89109B49-40E8-430B-872B-B04561E27DAF}">
      <text>
        <r>
          <rPr>
            <b/>
            <sz val="9"/>
            <color indexed="81"/>
            <rFont val="Tahoma"/>
            <family val="2"/>
          </rPr>
          <t>Melissa Encina:</t>
        </r>
        <r>
          <rPr>
            <sz val="9"/>
            <color indexed="81"/>
            <rFont val="Tahoma"/>
            <family val="2"/>
          </rPr>
          <t xml:space="preserve">
Condicion: Producto en superficie de trabajo</t>
        </r>
      </text>
    </comment>
    <comment ref="AQ38" authorId="0" shapeId="0" xr:uid="{C855902D-6764-4D36-9EC7-2CC61750C875}">
      <text>
        <r>
          <rPr>
            <b/>
            <sz val="9"/>
            <color indexed="81"/>
            <rFont val="Tahoma"/>
            <family val="2"/>
          </rPr>
          <t>Melissa Encina:</t>
        </r>
        <r>
          <rPr>
            <sz val="9"/>
            <color indexed="81"/>
            <rFont val="Tahoma"/>
            <family val="2"/>
          </rPr>
          <t xml:space="preserve">
Condicion: línea de espurgo
</t>
        </r>
      </text>
    </comment>
    <comment ref="AQ43" authorId="0" shapeId="0" xr:uid="{6FC41206-E95F-4866-ACE5-3902B450F80A}">
      <text>
        <r>
          <rPr>
            <b/>
            <sz val="9"/>
            <color indexed="81"/>
            <rFont val="Tahoma"/>
            <family val="2"/>
          </rPr>
          <t>Melissa Encina:</t>
        </r>
        <r>
          <rPr>
            <sz val="9"/>
            <color indexed="81"/>
            <rFont val="Tahoma"/>
            <family val="2"/>
          </rPr>
          <t xml:space="preserve">
Condicion: Puerta principal de filtro (vai ven)</t>
        </r>
      </text>
    </comment>
    <comment ref="AQ45" authorId="0" shapeId="0" xr:uid="{021A9B8E-9906-4E5E-8DA8-722A97F9942A}">
      <text>
        <r>
          <rPr>
            <b/>
            <sz val="9"/>
            <color indexed="81"/>
            <rFont val="Tahoma"/>
            <family val="2"/>
          </rPr>
          <t>Melissa Encina:</t>
        </r>
        <r>
          <rPr>
            <sz val="9"/>
            <color indexed="81"/>
            <rFont val="Tahoma"/>
            <family val="2"/>
          </rPr>
          <t xml:space="preserve">
Condición:ganchos desgastados.
</t>
        </r>
      </text>
    </comment>
    <comment ref="AQ53" authorId="0" shapeId="0" xr:uid="{5DD69C92-9A6D-48F1-B312-C20B4D567573}">
      <text>
        <r>
          <rPr>
            <b/>
            <sz val="9"/>
            <color indexed="81"/>
            <rFont val="Tahoma"/>
            <family val="2"/>
          </rPr>
          <t>Melissa Encina:</t>
        </r>
        <r>
          <rPr>
            <sz val="9"/>
            <color indexed="81"/>
            <rFont val="Tahoma"/>
            <family val="2"/>
          </rPr>
          <t xml:space="preserve">
Condicion: Falla de infraestructura de trabajo (llave)
</t>
        </r>
      </text>
    </comment>
    <comment ref="AQ59" authorId="0" shapeId="0" xr:uid="{3954CA71-D64D-4B1C-9CF2-052FCF3E0424}">
      <text>
        <r>
          <rPr>
            <b/>
            <sz val="9"/>
            <color indexed="81"/>
            <rFont val="Tahoma"/>
            <family val="2"/>
          </rPr>
          <t>Melissa Encina:</t>
        </r>
        <r>
          <rPr>
            <sz val="9"/>
            <color indexed="81"/>
            <rFont val="Tahoma"/>
            <family val="2"/>
          </rPr>
          <t xml:space="preserve">
Condición: piso con hielo
</t>
        </r>
      </text>
    </comment>
    <comment ref="AQ63" authorId="0" shapeId="0" xr:uid="{3BAB7DDB-3B0A-44B2-9D40-70C07CB67873}">
      <text>
        <r>
          <rPr>
            <b/>
            <sz val="9"/>
            <color indexed="81"/>
            <rFont val="Tahoma"/>
            <family val="2"/>
          </rPr>
          <t>Melissa Encina:</t>
        </r>
        <r>
          <rPr>
            <sz val="9"/>
            <color indexed="81"/>
            <rFont val="Tahoma"/>
            <family val="2"/>
          </rPr>
          <t xml:space="preserve">
Condición: hielo</t>
        </r>
      </text>
    </comment>
    <comment ref="AQ64" authorId="0" shapeId="0" xr:uid="{B4E5AA5F-99CA-41B4-BB58-AF8C81847E9D}">
      <text>
        <r>
          <rPr>
            <b/>
            <sz val="9"/>
            <color indexed="81"/>
            <rFont val="Tahoma"/>
            <family val="2"/>
          </rPr>
          <t>Melissa Encina:</t>
        </r>
        <r>
          <rPr>
            <sz val="9"/>
            <color indexed="81"/>
            <rFont val="Tahoma"/>
            <family val="2"/>
          </rPr>
          <t xml:space="preserve">
Condicion: limpieza o prolijado de pechugas</t>
        </r>
      </text>
    </comment>
    <comment ref="AC65" authorId="1" shapeId="0" xr:uid="{A9FD75C6-CCC6-4850-A662-00E8209349E3}">
      <text>
        <r>
          <rPr>
            <b/>
            <sz val="9"/>
            <color indexed="81"/>
            <rFont val="Tahoma"/>
            <family val="2"/>
          </rPr>
          <t>Nicolas Gomez:</t>
        </r>
        <r>
          <rPr>
            <sz val="9"/>
            <color indexed="81"/>
            <rFont val="Tahoma"/>
            <family val="2"/>
          </rPr>
          <t xml:space="preserve">
- NC Enviada.
- NC Respondida c/evidencia. </t>
        </r>
      </text>
    </comment>
    <comment ref="AQ68" authorId="0" shapeId="0" xr:uid="{6CF7C222-D736-42B6-BB26-20A35B6EB3D3}">
      <text>
        <r>
          <rPr>
            <b/>
            <sz val="9"/>
            <color indexed="81"/>
            <rFont val="Tahoma"/>
            <family val="2"/>
          </rPr>
          <t>Melissa Encina:</t>
        </r>
        <r>
          <rPr>
            <sz val="9"/>
            <color indexed="81"/>
            <rFont val="Tahoma"/>
            <family val="2"/>
          </rPr>
          <t xml:space="preserve">
Condicion: limpieza o prolijado de pechugas</t>
        </r>
      </text>
    </comment>
    <comment ref="AQ70" authorId="0" shapeId="0" xr:uid="{C61200F7-75B8-4C2C-94A8-F6366CDB2BA8}">
      <text>
        <r>
          <rPr>
            <b/>
            <sz val="9"/>
            <color indexed="81"/>
            <rFont val="Tahoma"/>
            <family val="2"/>
          </rPr>
          <t>Melissa Encina:</t>
        </r>
        <r>
          <rPr>
            <sz val="9"/>
            <color indexed="81"/>
            <rFont val="Tahoma"/>
            <family val="2"/>
          </rPr>
          <t xml:space="preserve">
Condición: agua en pasillo
</t>
        </r>
      </text>
    </comment>
    <comment ref="AQ73" authorId="0" shapeId="0" xr:uid="{367B7C2D-92D6-405A-ADA0-D5924AF40A5E}">
      <text>
        <r>
          <rPr>
            <b/>
            <sz val="9"/>
            <color indexed="81"/>
            <rFont val="Tahoma"/>
            <family val="2"/>
          </rPr>
          <t>Melissa Encina:</t>
        </r>
        <r>
          <rPr>
            <sz val="9"/>
            <color indexed="81"/>
            <rFont val="Tahoma"/>
            <family val="2"/>
          </rPr>
          <t xml:space="preserve">
Condicion: colgar pechugas
</t>
        </r>
      </text>
    </comment>
    <comment ref="AQ75" authorId="0" shapeId="0" xr:uid="{B3883CBE-8E66-4782-AC52-F93DF2681CCD}">
      <text>
        <r>
          <rPr>
            <b/>
            <sz val="9"/>
            <color indexed="81"/>
            <rFont val="Tahoma"/>
            <family val="2"/>
          </rPr>
          <t>Melissa Encina:</t>
        </r>
        <r>
          <rPr>
            <sz val="9"/>
            <color indexed="81"/>
            <rFont val="Tahoma"/>
            <family val="2"/>
          </rPr>
          <t xml:space="preserve">
Condición: Piso Resbaladizo</t>
        </r>
      </text>
    </comment>
    <comment ref="AQ79" authorId="0" shapeId="0" xr:uid="{39C6A45D-C559-40A1-B89F-D6822C0FC3B8}">
      <text>
        <r>
          <rPr>
            <b/>
            <sz val="9"/>
            <color indexed="81"/>
            <rFont val="Tahoma"/>
            <family val="2"/>
          </rPr>
          <t>Melissa Encina:</t>
        </r>
        <r>
          <rPr>
            <sz val="9"/>
            <color indexed="81"/>
            <rFont val="Tahoma"/>
            <family val="2"/>
          </rPr>
          <t xml:space="preserve">
Condicion: limpieza o prolijado de pechugas</t>
        </r>
      </text>
    </comment>
    <comment ref="AQ80" authorId="0" shapeId="0" xr:uid="{891382D4-7267-46E0-92BF-29E42C0A6EA0}">
      <text>
        <r>
          <rPr>
            <b/>
            <sz val="9"/>
            <color indexed="81"/>
            <rFont val="Tahoma"/>
            <family val="2"/>
          </rPr>
          <t>Melissa Encina:</t>
        </r>
        <r>
          <rPr>
            <sz val="9"/>
            <color indexed="81"/>
            <rFont val="Tahoma"/>
            <family val="2"/>
          </rPr>
          <t xml:space="preserve">
Condición: Producto en elpiso
</t>
        </r>
      </text>
    </comment>
    <comment ref="AC85" authorId="1" shapeId="0" xr:uid="{B9235F2F-4D93-40D4-8396-B1BC393F9645}">
      <text>
        <r>
          <rPr>
            <b/>
            <sz val="9"/>
            <color indexed="81"/>
            <rFont val="Tahoma"/>
            <family val="2"/>
          </rPr>
          <t>Nicolas Gomez:</t>
        </r>
        <r>
          <rPr>
            <sz val="9"/>
            <color indexed="81"/>
            <rFont val="Tahoma"/>
            <family val="2"/>
          </rPr>
          <t xml:space="preserve">
NC ENVIA
</t>
        </r>
      </text>
    </comment>
    <comment ref="AC86" authorId="1" shapeId="0" xr:uid="{D8B85AA1-9F71-4D9C-A0ED-889A0F411128}">
      <text>
        <r>
          <rPr>
            <b/>
            <sz val="9"/>
            <color indexed="81"/>
            <rFont val="Tahoma"/>
            <family val="2"/>
          </rPr>
          <t>Nicolas Gomez:</t>
        </r>
        <r>
          <rPr>
            <sz val="9"/>
            <color indexed="81"/>
            <rFont val="Tahoma"/>
            <family val="2"/>
          </rPr>
          <t xml:space="preserve">
- NC Enviada.
- NC Respondida
Falta evidencia. </t>
        </r>
      </text>
    </comment>
    <comment ref="AQ92" authorId="0" shapeId="0" xr:uid="{C4910CEF-272B-4673-89B4-4B4413312DED}">
      <text>
        <r>
          <rPr>
            <b/>
            <sz val="9"/>
            <color indexed="81"/>
            <rFont val="Tahoma"/>
            <family val="2"/>
          </rPr>
          <t>Melissa Encina:</t>
        </r>
        <r>
          <rPr>
            <sz val="9"/>
            <color indexed="81"/>
            <rFont val="Tahoma"/>
            <family val="2"/>
          </rPr>
          <t xml:space="preserve">
Condición: piso con hielo
</t>
        </r>
      </text>
    </comment>
    <comment ref="AQ95" authorId="0" shapeId="0" xr:uid="{37C3B7FC-502E-43AC-B6A2-1FB24B78711B}">
      <text>
        <r>
          <rPr>
            <b/>
            <sz val="9"/>
            <color indexed="81"/>
            <rFont val="Tahoma"/>
            <family val="2"/>
          </rPr>
          <t>Melissa Encina:</t>
        </r>
        <r>
          <rPr>
            <sz val="9"/>
            <color indexed="81"/>
            <rFont val="Tahoma"/>
            <family val="2"/>
          </rPr>
          <t xml:space="preserve">
Condicion: Falla de infraestructura de trabajo (llave)
</t>
        </r>
      </text>
    </comment>
    <comment ref="AC96" authorId="1" shapeId="0" xr:uid="{A52990DF-FEF8-4E54-8BD7-93AF3CC0B287}">
      <text>
        <r>
          <rPr>
            <b/>
            <sz val="9"/>
            <color indexed="81"/>
            <rFont val="Tahoma"/>
            <family val="2"/>
          </rPr>
          <t>Nicolas Gomez:</t>
        </r>
        <r>
          <rPr>
            <sz val="9"/>
            <color indexed="81"/>
            <rFont val="Tahoma"/>
            <family val="2"/>
          </rPr>
          <t xml:space="preserve">
NC ENVIA
</t>
        </r>
      </text>
    </comment>
    <comment ref="B121" authorId="1" shapeId="0" xr:uid="{467EF4C9-2E32-4B3A-81EF-E3A3F41BBBF2}">
      <text>
        <r>
          <rPr>
            <b/>
            <sz val="9"/>
            <color indexed="81"/>
            <rFont val="Tahoma"/>
            <family val="2"/>
          </rPr>
          <t>Nicolas Gomez:</t>
        </r>
        <r>
          <rPr>
            <sz val="9"/>
            <color indexed="81"/>
            <rFont val="Tahoma"/>
            <family val="2"/>
          </rPr>
          <t xml:space="preserve">
DEJAR PARA AGOSTO</t>
        </r>
      </text>
    </comment>
    <comment ref="Q150" authorId="2" shapeId="0" xr:uid="{95BCF80C-0AC7-47F4-88D3-DA805DD14BF0}">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EVALUAR 
</t>
      </text>
    </comment>
    <comment ref="AJ173" authorId="3" shapeId="0" xr:uid="{04D100BC-7F51-4ACD-8F0D-05D3F1C3A55D}">
      <text>
        <r>
          <rPr>
            <b/>
            <sz val="9"/>
            <color indexed="81"/>
            <rFont val="Tahoma"/>
            <family val="2"/>
          </rPr>
          <t>Alan Carrasco:</t>
        </r>
        <r>
          <rPr>
            <sz val="9"/>
            <color indexed="81"/>
            <rFont val="Tahoma"/>
            <family val="2"/>
          </rPr>
          <t xml:space="preserve">
EVALUAR "T. 
ESTREMAS"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Nicolas Gomez</author>
    <author>Alan Carrasco</author>
  </authors>
  <commentList>
    <comment ref="B110" authorId="0" shapeId="0" xr:uid="{F2541A77-D9D9-4CE1-917D-210D3564039A}">
      <text>
        <r>
          <rPr>
            <b/>
            <sz val="9"/>
            <color indexed="81"/>
            <rFont val="Tahoma"/>
            <family val="2"/>
          </rPr>
          <t>Nicolas Gomez:</t>
        </r>
        <r>
          <rPr>
            <sz val="9"/>
            <color indexed="81"/>
            <rFont val="Tahoma"/>
            <family val="2"/>
          </rPr>
          <t xml:space="preserve">
DEJAR PARA AGOSTO</t>
        </r>
      </text>
    </comment>
    <comment ref="AC154" authorId="1" shapeId="0" xr:uid="{01EE61BC-4A65-4262-AF97-C69076825CB7}">
      <text>
        <r>
          <rPr>
            <b/>
            <sz val="9"/>
            <color indexed="81"/>
            <rFont val="Tahoma"/>
            <family val="2"/>
          </rPr>
          <t>Alan Carrasco:</t>
        </r>
        <r>
          <rPr>
            <sz val="9"/>
            <color indexed="81"/>
            <rFont val="Tahoma"/>
            <family val="2"/>
          </rPr>
          <t xml:space="preserve">
EVALUAR "T. 
ESTREMAS"</t>
        </r>
      </text>
    </comment>
  </commentList>
</comments>
</file>

<file path=xl/sharedStrings.xml><?xml version="1.0" encoding="utf-8"?>
<sst xmlns="http://schemas.openxmlformats.org/spreadsheetml/2006/main" count="13665" uniqueCount="1786">
  <si>
    <t>FORMATO CONSOLIDADO DE INCIDENTES</t>
  </si>
  <si>
    <t>AÑO</t>
  </si>
  <si>
    <t>MES</t>
  </si>
  <si>
    <t>PLANTA</t>
  </si>
  <si>
    <t>APELLIDOS</t>
  </si>
  <si>
    <t>NOMBRE</t>
  </si>
  <si>
    <t>GENERO</t>
  </si>
  <si>
    <t>RUT</t>
  </si>
  <si>
    <t>FECHA CONTRATO</t>
  </si>
  <si>
    <t>MESES INTERNO</t>
  </si>
  <si>
    <t>FECHA INCCIDENTE</t>
  </si>
  <si>
    <t>ANTIGÜEDAD</t>
  </si>
  <si>
    <t>FECHA INGRESO MUTUALIDAD</t>
  </si>
  <si>
    <t>FECHA ALTA</t>
  </si>
  <si>
    <t>REINGRESO</t>
  </si>
  <si>
    <t>DP</t>
  </si>
  <si>
    <t>CLASIF ACC</t>
  </si>
  <si>
    <t>POTENCIAL
GRAVE - FATAL</t>
  </si>
  <si>
    <t>CLASIFICACION LGF</t>
  </si>
  <si>
    <t>AREA</t>
  </si>
  <si>
    <t>SECCION</t>
  </si>
  <si>
    <t>CARGO</t>
  </si>
  <si>
    <t>LUGAR ACC</t>
  </si>
  <si>
    <t>MAQUINA, EQUIPO Y HERRAMIENTAS</t>
  </si>
  <si>
    <t>TURNO</t>
  </si>
  <si>
    <t>HORA</t>
  </si>
  <si>
    <t>DIA</t>
  </si>
  <si>
    <t>SEMANA</t>
  </si>
  <si>
    <t>ADEXUS</t>
  </si>
  <si>
    <t>NC</t>
  </si>
  <si>
    <t>JEFE AREA</t>
  </si>
  <si>
    <t>SUPERVISOR</t>
  </si>
  <si>
    <t>EDAD</t>
  </si>
  <si>
    <t>AGENTE ACC</t>
  </si>
  <si>
    <t>PARTE AFECTADA</t>
  </si>
  <si>
    <t xml:space="preserve">NATURALEZA DE LA LESION </t>
  </si>
  <si>
    <t>TIPO ACCIDENTE</t>
  </si>
  <si>
    <t>DESCRIPCION DEL EVENTO (Ejemplo: colaboradora de TPO sufrió contusión (lesión) en el gluteo izquierdo (parte afectada) por caída mismo nivel (tipo de accidente), al resbalar en el piso (agente), en cámara 208 (lugar del accidente), mientras pegaba etiquetas (fuente).</t>
  </si>
  <si>
    <t>ACCION - CONDICION</t>
  </si>
  <si>
    <t>TRABAJO HABITUAL</t>
  </si>
  <si>
    <t>DERIVACION ACHS</t>
  </si>
  <si>
    <t>EXPERTO DE TURNO</t>
  </si>
  <si>
    <t>Atencion SPA</t>
  </si>
  <si>
    <t>FUENTES (TAREA)</t>
  </si>
  <si>
    <t>ENERO</t>
  </si>
  <si>
    <t>EL PAICO</t>
  </si>
  <si>
    <t>VERA CATALAN</t>
  </si>
  <si>
    <t xml:space="preserve">IVAN </t>
  </si>
  <si>
    <t>MASCULINO</t>
  </si>
  <si>
    <t xml:space="preserve">18488665-0 </t>
  </si>
  <si>
    <t>N/A</t>
  </si>
  <si>
    <t>STP</t>
  </si>
  <si>
    <t>BODEGA</t>
  </si>
  <si>
    <t>OPERARIO</t>
  </si>
  <si>
    <t>MAÑANA</t>
  </si>
  <si>
    <t>MIERCOLES</t>
  </si>
  <si>
    <t>SEMANA 3</t>
  </si>
  <si>
    <t>BORIS PONCE</t>
  </si>
  <si>
    <t>VICTORIA MILLANERS</t>
  </si>
  <si>
    <t>Materiales</t>
  </si>
  <si>
    <t>Manos / dedos</t>
  </si>
  <si>
    <t>Otros</t>
  </si>
  <si>
    <t>Sobreesfuerzo</t>
  </si>
  <si>
    <t xml:space="preserve">TRABAJADOR SUBRE TIRON AL ESTAR CORTANDO LAS AMARRAS (VARIAS) DEL PALLET Y AL MOVERLAS SIENTE DOLOR QUE VA DESDE LA MITAD DE LA PALMA HASTA EL CODO, EL CUAL VA EN AUMENTO Y AVISA A SU SUPERVISOR </t>
  </si>
  <si>
    <t>ACCION</t>
  </si>
  <si>
    <t>SI</t>
  </si>
  <si>
    <t>NO</t>
  </si>
  <si>
    <t>ALAN CARRASCO</t>
  </si>
  <si>
    <t xml:space="preserve">GABRIELA CABEZAS </t>
  </si>
  <si>
    <t>ROCHA VARELA</t>
  </si>
  <si>
    <t>MARIANA</t>
  </si>
  <si>
    <t>FEMENINO</t>
  </si>
  <si>
    <t>15596634-3</t>
  </si>
  <si>
    <t>IQF Y CALIBRADO</t>
  </si>
  <si>
    <t>CALIBRADO</t>
  </si>
  <si>
    <t>BAÑO MUJERES</t>
  </si>
  <si>
    <t>JUEVES</t>
  </si>
  <si>
    <t>GUILLERMO NARVAEZ</t>
  </si>
  <si>
    <t>FERNANDO FUENTEALBA</t>
  </si>
  <si>
    <t>Superficies de transito</t>
  </si>
  <si>
    <t>Contusión</t>
  </si>
  <si>
    <t>Caida de mismo nivel</t>
  </si>
  <si>
    <t>COLABORADOR AL ESTAR DESPLAZANDOSE AL INTERIOR DEL BAÑO DE MUJERES, RESBALA PROBOCANDOLE UNA CONTUSION EN LA MUQUEÑA IZQUIERDA.</t>
  </si>
  <si>
    <t>NICOLAS GOMEZ</t>
  </si>
  <si>
    <t>CHRISTIAN JHONS</t>
  </si>
  <si>
    <t>QUIROZ SAAVEDRA</t>
  </si>
  <si>
    <t>JORGE</t>
  </si>
  <si>
    <t>10261648-0</t>
  </si>
  <si>
    <t>CTP</t>
  </si>
  <si>
    <t>LGF</t>
  </si>
  <si>
    <t>LGF2</t>
  </si>
  <si>
    <t>FAENACION</t>
  </si>
  <si>
    <t>CHILLER DE AGUA</t>
  </si>
  <si>
    <t xml:space="preserve">CHILLER DE AGUA </t>
  </si>
  <si>
    <t>CINTA DE TRANSPORTE</t>
  </si>
  <si>
    <t>SABADO</t>
  </si>
  <si>
    <t>NC-11-23</t>
  </si>
  <si>
    <t>NICOLAS MOYANO</t>
  </si>
  <si>
    <t>ERWIN GATICA</t>
  </si>
  <si>
    <t>Maquinarias</t>
  </si>
  <si>
    <t>Atrición</t>
  </si>
  <si>
    <t>Atrapamiento</t>
  </si>
  <si>
    <t>TRABAJADOR EL CUAL SE ENCONTRABA TRANSLANDO LA CINTA TRANSPORTADORA PARA TRABAJAR EN LA HEMBRA SE APRETA EL DEDO  PULGAR DE MANO DERECHA</t>
  </si>
  <si>
    <t>CARLOS CARTAGENA</t>
  </si>
  <si>
    <t>TRANSPORTE DE CINTA</t>
  </si>
  <si>
    <t>PEREZ CAMPOS</t>
  </si>
  <si>
    <t>CARMEN</t>
  </si>
  <si>
    <t>11608562-3</t>
  </si>
  <si>
    <t>CALIDAD</t>
  </si>
  <si>
    <t>SANGRADO DE POLLOS</t>
  </si>
  <si>
    <t>SALA DE SANGRADO</t>
  </si>
  <si>
    <t>VIERNES</t>
  </si>
  <si>
    <t>SEMANA 2</t>
  </si>
  <si>
    <t>JAIME JORQUERA</t>
  </si>
  <si>
    <t>HECNIMAR URDANETA</t>
  </si>
  <si>
    <t>Infraestructura</t>
  </si>
  <si>
    <t>Contacto con cuerpo punzante</t>
  </si>
  <si>
    <t>TRABAJADORA SE ENCONTRABA REALIZANDO INSPECCION DE ASEO PREOPERACIONAL EN SALA DE SANGRADO, AL MOMENTO DE PASAR MANO POR GUIAS SE ENTIERRA UNA ESCIRLA DE METAL EN DEDO ANULAR EL CUAL FUE RETIRADO AL MOMENTO</t>
  </si>
  <si>
    <t>CONDICION</t>
  </si>
  <si>
    <t>CARLOS ORELLANA</t>
  </si>
  <si>
    <t>PEÑA ASTORGA</t>
  </si>
  <si>
    <t>GUSTAVO</t>
  </si>
  <si>
    <t>17225054-8</t>
  </si>
  <si>
    <t>EVISCERADO</t>
  </si>
  <si>
    <t>LINEA DESCOLGADO DE BANDEJAS</t>
  </si>
  <si>
    <t>MARTES</t>
  </si>
  <si>
    <t>SEMANA 1</t>
  </si>
  <si>
    <t>Rostro</t>
  </si>
  <si>
    <t>Herida cortante</t>
  </si>
  <si>
    <t>Golpeado por</t>
  </si>
  <si>
    <t>ESTABA BAJANDO BANDEJA DE LINEA DE DESCOLGADO AL MOMENTO DE RETIRAR UNA BANDEJA LA QUE VENIA GOLPEA PARPADO DERECHO</t>
  </si>
  <si>
    <t>MORENO LORCA</t>
  </si>
  <si>
    <t>OSCAR</t>
  </si>
  <si>
    <t>10874086-8</t>
  </si>
  <si>
    <t>FRIGORIFICO</t>
  </si>
  <si>
    <t>EMPAQUE</t>
  </si>
  <si>
    <t>CAMARA 201 ORIENTE</t>
  </si>
  <si>
    <t>LUNES</t>
  </si>
  <si>
    <t>SEMANA 4</t>
  </si>
  <si>
    <t>NC-09-23</t>
  </si>
  <si>
    <t>FRANCISCO QUEZADA</t>
  </si>
  <si>
    <t>JUAN VILLAVICENCIO</t>
  </si>
  <si>
    <t>Superficies de trabajo</t>
  </si>
  <si>
    <t>Multiples</t>
  </si>
  <si>
    <t>caida de mismo nivel</t>
  </si>
  <si>
    <t xml:space="preserve">TRABAJADOR CUANDO SE TRANSLADABA A DEJAR INSUMOS DE TRABAJO (PISO DE ENCONTRABA CAPA DE HIELO) ESTE RESBALA CAYENDO DE ESPALDA GOLPEANDOSE LADO DERECHO A NIVEL DE LA CINTURA Y SU CODO IZQUERDO </t>
  </si>
  <si>
    <t>TRANSITO POR AREAS DE PROCESO</t>
  </si>
  <si>
    <t>MIRANDA GOMEZ</t>
  </si>
  <si>
    <t>JOSELYN</t>
  </si>
  <si>
    <t>18487450-4</t>
  </si>
  <si>
    <t>CAMARINES DE MUJER</t>
  </si>
  <si>
    <t>TARDE</t>
  </si>
  <si>
    <t>NC-10-23</t>
  </si>
  <si>
    <t>Pie</t>
  </si>
  <si>
    <t>Golpeado contra</t>
  </si>
  <si>
    <t>TRABAJADORA QUE SE ENCONTRABA CAMBIANDO SU VESTIMENTA EN CAMARINES DE MUJER SE GOLPEA DEDO MEÑIQUE DEL PIE DERECHO CON UNA SILLA DE FIERRO PRESENTE EN EL LUGAR</t>
  </si>
  <si>
    <t>CAMBIO DE ROPA EN CAMARINES</t>
  </si>
  <si>
    <t>MENDEZ DEL CASTILLO</t>
  </si>
  <si>
    <t>DANIELA</t>
  </si>
  <si>
    <t>15822820-3</t>
  </si>
  <si>
    <t>TROZADO DE POLLO</t>
  </si>
  <si>
    <t>TROZADO AUTOMATICO</t>
  </si>
  <si>
    <t>ESCALERA PRINCIPAL</t>
  </si>
  <si>
    <t>NC-04-23</t>
  </si>
  <si>
    <t>DANIEL GARRIDO</t>
  </si>
  <si>
    <t>RAMIRO RAMIREZ</t>
  </si>
  <si>
    <t>Pierna</t>
  </si>
  <si>
    <t>Torsión</t>
  </si>
  <si>
    <t>TRABAJADORA SUFRE CAIDA AL BAJAR ESCALERA PRINCIPAL, EN EL DESCANSO HABIA TIERRA , LA CUAL PISA RESBALANDOSE Y SUFRIENDO UNA HIPEREXTENSION DE RODILLA IZQUIERDA</t>
  </si>
  <si>
    <t>TRANSITO POR AREAS COMUNES</t>
  </si>
  <si>
    <t>INFANTE GUTIERREZ</t>
  </si>
  <si>
    <t>TERESA</t>
  </si>
  <si>
    <t>16795621-1</t>
  </si>
  <si>
    <t>SSGG</t>
  </si>
  <si>
    <t>SALA DE SALMUERA</t>
  </si>
  <si>
    <t xml:space="preserve">SALA DE SALMUERA </t>
  </si>
  <si>
    <t>NOCHE</t>
  </si>
  <si>
    <t>NC-03-23</t>
  </si>
  <si>
    <t>CARLOS JIMENEZ</t>
  </si>
  <si>
    <t>PATRICIO PALACIOS</t>
  </si>
  <si>
    <t>Caida de distinto nivel</t>
  </si>
  <si>
    <t>TRABAJADOR CUANDO LIMPIABA EN SALA SALMUERA SE CAE DE TARIMA GOLPEANDOSE LA RODILLA IZQUIERDA</t>
  </si>
  <si>
    <t>LIMPIEZA DE SUPERFICIE SOBRE TARIMA/ESCALERA</t>
  </si>
  <si>
    <t>HOSTIL</t>
  </si>
  <si>
    <t>SMITH</t>
  </si>
  <si>
    <t>26204649-4</t>
  </si>
  <si>
    <t>ASEO PREOPERACIONAL</t>
  </si>
  <si>
    <t>TRABAJADOR SUFRE CAIDA DE DISTINTO NIVEL AL BAJAR UNA ESCALERA EN TROZADO DE POLLO LUEGO DE FINALIZAR LA LIMPIEZA DE UN EQUIPO</t>
  </si>
  <si>
    <t>HIDALGO</t>
  </si>
  <si>
    <t>ARISLEYDA</t>
  </si>
  <si>
    <t>26622517-2</t>
  </si>
  <si>
    <t>DESHUESADO</t>
  </si>
  <si>
    <t>DESPLUMADO</t>
  </si>
  <si>
    <t>LUIS BUSTAMANTE</t>
  </si>
  <si>
    <t>TRABAJADORA AL COMENZAR SU TURNO, ORDENABA SU PUESTO DE TRABAJO CUANDO LE CAE UNA TABLA GOLPANDOLA EN DEDOS MEDIO Y ANULAR DE LA MANO IZQUERDA</t>
  </si>
  <si>
    <t>REALIZANDO LABORES DE ASEO</t>
  </si>
  <si>
    <t>GALVEZ MANZO</t>
  </si>
  <si>
    <t>DAVID</t>
  </si>
  <si>
    <t xml:space="preserve">MASCULINO </t>
  </si>
  <si>
    <t>18029574-7</t>
  </si>
  <si>
    <t>O</t>
  </si>
  <si>
    <t>FAENA</t>
  </si>
  <si>
    <t>LUIS URBINA</t>
  </si>
  <si>
    <t>COLABORADOR SUFRE CAIDA DE DISTINTO NIVEL DESDE TARIMA DE TRABAJO, CUANDO SE ENCONTRABA REALIZANDO LABORESDE ASEO PREOPERACIONAL EN LA SALA DE DESPLUMADO ENTRE DOS MAQUINAS EN LA SALA, PROPBOCANDOLE LESIONES EN COSTILLAS Y RODILLA IZQUERDA.</t>
  </si>
  <si>
    <t>SALA DE DESPLUMADO</t>
  </si>
  <si>
    <t>NC-08-23</t>
  </si>
  <si>
    <t>TRABAJADOR AL ESTAR REALIZANDO LIMPIEZA EN SALA DE DESPLUMADO CAE DESDE UNA TARIMA GOLPEANDOSE PARILLA COSTAL DERECHA Y RODILLA IZQUERDA</t>
  </si>
  <si>
    <t>FEBRERO</t>
  </si>
  <si>
    <t>ZUAZO GARAY</t>
  </si>
  <si>
    <t xml:space="preserve">ALEJANDRO </t>
  </si>
  <si>
    <t>20403022-7</t>
  </si>
  <si>
    <t>T. AUTOMATICO</t>
  </si>
  <si>
    <t>BISN DE CARCASA</t>
  </si>
  <si>
    <t>SEMANA 7</t>
  </si>
  <si>
    <t>NC-99-23</t>
  </si>
  <si>
    <t>JOSE CARVALLO</t>
  </si>
  <si>
    <t>Bins</t>
  </si>
  <si>
    <t>COLABORADOR AL RETIRAR BINS DE CARCASAS PARA SACARA BADEJAS, EL BINS SE DEVUELVE Y PROBOCA EL APICIONAMIENTO CONTRA LA ESTRUCTURA DE LA CINTA, PROBOCANDO UNA CONTUSION EN MANO DERECHA</t>
  </si>
  <si>
    <t xml:space="preserve">ALAN CARRASCO </t>
  </si>
  <si>
    <t>MOVIMIENTO DE MATERIALES (BINS, PALLET, BANDEJAS)</t>
  </si>
  <si>
    <t>ZARATE BALLESTEROS</t>
  </si>
  <si>
    <t>MANUEL</t>
  </si>
  <si>
    <t>20123390-9</t>
  </si>
  <si>
    <t>CHILLER DE PANAS</t>
  </si>
  <si>
    <t>SEMANA 6</t>
  </si>
  <si>
    <t>CESAR CARTAGENA</t>
  </si>
  <si>
    <t>Materia Prima</t>
  </si>
  <si>
    <t>Ojos</t>
  </si>
  <si>
    <t>Conjuntivitis</t>
  </si>
  <si>
    <t>Proyeccion de particulas</t>
  </si>
  <si>
    <t>TRABAJADOR SE ENCONTRABA LIMPIANDO PANAS DE POLLO EN SALA DE CHILLER DE PANAS EN ESE MOMENTO SE PROYECTADA BILIS AL OJO DERECHO</t>
  </si>
  <si>
    <t>ORTIZ GONZALEZ</t>
  </si>
  <si>
    <t>AUGUSTO</t>
  </si>
  <si>
    <t>15532741-3</t>
  </si>
  <si>
    <t>P. POSTERIORES</t>
  </si>
  <si>
    <t>PULPA</t>
  </si>
  <si>
    <t>OCTAVIO MUÑOZ</t>
  </si>
  <si>
    <t>ALEJANDRO SALAS</t>
  </si>
  <si>
    <t>Pelvis</t>
  </si>
  <si>
    <t xml:space="preserve">COLABORADOR SUFRE GOLPE EN TESTICULO POR BINS EL EVENTO SE PRODUJO CUANDO RESBALA AL MOMENTO DE ESTAR VACIANDO BANDEJAS. </t>
  </si>
  <si>
    <t xml:space="preserve">WLADIMIR CALDERON </t>
  </si>
  <si>
    <t>OLATE CASTILLO</t>
  </si>
  <si>
    <t>KATHERINE</t>
  </si>
  <si>
    <t>16181592-6</t>
  </si>
  <si>
    <t xml:space="preserve">PORTERIA </t>
  </si>
  <si>
    <t xml:space="preserve">COLABORADORA SUFRE CAIDA A NIVEL  APOYANDO AMBAS MANOS EN EL PISO, AL INGRESAR A LA PLANTA, ESTA TROPIEZA Y CAE </t>
  </si>
  <si>
    <t xml:space="preserve">DANIELA </t>
  </si>
  <si>
    <t>DEHUESADO</t>
  </si>
  <si>
    <t>NC-16-2023</t>
  </si>
  <si>
    <t>COLABORADORA  SUFRE CAIDA A NIVEL MAS CONTUSION EN RODILLA IZQUIERDA Y SENO DERECHO, AL PISAR MATERIA PRIMA CUANDO SE DIRIGIA A LOS CAMARINES EN T. AUTOMATICO</t>
  </si>
  <si>
    <t>MICHELLE SANCHEZ</t>
  </si>
  <si>
    <t>HERRERA PINTO</t>
  </si>
  <si>
    <t>JHONY</t>
  </si>
  <si>
    <t>20789495-8</t>
  </si>
  <si>
    <t>n/a</t>
  </si>
  <si>
    <t>TROZADO DE POLLO AUTOMATICO</t>
  </si>
  <si>
    <t>Espalda</t>
  </si>
  <si>
    <t xml:space="preserve">TRABAJADOR QUE SE ENCONTRABA DE REGRESO DE SU HORARIO DE COLACION SE ENCONTRABA ALISTANDO SU PECHERA DE TRABAJO, CUANDO CAE SOBRE SU ESPALDA UN GANCHO METALICO. </t>
  </si>
  <si>
    <t xml:space="preserve">CONDICION </t>
  </si>
  <si>
    <t>LINEA DE ESPURGO TROZADO AUTOMATICO</t>
  </si>
  <si>
    <t>GUAJARDO VERA</t>
  </si>
  <si>
    <t>SEBASTIAN</t>
  </si>
  <si>
    <t>19211824-7</t>
  </si>
  <si>
    <t>LGF4</t>
  </si>
  <si>
    <t>MANTENCION</t>
  </si>
  <si>
    <t>REPORTE DE CAJAS</t>
  </si>
  <si>
    <t>MECANICO</t>
  </si>
  <si>
    <t>EQUIPO PARA MOVIMIENTO DE CARGA (GRUAS O TRANSPALETAS)</t>
  </si>
  <si>
    <t>SEMANA 5</t>
  </si>
  <si>
    <t>VICTOR GOMEZ</t>
  </si>
  <si>
    <t>NICOLAS ROJAS</t>
  </si>
  <si>
    <t>Equipos Transporte de carga</t>
  </si>
  <si>
    <t>TRABAJADOR ESTEBA REPARANDO UNA MAQUINA AL COSTADO DE LA LINEA DE CONGELADO (PP) REVISANDO UNA MAQUINA CUANDO EL OPERADOR DE TRANPALETA RETROCEDE Y GOLPEA SU TOBILLO DERECHO</t>
  </si>
  <si>
    <t>FIGUEROA RECABARREN</t>
  </si>
  <si>
    <t xml:space="preserve">JASON </t>
  </si>
  <si>
    <t>21242262-2</t>
  </si>
  <si>
    <t>MARCOS QUINTANILLA</t>
  </si>
  <si>
    <t>Pallet</t>
  </si>
  <si>
    <t xml:space="preserve">COLABORADOR AL BAJAR UN PALLET SE CORTA EL DEDO ANULAR IZQUIERDO , AL ESTAR BAJANDO CAJAS </t>
  </si>
  <si>
    <t>BAHAMONDEZ ABARCA</t>
  </si>
  <si>
    <t>MARIA TERESA</t>
  </si>
  <si>
    <t>11527148-2</t>
  </si>
  <si>
    <t>SEMANA 9</t>
  </si>
  <si>
    <t>COLABORA SUFRE CONTUSION EN MANO DERECHA CUANDO SE ENCONTRABA CAMBIANDO ROLLO DE LAMINA EN MAQUINA ISHIDA</t>
  </si>
  <si>
    <t>CHISTIAN JHONS</t>
  </si>
  <si>
    <t>ARMIJO CORDERO</t>
  </si>
  <si>
    <t>FRANCISCO</t>
  </si>
  <si>
    <t>7.885.635-1</t>
  </si>
  <si>
    <t>TROZADO DE PAVO</t>
  </si>
  <si>
    <t>BAÑOS FAENA</t>
  </si>
  <si>
    <t>BAÑO EVISERADO</t>
  </si>
  <si>
    <t>SEMANA 8</t>
  </si>
  <si>
    <t>JAQUELIN PAVEZ</t>
  </si>
  <si>
    <t>Contacto con cuerpo cortante</t>
  </si>
  <si>
    <t>COLABORADOR SUFRE CORTE EN DEDO INDICE DE MANO DERECHA AL APOYARSE EN PUERTA DE BAÑO DE EVISERADO</t>
  </si>
  <si>
    <t xml:space="preserve"> REYES FUENTES</t>
  </si>
  <si>
    <t>JONHFER</t>
  </si>
  <si>
    <t>26466499-3</t>
  </si>
  <si>
    <t>TRAZADO DE PAVO</t>
  </si>
  <si>
    <t xml:space="preserve">SALA JAPON </t>
  </si>
  <si>
    <t xml:space="preserve">PATRICIO MACIEL </t>
  </si>
  <si>
    <t>Producto quimico</t>
  </si>
  <si>
    <t>Quemadura</t>
  </si>
  <si>
    <t>Exposicion a humo y gases</t>
  </si>
  <si>
    <t xml:space="preserve">COLABORADOR SUFRE INHALACION DE VAPOR DEL CLORO AL MEZACLAR AGUA CALIENTE, EN SALA JAPON </t>
  </si>
  <si>
    <t>MANIPULACION DE PRODUCTO QUIMICO</t>
  </si>
  <si>
    <t>MARZO</t>
  </si>
  <si>
    <t xml:space="preserve">TRUJILLO ELGUETA </t>
  </si>
  <si>
    <t>KEVIN</t>
  </si>
  <si>
    <t>18346564-6</t>
  </si>
  <si>
    <t>COORDINADOR</t>
  </si>
  <si>
    <t>SEMANA 12</t>
  </si>
  <si>
    <t>COLABORADOR QUE SE ENCONTRABA REALIZANDO CAMBIO DE CINTA EN EL AREA DE CALIBRADO DE PECHUGAS SUFRE CORTE CON BORDE DE ESCALERA EN DEDO MEÑIQUE IZQUERDO</t>
  </si>
  <si>
    <t xml:space="preserve">TRUJILLO ALARCON </t>
  </si>
  <si>
    <t>ANGELA VERONICA</t>
  </si>
  <si>
    <t>15401811-5+tipo_acc+*-+</t>
  </si>
  <si>
    <t>SEMANA 11</t>
  </si>
  <si>
    <t>COLABORA SUFRE CAIDA DESDE ESCALON DE TARIMA DE TRABAJO, GOLPEANDOSE EN BRAZO Y ESPALDA</t>
  </si>
  <si>
    <t>LABORES SOBRE TARIMA/ESCALERA</t>
  </si>
  <si>
    <t>SANTIBAÑEZ MARIN</t>
  </si>
  <si>
    <t>KARLA</t>
  </si>
  <si>
    <t>17802999-1</t>
  </si>
  <si>
    <t>METALQUIMIA</t>
  </si>
  <si>
    <t>FRANCISCO SANCHEZ</t>
  </si>
  <si>
    <t>COLABORADORA QUE SE ENCONTRABAN ASEANDO MAQUINA METALQUIMIA, AL APLICAR  BIO REMOVE SUFRE SALPICADURA DE ESTE EN SU OJO DERECHO.</t>
  </si>
  <si>
    <t>RODRIGUEZ ESPINOZA</t>
  </si>
  <si>
    <t>LUIS MIGUEL</t>
  </si>
  <si>
    <t>18461734-K</t>
  </si>
  <si>
    <t>DESPLUMADO DE PAVO</t>
  </si>
  <si>
    <t>Contacto con temperaturas extremas</t>
  </si>
  <si>
    <t>COLABORADOR SUFRE QUEMADURA EN CUELLO CUANDO CAMBIABA MANGUERA DE SOPLADORORES EN DESPLUMADO DE PAVO</t>
  </si>
  <si>
    <t>RIQUELME JARA</t>
  </si>
  <si>
    <t>LUIS FELIPE</t>
  </si>
  <si>
    <t>20140706-0</t>
  </si>
  <si>
    <t>IQF CALIBRADO A</t>
  </si>
  <si>
    <t>BICICLETERO</t>
  </si>
  <si>
    <t>SEMANA 10</t>
  </si>
  <si>
    <t>NC-22-2023</t>
  </si>
  <si>
    <t xml:space="preserve">COLABORADOR SUFRE CAIDA AL INGRESO DE LA PLANTA </t>
  </si>
  <si>
    <t>PINTO VILLAGRA</t>
  </si>
  <si>
    <t>XENDRIX</t>
  </si>
  <si>
    <t>17715504-7</t>
  </si>
  <si>
    <t>ROMANERO CAMARA</t>
  </si>
  <si>
    <t>TUNEL 234</t>
  </si>
  <si>
    <t>MAURICIO HERNANDEZ</t>
  </si>
  <si>
    <t>COLABORADOR SUFRE CONTUSION EN PIE DERECHO AL APRETARSE CON PALLET CUANDO SE ENCONTRABA CARGANDO TUNEL 234</t>
  </si>
  <si>
    <t>PAVEZ CARMONA</t>
  </si>
  <si>
    <t xml:space="preserve">CAMILA </t>
  </si>
  <si>
    <t>19382606-7</t>
  </si>
  <si>
    <t>SALA DE PINTURA</t>
  </si>
  <si>
    <t>TECNICO</t>
  </si>
  <si>
    <t>GALPON DE PINTURA</t>
  </si>
  <si>
    <t>NC-18-2023</t>
  </si>
  <si>
    <t>FRANCISCO ACEVEDO</t>
  </si>
  <si>
    <t xml:space="preserve">COLABORADORA SE DIRIGIA A SALA DE PINTURAS Y NO VE GRUA ESTACIONADA EN EL PATIO, CON LA CUAL SE PORBOCA UN ATRAPAMIENTO CON SU PIE DERECHO, PROBOCANDO UNA CONTUSION </t>
  </si>
  <si>
    <t>OLY</t>
  </si>
  <si>
    <t>CHARLES</t>
  </si>
  <si>
    <t>25968215-0</t>
  </si>
  <si>
    <t>SEMANA 13</t>
  </si>
  <si>
    <t>MATIAS CASTRO</t>
  </si>
  <si>
    <t>COLABORADOR SE ENCONTRABA EXPURGANDO PRODUCTO EN SU PUESTO DE TRABAJO SALPICANDO LIQUIDO EN AMBOS OJOS</t>
  </si>
  <si>
    <t>MANIPULACION DE MATERIA PRIMA</t>
  </si>
  <si>
    <t>NUÑEZ ESCARATE</t>
  </si>
  <si>
    <t>VICTOR</t>
  </si>
  <si>
    <t>8649246-6</t>
  </si>
  <si>
    <t>COLABORADOR SUFRE CAIDA DE LIQUIDO (ACIDO PERACETICO) EN OJO, ESTO OCURRE AL SACAR MATERIA PRIMA QUE SE ENCONTRABA ATASCADA EN LA LINEA</t>
  </si>
  <si>
    <t>RETIRO DE PRODUCTO ATASCADO</t>
  </si>
  <si>
    <t>MUÑOZ ISLA</t>
  </si>
  <si>
    <t>JESSICA</t>
  </si>
  <si>
    <t>16669807-3</t>
  </si>
  <si>
    <t>06-042023</t>
  </si>
  <si>
    <t>SALA DE PROCESO</t>
  </si>
  <si>
    <t>NC-29-2023</t>
  </si>
  <si>
    <t>Elemento cortante</t>
  </si>
  <si>
    <t>COLABORADORA SUFRE CORTE EN MANO DERECHA CUANDO SE ENCONTRABA SACANDO FILO A SU CUCHILLO JUNTO A COMPAÑERA DE TRABAJO.</t>
  </si>
  <si>
    <t>MANIPULACIÓN DE CUCHILLO Y/O MANTENER FILO</t>
  </si>
  <si>
    <t>ANA GABRIELA</t>
  </si>
  <si>
    <t>18778202-3</t>
  </si>
  <si>
    <t>MAXIMO CAMPOS</t>
  </si>
  <si>
    <t xml:space="preserve">COLABORADORA SE ENCONTRABA BAJANDO ESCALERAS EN CALIBRADO CUANDO SE GOLPEA LA RODILLLA IZQUIERDA CON PASAMANOS </t>
  </si>
  <si>
    <t>MARIN VARGAS</t>
  </si>
  <si>
    <t>CAROLINA</t>
  </si>
  <si>
    <t>19212976-1</t>
  </si>
  <si>
    <t>Animales - Insectos</t>
  </si>
  <si>
    <t>Picadura</t>
  </si>
  <si>
    <t>COLABORADORA SUFRE PICADURA DE INSECTO EN PIERNA DERECHA, CUANDO ESTABA COLOCANDO SU ROPA DE TRABAJO</t>
  </si>
  <si>
    <t>LARA SOTO</t>
  </si>
  <si>
    <t xml:space="preserve">EDITH </t>
  </si>
  <si>
    <t>16670482-0</t>
  </si>
  <si>
    <t>ASEO OPERACIONAL</t>
  </si>
  <si>
    <t>CARLOS JIMENES</t>
  </si>
  <si>
    <t>JORDAN FARIAS</t>
  </si>
  <si>
    <t xml:space="preserve">COLABORADORA QUE SE ENCONTRABA REALIZANDO ASEO EN PISOS SUFRE GOLPE EN MANO DERECHA CON PUERTA DE VAIVEN AL INGRESO DE DESPLUMADO </t>
  </si>
  <si>
    <t>HUINAO CARTAGENA</t>
  </si>
  <si>
    <t>15403657-1</t>
  </si>
  <si>
    <t>IQF 1</t>
  </si>
  <si>
    <t>IQF1</t>
  </si>
  <si>
    <t>NC-21-2023</t>
  </si>
  <si>
    <t xml:space="preserve">COLABORADOR SUFRE CONTUSION EN MUÑECA IZQUERDA CUANDO SE ENCONTRABA ARMANDO PALLET CON BANDEJAS DE FILETILLO DE POLLO </t>
  </si>
  <si>
    <t>ARMADO DE PALLET</t>
  </si>
  <si>
    <t xml:space="preserve">COLABORADOR SUFRE GOLPE EN PIERNA DERECHA CON BASE METALICA DE GANCHO QUE SE DESPRENDE DE UNA CINTA </t>
  </si>
  <si>
    <t>HENRIQUEZ VARGAS</t>
  </si>
  <si>
    <t>FERNANDO</t>
  </si>
  <si>
    <t>18538961-8</t>
  </si>
  <si>
    <t>DOMINGO</t>
  </si>
  <si>
    <t>DANIEL GONZALEZ</t>
  </si>
  <si>
    <t>COLABORADOR SUFRE GOLPE EN OJO DERECHO CONLLAVE CUANDO SE ENCONTRABA APRETANDO LOS PERNOS DE ESTACION DE GIRO EN LINEA 2 DE TROZADO DE POLLO AUTOMATICO</t>
  </si>
  <si>
    <t>ESPINOZA MALDONADO</t>
  </si>
  <si>
    <t>ROMINA</t>
  </si>
  <si>
    <t>17986193-3</t>
  </si>
  <si>
    <t>LGF3</t>
  </si>
  <si>
    <t>SALA DE TAMBLE</t>
  </si>
  <si>
    <t>NC-19-2023</t>
  </si>
  <si>
    <t>Contacto con sustancias toxicas</t>
  </si>
  <si>
    <t>COLABORADORA QUE SE ENCONTRABA ESPONJANDO TAMBLED, AL MOMENTO DEL ENJUAGE DERRAMA DETERGENTE BIO REMOVE EN PIERNA DERECHA.</t>
  </si>
  <si>
    <t>CONTRERAS GARATE</t>
  </si>
  <si>
    <t>SALVADOR</t>
  </si>
  <si>
    <t>14436436-8</t>
  </si>
  <si>
    <t xml:space="preserve">VESTIDORES </t>
  </si>
  <si>
    <t>JOSELINNE ALARCON</t>
  </si>
  <si>
    <t xml:space="preserve">COLABORADOR SIENTE FUERTE DOLOR EN LA CINTURA CUANDO SE VESTIA CON SU ROPA DE TRABAJO EN CAMARINES DE LA PLANTA </t>
  </si>
  <si>
    <t>CHAVANNES</t>
  </si>
  <si>
    <t>ESTILUS</t>
  </si>
  <si>
    <t>26172618-1</t>
  </si>
  <si>
    <t>EVICERADO</t>
  </si>
  <si>
    <t>Cuchillo</t>
  </si>
  <si>
    <t>COLABORADOR SE ENCONTRABA SACANDO FILO A CUCHILLO, CUANDO ESTE CAE EN SU PIE DERECHO PRODUCIENDO UNA HERIDA CORTANTE</t>
  </si>
  <si>
    <t>CASTRO CABRERA</t>
  </si>
  <si>
    <t>ALEJANDRA</t>
  </si>
  <si>
    <t>13771008-0</t>
  </si>
  <si>
    <t>SELECCIÓN PECHUGA</t>
  </si>
  <si>
    <t>ESCALERAS COSTADO DE INGRESO PRINCIPAL</t>
  </si>
  <si>
    <t>COLABORADORA SE ENCONTRABA BAJANDO POR LAS ESCALERAS UBICADAS AL COSTADO DE ENTRADA PRINCIPAL, SE RESBALA PROBONCANDO UNA CONTUCION EN COXIS.</t>
  </si>
  <si>
    <t>CARREÑO CERDA</t>
  </si>
  <si>
    <t>16340355-2</t>
  </si>
  <si>
    <t>COLGADO DE AVES</t>
  </si>
  <si>
    <t>NC-23-2023</t>
  </si>
  <si>
    <t>CRISTIAN MESA</t>
  </si>
  <si>
    <t>COLABORADOR SE ENCONTRABA EN LINEA COLGADO DE AVES, CUANDO SUFRE UNA PROYECCION DE PARTICULA EN OJO DERECHO PROVOCANDO INFLAMACION EN LA PARTE AFECTADA</t>
  </si>
  <si>
    <t>COLGADO DE AVES VIVAS</t>
  </si>
  <si>
    <t>CARANCIO ALEGRIA</t>
  </si>
  <si>
    <t>MARCELO</t>
  </si>
  <si>
    <t>14439094-6</t>
  </si>
  <si>
    <t>COLABORADOR SE ENCONTRABA LEVANTANDO BANDEJAS CON POLLO, SIENTE DOLOR EN ESPALDA AL EJERCER FUERZA</t>
  </si>
  <si>
    <t>BARRAZA PERALTA</t>
  </si>
  <si>
    <t>ISABEL</t>
  </si>
  <si>
    <t>9683999-5</t>
  </si>
  <si>
    <t>IQF4</t>
  </si>
  <si>
    <t>NC-20-2023</t>
  </si>
  <si>
    <t>ORLANDO FARIAS</t>
  </si>
  <si>
    <t>Brazo</t>
  </si>
  <si>
    <t>COLABORADORA SUFRE CAIDA MISMO NIVEL CUANDO SE ENCONTRABA SECANDO AGUA EN PISO DE IQF4</t>
  </si>
  <si>
    <t>AGUILAR CORTES</t>
  </si>
  <si>
    <t>LUIS</t>
  </si>
  <si>
    <t>9886055-K</t>
  </si>
  <si>
    <t>COLABORADOR QUE SE ENCONTRABA TRANVASIJANDO DETERGENTE, SUFRE SALPICADURA EN SU OJO IZQUERDO</t>
  </si>
  <si>
    <t>ABRIL</t>
  </si>
  <si>
    <t>VILLALOBOS VALENZUELA</t>
  </si>
  <si>
    <t>PABLO</t>
  </si>
  <si>
    <t>19382613-K</t>
  </si>
  <si>
    <t>PASILLO CAMARA 206</t>
  </si>
  <si>
    <t>SEMANA 14</t>
  </si>
  <si>
    <t xml:space="preserve">COLABORADOR SUFRE TIRON EN ESPALDA Y CUELLO CUANDO SE ENCONTRABA MOVILIZANDO BINS CON PRODUCTO EN TRANSPALETA MANUAL </t>
  </si>
  <si>
    <t>VIDAL ZAMBRANO</t>
  </si>
  <si>
    <t>JAVIER</t>
  </si>
  <si>
    <t>21169027-5</t>
  </si>
  <si>
    <t>TUNEL 4</t>
  </si>
  <si>
    <t>SEMANA 15</t>
  </si>
  <si>
    <t>NELSON PIZARRO</t>
  </si>
  <si>
    <t xml:space="preserve">COLABORADOR SUFRE CONTUSION EN PIE IZQUIERDO POR COLICION ENTRE DOS TRANSPALETAS EN TUNEL 4 </t>
  </si>
  <si>
    <t>VASQUEZ CORRAL</t>
  </si>
  <si>
    <t>JOSE</t>
  </si>
  <si>
    <t>9029022-3</t>
  </si>
  <si>
    <t>IQF</t>
  </si>
  <si>
    <t>SEMANA 16</t>
  </si>
  <si>
    <t>Cajas</t>
  </si>
  <si>
    <t>COLABORADOR SUFRE DOLOR EN MUÑECA IZQUERDA AL TOMAR CAJA EN LINEA DE IQF</t>
  </si>
  <si>
    <t>VALDIVIA PEÑALOZA</t>
  </si>
  <si>
    <t>JAIME</t>
  </si>
  <si>
    <t>14140942-5</t>
  </si>
  <si>
    <t>CAMARA 208</t>
  </si>
  <si>
    <t>COLABORADOR SUFRE GOLPE EN MUÑECA IZQUERDA AL SER COLICIONADO POR OPERADOR DE TRANSPALETA ELECTRICA CUANDO ESTABA ENTRANDO A CAMARA 208</t>
  </si>
  <si>
    <t>SANTIS RAMIREZ</t>
  </si>
  <si>
    <t>JANIS</t>
  </si>
  <si>
    <t>19858836-9</t>
  </si>
  <si>
    <t>ARNALDO VERA</t>
  </si>
  <si>
    <t>COLABORADORA SUFRE CONTUSION EN ESPALDA Y CABEZA POR CAIDA MISMO NIVEL AL PISAR HIELO QUE SE ENCONTRABA EN PISO DE CAMARA 208 ROTULANDO BINS</t>
  </si>
  <si>
    <t>RAGA VAZQUEZ</t>
  </si>
  <si>
    <t>ELIZABETH</t>
  </si>
  <si>
    <t>26199492-5</t>
  </si>
  <si>
    <t>COLABORADORA SUFRE IRRITACION OCULAR EN OJO IZQUIERDO POR PROYECCION DE PARTICULAS CUANDO SE ENCONTRABA MANIPULANDO PRODUCTOS EN BANDEJAS EN LINEA IQF</t>
  </si>
  <si>
    <t>PAVEZ AGUILA</t>
  </si>
  <si>
    <t>PAULA</t>
  </si>
  <si>
    <t>20424217-8</t>
  </si>
  <si>
    <t>SEMANA 17</t>
  </si>
  <si>
    <t>COLABORADOR SUFRE GOLPE EN RODILLA IZQUIERDA POR CAIDA DE DISTINTO NIVEL CUANDO SE ENCONTRABA MOVILIZANDO BANDEJAS EN LINEA DE IQF.</t>
  </si>
  <si>
    <t>NORAMBUENA CARVAJAL</t>
  </si>
  <si>
    <t>RODRIGO</t>
  </si>
  <si>
    <t>16788251-K</t>
  </si>
  <si>
    <t>SALA DE PULPA</t>
  </si>
  <si>
    <t>MAQUINA BAADER</t>
  </si>
  <si>
    <t>NC-35-23</t>
  </si>
  <si>
    <t>Fractura</t>
  </si>
  <si>
    <t>COLABORADOR SUFRE DESPRENDIMIENTO EN DEDO ANULAR SUPERIOR DERECHO, POR ATRAPAMIENTO MIENTRAS OPERABA MAQUINA BAADER EN SALA DE PULPA.</t>
  </si>
  <si>
    <t>OPERACIÓN DE MAQUINAS, EQUIPOS O HERRAMIENTAS MOTRICES</t>
  </si>
  <si>
    <t>MENA MATTA</t>
  </si>
  <si>
    <t>NINOSHKA</t>
  </si>
  <si>
    <t>18528198-1</t>
  </si>
  <si>
    <t xml:space="preserve">PASILLO B CAMARA </t>
  </si>
  <si>
    <t>NC-52-23</t>
  </si>
  <si>
    <t>ALEJANDRO TORRES</t>
  </si>
  <si>
    <t>COLABORADORA SUFRE CONTUSION EN RODILLA DERECHA POR CAIDA DE MISMO EN PASILLO DE CAMARA EN EL AREA DE FRIGORIFICO</t>
  </si>
  <si>
    <t>MELLADO BARRIENTOS</t>
  </si>
  <si>
    <t xml:space="preserve">POLONIA </t>
  </si>
  <si>
    <t>17422963-5</t>
  </si>
  <si>
    <t>NC-55-23</t>
  </si>
  <si>
    <t xml:space="preserve">COLABORADORA DE TPO SUFRIO CONTUSION EN MANO DERECHA GOLPEADA POR UN BINS, LA TRABAJADORA TENIA LA MANO APOYADA EN UN BINS EN ESE MOMENTO UN MOVILIZADOR ARRASTRA UN BINS CERCANO PARA POSICIONARLO A UN LADO DEL OTRO, EN ESTE MOMENTO NO SE PERCATA DE LA TRABAJADORA Y GOLPEADA SU MANO DEJANDOLA ENTRE AMBOS BINS, EL ACC OCURRIO EN SALA DE PROCESO. </t>
  </si>
  <si>
    <t>COLABORADOR SUFRE CONTUSION EN PIE DERECHO AL SE GOLPEADO POR COMPAÑERO QUE TRASLABA BINS CON PRODUCTO EN PASILLO DE TROZADO DE POLLO</t>
  </si>
  <si>
    <t>GUIÑEZ GARRIDO</t>
  </si>
  <si>
    <t>PATRICIO</t>
  </si>
  <si>
    <t>14008724-6</t>
  </si>
  <si>
    <t>COLABORADOR SUFRE GOLPE EN POMULO IZQUIERDO POR TAPA DE CAJA CUANDO SE ENCONTRABA SACANDO ZUNCHOS EN EL AREA DE EMPAQUE</t>
  </si>
  <si>
    <t>GONZALEZ MEDINA</t>
  </si>
  <si>
    <t>ERIKA</t>
  </si>
  <si>
    <t>15624346-9</t>
  </si>
  <si>
    <t>PROLIJADO</t>
  </si>
  <si>
    <t>LINEA PROLIJADO</t>
  </si>
  <si>
    <t>COLABORADORA SUFRE CORTE EN DEDO ANULAR DE MANO DERECHA CON CUCHILLO, EN LINEA PROLIJADO DE PECHUGAS</t>
  </si>
  <si>
    <t xml:space="preserve">REALIZANDO LABORES DE CORTE </t>
  </si>
  <si>
    <t>GONALEZ NIDA</t>
  </si>
  <si>
    <t>MAURICIO</t>
  </si>
  <si>
    <t>20122752-6</t>
  </si>
  <si>
    <t>NC-50-23</t>
  </si>
  <si>
    <t>COLABORADOR SUFRE INFLAMACION EN OJO IZQUIERDO POR SALPICADURA DE PRODUCTO AL ESTAR LIMPIANDO PECHUGAS EN LINEA DE PROLIJADO</t>
  </si>
  <si>
    <t>ESPINOZA PINTO</t>
  </si>
  <si>
    <t>19849137-3</t>
  </si>
  <si>
    <t>NC-53-23</t>
  </si>
  <si>
    <t xml:space="preserve">COLABORADOR SUFRE HERIDA PUNZANTE AL PISAR TABLA CON CLAVO QUE SE ENCONTRABA EN SUELO DE PASILLO C </t>
  </si>
  <si>
    <t>DURAN OYANEDEL</t>
  </si>
  <si>
    <t>CRISTIAN</t>
  </si>
  <si>
    <t>13334407-1</t>
  </si>
  <si>
    <t>ENCARGADO DE LINEA</t>
  </si>
  <si>
    <t>PASILLO SALA DE JUEGOS</t>
  </si>
  <si>
    <t>NC-63-23</t>
  </si>
  <si>
    <t>COLABORADOR DE SSGG SUFRE TORSION DE SU PIERNA IZQUIERDA POR CAIDA A MISMO NIVEL AL REBALAR FUERA DE SALA DE CAPACITACION POR EL PASILLO DE LA SALA DE JUEGOS PRODUCTO DE AGUA EN EL PISO A RAIZ DE UNA GOTERA, ESTO MIENTRAS SE DIRIGIA AL PROCESO POR EL LLAMADO DE UNA CONTINGENCIA.</t>
  </si>
  <si>
    <t>CASTILLO TRIVIÑO</t>
  </si>
  <si>
    <t>19409089-7</t>
  </si>
  <si>
    <t>POZO DE PLUMAS</t>
  </si>
  <si>
    <t>NC-51-23</t>
  </si>
  <si>
    <t xml:space="preserve">COLABORADOR SUFRE HERIDA EN PIE IZQUIERDO POR ROCE CON ZAPATO DE SEGURIDAD AL REALIZAR SUS LABORES EN POZO DE PLUMAS </t>
  </si>
  <si>
    <t>LABORES DE MANTENCIÓN</t>
  </si>
  <si>
    <t>CARRASCO CACERES</t>
  </si>
  <si>
    <t>16985231-6</t>
  </si>
  <si>
    <t>ANDENES</t>
  </si>
  <si>
    <t>JONATHAN VERA</t>
  </si>
  <si>
    <t>COLABORADOR SUFRE DOLOR EN ESPALDA POR SOBREESFUERZOAL ESTAR MOVIENDO BINS QUE SE ENCONTRABAN APRETADOS EN SECTOR DE ANDENES.</t>
  </si>
  <si>
    <t>CAMACHO CASTELLANOS</t>
  </si>
  <si>
    <t>JESUS</t>
  </si>
  <si>
    <t>27001301-5</t>
  </si>
  <si>
    <t>NC-33-23</t>
  </si>
  <si>
    <t>COLABORADOR SUFRE HERIDA PENETRANTE EN PALMA DE MANO IZQUERDA AL ESTAR COLGANDO PECHUGAS DE POLLO ENTERAS</t>
  </si>
  <si>
    <t>SILVIO</t>
  </si>
  <si>
    <t>27133909-7</t>
  </si>
  <si>
    <t>NC-54-23</t>
  </si>
  <si>
    <t xml:space="preserve">COLABORADOR SUFRE GOLPE EN BRAZO Y PIERNA POR ATRAPAMIENTO ENTRE DOS PALLET CON CAJAS EN SALA DE PALLETIZADO EN EL AREA DE FRIGORIFICO </t>
  </si>
  <si>
    <t xml:space="preserve">BERNARD </t>
  </si>
  <si>
    <t>ROSE-CARINE</t>
  </si>
  <si>
    <t>26225281-7</t>
  </si>
  <si>
    <t>NC-31-23</t>
  </si>
  <si>
    <t>COLABORADORA SUFRE CAIDA EN SALA DE PROCESO GOLPEANDOSE EN HOMBRO IZQUERDO</t>
  </si>
  <si>
    <t>ARAYA MOYANO</t>
  </si>
  <si>
    <t>MARIA INES</t>
  </si>
  <si>
    <t>10999607-6</t>
  </si>
  <si>
    <t>NC-32-23</t>
  </si>
  <si>
    <t>COLABORA SUFRE QUEMADURA EN EN DEDO INDICE Y PULGAR DE MANO DERECHA Y DEDO PULGAR DE MANO IZQUERDA POR CONTACTO CON PRODUCTO QUIMICO AL ESTAR LAVANDO CORTINAS PLASTICAS EN EL PASILLO DE FAENA</t>
  </si>
  <si>
    <t>ALLENDE FROST</t>
  </si>
  <si>
    <t xml:space="preserve">ANA </t>
  </si>
  <si>
    <t>14246215-K</t>
  </si>
  <si>
    <t>JORGE MEZA</t>
  </si>
  <si>
    <t>COLABORADORA SUFRE CONTUSION EN DEDO MEDIUM DE MANO IZQUIERDA AL DEJAR ROLLO DE LAMINA SOBRE MESA DE FILETILLO EN DESHUESADO DE PECHUGA</t>
  </si>
  <si>
    <t>MANIPULACION DE MATERIALES DE TRABAJO</t>
  </si>
  <si>
    <t>MAYO</t>
  </si>
  <si>
    <t>SEMANA 19</t>
  </si>
  <si>
    <t>COLABORADOR SUFRE DOLENCIA EN MUÑECA DERECHA POR TORSION AL AFIRMAR CAJA CON PRODUCTO EN DESHUESADO</t>
  </si>
  <si>
    <t>VICENCIO ARAYA</t>
  </si>
  <si>
    <t>MARIANEL</t>
  </si>
  <si>
    <t>20424728-5</t>
  </si>
  <si>
    <t>CINTA TRIMIN</t>
  </si>
  <si>
    <t xml:space="preserve">COLABORADORA SUFRE CONTUSION EN MANO IZQUIERDA,  POR ATRAPAMIENTO CUANDO SE ENCONTRABA LIMPIANDO CINTA TRIMIN EN EL AREA DESHUESADO </t>
  </si>
  <si>
    <t>VAZQUEZ RIVEROS</t>
  </si>
  <si>
    <t>PAMELA</t>
  </si>
  <si>
    <t>16985189-1</t>
  </si>
  <si>
    <t>COLABORADORA SUFRE CAIDA A NIVEL AL PISAR RESTOS DE PRODUCTOS QUE SE ENCONTRABAN EN EL PISO, CUANDO PASABA POR EL AREA DE TROZADO DE PAVO</t>
  </si>
  <si>
    <t>VARGAS ROJAS</t>
  </si>
  <si>
    <t>TOMAS</t>
  </si>
  <si>
    <t>21171568-5</t>
  </si>
  <si>
    <t>SEMANA 21</t>
  </si>
  <si>
    <t>COLABORADOR SUFRE CONTUSION EN PIE IZQUIERDO POR TRANSPALETA ELECTRICA MANEJADA POR COMPAÑERO, MIENTRAS ARREGLABA UNA CAJA EN EL AREA DE DESHUESADO</t>
  </si>
  <si>
    <t>TORRES JARA</t>
  </si>
  <si>
    <t>16519060-2</t>
  </si>
  <si>
    <t>COLGADO DE POLLO</t>
  </si>
  <si>
    <t>COLABORADOR SUFRE CONTUSION EN ANTEBRAZO IZQUIERDO AL SER GOLPEADO POR LLAVE METALICA CUANDO SE ENCONTABA RECOGIENDO PRODUCTO PARA COLGARLO.</t>
  </si>
  <si>
    <t>TAPIA GUERRA</t>
  </si>
  <si>
    <t>MARIA</t>
  </si>
  <si>
    <t>15404921-5</t>
  </si>
  <si>
    <t>IQF 4</t>
  </si>
  <si>
    <t>SEMANA 18</t>
  </si>
  <si>
    <t>COLABORADORA SUFRE MOLESTIAS, EN OJOS, NARIZ Y BOCA, POR EXPOSICION A ACIDO PERACETICO EN IQF 4</t>
  </si>
  <si>
    <t xml:space="preserve">SILVA CATALAN </t>
  </si>
  <si>
    <t xml:space="preserve">SEBASTIAN </t>
  </si>
  <si>
    <t>16291172-4</t>
  </si>
  <si>
    <t>SALA ACOPIO DE BINS</t>
  </si>
  <si>
    <t>BINS</t>
  </si>
  <si>
    <t>NC-59-23</t>
  </si>
  <si>
    <t>JOCELYN ALARCON</t>
  </si>
  <si>
    <t>COLABORADOR SUFRE GOLPE EN DEDO PULGAR DE MANO DE MANO DERECHA AL ESTAR MOVILIZANDO BINS VACIOS CON TRANSPALETA MANUAL A SAL DE ACOPIO DE BINS SALA LIMPIA</t>
  </si>
  <si>
    <t>SANTIS GONZÁLEZ</t>
  </si>
  <si>
    <t>13771697-6</t>
  </si>
  <si>
    <t xml:space="preserve">COLABORADOR SUFRE HERIDA CORTANTE EN DEDO INDICE SUPERIOR IZQUIERDO AL ESTAR SACANDO RINES EN SALA DE PULPA </t>
  </si>
  <si>
    <t>IQF 2</t>
  </si>
  <si>
    <t>TAPA DE CABEZAL DE INYECTORA IQF 2</t>
  </si>
  <si>
    <t>COLABORADORA DE IQF-CALIBRADO SUFRE CONTUSION EN MANO DERECHA POR APLASTAMIENTO DE TAPA AL MOMENTO SE REALIZAR LIMPIENZA DE MAQUINA INYECTORA IQF-4 SE BAJA LA TAPA DEL CABEZAL GOLPEANDO SU MANO.</t>
  </si>
  <si>
    <t>ROJAS PAVEZ</t>
  </si>
  <si>
    <t>19503953-4</t>
  </si>
  <si>
    <t>TROZADO DE PAVOS</t>
  </si>
  <si>
    <t xml:space="preserve">PASILLO C </t>
  </si>
  <si>
    <t>JEAQUELINE PAVEZ</t>
  </si>
  <si>
    <t xml:space="preserve">COLABORADOR SUFRE CONTUSION EN DEDO MEÑIQUE DE MANO DERECHA CON CAJA CUANDO SE ENCONTRABA MOVILIZANDO </t>
  </si>
  <si>
    <t>RIVEROS CONTRERAS</t>
  </si>
  <si>
    <t>ROMANETT</t>
  </si>
  <si>
    <t>19211635-K</t>
  </si>
  <si>
    <t>BAÑO</t>
  </si>
  <si>
    <t>SEMANA 20</t>
  </si>
  <si>
    <t>NC-67-23</t>
  </si>
  <si>
    <t>COLABORADORA SUFRE CORTE EN MANO IZQUIERA POR CONTACTO CON TROZO DE LATA QUE SE ENCUENTRA AL INTERIOR DE ZIPER.</t>
  </si>
  <si>
    <t>REYES BUSTOS</t>
  </si>
  <si>
    <t>ALEXIS</t>
  </si>
  <si>
    <t>20345227-6</t>
  </si>
  <si>
    <t xml:space="preserve">COLABORADOR SUFRE CONTUSION EN DEDO ANULAR DE MANO DERECHA CUANDO SE ENCONTRABA SACANDO CAJAS DE CINTA DE TRANS`PORTE EN AREA DE REPORTE DE CAJAS </t>
  </si>
  <si>
    <t>RAMIRES SOTO</t>
  </si>
  <si>
    <t>RAMIRO</t>
  </si>
  <si>
    <t>12178535-8</t>
  </si>
  <si>
    <t>Cabeza</t>
  </si>
  <si>
    <t>COLABORAOR SUFRE GOLP EN ZONA OCCIPITAL DEL CRANEO AL CAER PRODUCTO DESDE LINEA DEL PROCESO</t>
  </si>
  <si>
    <t>ORTUBIA PAVEZ</t>
  </si>
  <si>
    <t>MARIA ISABEL</t>
  </si>
  <si>
    <t>18960205-7</t>
  </si>
  <si>
    <t>ESTACIONAMIENTO PLANTA</t>
  </si>
  <si>
    <t>NC-65-23</t>
  </si>
  <si>
    <t>Vehículos</t>
  </si>
  <si>
    <t>COLABORADORA SUFRE CONTUSION EN PIE IZQUIERDO AL GOLPEARSE CON SOPORTE DE ASIENTO CUANDO SE ENCONTRABA BAJANDO DE VANS DE TRANSPORTE EN ESTACIONAMIENTO DE PLANTA</t>
  </si>
  <si>
    <t>OROZCO MENDIBURRE</t>
  </si>
  <si>
    <t>KAREN</t>
  </si>
  <si>
    <t>15327303-0</t>
  </si>
  <si>
    <t xml:space="preserve">COLABORADORA SUFRE CONTUSIÓN EN ZONA ESCAPULAR, CODO Y MUÑECA DERECHA AL TRANSITITAR POR IQF 2 YA QUE SE ENCONTRABA ESCARCHA EN EL PISO. </t>
  </si>
  <si>
    <t>MUÑOZ MARQUEZ</t>
  </si>
  <si>
    <t>RAIMUNDO</t>
  </si>
  <si>
    <t>17008287-7</t>
  </si>
  <si>
    <t>MENUDENCIAS</t>
  </si>
  <si>
    <t>SEMANA 22</t>
  </si>
  <si>
    <t>COLABORADOR SUFRE MOLESTIA OCULAR POR PROYECCION DE PARTICULAS (BILIS) EN OJO DERECHO AL LIMPIAR MENUDENCIAS EN EL AREA DE FAENA</t>
  </si>
  <si>
    <t>MORENO VERGARA</t>
  </si>
  <si>
    <t>NICOLE</t>
  </si>
  <si>
    <t>17781406-7</t>
  </si>
  <si>
    <t>ASEO ZONA LIMPIA</t>
  </si>
  <si>
    <t>DRONT POINT</t>
  </si>
  <si>
    <t xml:space="preserve">PATRICIO PALACIOS </t>
  </si>
  <si>
    <t>COLABORADORA SUFRE CONTUSION EN MANO DERECHA AL SER GOLPEADA POR FIERRO CUANDO SE ENCONTRABA ENJUAGANDO ISHIDA</t>
  </si>
  <si>
    <t>MONTOYA MONSALVE</t>
  </si>
  <si>
    <t>LONDY</t>
  </si>
  <si>
    <t>26201884-9</t>
  </si>
  <si>
    <t>NC-64-23</t>
  </si>
  <si>
    <t>COLABORADORA SUFRE MOLESTIA OCULAR POR PROYECCION DE PARTICULAS LIQUIDAS AL ROPERSE LLAVE QUE SE ENCONTRABA SANITIZANDO EN SALA DE DESPLUMADO</t>
  </si>
  <si>
    <t>LOYOLA CASTRO</t>
  </si>
  <si>
    <t>12238115-2</t>
  </si>
  <si>
    <t>LÍNEA DE CONOS</t>
  </si>
  <si>
    <t>LINEA DE CONOS</t>
  </si>
  <si>
    <t xml:space="preserve">COLABORADOR SUFRE CONTUSION EN PIE DERECHO AL CAER PISO METALICO SOBRE SU PIE CUANDO SE ENCONTRABA ORDENANDO SU 'PUESTO DE TRABAJO EN LÍNEA DE CONOS </t>
  </si>
  <si>
    <t>LLANTEN MELO</t>
  </si>
  <si>
    <t>JONATHAN</t>
  </si>
  <si>
    <t>16181057-6</t>
  </si>
  <si>
    <t xml:space="preserve">OPERARADOR TECNICO </t>
  </si>
  <si>
    <t>Carrusel HQ sur</t>
  </si>
  <si>
    <t>HQ sur</t>
  </si>
  <si>
    <t>NC-71-23</t>
  </si>
  <si>
    <t xml:space="preserve">COLABORADOR SUFRE ATRISION EN DEDO ANULAR DE MANO DERECHA POR ATRAPAMIENTO MIENTRAS SE ENCONTRABA REALIZABNDO GIRO EN CARRUSEL DE MAQUINA HQ DE MANERA MANUAL </t>
  </si>
  <si>
    <t>COLABORADOR SUFRE PICADURA DE INSECTO EN BRAZO DERECHO CUANDO SE ENCONTRABA PASANDO BANDEJAS EN IQF 1</t>
  </si>
  <si>
    <t>GONZALEZ ESCARATE</t>
  </si>
  <si>
    <t>20880331-K</t>
  </si>
  <si>
    <t>CHILLER</t>
  </si>
  <si>
    <t>CHILLER CORAZON</t>
  </si>
  <si>
    <t>COLABIORADOR SUFRE MOLESTIA OCULAR POR PROYECCION DE PARTICULAS LIQUIDAS, MIENTRAS SE ENCONTRABA SEPARANDO PRODUCTO EN CHILLER DE CORAZON</t>
  </si>
  <si>
    <t>ESPINOZA PADILLA</t>
  </si>
  <si>
    <t>PAULINA</t>
  </si>
  <si>
    <t>17133880-8</t>
  </si>
  <si>
    <t>Tronco</t>
  </si>
  <si>
    <t>COLABORADORA DE IQF-CALIBRADO SUFRE CONTUSION EN ZONA TORAXICA AL MOMENTO DE RETIRAR UNA CAJA DE LA LINEA DE TRABAJO</t>
  </si>
  <si>
    <t>DIAZ ROJAS</t>
  </si>
  <si>
    <t xml:space="preserve">KATIUSKA </t>
  </si>
  <si>
    <t>16817017-3</t>
  </si>
  <si>
    <t>Bandejas</t>
  </si>
  <si>
    <t>COLABORADORA DE TPO SUFRE CONTUSION E INFLAMACION EN MANO DERECHA AL MOMENTO DE LEVANTAR BANDEJA EN SALA DE DESHUEZADO MIENTRAS REALIZABA LABORES DE PROLIJADO</t>
  </si>
  <si>
    <t>LABORES DE PROLIJADO DE PECHUGA</t>
  </si>
  <si>
    <t>DIAZ ALABARCE</t>
  </si>
  <si>
    <t>YERCO</t>
  </si>
  <si>
    <t>16241507-7</t>
  </si>
  <si>
    <t>CALIBRADO DE PAVOS</t>
  </si>
  <si>
    <t>NC-68-23</t>
  </si>
  <si>
    <t>COLABORADOR SUFRE HERIDA CORTANTE EN PIE DERECHO POR CERAMICA EN MALAS CONDICIONES AL CAER EN BAÑO DE LA PLANTA</t>
  </si>
  <si>
    <t xml:space="preserve">CHACON </t>
  </si>
  <si>
    <t>SOLEDAD</t>
  </si>
  <si>
    <t>15325840-6</t>
  </si>
  <si>
    <t>AUTOMATICO</t>
  </si>
  <si>
    <t>LÍNEA ALA MEDIA</t>
  </si>
  <si>
    <t xml:space="preserve">COLABORADORA SUFRE DOLOR EN ZONA DORSAL DERECHA CUANDO SE ENCONTRABA MOVIENDO BANDEJAS CON PRODUCTO EN LÍNEA DE ALA MEDIA </t>
  </si>
  <si>
    <t>CASTILLO GUICO</t>
  </si>
  <si>
    <t>19213143-K</t>
  </si>
  <si>
    <t>COLABORADOR SUFRE PROYECCION DE BILIS EN OJO IZQUIERDO CUANDO SE ENCONTRABA  COLGANDO PANAS EN EL AREA DE EVICERADO</t>
  </si>
  <si>
    <t>CACERES PALMA</t>
  </si>
  <si>
    <t>CRISTOPHER</t>
  </si>
  <si>
    <t>19211902-2</t>
  </si>
  <si>
    <t>LGF8</t>
  </si>
  <si>
    <t xml:space="preserve">HQ </t>
  </si>
  <si>
    <t>NC-70-23</t>
  </si>
  <si>
    <t>Gases - vapores</t>
  </si>
  <si>
    <t>COLABORADOR SUFRE QUEMADURA EN PIERNA DERECHA POR VAPOR, AL ESTAR CERRANDO LLAVE DE PASO DE DUCTO EN SALA DE DESHUESADO.</t>
  </si>
  <si>
    <t>ARAVENA NUÑEZ</t>
  </si>
  <si>
    <t>ROCÍO</t>
  </si>
  <si>
    <t>20060554-3</t>
  </si>
  <si>
    <t>CAMARA</t>
  </si>
  <si>
    <t>DESPACHO</t>
  </si>
  <si>
    <t>ROBERTO LOYOLA</t>
  </si>
  <si>
    <t>COLABORADORA SUFRE CONTUSION EN BRAZO IZQUIERDO AL SER GOLPEADA POR EL CONTRARIO CAJA DE PRODUCTO (12KILOS) EN SECTOR DESPACHO DEL AREA DE FRIGORIFICO</t>
  </si>
  <si>
    <t>AHUMADA CASTILLO</t>
  </si>
  <si>
    <t xml:space="preserve">JUAN </t>
  </si>
  <si>
    <t>18096461-4</t>
  </si>
  <si>
    <t>MONTESA</t>
  </si>
  <si>
    <t>EMANUEL MELLADO</t>
  </si>
  <si>
    <t xml:space="preserve">COLABORADOR SUFRE CONTUSION EN PIE DERECHO AL SER GOLPEADO POR TRANSPALETA MANUAL, CUANDO SE DIRIGIA HA MAQUINA ESMIPACK </t>
  </si>
  <si>
    <t>JUNIO</t>
  </si>
  <si>
    <t>ZURITA LEIVA</t>
  </si>
  <si>
    <t>13771226-1</t>
  </si>
  <si>
    <t>OPERADOR DE MAQUINA</t>
  </si>
  <si>
    <t>SALA BATERIAS</t>
  </si>
  <si>
    <t>SEMANA 24</t>
  </si>
  <si>
    <t>COLABORADOR SUFRE MOLESTIA OCULAR POR PROYECCION DE PARTICULAS LIQUIDAS CUANDO SE ENCONTRABA REALIZANDO CAMBIO DE BATERIA.</t>
  </si>
  <si>
    <t>VARGAS HERNANDEZ</t>
  </si>
  <si>
    <t>9947369-K</t>
  </si>
  <si>
    <t>EVICERADO PAVOS</t>
  </si>
  <si>
    <t>CHILLER MENUDENCIA</t>
  </si>
  <si>
    <t>NC-101-23</t>
  </si>
  <si>
    <t xml:space="preserve">COLABORADOR SUFRE GOLPE EN ESPALDA POR CAIDA MISMO NIVEL CUANDO TRANSITABA POR PASILLO DE CHILLER MENUDENCIAS </t>
  </si>
  <si>
    <t>SANDRA LAYANA</t>
  </si>
  <si>
    <t>TORRES ALVARADO</t>
  </si>
  <si>
    <t>BRYAN</t>
  </si>
  <si>
    <t>20722483-9</t>
  </si>
  <si>
    <t>EVISCERADO POLLOS</t>
  </si>
  <si>
    <t>SEMANA 23</t>
  </si>
  <si>
    <t xml:space="preserve">COLABORADOR SUFRE MOLESTIA OCULAR POR PROYECCION DE PARTICULAS CUANDO ESTABA ASPIRANDO POLLO </t>
  </si>
  <si>
    <t>FRANCISCO CASTRO</t>
  </si>
  <si>
    <t xml:space="preserve">COLABORADOR SUFRE HERIDA CORTANTE LEVE EN BRAZO IZQUIERDO POR CUCHILLO AL ESTAR CORTANDO PECHUGA DE POLLO </t>
  </si>
  <si>
    <t>TORO OROSCO</t>
  </si>
  <si>
    <t>GIANINA</t>
  </si>
  <si>
    <t>17518601-8</t>
  </si>
  <si>
    <t>ASEO</t>
  </si>
  <si>
    <t>DROP POINT</t>
  </si>
  <si>
    <t>NC-106-23</t>
  </si>
  <si>
    <t>COLABORADORA SUFRE CONTUSIÓN EN MANO IZQUIERDA POR CAIDA MISMO NIVEL MIENTRAS TRASLADABA MANGUERA EN MAQUINA DROP POINT EN CALIBRADO AL ENCONTRASERSE REALIZANDO ASEO PRE-OPERACIONAL</t>
  </si>
  <si>
    <t>RUBIO LOPEZ</t>
  </si>
  <si>
    <t>CLAUDIA</t>
  </si>
  <si>
    <t>12723602-K</t>
  </si>
  <si>
    <t>REPORTE LINEA ISHIDA B</t>
  </si>
  <si>
    <t>NC-107-23</t>
  </si>
  <si>
    <t>EDGAR HERNANDEZ</t>
  </si>
  <si>
    <t>COLABORADORA SUFRE CONTUSIÓN EN DEDO INDICE DERECHO POR ROLLO DE LAMINAS CUANDO SE ENCONTRABA SACANDO ESTE DE MUEBLE CON EL OBJETIVO DE SER CAMBIADO</t>
  </si>
  <si>
    <t>RODRIGUEZ MONJES</t>
  </si>
  <si>
    <t>ANYBEL</t>
  </si>
  <si>
    <t>27091787-9</t>
  </si>
  <si>
    <t xml:space="preserve">COLABORADOR SUFRE MOLESTIA OCULAR POR PROYECCION DE PARTICULAS AL ESTAR SELECCIONANDO PECHUGA EN LINEA DESHUESADO </t>
  </si>
  <si>
    <t>QUISPE CHASIQUIZA</t>
  </si>
  <si>
    <t>MARIA FERNANDA</t>
  </si>
  <si>
    <t>26068322-5</t>
  </si>
  <si>
    <t>SEMANA 26</t>
  </si>
  <si>
    <t>NC-102-23</t>
  </si>
  <si>
    <t>MATIAS PENROZ</t>
  </si>
  <si>
    <t xml:space="preserve">COLABORADORA SUFRE CONTUSION EN DEDO MEÑIQUE DE MANO IZQUIERDA AL SER GOLPEADA POR BLOQUE DE PECHUGA DE POLLO CONGELADA CUANDO SE ENCONTRABA VOLTEANDO ESTOS EN SALA DE EMPAQUE </t>
  </si>
  <si>
    <t>si</t>
  </si>
  <si>
    <t>MONTENEGRO GALLARDO</t>
  </si>
  <si>
    <t>RAUL</t>
  </si>
  <si>
    <t>21623760-9</t>
  </si>
  <si>
    <t>NC-108-23</t>
  </si>
  <si>
    <t>COLABORADOR SUFRE CONTUSION EN TOBILLO Y RODILLA DERECHA, POR CAIDA MISMO NIVEL PRODUTO DE PRESENCIA DE HIELO EN SUPERFICIE DE TRANSITO EN CAMARA 208</t>
  </si>
  <si>
    <t>MALDONADO ACEVEDO</t>
  </si>
  <si>
    <t>FELIPE</t>
  </si>
  <si>
    <t>18667787-0</t>
  </si>
  <si>
    <t>NC-98-23</t>
  </si>
  <si>
    <t>COLABORADOR SUFRE CONTUSION EN PIE IZQUIERDO POR GOLPE CONTRA ESTRUCTURA METALICA AL ENCONTRARSE PESADNO BOLSAS DE PRODUCTO EN EL AREA DE CALIBRADO</t>
  </si>
  <si>
    <t>LOYOLA CARVAJAL</t>
  </si>
  <si>
    <t>NATALIA</t>
  </si>
  <si>
    <t>18623311-5</t>
  </si>
  <si>
    <t>SEMANA 25</t>
  </si>
  <si>
    <t xml:space="preserve">COLABORADORA SUFRE CONTUSION EN DEDO ANULAR SUPERIOR IZQUIERDO AL SEL GOLPEADA POR BLOQUE EN TUNEL DE CAMARA </t>
  </si>
  <si>
    <t>IQF CALIBRADO C</t>
  </si>
  <si>
    <t>PASILLO PRINCIPAL</t>
  </si>
  <si>
    <t>NC-100-23</t>
  </si>
  <si>
    <t>COLABORADOR SUFRE CONTUSION EN RODILLA DERECHA POR CAIDA MISMO EN PASILLO PRINCIPAL</t>
  </si>
  <si>
    <t>GONZALEZ MENDOZA</t>
  </si>
  <si>
    <t>CINTIA</t>
  </si>
  <si>
    <t>15778582-6</t>
  </si>
  <si>
    <t>NC-73-23</t>
  </si>
  <si>
    <t>TRABAJADORA DE P.POSTERIORES SUFRE CONTUSION EN COSTADO DERECHO DEL CUERPO POR APLASTAMIENTO OCACIONADO POR EQUIPO DE MOVIMIENTO DE CARGA, EL HECHO OCURRIO EN REPORTE DE CAJAS AL MOMENTO DE QUE LA TRABAJADORA SE ENCONTRARA VALIDANDO PALLETS FRENTE A ROMANA</t>
  </si>
  <si>
    <t>ESCOBAR HUANCA</t>
  </si>
  <si>
    <t xml:space="preserve">MIRIAM </t>
  </si>
  <si>
    <t>27616460-0</t>
  </si>
  <si>
    <t>NA</t>
  </si>
  <si>
    <t>EMBALAJE Y ETIQUEDADO</t>
  </si>
  <si>
    <t>Lesion Interna</t>
  </si>
  <si>
    <t>COLABORADORA SUFRE DISNEA POR EXPOSICIÓN A PRODUCTO QUIMICO CUANDO SE ENCONTRABA REALIZANDO ASEO PRE-OPERACIONAL EN SALA.</t>
  </si>
  <si>
    <t>CESPEDES SANZANA</t>
  </si>
  <si>
    <t>DANIEL</t>
  </si>
  <si>
    <t>20345018-4</t>
  </si>
  <si>
    <t>EVISERADO</t>
  </si>
  <si>
    <t>MAQUINA DE CONTRES</t>
  </si>
  <si>
    <t>COLABORADOR SUFRE HERIDA EN DEDO MEÑIQUE DE MANO DERECHA POR RODILLO DE CINTA CUANRO SE ENCONTRABA LIANDO CONTRES</t>
  </si>
  <si>
    <t>CATALAN ALVARADO</t>
  </si>
  <si>
    <t xml:space="preserve">ERIK </t>
  </si>
  <si>
    <t>20871209-8</t>
  </si>
  <si>
    <t>COLABORADOR SUFRE CONTUSION EN DEDO MEDIO SUPERIOR DERECHO CON OBJETO METALICO AL ESTAR REALIZANDO CAMBIO DE ROLLO EN MAQUINA SUPER CONTAC</t>
  </si>
  <si>
    <t>BARRERA PEREZ</t>
  </si>
  <si>
    <t>18454833-K</t>
  </si>
  <si>
    <t>DESHUESADO DE POLLO</t>
  </si>
  <si>
    <t>COLABORADORA SUFRE CONTUSION EN RODILLA POR CAIDA MISMO NIVEL POR PRESENCIA DE RESTOS CARNICOS EN SUPERFICIE DE TRABAJO</t>
  </si>
  <si>
    <t>JULIO</t>
  </si>
  <si>
    <t>VILLEGAS VALECILLOS</t>
  </si>
  <si>
    <t>ALI</t>
  </si>
  <si>
    <t>27131221-0</t>
  </si>
  <si>
    <t xml:space="preserve">LINEA HQ </t>
  </si>
  <si>
    <t>SEMANA 29</t>
  </si>
  <si>
    <t>NC-88-23</t>
  </si>
  <si>
    <t>COLABORDOR SUFRE HERIDA CORTANTE EN MANO DERECHA, POR CONTACTO CON OBJETO PUNZANTE, CUANDO SE ENCONTRBA REALIZANDO LABOR DE COLGADO DE PECHUGA EN LINEA DE MAQUINA HQ NORTE</t>
  </si>
  <si>
    <t>VELASQUEZ RUZ</t>
  </si>
  <si>
    <t>9841139-9</t>
  </si>
  <si>
    <t>CRISTIAN VELIZ</t>
  </si>
  <si>
    <t xml:space="preserve">COLABORADOR SUFRE CONTUSION CON HERIDA CORTANTE EN NARIZ AL SER GOLPEADO POR BANDEJA PLASTICA CON PRODUCTO CONGELADO </t>
  </si>
  <si>
    <t>EVISCERADO PAVO</t>
  </si>
  <si>
    <t>NC-90-23</t>
  </si>
  <si>
    <t>COLABORADOR SUFRE HERIDA CORTANTE EN DEDO PULGAR DERECHO AL REALIZAR UNA MALA MANIOBRA CUANDO IBA A TOMAR SU CHUCHILLO PARA COMENZAR SUS LABORES.</t>
  </si>
  <si>
    <t>ROSALES MALDONADO</t>
  </si>
  <si>
    <t>17225475-6</t>
  </si>
  <si>
    <t>ELECTRICO</t>
  </si>
  <si>
    <t>CLAUDIO CID</t>
  </si>
  <si>
    <t>COLABORADOR SUFRE MOLESTIA OCULAR POR PROYECCION DE PARTICULAS LIQUIDAS (OXIDO), CUANDO SE ENCONTRABA REALIZANDO LIMPIEZA DE CABLES DE ENCHUFE QUE SE ENCONTRABA CON OXIDO, EN CHILLER DE AGUA.</t>
  </si>
  <si>
    <t>ROJAS ZAMORA</t>
  </si>
  <si>
    <t>DIEGO</t>
  </si>
  <si>
    <t>19848137-8</t>
  </si>
  <si>
    <t>SEMANA 30</t>
  </si>
  <si>
    <t>NC-110-23</t>
  </si>
  <si>
    <t>COLABORADOR SUFRE TORSION EN MUÑECA IZQUIERDA POR CAIDA MISMO NIVEL PRODUCTO DE PISO RESBALADIZO CUANDO SE ENCONTRABA MOVILIZANDO BINS CON PRODUCTO CON TRANSPALETA MANUAL.</t>
  </si>
  <si>
    <t>ROA SILVA</t>
  </si>
  <si>
    <t>18960494-7</t>
  </si>
  <si>
    <t>NC-103-23</t>
  </si>
  <si>
    <t>MIGUEL HENRRIQUEZ</t>
  </si>
  <si>
    <t>COLABORADOR SUFRE CONTUSION EN RODILLA IZQUIERDA AL RECIBIR GOLPE EN CAMPEONATO DE FUTBOL DENTRO DE LA EMPRESA</t>
  </si>
  <si>
    <t>PULGAR ORTIZ</t>
  </si>
  <si>
    <t>DAGOBERTO</t>
  </si>
  <si>
    <t>20879659-3</t>
  </si>
  <si>
    <t>TAMBORES LINEA HQ</t>
  </si>
  <si>
    <t>SEMANA 28</t>
  </si>
  <si>
    <t>NC-86-23</t>
  </si>
  <si>
    <t>COLABORADOR SUFRE CONTUSION EN EXTREMIDAD INFERIOR DERECHA POR CAIDA MISMO NIVEL, CUANDO SE DIRIGIA A TAMBORES DE LINEA HQ.</t>
  </si>
  <si>
    <t>PEREZ OVALLE</t>
  </si>
  <si>
    <t>14321846-5</t>
  </si>
  <si>
    <t xml:space="preserve">COLABORADORA SUFRE DOLENCIA EN ANTEBRAZO DERECHO AL ESTAR REALIZANDO LABORES CON CAJAS EN LINEA DE EMPAQUE FRESCO </t>
  </si>
  <si>
    <t>NAVARRO GONZALEZ</t>
  </si>
  <si>
    <t>XIMENA</t>
  </si>
  <si>
    <t>16266713-0</t>
  </si>
  <si>
    <t>EMPACADORA DE TRUTOS</t>
  </si>
  <si>
    <t>MAQUINA EMPACADORA DE TRUTOS</t>
  </si>
  <si>
    <t>COLABORADORA SUFRE CONTUSION EN ANTEBRAZO Y DEDO INDICE Y MANO DERECHA AL SER GOLPEADA POR BANDEJA DE MAQUINA EMPACADORA DE TRUTOS CUANDO SE ENCONTRABA SACANDO RESTOS CARNICOS PRESENTES EN DICHA BANDEJA.</t>
  </si>
  <si>
    <t>MIRANDA LOYOLA</t>
  </si>
  <si>
    <t>21797530-1</t>
  </si>
  <si>
    <t>SALA EMPAQUE TUNEL</t>
  </si>
  <si>
    <t>SEMANA 27</t>
  </si>
  <si>
    <t>NC-109-23</t>
  </si>
  <si>
    <t>COLABORAORA SUFRE CONTUSION EN HOMBRO DERECHO AL SER GOLPEADAPOR CAJA CON PRODUCTO CUANDO SE ENCONTRABA BAJANDO CAJAS DE PALLETS EN SALA DE EMPAQUE DE TUNEL</t>
  </si>
  <si>
    <t xml:space="preserve">SI </t>
  </si>
  <si>
    <t>LUCERO GUAJARDO</t>
  </si>
  <si>
    <t>BENITO</t>
  </si>
  <si>
    <t>17902888-3</t>
  </si>
  <si>
    <t>REPORTE LINEA ISHIDA A</t>
  </si>
  <si>
    <t>CAMARA 202</t>
  </si>
  <si>
    <t>NC-104-23</t>
  </si>
  <si>
    <t xml:space="preserve">COLABORADOR SUFRE HERIDA PUNZANTE EN PIE DERECHO AL PISAR CLAVO QUE SE ENCONTRABA EN TABLA DE PALLETS. </t>
  </si>
  <si>
    <t>LOPEZ TEJERINA</t>
  </si>
  <si>
    <t>ROSMERY</t>
  </si>
  <si>
    <t>22622736-9</t>
  </si>
  <si>
    <t>DAVID ROMO</t>
  </si>
  <si>
    <t>COLABORADORA SUFRE DOLOR EN HOMBRO IZQUIERDO POR MOVIMIENTO AL MAL EJECUTADO CUANDO SE ENCONTRABA SACANDO BOLSAS DE BASURA EN EL PASILLO PRINCIPAL</t>
  </si>
  <si>
    <t>BAJADA ESCALERA EMBALAJE Y ETIQUETADO</t>
  </si>
  <si>
    <t>COLABORADORA SUFRE CONTUSION EN PIERNA DERECHA POR CAIDA DISTINTO NIVEL AL RESBALARSE CUANDO BAJABA ESCALERA EN SALA DE EMBALAJE Y ETIQUETADO MIENTRAS REALIZABA LABORES DE ASEO PREOPERACIONAL</t>
  </si>
  <si>
    <t>DEVIA JIMENEZ</t>
  </si>
  <si>
    <t>11280722-5</t>
  </si>
  <si>
    <t>CASINO EMPRESA</t>
  </si>
  <si>
    <t>ALVARO ABARCA</t>
  </si>
  <si>
    <t>COLABORADOR SUFRE LEVE QUEMADURA EN MANO IZQUIERDA, POR CONTACTO CON AGUA CALIENTE, CUANDO SE ENCONTRABA CERRANDO TAPA DE TERMO EN CASINO QUE DE LA EMPRESA</t>
  </si>
  <si>
    <t>DARISSANTE</t>
  </si>
  <si>
    <t>WILTHON</t>
  </si>
  <si>
    <t>26281940-K</t>
  </si>
  <si>
    <t>ESCALERA ACCESO PRINCIPAL</t>
  </si>
  <si>
    <t>COLABORADOR SUFRE CONTUSION EN CODO IZQUIERDO POR CAIDA DE DISTINTO  NIVEL CUANDO SE ENCONTRABA BAJANDO ESTALERAS DE ACCESO PRINCIPAL</t>
  </si>
  <si>
    <t>CONTRERAS PERALTA</t>
  </si>
  <si>
    <t>JUAN CARLOS</t>
  </si>
  <si>
    <t>14006777-6</t>
  </si>
  <si>
    <t>COLABORADOR SUFRE HERIDA CORTANTE EN NARIZ AL SER GOLPEADO POR CAJA DE CARTON VACIA, CUANDO SE ENCONTRABA CARGANDO CAJAS EN EL AREA DE CALIBRADO.</t>
  </si>
  <si>
    <t>ATABALES MORALES</t>
  </si>
  <si>
    <t>15405907-5</t>
  </si>
  <si>
    <t>DESHUESADO DE PECEHUGA</t>
  </si>
  <si>
    <t>NC-89-23</t>
  </si>
  <si>
    <t>COLABORADOR SUFRE CONTUSION EN TOBILLO DE PIE IZQUIERDO AL SER GOLPEADO POR TRANSPALETA MANUAL CUANDO SE ENCONTRABA MOVILIZANDO BINS CON PRODUCTO EN SALA DE DESHUESADO DE PECHUGA.</t>
  </si>
  <si>
    <t>AGOSTO</t>
  </si>
  <si>
    <t>VILCHES SOTO</t>
  </si>
  <si>
    <t>VIVIANA</t>
  </si>
  <si>
    <t>16789251-5</t>
  </si>
  <si>
    <t>MAQUINA HQ SUR</t>
  </si>
  <si>
    <t>SEMANA 32</t>
  </si>
  <si>
    <t>NC-117-23</t>
  </si>
  <si>
    <t>COLABORADORA SUFRE HERIDA   CORTANTE EN DEDO ANULAR DERECHO POR CONTACTO CON OBJETO CORTANTE, ESTRUCTURA FIJA DE MAQUINA HQ SUR, EL EVENTO SE PRODUJO CUANDO SE ENCONTRABA REALIZANDO RETIRO DE PRODUCTO CARNICO DESDE LÍNEA DE COLGADO</t>
  </si>
  <si>
    <t>S</t>
  </si>
  <si>
    <t>SILVA OSORIO</t>
  </si>
  <si>
    <t>IRIS</t>
  </si>
  <si>
    <t>13772577-0</t>
  </si>
  <si>
    <t>SEMANA 33</t>
  </si>
  <si>
    <t>COLABORADORA SUFRE CONTUSION EN DEDO PULGAR DERECHO POR ATRISIÓN AL SUFRIR GOLP ENTRE DOS BINS CON PRODUCTO CUANDO SE ENCONTRABA EMPUJANDO BINS QUE IBA A SER RETIRADO</t>
  </si>
  <si>
    <t>SAAVEDA ADASME</t>
  </si>
  <si>
    <t>16576716-0</t>
  </si>
  <si>
    <t>SEMANA 34</t>
  </si>
  <si>
    <t xml:space="preserve">COLABORADOR SUFRE CONTUSION EN MANO DERECHA AL SER GOLPEADO CONTRA MANURIO DE TRANSPALETA ELECTRICA CUANDO SE ENCONTRABA EMPUJANDO DOS BINS CON PRODUCTO EN SALA DE PULPA </t>
  </si>
  <si>
    <t>ANYIBEL</t>
  </si>
  <si>
    <t>PASILLO IQF 4</t>
  </si>
  <si>
    <t>COLABORADORA SUFRE CONTUSION EN RODILLA IZQUIERDA PRODUCTO DE CAÍDA MISMO NIVEL EN PASILLO DE IQF 4, POR PRESENCIA DE HIELO Y RESTOS CÁRNICOS EN SUPERFICIE DE TRANSITO</t>
  </si>
  <si>
    <t>REYES AHUE</t>
  </si>
  <si>
    <t>KELY</t>
  </si>
  <si>
    <t>25370294-K</t>
  </si>
  <si>
    <t>SALA DESPACHO CONGELADO</t>
  </si>
  <si>
    <t>SEMANA 31</t>
  </si>
  <si>
    <t>COLABORADORA SUFRE DOLOR LUMBAR POR RESBALARSE AL PISAR UN TROZO DE HIELO CUANDO SE ENCONTRABAJA ARMANDO PALLETS EN SALA SALA DE DESPACHO CONGELADO</t>
  </si>
  <si>
    <t>RAMOS VARGAS</t>
  </si>
  <si>
    <t>IRMA</t>
  </si>
  <si>
    <t>10259422-3</t>
  </si>
  <si>
    <t>SELLADO DE PRODUCTO</t>
  </si>
  <si>
    <t>SELADORA DE BOLSA</t>
  </si>
  <si>
    <t>INTERMEDIO</t>
  </si>
  <si>
    <t>SEMANA 35</t>
  </si>
  <si>
    <t>COLABORADORA SUFRE QUEMADURA EN DEDO INDICE, MEDIO Y ANULAR DE MANO IZQUIERDA POR CONTACT CON MAQUINA SELLADORA DE BOLSAS EN EL AREA DE CALIBRADO</t>
  </si>
  <si>
    <t>ALAN CARARSCO</t>
  </si>
  <si>
    <t>POSTIGO VILCHES</t>
  </si>
  <si>
    <t>19501136-2</t>
  </si>
  <si>
    <t>BAÑO DE HOMBRES</t>
  </si>
  <si>
    <t>IGNACIO MEZA</t>
  </si>
  <si>
    <t>COLABORADOR SUFRE CONTUSION EN MUÑECA DERECHA POR GOLPE CONTRA MESON DE ENTREGA DE CIPER EN BAÑO DE HOMBRES</t>
  </si>
  <si>
    <t>MORALES NUÑEZ</t>
  </si>
  <si>
    <t>10410053-8</t>
  </si>
  <si>
    <t>PASILLO D</t>
  </si>
  <si>
    <t>NC-115-23</t>
  </si>
  <si>
    <t>COLABORADOR SUFRE CONTUSIÓN EN MANO Y BRAZO IZQUIERDO POR CAIDA MISMO NIVEL PRODUCTO DE PRESENCIA DE RESTOS CARNICOS EN SUPERFICIE DE TRANSITO, CUANDO SE ENCONTRABA TRANSITANDO POR PASILLLO D</t>
  </si>
  <si>
    <t>MELLADO DELGADO</t>
  </si>
  <si>
    <t>NICOLAS</t>
  </si>
  <si>
    <t>18960555-2</t>
  </si>
  <si>
    <t>COLABORADOR SUFRE CONTUSION EN MANO DERECHA POR CAIDA MISMO NIVEL PRODUCTO DE RESTOR CARNICOS EN SUPERFICIE DDE TRABAJO CUANDO SE ENCONTRABA AJUSTANDO MODULO PROCESADOR DE TRUTO</t>
  </si>
  <si>
    <t xml:space="preserve">MAULEN MAULEN </t>
  </si>
  <si>
    <t>ALDO</t>
  </si>
  <si>
    <t>20136430-2</t>
  </si>
  <si>
    <t>IQF/CALIBRADO A</t>
  </si>
  <si>
    <t>SALA METALQUIMIA</t>
  </si>
  <si>
    <t>NC-111-23</t>
  </si>
  <si>
    <t>COLABORADOR SUFRE MOLESTIA OCULAR POR PROYECCION DE PARTILUCAS LIQUIDAS (AGUA MAS TEC-500) CUANDO SE ENCONTRABA REALIZANDO ASEO A MAQUINA METALQUIMIA</t>
  </si>
  <si>
    <t>MAULEN MALDONADO</t>
  </si>
  <si>
    <t>7327744-2</t>
  </si>
  <si>
    <t xml:space="preserve">CAMARIN </t>
  </si>
  <si>
    <t>NC-116-23</t>
  </si>
  <si>
    <t>ROLANDO EMIHUEQUE</t>
  </si>
  <si>
    <t xml:space="preserve">COLABORADOR SUFRE HERIDA CORTANTE EN DEDO INDICE SUPERIOR IZQUIERDO AL GOLPEARSE CONTRA SILLA QUE SE ENCONTRABA EN CAMARIN, CUANDO SE ENCONTRABA CAMBIANDO SU VESTIMENTA PARA INGREZAR A TRABAJAR </t>
  </si>
  <si>
    <t>MALAGUEÑO VILLALOBOS</t>
  </si>
  <si>
    <t>18957463-0</t>
  </si>
  <si>
    <t>SALA BOMBA PERACETICO</t>
  </si>
  <si>
    <t>COLABORADOR SUFRE QUEMADURA EN ZONA GEMERAL DE PIERNA IZQUIERDA POR CONTACTO CON PRODUCTO QUÍMICO,CUANDO SE ENCONTRABA REALIZANDO LABORES DE REVISION DE BOMBA DE PERACETICO</t>
  </si>
  <si>
    <t>LUCERO ROJAS</t>
  </si>
  <si>
    <t>18628732-0</t>
  </si>
  <si>
    <t>COLABORADOR SUFRE CONTUSION EN DEDO PULGAR INFERIOR DERECHO AL SER GOLPEADO POR BINS QUE ERA LLEVADO POR COMPAÑERO DE TRABAJO</t>
  </si>
  <si>
    <t>IBARRA</t>
  </si>
  <si>
    <t>11170619-0</t>
  </si>
  <si>
    <t>CALIBRADO PAVOS</t>
  </si>
  <si>
    <t>SEMAN 34</t>
  </si>
  <si>
    <t>COLABORADOR SUFRE MOLESTIA OCULAR POR PROYECCION DE PARTICULAS EN OJO IZQUIERDO CUANDO DE ENCONTRABA SACANDO VICESAR QUE ESTABAN ENRREDADAS</t>
  </si>
  <si>
    <t>HERNANDEZ DIAZ</t>
  </si>
  <si>
    <t>SERGIO</t>
  </si>
  <si>
    <t>19212501-4</t>
  </si>
  <si>
    <t>COLAGADO DE POLLO</t>
  </si>
  <si>
    <t>COLABORADOR SUFRE DOLENCIA EN ESPALDA POR MOVIMIENTO REPETITIVO AL REALIZAR LABOR DE GOLGADO DE PRODUCTO EN TROZADO DE POLLO AUTOMATICO</t>
  </si>
  <si>
    <t>GUERRA CABRERA</t>
  </si>
  <si>
    <t>17987132-7</t>
  </si>
  <si>
    <t>AFUERA DE PORTERIA</t>
  </si>
  <si>
    <t>NC-127-23</t>
  </si>
  <si>
    <t>COLABORADOR SUFRE TORSION EN PIE DERECHO POR CAIDA DISTINTO NIVEL CUANDO SE ECONTRABA BAJANDO DE FURGON DE TRANSPORTE</t>
  </si>
  <si>
    <t>GONZALEZ FERNANDEZ</t>
  </si>
  <si>
    <t>DENISSE</t>
  </si>
  <si>
    <t>15542013-8</t>
  </si>
  <si>
    <t>ROMANA PULPAS</t>
  </si>
  <si>
    <t>ROMANERO</t>
  </si>
  <si>
    <t>ROMANA DE PULPAS</t>
  </si>
  <si>
    <t xml:space="preserve">MAÑANA </t>
  </si>
  <si>
    <t>LUIS ESPEJO</t>
  </si>
  <si>
    <t>YESENIA VALDÉS</t>
  </si>
  <si>
    <t>COLABORA SUFRE  MOLESTIA OCULAR EN OJO DERECHOPOR PROYECCIÓN DE PARTICULAS LIQUIDAS CUANDO SE ENCONTRABA ORDENANDO SU PUESTO DE TRABAJO PARA COMENZAR EL TURNO</t>
  </si>
  <si>
    <t>GOMEZ FARIAS</t>
  </si>
  <si>
    <t>16341630-1</t>
  </si>
  <si>
    <t>MANTENIMIENTO</t>
  </si>
  <si>
    <t>JEFE DE MANTENCION</t>
  </si>
  <si>
    <t>CHILLER DE AIRE</t>
  </si>
  <si>
    <t>NC-124-23</t>
  </si>
  <si>
    <t xml:space="preserve">COLABORADOR SUFRE CONTUSIÓN EN CODO IZQUIERDO POR CAIDA MISMO NIVEL PRODUCTO DE HIELO PRESENTE EN SUPERFCIE DE TRANSITO EN EL SECTOR DE CHILER DE AIRE </t>
  </si>
  <si>
    <t>DROPPOINT</t>
  </si>
  <si>
    <t>LINEA DROPPOINT</t>
  </si>
  <si>
    <t xml:space="preserve">COLABORADOR SUFRE HERIDA SUPERFICIAL EN ROSTRO AL SER GOLPEADO CONTRA LATA DE ESTRUCTURA DE MAQUINA DROPPOINT CUANDO SE ENCONTRABA SACANDO UN ATASCO DE CAJAS </t>
  </si>
  <si>
    <t>CID ARAOS</t>
  </si>
  <si>
    <t>CLAUDIO</t>
  </si>
  <si>
    <t>19212600-2</t>
  </si>
  <si>
    <t>RECEPCIÓN DE POLLO</t>
  </si>
  <si>
    <t>NC-123-23</t>
  </si>
  <si>
    <t>COLABORADOR SUFRE HERIDA CORTANTE EN ZONA LUMBAR AL TENER CONTACTO CON PERFIL DE ESTRUCTURA METALICA AL PASAR POR BAJO DE CINTA TRANSPORTADORA.</t>
  </si>
  <si>
    <t xml:space="preserve">CARVAJAL CEPEDA </t>
  </si>
  <si>
    <t>MICHEL HERNAN</t>
  </si>
  <si>
    <t>17081441-K</t>
  </si>
  <si>
    <t>COODINADOR</t>
  </si>
  <si>
    <t>NC-113-24</t>
  </si>
  <si>
    <t>COLABORADOR SUFRE HERIDA CORTANTE POR ATRAPAMIENTO EN DEDO MEDIO DERECHO, CUANDO SE ENCONTRABA REALIZANDO INSPECCION EN INYECTORA CFS650 EN EL IQF 4</t>
  </si>
  <si>
    <t>CARANCIO NUÑEZ</t>
  </si>
  <si>
    <t xml:space="preserve">CRISTIAN </t>
  </si>
  <si>
    <t>13247799-K</t>
  </si>
  <si>
    <t>COLABORADOR SUFRE TORSION DE DEDO PULGAR IZQUIERDO AL SER GOLPEADO CONTRA BANDEJA CUANDO SE ENCONTRABA ARMANDO PALLETS CON BLOQUES</t>
  </si>
  <si>
    <t>CANTILLANA CARDENAS</t>
  </si>
  <si>
    <t>ACLICIO</t>
  </si>
  <si>
    <t>9868246-5</t>
  </si>
  <si>
    <t xml:space="preserve">REPORTE LINEA ISHIDA </t>
  </si>
  <si>
    <t xml:space="preserve">ANDEN </t>
  </si>
  <si>
    <t>COLABORADOR SUFRE HERIDA ABRASIVA EN PIERNA IZQUIERDA AL SER GOLPEADO POR PALLET QUE CAE DESDE ALTURA CUANDO SE ENCONTRABA MOVILIZANDO ESTOS HACIA ANDEN UTILIZANDO TRANSPALETA MANUAL</t>
  </si>
  <si>
    <t>CANALES NAVARRO</t>
  </si>
  <si>
    <t>AILIN</t>
  </si>
  <si>
    <t>20424089-2</t>
  </si>
  <si>
    <t>COLABORADORA DE IQF-CALIBRADO SUFRIO GOLPE EN DEDO ANULAR DE MANO DERECHA POR CAIDA DE UNA PECHIGA CONGELADA DESDE EL CAPACHO UEGO DE QUE ESTE SE LLENARA EN LINEA DE EMPACADO</t>
  </si>
  <si>
    <t>CAMPOS DIAZ</t>
  </si>
  <si>
    <t>11696586-0</t>
  </si>
  <si>
    <t>ENCARGADO SSGG</t>
  </si>
  <si>
    <t>ECORILES</t>
  </si>
  <si>
    <t>NC-112-23</t>
  </si>
  <si>
    <t>SERGIO AQUEVEQUE</t>
  </si>
  <si>
    <t>COLABORADOR SUFRE PICADURA DE AVEJA EN ROSTRO Y ESPALDA CUANDO SE ENCONTRABA MOVIENDO CARRO QUE SE ENCONTRABA SOBRE PASTO EN SECTOR DE ECORILES</t>
  </si>
  <si>
    <t>MAQUINA HQ NORTE</t>
  </si>
  <si>
    <t>SEMANA 36</t>
  </si>
  <si>
    <t xml:space="preserve">COLABORADOR SUFRE CORTE EN BOTA DE IZQUIERDA CON CUCHILLO DE TENDON PRESENTE EN MAQUINA HQ NORTE AL MOMENTO DE EMPUJAR UN CARRO DE MAQUINA QUE SE ENCONTRABA ATASCADO </t>
  </si>
  <si>
    <t>BRAVO SAEZ</t>
  </si>
  <si>
    <t>14006048-8</t>
  </si>
  <si>
    <t>PULPAS A</t>
  </si>
  <si>
    <t>MOVILIZADOR</t>
  </si>
  <si>
    <t>DESPACHO FRESCO</t>
  </si>
  <si>
    <t xml:space="preserve">COLABORADOR SUFRE HERIDA CORTANTE EN NARIZ AL SER GOLPEADO CONTRA ESTRUCTURA METALICA SOBRESALIENTE DE CARRO METALICO CUANDO SE ENCONTRABA AYUDANDO A GRUERO A SACAR FIERRO DE CARRO QUE SE ENCONTRABA ATASCADO </t>
  </si>
  <si>
    <t>BENOIT</t>
  </si>
  <si>
    <t>RINEL</t>
  </si>
  <si>
    <t>26237764-4</t>
  </si>
  <si>
    <t>COLABORADOR SUFRE CONTUSION EN RODILLA DERECHA AL SER GOLPEADO POR EQUIPO DE MOVIMIENTO DE CARGA</t>
  </si>
  <si>
    <t>BALLADARES VILLAVICENCIO</t>
  </si>
  <si>
    <t>17398280-1</t>
  </si>
  <si>
    <t>DESPACHO CONGELADO</t>
  </si>
  <si>
    <t>COLABORADOR SUFRE TORSIÓN EN MUÑECA IZQUIERDA AL SER GOLPEADO POR CAJA QUE CAE DESDE PALLETS CUANDO SE ENCONTRABA REPARANDO CAJAS</t>
  </si>
  <si>
    <t>JUAN</t>
  </si>
  <si>
    <t>LGF6</t>
  </si>
  <si>
    <t>TALLER MANTENIMIENTO</t>
  </si>
  <si>
    <t>Equipo electricos</t>
  </si>
  <si>
    <t>Contacto con electricidad</t>
  </si>
  <si>
    <t>COLABORADOR SUFRE GOLPE DE CORRIENTE EN MANO IZQUIERDA POR CONTACTO CON TABLERO DE PRUEBA</t>
  </si>
  <si>
    <t xml:space="preserve">AHUMADA CARRASCO </t>
  </si>
  <si>
    <t>BENJAMIN</t>
  </si>
  <si>
    <t>20783005-4</t>
  </si>
  <si>
    <t xml:space="preserve">EVISCERADO  </t>
  </si>
  <si>
    <t>COLABORADOR SUFRE TORSION EN MUÑECA DERECHA AL GOLPEARSE CONTRA BARANDA DE ESCALERA QUE SE ENCUENTRA EN SALA DE EVISCERADO</t>
  </si>
  <si>
    <t>AGUILERA SERRANO</t>
  </si>
  <si>
    <t>MARITZA</t>
  </si>
  <si>
    <t>12859577-5</t>
  </si>
  <si>
    <t>REPORTE LINEA ISHIDA</t>
  </si>
  <si>
    <t>MAQUINA MONTEZA</t>
  </si>
  <si>
    <t>NC-120-23</t>
  </si>
  <si>
    <t>COLABORADORA SUFRE QUEMADURA EN ANTE BRAZO DERECHO POR CONTACTO CON ESTRUCTURA METALICA AL SACAR CAJA DE PRDUCTO QUE SE ENCONTRABA DENTRO DE MAQUINA MONTEZA ESTO DEBIDO AL CORTE DE ENERGIA EN LA PLANTA.</t>
  </si>
  <si>
    <t>SEPTIEMBRE</t>
  </si>
  <si>
    <t>SEPULVEDA SOTO</t>
  </si>
  <si>
    <t>NELLY</t>
  </si>
  <si>
    <t>9455533-7</t>
  </si>
  <si>
    <t>SEMANA 37</t>
  </si>
  <si>
    <t>NC-132-23</t>
  </si>
  <si>
    <t>COLABORADORA SUFRE CAIDA MISMO NIVEL CUANDO AL PISAR SUPERFICIE DE TRANSITO QUE SE ENCONTRABA SIN REJA DE PROTECCION DE DESAHUE EN PASILLO DE IQF4</t>
  </si>
  <si>
    <t>ESACALERA MAQUINA HQ NORTE</t>
  </si>
  <si>
    <t>COLABORADOR SUFRE DOLOR EN PIERNA IZQUIERDA AL RESBALAR CUANDO SE ENCONTRABA BAJANDO DE ESCALERA EN MAQUINA HQ NORTE</t>
  </si>
  <si>
    <t>ROJAS QUINTERO</t>
  </si>
  <si>
    <t>MARIO</t>
  </si>
  <si>
    <t>16342271-9</t>
  </si>
  <si>
    <t>SALA DE EMPAQUE</t>
  </si>
  <si>
    <t>CLABORADOR SUFRE DOLOR EN PARILLA COSTAL DERECHA POR SOBREESFUERZO CUANDO SE ENCONTRABA REARMANDO PALLETS CON CAJAS</t>
  </si>
  <si>
    <t>RIQUELME ZUÑIGA</t>
  </si>
  <si>
    <t>20654845-2</t>
  </si>
  <si>
    <t>PUERTA DE TUNEL 6</t>
  </si>
  <si>
    <t>COLABORADOR SUFRE CONTUSION EN DEDO INDICE DERECHO AL SER GOLPEADO CONTRA PUERTA DE TUNEL 6, CUANDO SE ENCONTRABA ABRIENDO ESTA QUE SE ENCONTRABA CON HIELO.</t>
  </si>
  <si>
    <t>ACEVEDO VIDAL</t>
  </si>
  <si>
    <t>17802680-1</t>
  </si>
  <si>
    <t>COLABORADOR SUFRE CONTUSION EN PIERNA DERECHA A SER GOLPEADO CONTRA TRANSPALETA MANUAL CUANDO SE ENCONTRABA POSICIONANDO PALLETS</t>
  </si>
  <si>
    <t>SEMANA 38</t>
  </si>
  <si>
    <t xml:space="preserve">COLABORADORA SUFRE CONTUSION EN REGION DERECHO SUPERIOR DEL TORAX AL SER GOLPEADO CONTRA MANILLA DE TRANSPALETA </t>
  </si>
  <si>
    <t>PAREDES JEREZ</t>
  </si>
  <si>
    <t>8390041-5</t>
  </si>
  <si>
    <t>LINEA DE PROLIJADO</t>
  </si>
  <si>
    <t xml:space="preserve">COLABORADORA SUFRE CONTUSION EN ANTEBRAZO DERECHO Y ZONA LUMABAR POR CAIDA MISMO NIVEL AL RESBALAR CON RESTOS CARNICOS QUE SE ENCONTRABAN EN SUPERFICIE DE TRANSITO </t>
  </si>
  <si>
    <t>COLABORADORA SUFRE CONTUSION EN ZONA PARIETAL DERECHA AL SER GOLPEADA POR CAJA QUE CAE DESDE PALLETS CUANDO SE ENCONTRABA SACANDO UNA CAJA QUE SE ENCONTRABA ROTA</t>
  </si>
  <si>
    <t>MARTINEZ ARIAS</t>
  </si>
  <si>
    <t>18216441-0</t>
  </si>
  <si>
    <t>SEMANA 39</t>
  </si>
  <si>
    <t>ANTONIO RIVAS</t>
  </si>
  <si>
    <t>COLABORADOR SUFRE HERIDA CORTANTE EN MANO DERECHA AL TENER CONTACTO CON CUCHILLO CUANDO SE ENCONTRABA LAVANDO SUS MANOS</t>
  </si>
  <si>
    <t>FREMIAU</t>
  </si>
  <si>
    <t>MYRTHIL</t>
  </si>
  <si>
    <t>26431200-0</t>
  </si>
  <si>
    <t>TROZADOD DE POLLO</t>
  </si>
  <si>
    <t>COLABORADOR SUFRE HERIDA CORTANTE EN MUÑECA IZQUIERDA AL TENER CONTACTO CON CHORRO DE AGUA PROVENIENTE DESDE HIDROLAVADORA MIENTRAS REALIZABA ASEO PREOPERACIONAL</t>
  </si>
  <si>
    <t>OTAROLA OGALDE</t>
  </si>
  <si>
    <t>13919701-1</t>
  </si>
  <si>
    <t>LINEA 2 SELECCIÓN DE ALA MEDIA</t>
  </si>
  <si>
    <t>COLABORADORA SUFRE CONTUSION EN ZONA PARIETAL IZQUIERDA AL SER GOLPEADA POR GANCHO METALICO QUE CAE DESDE LINEA 2 CUANDO SE ENCONTRABA DESARROLLANDO LABORES DE SELECCIÓN DE ALA MEDIA</t>
  </si>
  <si>
    <t>TORO CANIULAO</t>
  </si>
  <si>
    <t>20464275-3</t>
  </si>
  <si>
    <t>IQF CALIBRADO B</t>
  </si>
  <si>
    <t>NC-133-23</t>
  </si>
  <si>
    <t>Herramientas de mano</t>
  </si>
  <si>
    <t>COLABORADOR SUFRE HERIDA CORTANTE EN DEDO ANULAR IZQUIERDO POR CONTACTO CON HERRAMIENTA DE MANO CARTONERO DE SEGURIDAD EL EVENTO SE PRODUJO CUANDO SE ENCONTRABA CAMBIANDO ROLLLO DE FILMS DE CINTA SUPER CONTAC</t>
  </si>
  <si>
    <t>CÁMARA</t>
  </si>
  <si>
    <t>COLABORADORA SUFRE MOLESTIA OCULAR POR PROYECCION DE PARTICULAS SOLIDAS EN OJO IZQUIERDO CUANDO SE ENCONTRABA ARMANDO UN PALLETS</t>
  </si>
  <si>
    <t>OCTUBRE</t>
  </si>
  <si>
    <t>ESPINOZA ORELLANA</t>
  </si>
  <si>
    <t>21389844-2</t>
  </si>
  <si>
    <t>REPASADORA DE CONTRES</t>
  </si>
  <si>
    <t>SEMANA 40</t>
  </si>
  <si>
    <t>NC-135-23</t>
  </si>
  <si>
    <t>COLABORADOR SUFRE HERIDA POR ATRICIÓN EN PALMA DE MANO IZQUIERDA POR ATRAPAMIENTO CON RODILLOS DE MAQUINA REPASADORA DE CONTRES</t>
  </si>
  <si>
    <t>COLABORADORA SUFRE CONTUSION EN RODILLA IZQUIERDA POR CAIDA MISMO NIVEL AL RESBALAR PROPUCTO DE HIELO PRESENTE EN SUPERFICIE DE TRABAJO CUANDO SE ENCONTRABA ENVOLVIENDO PALLETS CON FILMS</t>
  </si>
  <si>
    <t>SEMANA 42</t>
  </si>
  <si>
    <t>NC-148-23</t>
  </si>
  <si>
    <t xml:space="preserve">COLABORADORA SUFRE CONTUSIÓN EN CABEZA AL SER GOLPEADA POR CAJA CON PRODUCTO QUE CAE DESDE PALLETS CUANDO SE ENCONTRABA ACOMODANDO PALLETS EN SALA DE EMPAQUE </t>
  </si>
  <si>
    <t>SALA DE DESHUESADO</t>
  </si>
  <si>
    <t>COLABORADOR SUFRE CONTUSÓN EN PIERNA DERECHA AL SER GOLPEADO POR BANDEJAS Y BARRERA DE CONTECIÓN</t>
  </si>
  <si>
    <t>COLABOROR SUFRE TORSION EN MUÑECA DERECHA AL SER GOLPEADO POR MOTOR CUANDO SE ENCONTRABA TRANSLADANDOLO POR ESACALERAS EN SALA DE RECEPCION DE POLLO</t>
  </si>
  <si>
    <t>ERIKA AGUILAR</t>
  </si>
  <si>
    <t>ROCIO</t>
  </si>
  <si>
    <t>SEMANA 43</t>
  </si>
  <si>
    <t>COLABORADORA SUFRE CONTUSIÓN EN TOBILLO DERECHO AL SER GOLPEADA POR TRANSPALETA CUANDO SE ENCONTRABA DE PIE JUNTO A UN PALLET EN SALA DE EMPAQUE DE TUNEL</t>
  </si>
  <si>
    <t>MENDOZA ROJAS</t>
  </si>
  <si>
    <t>17082025-8</t>
  </si>
  <si>
    <t>ASEO ZONA SUCIA</t>
  </si>
  <si>
    <t>NC-149-23</t>
  </si>
  <si>
    <t>COLABORADOR SUFRE QUEMADURA EN ZONA POSTERIOR DEL CUELLO AL TENER CONTACTO CON DETERGENTE (PRODUCTO QUIMICO), CUANDO SE ENCONTRABA REALIZANDO LIMPIEZA  A MAQUINA REPAZADORA EN SALA DESPLUMADO DE POLLO.</t>
  </si>
  <si>
    <t>FARFAN BENAVIDES</t>
  </si>
  <si>
    <t>ALVARO</t>
  </si>
  <si>
    <t>19601610-4</t>
  </si>
  <si>
    <t>SEMAN 43</t>
  </si>
  <si>
    <t>COLABORADOR SUFRE MOLESTIA OCULAR POR PROYECCION DE PARTICULAS (PRODUCTO CÁRNICO) EN OJO DERECHO, CUANDO SE ENCONTRABA ESPERANDOLLENADO DE BINS CON PRODUCTO EN SALA DE TROZADO AUTOMATICO</t>
  </si>
  <si>
    <t xml:space="preserve">MANRRIQUEZ SEPULVEDA </t>
  </si>
  <si>
    <t>19055010-9</t>
  </si>
  <si>
    <t>COLABORADOR SUFRE CONTUSION EN ZONA LUMBAR POR CAIDA DE MISMO NIVEL PRODUCTO DE HIELO PRESENTE EN SUPERFICIE DE TRANSITO AL INTERIOR DE CAMARA 202</t>
  </si>
  <si>
    <t>CODICION</t>
  </si>
  <si>
    <t>PEREZ GOMEZ</t>
  </si>
  <si>
    <t>18427428-0</t>
  </si>
  <si>
    <t>SEMANA 44</t>
  </si>
  <si>
    <t xml:space="preserve">COLABORADOR SUFRE CONTUSION EN PIE DERECHO ALSER GOLPEADO POR PALLETS </t>
  </si>
  <si>
    <t>REEMPLAZO</t>
  </si>
  <si>
    <t>HUERTA ZAPATA</t>
  </si>
  <si>
    <t>MARCO</t>
  </si>
  <si>
    <t>15649302-3</t>
  </si>
  <si>
    <t>COLABORADOR SUFRE DOLENCIA EN ZONA LUMBAR POR SOBREESFUERZO AL MOMENTO DE AGACHARSE PARA SACAR UN ESPOLIN DE MAQUINA SUPER CONTAC 1</t>
  </si>
  <si>
    <t>NOVIEMBRE</t>
  </si>
  <si>
    <t>COLABORADOR SUFRE CONTUSION EN PIE IZQUIERDO AL SER GOLPEADO POR PALLETS QUE ESTABA SIENDO TRASLADADO POR EQUIPO DE MOVIMIENTO DE CARGA</t>
  </si>
  <si>
    <t>VIDAL CESPEDES</t>
  </si>
  <si>
    <t>19412589-5</t>
  </si>
  <si>
    <t>DESAPILADO DE JAVAS</t>
  </si>
  <si>
    <t xml:space="preserve">COLABORADOR SUFRE CONTUSION EN AMBAS PIERNAS POR CAIDA DE MISMO NIVEL AL TROPESAR CON ESTRUCTURA DE PALLETS CUANDO SE ENCONTRABA DESAPILANDO JAVAS </t>
  </si>
  <si>
    <t>BASAURE CONSTANZO</t>
  </si>
  <si>
    <t>ISAIAS</t>
  </si>
  <si>
    <t>20227464-1</t>
  </si>
  <si>
    <t>ANDEN</t>
  </si>
  <si>
    <t>SEMANA 45</t>
  </si>
  <si>
    <t>COLABORADOR SUFRE CONTUSION EN DEDO MEDIO DE MANO DERECHA AL SER GOLPEADO CONTRA EQUIPO MOVIL DE CARGA Y ESTRUCTUCTURA METALICA</t>
  </si>
  <si>
    <t>ARAYA ORELLANA</t>
  </si>
  <si>
    <t>GABRIEL</t>
  </si>
  <si>
    <t>20136224-5</t>
  </si>
  <si>
    <t>FERNANDO HENRIQUEZ</t>
  </si>
  <si>
    <t>COLABORADOR SUFRE CONTUSION EN ANTEBRAZO IZQUIERDO AL SER GOLPEADO POR GUIA DE DESCOLGADOR DE POLLO</t>
  </si>
  <si>
    <t>SAEZ JARA</t>
  </si>
  <si>
    <t>GASTON</t>
  </si>
  <si>
    <t>11199075-1</t>
  </si>
  <si>
    <t>LINEA ISHIDA</t>
  </si>
  <si>
    <t>NC-151-23</t>
  </si>
  <si>
    <t>MUÑOZ CORTEZ</t>
  </si>
  <si>
    <t>EDUARDO</t>
  </si>
  <si>
    <t>12357732-9</t>
  </si>
  <si>
    <t>CAMARA CALIBRADO</t>
  </si>
  <si>
    <t>COLABORADOR SUFRE DOLENCIA EN  PIERNA IZQUIERDA POR SOBREESFUERZO AL MOVILIZAR INSUMOS CON TRANSPALETA MANUAL</t>
  </si>
  <si>
    <t>LUNICE</t>
  </si>
  <si>
    <t>26229537-0</t>
  </si>
  <si>
    <t xml:space="preserve">OPERARIO </t>
  </si>
  <si>
    <t>IQF-2</t>
  </si>
  <si>
    <t>NC-152-23</t>
  </si>
  <si>
    <t>COLABORADOR SUFRE HERIDA CORTANTE EN DEDO ANULAR DERECHO POR GOLPE CONTRA FIERRO PICA HIELO CORRESPONDIENTE AL EQUIPO IQF-2</t>
  </si>
  <si>
    <t>PASILLO DESHUESADO</t>
  </si>
  <si>
    <t>COLABORADORA SUGRE GOLPE EN HOMBRO Y MANO IZQUIERDA AL IR TRANSITANDO  HACIA PASILLO DE DESHUESADO, EL ACCIDENTE OCURRE AL MOMENTO DE QUE COINCIDE CON UN MOVILIZADOR QUE TRANSPORTABA DOS BINS CON TRANSPALETA MANUAL, AL GIRAR UNO DE ESTOS CAE GOLPEANDO LA EXTREMIDAD SUPERIOR DE LA COLABORADORA.</t>
  </si>
  <si>
    <t>HERMOSILLA TOBAR</t>
  </si>
  <si>
    <t>PAZ</t>
  </si>
  <si>
    <t>11170434-1</t>
  </si>
  <si>
    <t>SALA DE PROCESOS</t>
  </si>
  <si>
    <t>SEMANA 46</t>
  </si>
  <si>
    <t>COLABORADORA SUFRE CONTUSION EN ZONA LUMBAR Y HOMBRO DERECHO POR CAIDA DE MISMO NIVEL PRODUCTO DE SUPERFICIE DE TRANSITO CON PRESENCIA DE AGUA</t>
  </si>
  <si>
    <t>ALBURQUENQUE CACERES</t>
  </si>
  <si>
    <t>ARACELI</t>
  </si>
  <si>
    <t>17623209-9</t>
  </si>
  <si>
    <t>SALA ETIQUETADO</t>
  </si>
  <si>
    <t xml:space="preserve">TARDE </t>
  </si>
  <si>
    <t>JAVIERA BASTIAS</t>
  </si>
  <si>
    <t>COLABORADORA SUFRE ATRISION DE MANO XXXX AL TENER CONTACTO CON RESORTE DE CINTA DE MAQUINA EN CALIBRADO</t>
  </si>
  <si>
    <t>BRAVO GUAICO</t>
  </si>
  <si>
    <t>YESENIA</t>
  </si>
  <si>
    <t>17224758-K</t>
  </si>
  <si>
    <t>COLABORADORA SUFRE CONTUSION EN ORBITA OCULAR IZQUIERDA AL SER GOLPEADA POR PRODUCTO CONGELADO EN SALA DE CALIBRADO</t>
  </si>
  <si>
    <t>PALMA MUÑOZ</t>
  </si>
  <si>
    <t>BASTIAN</t>
  </si>
  <si>
    <t>20136459-0</t>
  </si>
  <si>
    <t>TUNEL CALIBRADO</t>
  </si>
  <si>
    <t>COLABORADOR SUFRE CONTUSION EN EN ANTEBRAZO DERECHO AL SER GOLPEADO CONTRA ESTRELLA DE CINTA TRANSPORTADORA</t>
  </si>
  <si>
    <t xml:space="preserve"> </t>
  </si>
  <si>
    <t>Acc. CTP</t>
  </si>
  <si>
    <t>DiaSuceso</t>
  </si>
  <si>
    <t>AGENTE ACC.</t>
  </si>
  <si>
    <t>TIPOLOGIA LESION</t>
  </si>
  <si>
    <t>TIPO ACC.</t>
  </si>
  <si>
    <t>ACCION INSEGURA</t>
  </si>
  <si>
    <t>INVESTIGACIÓN 
DE ACCIDENTE</t>
  </si>
  <si>
    <t>Naturaleza Lesion</t>
  </si>
  <si>
    <t>Acc. STP</t>
  </si>
  <si>
    <t>EP CTP</t>
  </si>
  <si>
    <t>Lunes</t>
  </si>
  <si>
    <t>Contacto con sustancias corrosivas</t>
  </si>
  <si>
    <t>Operar sin autorizacion</t>
  </si>
  <si>
    <t>EP STP</t>
  </si>
  <si>
    <t>Martes</t>
  </si>
  <si>
    <t>Temperatura Extrema</t>
  </si>
  <si>
    <t>Cara</t>
  </si>
  <si>
    <t>Herida punzante</t>
  </si>
  <si>
    <t>Operar a velocidad insegura</t>
  </si>
  <si>
    <t>Acc. Trayecto</t>
  </si>
  <si>
    <t>Miercoles</t>
  </si>
  <si>
    <t>Herida abrasiva</t>
  </si>
  <si>
    <t>Omitir o neutralizar dispositivos de seguridad</t>
  </si>
  <si>
    <t>Acc. Grave</t>
  </si>
  <si>
    <t>Jueves</t>
  </si>
  <si>
    <t>Contusion</t>
  </si>
  <si>
    <t>Uso inadecuado de herramientas y elementos de proteccion</t>
  </si>
  <si>
    <t>Acc. Fatal</t>
  </si>
  <si>
    <t>Viernes</t>
  </si>
  <si>
    <t>Mal manejo de materiales</t>
  </si>
  <si>
    <t>NAT</t>
  </si>
  <si>
    <t>Sábado</t>
  </si>
  <si>
    <t xml:space="preserve"> Equipos Transporte de carga</t>
  </si>
  <si>
    <t>Amputacion</t>
  </si>
  <si>
    <t>Ubicarse en posiciones y posturas inseguras</t>
  </si>
  <si>
    <t>NEP</t>
  </si>
  <si>
    <t>Domingo</t>
  </si>
  <si>
    <t>piernas</t>
  </si>
  <si>
    <t>Lumbago</t>
  </si>
  <si>
    <t xml:space="preserve">Golpeado por </t>
  </si>
  <si>
    <t xml:space="preserve">Intervenir equipos energizados y/o en movimiento </t>
  </si>
  <si>
    <t>NAT Trayecto</t>
  </si>
  <si>
    <t>SUMINISTRO</t>
  </si>
  <si>
    <t>No uso de equipos proteccion personal</t>
  </si>
  <si>
    <t>Arrastre Acc. CTP</t>
  </si>
  <si>
    <t>PERSONAL</t>
  </si>
  <si>
    <t>Multiple</t>
  </si>
  <si>
    <t>No respeta señaletiza</t>
  </si>
  <si>
    <t>Arrastre EP</t>
  </si>
  <si>
    <t>DICIEMBRE</t>
  </si>
  <si>
    <t>Lesion interna</t>
  </si>
  <si>
    <t>Accion de terceros</t>
  </si>
  <si>
    <t>Arrastre Acc. Trayecto</t>
  </si>
  <si>
    <t>Esguince</t>
  </si>
  <si>
    <t>Uso de vestuario o elementos inadecuados</t>
  </si>
  <si>
    <t>77 BIS</t>
  </si>
  <si>
    <t>Shock Electrico</t>
  </si>
  <si>
    <t>Conducta o coportamiento inadecuado</t>
  </si>
  <si>
    <t>Reingreso Acc.</t>
  </si>
  <si>
    <t>Animales - insectos</t>
  </si>
  <si>
    <t>Muscular</t>
  </si>
  <si>
    <t>No advertir ni señalar</t>
  </si>
  <si>
    <t>Reingreso EP</t>
  </si>
  <si>
    <t>Actuar sin avisar u orden</t>
  </si>
  <si>
    <t>Reingreso trayecto</t>
  </si>
  <si>
    <t>Desviarse del procedimiento de trabajo</t>
  </si>
  <si>
    <t>Mal uso de EPP</t>
  </si>
  <si>
    <t>Nº NC/PNC</t>
  </si>
  <si>
    <t>CLASIFICACIÓN EMERGENCIA</t>
  </si>
  <si>
    <t>TIPO EMERGENCIA</t>
  </si>
  <si>
    <t>FECHA INCIDENTE</t>
  </si>
  <si>
    <t>HORA INCIDENTE</t>
  </si>
  <si>
    <t>FECHA DENUNCIA</t>
  </si>
  <si>
    <t xml:space="preserve">AREA </t>
  </si>
  <si>
    <t>LUGAR ESPECIFICO</t>
  </si>
  <si>
    <t>CAUSA</t>
  </si>
  <si>
    <t>EQUIPO</t>
  </si>
  <si>
    <t>DAÑO OCASIONADO</t>
  </si>
  <si>
    <t>ORGANISMO EXTERNO APOYO</t>
  </si>
  <si>
    <t>PARTICIPACION BRIGADA</t>
  </si>
  <si>
    <t>EVALUADO EN MATRIZ</t>
  </si>
  <si>
    <t>DESCRPCIÓN DE LA EMERGENCIA</t>
  </si>
  <si>
    <t>Paico</t>
  </si>
  <si>
    <t>SEG./AMBIENTE</t>
  </si>
  <si>
    <t>Fugas</t>
  </si>
  <si>
    <t>CARLOS JIMEZ</t>
  </si>
  <si>
    <t>CAMARINES 3-4</t>
  </si>
  <si>
    <t xml:space="preserve">Reaccion quimica </t>
  </si>
  <si>
    <t xml:space="preserve">Malestares respiratorios </t>
  </si>
  <si>
    <t>se detecta presencia de humo en pasillo principal provocado por una reacción química producida en los camarines N° 3 Y N°4, esta reacción se produce ya que con la finalidad de destapar una cañería se aplica alrededor de 8 a 10 litros de acido lo que al mezclarse con residuos de cloro del día anterior y restos líquidos propios de un baño ocasiono una nube toxica que provocó diversas reacciones en algunos colaboradores.</t>
  </si>
  <si>
    <t xml:space="preserve">N° 62-23. </t>
  </si>
  <si>
    <t>Amago de Incendio</t>
  </si>
  <si>
    <t>CASINO</t>
  </si>
  <si>
    <t>ANGELICA DIAZ</t>
  </si>
  <si>
    <t>JOSE LUIS SANTIBAÑEZ</t>
  </si>
  <si>
    <t>SERVICIO CASINO</t>
  </si>
  <si>
    <t>AMAGO DE INCENDIO/SOBRECARGA DE CONEXION ELECTRICA</t>
  </si>
  <si>
    <t>Cableado electrico - Canal electrica</t>
  </si>
  <si>
    <t>El día Martes 16 de Mayo del 2023 a las 13:10 hrs durante servicio de almuerzo en línea de servicio casino, se percibe olor a quemado de la canaleta de red eléctrica, comenzando posteriormente a generarse llamaradas (Amago de Incendio) en la canal eléctrica.</t>
  </si>
  <si>
    <t>N° 81-23.</t>
  </si>
  <si>
    <t>SEGURIDAD</t>
  </si>
  <si>
    <t>Daños estructurales</t>
  </si>
  <si>
    <t>23-06-2023</t>
  </si>
  <si>
    <t>Sala de Pulpa</t>
  </si>
  <si>
    <t>Fatiga estructural</t>
  </si>
  <si>
    <t xml:space="preserve">Caida de cielo Falto de sala </t>
  </si>
  <si>
    <t>DURANTE LA MADRUGA DEL DIA VIERNES 23, SIENDO LAS 03:02 MIN APROX. SE DESPRENDEN 4 PLANCHAS DE CIELO FALSO UBICADAS EN SALA DE PULPA LAS CUALES CAYERON SOBRE MAQUINA PRINCE. NO GENERO DAÑOS A  PERSONAS Y TAMPOCO AL PROCESO DEBIDO A QUE OCURRIO EN HORARIO NO PRODUCTIVO</t>
  </si>
  <si>
    <t>N° 130-23</t>
  </si>
  <si>
    <t>SEG/AMB/CALIDAD</t>
  </si>
  <si>
    <t>Fuga Amoniaco</t>
  </si>
  <si>
    <t>Sección Pulpas, Congelado de Placas</t>
  </si>
  <si>
    <t xml:space="preserve">ROPTURA DE CAÑERIA </t>
  </si>
  <si>
    <t>ROPTURA DE CAÑERIA</t>
  </si>
  <si>
    <t>Siendo, aproximadamente las 13:50 horas, encargado de línea, Cristian Veliz, informa que se presentó fuga de amoniaco en flexible N°3 del congelador de placas DSI Sur. Por lo cual, se procedió a evacuar de inmediato al personal del sector.
Se realizó medición de la concentración en el foco de la fuga, el registro fue de 80 PPM, también se realizaron mediciones en zonas aledañas para determinar el alcance de la fuga.</t>
  </si>
  <si>
    <t>Sismos</t>
  </si>
  <si>
    <t>AMBIENTAL</t>
  </si>
  <si>
    <t>Terremoto</t>
  </si>
  <si>
    <t>Sistemas Frontales</t>
  </si>
  <si>
    <t>INOCUIDAD</t>
  </si>
  <si>
    <t>Explosiones</t>
  </si>
  <si>
    <t>Derrames</t>
  </si>
  <si>
    <t>AMB/CALIDAD</t>
  </si>
  <si>
    <t>Incendios químicos</t>
  </si>
  <si>
    <t>SEG/CALIDAD</t>
  </si>
  <si>
    <t>Incendio</t>
  </si>
  <si>
    <t>Incendio forestal</t>
  </si>
  <si>
    <t>Accidente grave o fatal</t>
  </si>
  <si>
    <t>Emergencia Sanitaria</t>
  </si>
  <si>
    <t>Huelgas y/o manifestaciones</t>
  </si>
  <si>
    <t>Terrorismo</t>
  </si>
  <si>
    <t>Bioterrorismo</t>
  </si>
  <si>
    <t>Exposición qca.</t>
  </si>
  <si>
    <t>Volcamiento Vehiculos</t>
  </si>
  <si>
    <t xml:space="preserve">CLASIF </t>
  </si>
  <si>
    <t>DESCRIPCION LESION</t>
  </si>
  <si>
    <t>VERGARA ZAMBRANO</t>
  </si>
  <si>
    <t>MARÍA TERESA</t>
  </si>
  <si>
    <t>13679888-K</t>
  </si>
  <si>
    <t>EP</t>
  </si>
  <si>
    <t>TMERT</t>
  </si>
  <si>
    <t>CERDA CASTAÑEDA</t>
  </si>
  <si>
    <t>14246415-2</t>
  </si>
  <si>
    <t>NO LEY</t>
  </si>
  <si>
    <t>A</t>
  </si>
  <si>
    <t>COLABORADOR SUFRE TORCION EN DEDO ANULAR DERECHO, AL CERRAR PORTON DE SU CASA CUANDO SALIA HACIA EL LUGAR DE TRABAJO.</t>
  </si>
  <si>
    <t xml:space="preserve">DONOSO OLGUIN </t>
  </si>
  <si>
    <t>18347480-4</t>
  </si>
  <si>
    <t>TRAYECTO</t>
  </si>
  <si>
    <t>B</t>
  </si>
  <si>
    <t>COLABORADOR AL SALIR DE LA PLANTA EN SU MOTOCICLETA ES COLICIONADO DE MANERA FRONTAL POR OTRO VEHICULO QUE TRANSITABA EN LA VIA PUBLICA</t>
  </si>
  <si>
    <t>MANCILLA SEPULVEDA</t>
  </si>
  <si>
    <t>LORETO</t>
  </si>
  <si>
    <t>18779013-1</t>
  </si>
  <si>
    <t xml:space="preserve">            </t>
  </si>
  <si>
    <t>Otro</t>
  </si>
  <si>
    <t>GOMEZ GOMEZ</t>
  </si>
  <si>
    <t>19502963-6</t>
  </si>
  <si>
    <t>SST</t>
  </si>
  <si>
    <t>COLABORADOR SE DIRIGIA A SU LUGAR DE TRABAJO EN TRANSPORTE PUBLICO CUANDO ES COLICIONADO EN LA PARE FRONTAL DERECHA PROBOCANDOLE CONTUSION EN EL BRAZO DERECHO</t>
  </si>
  <si>
    <t>MAULEN OSORIO</t>
  </si>
  <si>
    <t>ESAU</t>
  </si>
  <si>
    <t>16342948-9</t>
  </si>
  <si>
    <t>JORGE MESA</t>
  </si>
  <si>
    <t>EP SALUD MENTAL</t>
  </si>
  <si>
    <t>PAVEZ GALLEGUILLOS</t>
  </si>
  <si>
    <t>RAFAEL</t>
  </si>
  <si>
    <t>10714356-4</t>
  </si>
  <si>
    <t>JAQUELINE PAVEZ</t>
  </si>
  <si>
    <t>TRABAJADOR SUBRE COLICION POR ALCANSE CUANDO SE DIRIGIA A SU LUGAR DE TRABAJO</t>
  </si>
  <si>
    <t>YEVENES MARTINES</t>
  </si>
  <si>
    <t>17398725-0</t>
  </si>
  <si>
    <t>ADMINISTRATIVA</t>
  </si>
  <si>
    <t>COLABORADOR SUFRE CAIDA DE SU BICICLETA CUANDO SE ENCONTRABA EN EL INGRESANDO A LA PLANTA, GOLPEANDOSE EN HOMBRO IZQUERDO.</t>
  </si>
  <si>
    <t>HENRRIQUEZ VARGAS</t>
  </si>
  <si>
    <t xml:space="preserve">COLABORADOR SUFRE CAIDA DE SU MOTOCICLETA CUANDO IBA DE REGRESO A SU CASA </t>
  </si>
  <si>
    <t xml:space="preserve">VERA LOBOS </t>
  </si>
  <si>
    <t>CARLOS</t>
  </si>
  <si>
    <t>14307723-3</t>
  </si>
  <si>
    <t xml:space="preserve">COLABORADOR SUFRE CAIDA DESDE SU MOTOCICLETA AL INGRESO DE LA PLANTA, DEJANDO UNA HERIDA SUPERFICIAL </t>
  </si>
  <si>
    <t>COLABORADORA SUFRE DOLENCIA EN BRAZO DERECHO AL ESTAR AMBIANDO PRODUCTO ENTRE LINEAS DE PROCESO</t>
  </si>
  <si>
    <t>COLABORADORA SUFRE DOLENCIA EN BRAZO DERECHO AL ESTAR MOVIENDO PRODUCTO DE UNA LINEA A OTRA EN LINEA DESHUESADO</t>
  </si>
  <si>
    <t>ABARCA</t>
  </si>
  <si>
    <t>15964744-7</t>
  </si>
  <si>
    <t>COLABORADOR SUFRE CAIDA DE MOTOCICLETA CUANDO IBA DE REGRESO A SU HOGAR.</t>
  </si>
  <si>
    <t>VAZQUEZ CORRAL</t>
  </si>
  <si>
    <t>COLABORADOR REFIERE DOLENCIA EN CARA INTERNA DE MUÑECA IZQUIERDA AL MOMENTO DE MOVER PRODUCTOS EN LINEA DE PROCESO</t>
  </si>
  <si>
    <t>COLABORADORA SUFRE CAIDA DE MOTOCICLETA POR PISO RESBALADISO CUANDO SE DIRIGIA AL TRABAJO</t>
  </si>
  <si>
    <t>SILES GARCIA</t>
  </si>
  <si>
    <t>MARTINIANA</t>
  </si>
  <si>
    <t>26668433-9</t>
  </si>
  <si>
    <t>OPERARIA</t>
  </si>
  <si>
    <t>COLABORADORA INGRESA COMO EP EN ESTUDIO POR TRASTORNO PSICOSOCIAL</t>
  </si>
  <si>
    <t xml:space="preserve">COLABORADORA ES EXPUESTA A EVENTO TRAUMATICO CUANDO SE ENCONTRABA ESPERANDO LOCOMOCION HACIA SU HOGAR AFUERA DE LA PLANTA </t>
  </si>
  <si>
    <t>COLABORADOR SUFRE CONTUSION EN BRAZO Y PIERNA IZQUIERDA MAS GOLPE EN CABEZA, POR CAIDA DISTINTO NIVEL CUANDO SE DIRIGIA A SU DOMICIO EN MOTO</t>
  </si>
  <si>
    <t>SAN MARTIN</t>
  </si>
  <si>
    <t>PAOLA</t>
  </si>
  <si>
    <t>12683339-3</t>
  </si>
  <si>
    <t>COLABORA REFIERE DOLENCIA EN MUÑECA, CODO Y HOMBRO IZQUIERDO, AL REALIZAR SU LABOR.</t>
  </si>
  <si>
    <t>COLABORADORA ES VICTIMA DE ASALTO CUANDO SE DIRIA A SU LUGAR DE TRABAJO</t>
  </si>
  <si>
    <t>CONTRERAS SILVA</t>
  </si>
  <si>
    <t>DINA</t>
  </si>
  <si>
    <t>9926019-K</t>
  </si>
  <si>
    <t xml:space="preserve">JEAQUELINE PAVEZ </t>
  </si>
  <si>
    <t>COLABORADORA SUFRE CONTUSION EN HOMBRO, BRAZO Y RODILLA DERECHA POR CAIDA DISTINTO NIVEL AL SUBIR A BUS DE ACERCAMIENTO DE EMPRESA</t>
  </si>
  <si>
    <t>CORDINADOR</t>
  </si>
  <si>
    <t>C</t>
  </si>
  <si>
    <t>COLABORADOR SUFRE CONTUSION EN MUÑECA IZQUIERDA POR CAIDA DISTINTO NIVEL DESDE SU MOTOCICLETA CUANDO SE DIRIGIA A SU TRABAJO</t>
  </si>
  <si>
    <t>EMIHUEQUE VERGARA</t>
  </si>
  <si>
    <t>ROLANDO</t>
  </si>
  <si>
    <t>18921090-6</t>
  </si>
  <si>
    <t>RIQUELME TORRES</t>
  </si>
  <si>
    <t>14158421-9</t>
  </si>
  <si>
    <t>COLABORADORA REFIERE DOLOR DE MANO Y ANTEBRAZO DERECHO DESDE EL DIA 10-07-2023 AL REALIZAR SU LABOR DE PROLIJADO</t>
  </si>
  <si>
    <t xml:space="preserve">COLABORADORA SUFRE CAIDA DISTINTO NIVEL CUANO SE DIRIGIA A SU TRABAJO POR PERDIDS DE EQUILIBRIO EN SU BICICLETA </t>
  </si>
  <si>
    <t>SOTO BARRIA</t>
  </si>
  <si>
    <t>LAURA</t>
  </si>
  <si>
    <t>11527231-4</t>
  </si>
  <si>
    <t>COLABORADORA REFIERE DOLOR EN CODO CO IRRADIACIÓN HASTA MANO DERECHA, ESTO DEBIDO A SOBRE ESFUERSO EN SUS LABORES DE ASEO. FECHA DE INICIO DE DOLENCIA: 14-08-2023</t>
  </si>
  <si>
    <t>CHACON PEREZ</t>
  </si>
  <si>
    <t>ALBERTO</t>
  </si>
  <si>
    <t>19924259-8</t>
  </si>
  <si>
    <t>COLABORADORE REFIERE DOLOR ABDOMINAL, ESTADO DE ANIMO BAJO, FALTA DE APETITO SUGIERE QUE JEFE DE SERVICIOS GENERALES SIEMPRE LO AMANESA CON DESPEDIRLO</t>
  </si>
  <si>
    <t>CONTRERAS ARENAS</t>
  </si>
  <si>
    <t>BERNARDO</t>
  </si>
  <si>
    <t>9069694-7</t>
  </si>
  <si>
    <t>COLABORADOR SUFRE CONTUSION EN BRAZO DERECHO A SER GOLPEADO CONTRA ESTRUCTURA INTERNA DE BUS DE ACERCAMIENTO CUANDO IBA DE REGRESO A SU HOGAR, EL EVENTO SE PRODUJO POR FRENADA BRUSCA POR PARTE DE CHOFER A COCHAR PERRO QUE SE ENCONTRABA EN CAMINO PUBLICO</t>
  </si>
  <si>
    <t>ZAMORANO CARVALLO</t>
  </si>
  <si>
    <t>ROXANA</t>
  </si>
  <si>
    <t>14342782-K</t>
  </si>
  <si>
    <t>COLABORADORA SUFRE TORSION DE TOBILLO DERECHO POR CAIDA MISMO NIVEL CUANDO SE DIRIGIA A SU VEHICULO CON DIRECCION AL TRABAJO</t>
  </si>
  <si>
    <t>FARIAS GALLEGUILLOS</t>
  </si>
  <si>
    <t>20879430-2</t>
  </si>
  <si>
    <t>COLABORADOR SUFRE CONTUSIÓN EN CUELLO PRODUCTO DE IMPACTO EN FURGON DE TRANSPORTE CUANDO SE DIRIGIA A SU LUGAR DE TRABAJO</t>
  </si>
  <si>
    <t>CARRASCO PINTO</t>
  </si>
  <si>
    <t>16921753-K</t>
  </si>
  <si>
    <t>COLABORADORA REFIERE DOLOR EN CARA EXTERNA DE MANO IZQUIERDA CON IRRADIACION A MAÑECA Y MITAD DE ANTEBRAZO</t>
  </si>
  <si>
    <t>RUBIO SANCHEZ</t>
  </si>
  <si>
    <t>CRISTOBAL</t>
  </si>
  <si>
    <t>20871903-3</t>
  </si>
  <si>
    <t>COLABORADOR REFIERE DOLOR EN MUÑECA DERECHA ALREALIZAR LABORES DE COLGADO DE PECHUGA</t>
  </si>
  <si>
    <t>MIRANDA MARTINEZ</t>
  </si>
  <si>
    <t>JAVIERA</t>
  </si>
  <si>
    <t>20603793-8</t>
  </si>
  <si>
    <t>MIGUEL HENRIQUEZ</t>
  </si>
  <si>
    <t>COLABORADORA SUFRE TORSION DE PIE DERECHO AL SALIR DE SU CASA PARA ESPERAR VANS DE TRANSPORTE EMPRESA</t>
  </si>
  <si>
    <t xml:space="preserve">LOBOS NUÑEZ </t>
  </si>
  <si>
    <t>ANGELA</t>
  </si>
  <si>
    <t>15326593-3</t>
  </si>
  <si>
    <t>COLABORADORA REFIE DOLENCIA EN BRAZO AL MOMENTODE REALIZAR LABORES DE PICADO DE ALAS DE POLLO</t>
  </si>
  <si>
    <t>MANZO FUENTES</t>
  </si>
  <si>
    <t>BESSIE</t>
  </si>
  <si>
    <t>11228319-6</t>
  </si>
  <si>
    <t>COLABORADORA REFIERE DOLENCIA EN RODILLA DERECHA AL REALIZAR SUS LABORES HACE UN MES APROXIMADAMENTE</t>
  </si>
  <si>
    <t>VARGAS ARAOS</t>
  </si>
  <si>
    <t>DOMINIQUE</t>
  </si>
  <si>
    <t>18029918-1</t>
  </si>
  <si>
    <t>COLABORADORA SUFRE CONTUSION EN MANO IZQUIERDA, MAMO, RODILLA Y PIE IZQUIERDA POR CAIDA DE DISTINTO NIVEL CUANDO SE ENCONTRABA SUBIENDO A LOCOMOCION PARA LLEGAR AL TRABAJO</t>
  </si>
  <si>
    <t>AREA CTP</t>
  </si>
  <si>
    <t>Total</t>
  </si>
  <si>
    <t>Porcentaje</t>
  </si>
  <si>
    <t>Pareto</t>
  </si>
  <si>
    <t>PARTE DEL CUERPO AFECTADA</t>
  </si>
  <si>
    <t>TROZADO POLLO</t>
  </si>
  <si>
    <t>P.POSTERIORES</t>
  </si>
  <si>
    <t>FRIGORÍFICO</t>
  </si>
  <si>
    <t>TROZADO PAVO</t>
  </si>
  <si>
    <t>PERSONAL O PLANIFICACION</t>
  </si>
  <si>
    <t>ADMINISTRACION</t>
  </si>
  <si>
    <t>Total Informado</t>
  </si>
  <si>
    <t>TOTAL</t>
  </si>
  <si>
    <t>TIPO DE ACCIDENTE</t>
  </si>
  <si>
    <t xml:space="preserve"> MES</t>
  </si>
  <si>
    <t>CLACIFICACION LGF</t>
  </si>
  <si>
    <t>N°</t>
  </si>
  <si>
    <t>Enero</t>
  </si>
  <si>
    <t>AMPUTACION (LGF7)</t>
  </si>
  <si>
    <t>Febrero</t>
  </si>
  <si>
    <t>ATROPELLO (LGF4)</t>
  </si>
  <si>
    <t>DIAS</t>
  </si>
  <si>
    <t>Marzo</t>
  </si>
  <si>
    <t>ATRAPAMIENTO (LGF2)</t>
  </si>
  <si>
    <t>TOTAL DIAS PERDIDOS</t>
  </si>
  <si>
    <t>Abril</t>
  </si>
  <si>
    <t>CAIDA EN ALTURA (LGF1)</t>
  </si>
  <si>
    <t>Mayo</t>
  </si>
  <si>
    <t>C.SUSTANCIAS PELIGROSAS (LGF3)</t>
  </si>
  <si>
    <t>Promedio por Mes</t>
  </si>
  <si>
    <t>Junio</t>
  </si>
  <si>
    <t>INTOXICACION (LGF5)</t>
  </si>
  <si>
    <t>Julio</t>
  </si>
  <si>
    <t>C.ENERGIAS PELIGROSAS (LGF6)</t>
  </si>
  <si>
    <t>Agente de Lesion</t>
  </si>
  <si>
    <t>Agosto</t>
  </si>
  <si>
    <t>QUEMADURAS (LGF8)</t>
  </si>
  <si>
    <t>Septiembre</t>
  </si>
  <si>
    <t>Octubre</t>
  </si>
  <si>
    <t>Noviembre</t>
  </si>
  <si>
    <t>CLACIFICACION ACC. PERSONAL</t>
  </si>
  <si>
    <t>Diciembre</t>
  </si>
  <si>
    <t>NUEVO</t>
  </si>
  <si>
    <t>ANTIGUO</t>
  </si>
  <si>
    <t>Genero</t>
  </si>
  <si>
    <t>Masculino</t>
  </si>
  <si>
    <t>Femenino</t>
  </si>
  <si>
    <t>Responsabilidad</t>
  </si>
  <si>
    <t>Accion</t>
  </si>
  <si>
    <t>Condicion</t>
  </si>
  <si>
    <t>Sabado</t>
  </si>
  <si>
    <t>Turnos</t>
  </si>
  <si>
    <t>Mañana (05:00 a 12:00)</t>
  </si>
  <si>
    <t>Tarde (12:00 a 21:00)</t>
  </si>
  <si>
    <t>Noche (21:00 a 05:00)</t>
  </si>
  <si>
    <t>Administrativo (08:00 a 18:30)</t>
  </si>
  <si>
    <t>Antigüedad</t>
  </si>
  <si>
    <t>Atencion</t>
  </si>
  <si>
    <t>Nuevo &lt;6 Meses</t>
  </si>
  <si>
    <t xml:space="preserve"> MES CTP</t>
  </si>
  <si>
    <t>Antiguo &gt;18 Meses</t>
  </si>
  <si>
    <t>Intermedio 6&lt;X&gt;18</t>
  </si>
  <si>
    <t>Proceso</t>
  </si>
  <si>
    <t>Trabajo Habitual</t>
  </si>
  <si>
    <t>Trabajo No Habitual</t>
  </si>
  <si>
    <t xml:space="preserve">SUPERVISORES  </t>
  </si>
  <si>
    <t>N° ACC.</t>
  </si>
  <si>
    <t>N° ACC CTP</t>
  </si>
  <si>
    <t>N° ACC STP</t>
  </si>
  <si>
    <t>Total Acc. CTP</t>
  </si>
  <si>
    <t>FABIAN GONZALEZ</t>
  </si>
  <si>
    <t>Total Acc. STP</t>
  </si>
  <si>
    <t>RAFAEL ASTORGA</t>
  </si>
  <si>
    <t>FELIPE HERRERA</t>
  </si>
  <si>
    <t>CRISTIAN DURAN</t>
  </si>
  <si>
    <t>RONALD ONELL</t>
  </si>
  <si>
    <t>MARCO QUINTANILLA</t>
  </si>
  <si>
    <t>GERMAN RODRIGUEZ</t>
  </si>
  <si>
    <t>CRISTIAN MEZA</t>
  </si>
  <si>
    <t xml:space="preserve">MARCELA MARDONES </t>
  </si>
  <si>
    <t>MARIA EUGENIA YAÑEZ</t>
  </si>
  <si>
    <t>MICHEL CARVAJAL</t>
  </si>
  <si>
    <t>ISMAEL SANTIS</t>
  </si>
  <si>
    <t>DAVID ROJAS</t>
  </si>
  <si>
    <t>DAVID MADARIAGA</t>
  </si>
  <si>
    <t>JORGE CONTRERAS</t>
  </si>
  <si>
    <t>SERGIO LETELIER</t>
  </si>
  <si>
    <t>PEDRO HUERTA</t>
  </si>
  <si>
    <t>SOLEDAD CARRASCO</t>
  </si>
  <si>
    <t xml:space="preserve"> MAXIMO CAMPOS</t>
  </si>
  <si>
    <t>VICTORIA MILLARES</t>
  </si>
  <si>
    <t>Planificación</t>
  </si>
  <si>
    <t>FRANCISCA YANTEN</t>
  </si>
  <si>
    <t>CALIXTO DIAZ</t>
  </si>
  <si>
    <t>Cuenta de CLASIF ACC</t>
  </si>
  <si>
    <t>Etiquetas de columna</t>
  </si>
  <si>
    <t>Etiquetas de fila</t>
  </si>
  <si>
    <t>Total general</t>
  </si>
  <si>
    <t>(Todas)</t>
  </si>
  <si>
    <t>Cuenta de DIA</t>
  </si>
  <si>
    <t>Cuenta de ANTIGÜEDAD</t>
  </si>
  <si>
    <t>Cuenta de TIPO ACCIDENTE</t>
  </si>
  <si>
    <t xml:space="preserve">Cuenta de NATURALEZA DE LA LESION </t>
  </si>
  <si>
    <t>Cuenta de PARTE AFECTADA</t>
  </si>
  <si>
    <t>Cuenta de AGENTE ACC</t>
  </si>
  <si>
    <t>Cuenta de FUENTES (TAREA)</t>
  </si>
  <si>
    <t>(en blanco)</t>
  </si>
  <si>
    <t>Cuenta de TURNO</t>
  </si>
  <si>
    <t>Cuenta de ACCION - CONDICION</t>
  </si>
  <si>
    <t>(Varios elementos)</t>
  </si>
  <si>
    <t>Cuenta de SUPERVISOR</t>
  </si>
  <si>
    <t>Cuenta de AREA</t>
  </si>
  <si>
    <t>CLASIFICACION LGF.</t>
  </si>
  <si>
    <t xml:space="preserve">SERVICIOS GENERALES </t>
  </si>
  <si>
    <t>POSTERIORES POSTERIORES</t>
  </si>
  <si>
    <t xml:space="preserve">TOTALES </t>
  </si>
  <si>
    <t>Golpes por/contra</t>
  </si>
  <si>
    <t>Dónde se están produciendo los golpes</t>
  </si>
  <si>
    <t>Área, sección, lugar específico</t>
  </si>
  <si>
    <t>Qué tarea realizan al momento de golpearse</t>
  </si>
  <si>
    <t>Cuál es el elemento o agente con el gual se golpean</t>
  </si>
  <si>
    <t>Caídas mismo nivel</t>
  </si>
  <si>
    <t xml:space="preserve">GONZALEZ </t>
  </si>
  <si>
    <t>10458580-9</t>
  </si>
  <si>
    <t xml:space="preserve">COLABORADORA REFIERE DOLENCIA EN BRAZO DERECHO AL UTILIZAR BARRE AGUA PARA REALIZAR SUS LABORES </t>
  </si>
  <si>
    <t xml:space="preserve">URBINA </t>
  </si>
  <si>
    <t>BRIAN</t>
  </si>
  <si>
    <t>22047633-2</t>
  </si>
  <si>
    <t>RECEPCION DE POLLO</t>
  </si>
  <si>
    <t>SEMANA 47</t>
  </si>
  <si>
    <t xml:space="preserve">COLABORADOR SUFRE CONTUSION EN MANO IZQUIERDA POR GOLPE CONTRA MAQUINA APILADOR DE JAVAS </t>
  </si>
  <si>
    <t>,</t>
  </si>
  <si>
    <t xml:space="preserve"> 0,C </t>
  </si>
  <si>
    <t>ABARCA GONZALEZ</t>
  </si>
  <si>
    <t>9460017-0</t>
  </si>
  <si>
    <t xml:space="preserve">LINEA DE BANDEJAS </t>
  </si>
  <si>
    <t>LINEA DE BANDEJAS LIMPIAS</t>
  </si>
  <si>
    <t>COLABORADOR SUFRE CONSTUSION EN CEJA DERECHA AL SER GOLPEADO POR BANDEJA PLASTICA CUANDO SE ENCONTRABA DESCOLGANDO BANDEJAS DESDE LINEA</t>
  </si>
  <si>
    <t>14140942-6</t>
  </si>
  <si>
    <t>TAMBLER IQF</t>
  </si>
  <si>
    <t>COLABORADOR SUFRE CONTUSION EN EXTREMIDAD INFERIOR DERECHA AL SER GOLPEADO POR BANDAJEAS CUANDO SE ENCONTRABA APILANDO ESTAS</t>
  </si>
  <si>
    <t>COLABORADOR SUFRE CONTUSION EN PIE IZQUIERDO A SER GOLPEADO CON EQUIPO DE MOVIMIENTO DE CARGA CUANDO SE ENCONTRABA MOVILIZANDO PRODUCTO CON TRANSPALETA MANUAL</t>
  </si>
  <si>
    <t xml:space="preserve">                                                                                                                                                                                                                                                                                                                                                                                                                                                                                                                                                                                                                                                                                                                                                                                                                                                                                                                                                                                                                                                                                                                                                                                                                                                                                                                                                                                                                                                                                                                                                                                                                                                                                                                                                                                                                                                                                                                                                                                                                                                                                                                                                                                                                                                                                                                                                                                                                                                                                                                                                                                                                                                                                                                                                                                                                                                                                                                                                                                                                                                                                                                                                                                                                                                                                                                                                                                                                                                                                                                                                                                                                                                                                                                                                                                                                                                                                                                                                                                                                                                                                                                                                                                                                                                                                                                                                                                                                                                                                                                                                                                                                                                                                                                                                                                                                                                                                                                                                                                                                                                                                                                                                                                                                                                                                                                                                                                                                                                                                                                                                                                                                                                                                                                                                                                                                                                                                                                                                                                                                                                                                                                                                                                                                                                                                                                                                                                                                                                                                                                                                                                                                                                                                                                                                                                                                                                                                                                                                                                                                                                                                                                                                                                                   </t>
  </si>
  <si>
    <t>NC-154-23</t>
  </si>
  <si>
    <t xml:space="preserve">ARANDA MORALES </t>
  </si>
  <si>
    <t>16984684-7</t>
  </si>
  <si>
    <t>PASILLO C</t>
  </si>
  <si>
    <t xml:space="preserve">COLABORADOR SUFRE CONTUSION EN MUSLO IZQUIERDO AL SER GOLPEADO POR CARRO METALICO </t>
  </si>
  <si>
    <t>FIGUERO RODRIGUEZ</t>
  </si>
  <si>
    <t>FRANKLIN</t>
  </si>
  <si>
    <t>26564969-6</t>
  </si>
  <si>
    <t xml:space="preserve">PULPA </t>
  </si>
  <si>
    <t>EVISCERADO DE POLLO</t>
  </si>
  <si>
    <t>COLABORADOR SUFRE CONTUSION EN DEDO ANULAR DERECHO AL SER GOLPEADO POR ESTRUCTURA DE MAQUINA CUANDO SE ENCONTRABA CAMBIANDO CUERPO DE UNIDAD ANERA</t>
  </si>
  <si>
    <t>VASQUEZ DIAZ</t>
  </si>
  <si>
    <t>21116508-1</t>
  </si>
  <si>
    <t>LAVADO DE BANDEJAS</t>
  </si>
  <si>
    <t>ACOPIO</t>
  </si>
  <si>
    <t>ALEXIS AROS</t>
  </si>
  <si>
    <t>COLABORADOR SUFRE CONTUSION EN MANO IZQUIERDA AL SER GOLPEADO POR PALLETS CUANDO SE ENCONTRABA AMONTONANDO ESTOS EN ZONA DE ACOPIO</t>
  </si>
  <si>
    <t xml:space="preserve"> ALAN CARRASO</t>
  </si>
  <si>
    <t>ZAMORANO VILLAGRAN</t>
  </si>
  <si>
    <t>MIGUEL</t>
  </si>
  <si>
    <t>20711438-3</t>
  </si>
  <si>
    <t xml:space="preserve">NO </t>
  </si>
  <si>
    <t xml:space="preserve">COLABORADOR SUFRE CONTUSION EN CEJA IZQUIERDA AL SER GOLPEADO POR BANDEJA CUANDO SE ENCONTRABA DESAPILANDO ESTAS </t>
  </si>
  <si>
    <t>COELHO DE SAUCE</t>
  </si>
  <si>
    <t>JARA TORRES</t>
  </si>
  <si>
    <t xml:space="preserve">RUBEN </t>
  </si>
  <si>
    <t>10865083-4</t>
  </si>
  <si>
    <t>a</t>
  </si>
  <si>
    <t>JOSE MORA</t>
  </si>
  <si>
    <t>COLABORADOR REFIRE DOLOR EN CODO IZQUIERDO POR MOVIMIENTO REPETITIVOS</t>
  </si>
  <si>
    <t>COLABORADORA ES EXPUESTO A EVENTO TRAUMATICO, CUANDO IBA DE REGRESO A SU HOGAR</t>
  </si>
  <si>
    <t>COLABORADOR SUFRE TORSION EN PIE DERECHO AL DAR UN MAL PASO CUANDO SE DIRIGIA A CRUZAR VIA PUBLICA</t>
  </si>
  <si>
    <t>HERNANDEZ FUENTES</t>
  </si>
  <si>
    <t>10371581-4</t>
  </si>
  <si>
    <t>SEMANA 48</t>
  </si>
  <si>
    <t>COLABORADOR SUFRE CONTUSION EN DEDO MEDIO DE MANO IZQUIERDA AL SER GOLPEADO POR REJILLA DE DESAGUE CUANDOS ENCONTRABA REALIZANDO LABORES DE ASEO PREOPERACIONAL</t>
  </si>
  <si>
    <t>RECABAL</t>
  </si>
  <si>
    <t>18960410-6</t>
  </si>
  <si>
    <t>DESHUESADO POLLO B</t>
  </si>
  <si>
    <t>COLABORADOR SUFRE CONTUSION EN DEDO INDICE DERECHO AL SER GOLPEADO POR GUIA DE TECNIL</t>
  </si>
  <si>
    <t>MORAN GALEANO</t>
  </si>
  <si>
    <t>JASSIR</t>
  </si>
  <si>
    <t>21021081-4</t>
  </si>
  <si>
    <t>PUILPA</t>
  </si>
  <si>
    <t>COLABORADOR SUFRE CONTUSION EN PIE IZQUIERDO AL SER GOLPEADO POR CAJA DE PLACAS CONGELADAS CUANDO SE ENCONTRABA ARMANDO PALLETS</t>
  </si>
  <si>
    <t>GAUNE SAAVEDRA</t>
  </si>
  <si>
    <t>17926567-2</t>
  </si>
  <si>
    <t>COLABORADOR REFIERE SER ASALTADO CUANDO SE DIRIGIA AL TRABAJO</t>
  </si>
  <si>
    <t>COLABORADORA SUFRE CONTUSION LUMBAR POR CAIDA DE MISMO NIVEL EN SALA DE PROCESOS (SALA JAPON)</t>
  </si>
  <si>
    <t>NC-158-23</t>
  </si>
  <si>
    <t>NC-157-23</t>
  </si>
  <si>
    <t>FAMEUX</t>
  </si>
  <si>
    <t>COLABORADOR SUFRE CONTUSION EN PIERNA IZQUIERDA AL SER GOLPEADO POR EQUIPO DE MOVIMIENTO DE CARGA CUANDO SE ENCONTRABA PALETIZANDO EN LINIA ISHIDA</t>
  </si>
  <si>
    <t>NUÑEZ ALARCON</t>
  </si>
  <si>
    <t>GEMA</t>
  </si>
  <si>
    <t>14246121-8</t>
  </si>
  <si>
    <t>COLABORADORA REFIERE DOLENCIA EN BRAZO Y MANO DERECHA AL REALIZAR LABORES CON FUERZA</t>
  </si>
  <si>
    <t>FUENZALIDA ARMIJO</t>
  </si>
  <si>
    <t>CATALINA</t>
  </si>
  <si>
    <t>18777735-6</t>
  </si>
  <si>
    <t>SEMANA 49</t>
  </si>
  <si>
    <t>COLABORADORA SUFRE CONTUSION EN BRAZODERECHO POR CAIDA DE MISMO NIVEL PRODUCTO DE RESTOS CARNICOS EN SUPERFICIE DE TRANSITO</t>
  </si>
  <si>
    <t>CUEVAS GATICA</t>
  </si>
  <si>
    <t>ANA</t>
  </si>
  <si>
    <t>9462795-8</t>
  </si>
  <si>
    <t>COLABORADORA SUFRE CONTUSION EN CADERA IZQUIERDA POR CAIDA DE MISMO NIVEL EN SALA DE PROCESO AL TOPARSE CON UN COMPAÑERO.</t>
  </si>
  <si>
    <t>NC-162-23</t>
  </si>
  <si>
    <t>ORTIZ ORTIZ</t>
  </si>
  <si>
    <t>ROBERTO</t>
  </si>
  <si>
    <t>17566066-6</t>
  </si>
  <si>
    <t>SALA DE MARINADO</t>
  </si>
  <si>
    <t>COLABORADOR SUFRE CONTUSION EN DEDO MEDIO DE MANO IZQUIEDA LA SER GOLPEADO POR CAJA DE PRODUCTO EN MAQUINA ENZUNCHADORA</t>
  </si>
  <si>
    <t>PATIO DECOMISO</t>
  </si>
  <si>
    <t>COLABORADOR SUFRE CONTUSION EN DEDO MEÑIQUE DE MANO IZQUIERDA POR CAIDA DE MISMO NIVEL AL TROPEZAR CON RIEL SUELTO EN PISO EN PATIO DE DECOMISO</t>
  </si>
  <si>
    <t xml:space="preserve">TORRES MARTINEZ </t>
  </si>
  <si>
    <t>19230546-2</t>
  </si>
  <si>
    <t>MONITOR</t>
  </si>
  <si>
    <t>EVISCERADO DE PAVO</t>
  </si>
  <si>
    <t>PATRICIA RAMIREZ</t>
  </si>
  <si>
    <t>COLABORADOR SUFRE CONTUSION EN RODILLA IZQUIERDA  CAIDA DE DISTINTO NIVEL CUANDO SE ENCONTRABA REALIZANDO INSPECCION DE ASEO PREOPERACIONAL EN SALA DE EVISCERADO DE PAVO</t>
  </si>
  <si>
    <t>NC- 164-23</t>
  </si>
  <si>
    <t>NC-165-23</t>
  </si>
  <si>
    <t>NC-163-23</t>
  </si>
  <si>
    <t>BARRERA BARRERA</t>
  </si>
  <si>
    <t>18202268-3</t>
  </si>
  <si>
    <t>SEMANA 50</t>
  </si>
  <si>
    <t xml:space="preserve">COLABORADOR SUFRE CONTUSION EN CRANEO AL SER GOLPEADO CONTRA ESTRUCTURA METALICA (FIERRO) ME MAQUINA HQ </t>
  </si>
  <si>
    <t>COLABORADORA SUFRE CONTUSION EN PIERNA DERECHA Y BRAZO DERECHO POR CAIDA DE DISTINTO NIVEL CUANDO SE DIRIGIA A SU LUGAR DE TRABAJO EN BICICLETA EN LA VIA PUBLICA</t>
  </si>
  <si>
    <t>OLIVARES LLANCA</t>
  </si>
  <si>
    <t>12314375-2</t>
  </si>
  <si>
    <t xml:space="preserve">COLABORADORA SUFRE TORSION EN PIE IZQUIERDO POR CAIDA DE DISTINTO AL BAJAR DE LOCOMOCION COLECTIVA EN VIA PUBLICA </t>
  </si>
  <si>
    <t>SILVIA</t>
  </si>
  <si>
    <t>RAMON</t>
  </si>
  <si>
    <t>BUSTOS HUERTA</t>
  </si>
  <si>
    <t>CABRERA NARANJO</t>
  </si>
  <si>
    <t>MELO RIVEROS</t>
  </si>
  <si>
    <t>17398350-6</t>
  </si>
  <si>
    <t>19069621-9</t>
  </si>
  <si>
    <t>ASEO PRE OPERACIONAL</t>
  </si>
  <si>
    <t>SEMANA 51</t>
  </si>
  <si>
    <t>COLABORADOR SUFRE HERIDA CONTUSA EN DEDO ANULAR IZQUIERDO POR GOLPE DE PRESION DE AGUA AL UTILIZAR HIDROLAVADORA EN TROZADO DE POLLO</t>
  </si>
  <si>
    <t>COLABORADORA SUFRE CONTUSION EN OJO IZQUIERDO AL SER GOLPEADA POR MATERIA PRIMA CUANDO SE ENCINTRABA ENBOLSANDO PRODUCTO EN LINEA DE IQF</t>
  </si>
  <si>
    <t xml:space="preserve"> 8390041-5</t>
  </si>
  <si>
    <t>SELECCIÓN DE FILETILLO</t>
  </si>
  <si>
    <t>13339753-1</t>
  </si>
  <si>
    <t>CALINRADO</t>
  </si>
  <si>
    <t>COLABORADORA SUFRE TORSION EN TOBILLO DERECHO AL ESTAR TRABAJANDO SOBRE PISO DE SELECCIÓN DE FILETILLO</t>
  </si>
  <si>
    <t xml:space="preserve">COLABORADOR SUFRE CONTUSION EN CABEZA AL SER GOLPEADO POR MATERIA PRIMA QUE CAE DE LINEA DE FILETILLO  CUANDO SE ENCONTRABA ENBOLSANDO PRODUCTO </t>
  </si>
  <si>
    <t>PASILLO BANDEJAS LIMPIAS</t>
  </si>
  <si>
    <t>COLABORADOR DUFRE HERIDA CONTUSA-CORTANTE FRONTAL (ENTRE CEJA) MIENTRAS TRANSPORTABA PALLETS CON BENDAJAS LIMPIAS, AL PASAR POR DESNIVEL PRODUCIDO POR REJILLAS DE DESAGUE, LAS FILAS DE BADEJAS SE SEPARAN Y AL AFIRMAR ESTAS, CAE UNA DESDE LA PARTE SUPERIOR SOBRE SU CABEZA</t>
  </si>
  <si>
    <t>SAN MARTIN PAREDES</t>
  </si>
  <si>
    <t>MARIANO</t>
  </si>
  <si>
    <t>20424493-6</t>
  </si>
  <si>
    <t>ENTRADA TUMBLER</t>
  </si>
  <si>
    <t>COLABORADOR SUFRE ATRISION DE PIE AL MOMENTO DE TRANSPORTAR BINS CON TRANSPALETA MANUAL ESTE GIRA DE FORMA AMPLIA SIN DARSE CUENTA ATRAPANDO Y GOLPEANDO SU PIE ENTRE BINS Y BARRERA DE CONTENSION</t>
  </si>
  <si>
    <t>17986861-K</t>
  </si>
  <si>
    <t>JEREZ MATTA</t>
  </si>
  <si>
    <t xml:space="preserve">COLABORADOR SUFRE TIRON EN ANTEBRAZO DERCHO AL MOMENTO DE REALIZAR TAREAS DE SELECCIÓN DE PECHUGA, PRODUCIENDO N AUMENTO DE VOLUMEN </t>
  </si>
  <si>
    <t>NC-168-23</t>
  </si>
  <si>
    <t>NC-169-23</t>
  </si>
  <si>
    <t>NC-170-23</t>
  </si>
  <si>
    <t>MORENO MARDONES</t>
  </si>
  <si>
    <t>ISAMAR</t>
  </si>
  <si>
    <t>18030936-5</t>
  </si>
  <si>
    <t>COLABORADORA SUFRE CONTUSION EN RODILLA Y PIE IZQUIERDO POR CAIDA DE DISTINTO NIVEL AL PISAR SOLERA DE VIA PUBLICA CUANDO SALIA DE SU CASA</t>
  </si>
  <si>
    <t xml:space="preserve">PABLO </t>
  </si>
  <si>
    <t>CONTANZO CIFUENTES</t>
  </si>
  <si>
    <t>GERARDO</t>
  </si>
  <si>
    <t>9955135-6</t>
  </si>
  <si>
    <t>SEMANA 52</t>
  </si>
  <si>
    <t>COLABORADOR SUFRE HERIDA CORTANTE EN CEJA DERECHA AL SER GOLPEADO CONTRA BANDEJA DE RECEPCION DE PRODUCTO</t>
  </si>
  <si>
    <t>ARAYA PIZARRO</t>
  </si>
  <si>
    <t>HECTOR</t>
  </si>
  <si>
    <t>17907779-5</t>
  </si>
  <si>
    <t xml:space="preserve">COLABORADOR SUFRE MOLESTIA OCULAR EN OJO IZQUIERDO POR PROYECCION DE PARTICULAS DE ACIDO PLUSTEC CUANDO SE ENCONTRABA REALIZANDO LABORES DE ASEO OPERACIONAL </t>
  </si>
  <si>
    <t>ALEXIS ARAY</t>
  </si>
  <si>
    <t>NC-173-23</t>
  </si>
  <si>
    <t>FRIAS GALLEGUILLOS</t>
  </si>
  <si>
    <t>BENJANMIN</t>
  </si>
  <si>
    <t>COLABORADOR SUFRE LUXACIÓN EN CODO IZQUIERDO AL ESTAR ASPIRANDO EN LINEA DOS DE EVISCERADO</t>
  </si>
  <si>
    <t>FILETERA</t>
  </si>
  <si>
    <t>COLABORADORA SUFRE CONSTUSION EN ANTEBRAZO Y CADERA DERECHA AL SER GOLPEADA POR EQUIPO D EMOVIMIENTO DE CARGA</t>
  </si>
  <si>
    <t>COLABORADOR SUFRE CONTUSION EN PIE DERECHO POR CAIDA DE MISMO NIVEL PRODUCTO DE PISO MAL NIVELADO Y MOJADO CUANDO SE ENCONTRABA  MOVILIZANDO CON TRASPALETA MANUAL</t>
  </si>
  <si>
    <t>29-112023</t>
  </si>
  <si>
    <t>NC 57-23.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</si>
</sst>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0"/>
      <name val="Arial"/>
      <family val="2"/>
    </font>
    <font>
      <b/>
      <sz val="10"/>
      <name val="Arial"/>
      <family val="2"/>
    </font>
    <font>
      <u/>
      <sz val="10"/>
      <color indexed="12"/>
      <name val="Arial"/>
      <family val="2"/>
    </font>
    <font>
      <sz val="10"/>
      <name val="Calibri"/>
      <family val="2"/>
    </font>
    <font>
      <sz val="10"/>
      <name val="Arial"/>
      <family val="2"/>
    </font>
    <font>
      <sz val="8"/>
      <name val="Arial"/>
      <family val="2"/>
    </font>
    <font>
      <sz val="11"/>
      <color theme="1"/>
      <name val="Calibri"/>
      <family val="2"/>
      <scheme val="minor"/>
    </font>
    <font>
      <u/>
      <sz val="10"/>
      <color theme="10"/>
      <name val="Arial"/>
      <family val="2"/>
    </font>
    <font>
      <b/>
      <sz val="11"/>
      <color theme="1"/>
      <name val="Calibri"/>
      <family val="2"/>
      <scheme val="minor"/>
    </font>
    <font>
      <b/>
      <sz val="9"/>
      <color theme="0"/>
      <name val="Arial"/>
      <family val="2"/>
    </font>
    <font>
      <sz val="10"/>
      <color rgb="FF000000"/>
      <name val="Calibri"/>
      <family val="2"/>
    </font>
    <font>
      <sz val="10"/>
      <color theme="1"/>
      <name val="Calibri"/>
      <family val="2"/>
      <scheme val="minor"/>
    </font>
    <font>
      <sz val="10"/>
      <color indexed="8"/>
      <name val="Calibri"/>
      <family val="2"/>
      <scheme val="minor"/>
    </font>
    <font>
      <sz val="8"/>
      <color theme="1"/>
      <name val="Arial"/>
      <family val="2"/>
    </font>
    <font>
      <sz val="10"/>
      <name val="Calibri"/>
      <family val="2"/>
      <scheme val="minor"/>
    </font>
    <font>
      <b/>
      <sz val="10"/>
      <color indexed="8"/>
      <name val="Calibri"/>
      <family val="2"/>
      <scheme val="minor"/>
    </font>
    <font>
      <b/>
      <sz val="10"/>
      <name val="Calibri"/>
      <family val="2"/>
      <scheme val="minor"/>
    </font>
    <font>
      <b/>
      <sz val="10"/>
      <color theme="0"/>
      <name val="Calibri"/>
      <family val="2"/>
      <scheme val="minor"/>
    </font>
    <font>
      <b/>
      <sz val="10"/>
      <color rgb="FF000000"/>
      <name val="Calibri"/>
      <family val="2"/>
      <scheme val="minor"/>
    </font>
    <font>
      <b/>
      <sz val="10"/>
      <name val="Cambria"/>
      <family val="1"/>
      <scheme val="major"/>
    </font>
    <font>
      <b/>
      <sz val="10"/>
      <color rgb="FFFF0000"/>
      <name val="Cambria"/>
      <family val="1"/>
      <scheme val="major"/>
    </font>
    <font>
      <sz val="8"/>
      <name val="Calibri"/>
      <family val="2"/>
      <scheme val="minor"/>
    </font>
    <font>
      <b/>
      <sz val="10"/>
      <color theme="3"/>
      <name val="Calibri"/>
      <family val="2"/>
      <scheme val="minor"/>
    </font>
    <font>
      <b/>
      <sz val="10"/>
      <name val="Calibri"/>
      <family val="2"/>
    </font>
    <font>
      <b/>
      <sz val="10"/>
      <color rgb="FF000000"/>
      <name val="Calibri"/>
      <family val="2"/>
    </font>
    <font>
      <sz val="9"/>
      <color indexed="81"/>
      <name val="Tahoma"/>
      <family val="2"/>
    </font>
    <font>
      <b/>
      <sz val="9"/>
      <color indexed="81"/>
      <name val="Tahoma"/>
      <family val="2"/>
    </font>
    <font>
      <sz val="11"/>
      <name val="Arial"/>
      <family val="2"/>
    </font>
    <font>
      <sz val="11"/>
      <color rgb="FF000000"/>
      <name val="Calibri"/>
      <family val="2"/>
    </font>
    <font>
      <sz val="11"/>
      <name val="Calibri"/>
      <family val="2"/>
      <scheme val="minor"/>
    </font>
    <font>
      <b/>
      <sz val="10"/>
      <color indexed="8"/>
      <name val="Times New Roman"/>
      <family val="1"/>
    </font>
    <font>
      <sz val="10"/>
      <color theme="1"/>
      <name val="Times New Roman"/>
      <family val="1"/>
    </font>
    <font>
      <sz val="11"/>
      <color theme="1"/>
      <name val="Times New Roman"/>
      <family val="1"/>
    </font>
    <font>
      <b/>
      <sz val="10"/>
      <color theme="1"/>
      <name val="Times New Roman"/>
      <family val="1"/>
    </font>
    <font>
      <b/>
      <sz val="11"/>
      <color theme="1"/>
      <name val="Times New Roman"/>
      <family val="1"/>
    </font>
    <font>
      <b/>
      <sz val="11"/>
      <color theme="3"/>
      <name val="Calibri"/>
      <family val="2"/>
      <scheme val="minor"/>
    </font>
    <font>
      <b/>
      <sz val="10"/>
      <color theme="3"/>
      <name val="Arial"/>
      <family val="2"/>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444444"/>
      <name val="Calibri"/>
      <family val="2"/>
      <charset val="1"/>
    </font>
  </fonts>
  <fills count="54">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6"/>
        <bgColor indexed="64"/>
      </patternFill>
    </fill>
    <fill>
      <patternFill patternType="solid">
        <fgColor indexed="60"/>
        <bgColor indexed="64"/>
      </patternFill>
    </fill>
    <fill>
      <patternFill patternType="solid">
        <fgColor theme="1" tint="0.34998626667073579"/>
        <bgColor indexed="64"/>
      </patternFill>
    </fill>
    <fill>
      <patternFill patternType="solid">
        <fgColor theme="3" tint="0.39997558519241921"/>
        <bgColor indexed="64"/>
      </patternFill>
    </fill>
    <fill>
      <patternFill patternType="solid">
        <fgColor theme="0"/>
        <bgColor indexed="64"/>
      </patternFill>
    </fill>
    <fill>
      <patternFill patternType="solid">
        <fgColor rgb="FFFFFF00"/>
        <bgColor indexed="64"/>
      </patternFill>
    </fill>
    <fill>
      <patternFill patternType="solid">
        <fgColor theme="5" tint="0.39997558519241921"/>
        <bgColor rgb="FF000000"/>
      </patternFill>
    </fill>
    <fill>
      <patternFill patternType="solid">
        <fgColor theme="1" tint="0.499984740745262"/>
        <bgColor indexed="64"/>
      </patternFill>
    </fill>
    <fill>
      <patternFill patternType="solid">
        <fgColor rgb="FFFFFFFF"/>
        <bgColor rgb="FF000000"/>
      </patternFill>
    </fill>
    <fill>
      <patternFill patternType="solid">
        <fgColor theme="5" tint="0.79998168889431442"/>
        <bgColor rgb="FF000000"/>
      </patternFill>
    </fill>
    <fill>
      <patternFill patternType="solid">
        <fgColor rgb="FFF2DDDC"/>
        <bgColor rgb="FF000000"/>
      </patternFill>
    </fill>
    <fill>
      <patternFill patternType="solid">
        <fgColor theme="0"/>
        <bgColor theme="0" tint="-4.9989318521683403E-2"/>
      </patternFill>
    </fill>
    <fill>
      <patternFill patternType="solid">
        <fgColor theme="0"/>
        <bgColor rgb="FF000000"/>
      </patternFill>
    </fill>
    <fill>
      <patternFill patternType="solid">
        <fgColor rgb="FFFFFF00"/>
        <bgColor theme="0" tint="-4.9989318521683403E-2"/>
      </patternFill>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hair">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5"/>
      </left>
      <right/>
      <top style="thin">
        <color indexed="65"/>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53">
    <xf numFmtId="0" fontId="0" fillId="0" borderId="0"/>
    <xf numFmtId="0" fontId="1" fillId="0" borderId="0" applyFont="0" applyFill="0" applyBorder="0" applyAlignment="0" applyProtection="0"/>
    <xf numFmtId="0" fontId="3"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5" fillId="0" borderId="0"/>
    <xf numFmtId="0" fontId="1" fillId="0" borderId="0"/>
    <xf numFmtId="9" fontId="7" fillId="0" borderId="0" applyFont="0" applyFill="0" applyBorder="0" applyAlignment="0" applyProtection="0"/>
    <xf numFmtId="9" fontId="1" fillId="0" borderId="0" applyFont="0" applyFill="0" applyBorder="0" applyAlignment="0" applyProtection="0"/>
    <xf numFmtId="0" fontId="38" fillId="0" borderId="0" applyNumberFormat="0" applyFill="0" applyBorder="0" applyAlignment="0" applyProtection="0"/>
    <xf numFmtId="0" fontId="39" fillId="0" borderId="51" applyNumberFormat="0" applyFill="0" applyAlignment="0" applyProtection="0"/>
    <xf numFmtId="0" fontId="40" fillId="0" borderId="52" applyNumberFormat="0" applyFill="0" applyAlignment="0" applyProtection="0"/>
    <xf numFmtId="0" fontId="36" fillId="0" borderId="53" applyNumberFormat="0" applyFill="0" applyAlignment="0" applyProtection="0"/>
    <xf numFmtId="0" fontId="36" fillId="0" borderId="0" applyNumberFormat="0" applyFill="0" applyBorder="0" applyAlignment="0" applyProtection="0"/>
    <xf numFmtId="0" fontId="41" fillId="23" borderId="0" applyNumberFormat="0" applyBorder="0" applyAlignment="0" applyProtection="0"/>
    <xf numFmtId="0" fontId="42" fillId="24" borderId="0" applyNumberFormat="0" applyBorder="0" applyAlignment="0" applyProtection="0"/>
    <xf numFmtId="0" fontId="43" fillId="25" borderId="0" applyNumberFormat="0" applyBorder="0" applyAlignment="0" applyProtection="0"/>
    <xf numFmtId="0" fontId="44" fillId="26" borderId="54" applyNumberFormat="0" applyAlignment="0" applyProtection="0"/>
    <xf numFmtId="0" fontId="45" fillId="27" borderId="55" applyNumberFormat="0" applyAlignment="0" applyProtection="0"/>
    <xf numFmtId="0" fontId="46" fillId="27" borderId="54" applyNumberFormat="0" applyAlignment="0" applyProtection="0"/>
    <xf numFmtId="0" fontId="47" fillId="0" borderId="56" applyNumberFormat="0" applyFill="0" applyAlignment="0" applyProtection="0"/>
    <xf numFmtId="0" fontId="48" fillId="28" borderId="57" applyNumberFormat="0" applyAlignment="0" applyProtection="0"/>
    <xf numFmtId="0" fontId="49" fillId="0" borderId="0" applyNumberFormat="0" applyFill="0" applyBorder="0" applyAlignment="0" applyProtection="0"/>
    <xf numFmtId="0" fontId="7" fillId="29" borderId="58" applyNumberFormat="0" applyFont="0" applyAlignment="0" applyProtection="0"/>
    <xf numFmtId="0" fontId="50" fillId="0" borderId="0" applyNumberFormat="0" applyFill="0" applyBorder="0" applyAlignment="0" applyProtection="0"/>
    <xf numFmtId="0" fontId="9" fillId="0" borderId="59" applyNumberFormat="0" applyFill="0" applyAlignment="0" applyProtection="0"/>
    <xf numFmtId="0" fontId="51"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51"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51"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51"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51"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51"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cellStyleXfs>
  <cellXfs count="387">
    <xf numFmtId="0" fontId="0" fillId="0" borderId="0" xfId="0"/>
    <xf numFmtId="0" fontId="0" fillId="0" borderId="1" xfId="0" applyBorder="1"/>
    <xf numFmtId="0" fontId="10" fillId="8" borderId="2" xfId="4" applyFont="1" applyFill="1" applyBorder="1" applyAlignment="1">
      <alignment horizontal="center" vertical="center" wrapText="1"/>
    </xf>
    <xf numFmtId="0" fontId="1" fillId="0" borderId="0" xfId="4" applyAlignment="1">
      <alignment horizontal="left"/>
    </xf>
    <xf numFmtId="0" fontId="4" fillId="0" borderId="0" xfId="4" applyFont="1"/>
    <xf numFmtId="0" fontId="4" fillId="0" borderId="0" xfId="4" applyFont="1" applyAlignment="1">
      <alignment horizontal="center"/>
    </xf>
    <xf numFmtId="0" fontId="0" fillId="0" borderId="0" xfId="0" applyAlignment="1">
      <alignment horizontal="center"/>
    </xf>
    <xf numFmtId="0" fontId="5" fillId="0" borderId="0" xfId="8"/>
    <xf numFmtId="0" fontId="1" fillId="0" borderId="0" xfId="8" applyFont="1"/>
    <xf numFmtId="0" fontId="0" fillId="0" borderId="1" xfId="0" applyBorder="1" applyAlignment="1">
      <alignment horizontal="center"/>
    </xf>
    <xf numFmtId="14" fontId="0" fillId="0" borderId="1" xfId="0" applyNumberFormat="1" applyBorder="1" applyAlignment="1">
      <alignment horizontal="center"/>
    </xf>
    <xf numFmtId="14" fontId="0" fillId="0" borderId="1" xfId="0" applyNumberFormat="1" applyBorder="1"/>
    <xf numFmtId="0" fontId="0" fillId="10" borderId="1" xfId="0" applyFill="1" applyBorder="1" applyAlignment="1">
      <alignment horizontal="left"/>
    </xf>
    <xf numFmtId="0" fontId="0" fillId="10" borderId="0" xfId="0" applyFill="1" applyAlignment="1">
      <alignment horizontal="left"/>
    </xf>
    <xf numFmtId="0" fontId="6" fillId="10" borderId="0" xfId="4" applyFont="1" applyFill="1" applyAlignment="1">
      <alignment horizontal="center" wrapText="1"/>
    </xf>
    <xf numFmtId="0" fontId="9" fillId="11" borderId="1" xfId="0" applyFont="1" applyFill="1" applyBorder="1" applyAlignment="1">
      <alignment horizontal="center"/>
    </xf>
    <xf numFmtId="0" fontId="9" fillId="11" borderId="1" xfId="0" applyFont="1" applyFill="1" applyBorder="1" applyAlignment="1">
      <alignment horizontal="center" vertical="center"/>
    </xf>
    <xf numFmtId="0" fontId="6" fillId="10" borderId="0" xfId="4" applyFont="1" applyFill="1" applyAlignment="1">
      <alignment horizontal="left" vertical="center" wrapText="1"/>
    </xf>
    <xf numFmtId="0" fontId="6" fillId="10" borderId="0" xfId="4" applyFont="1" applyFill="1" applyAlignment="1">
      <alignment horizontal="left" vertical="center"/>
    </xf>
    <xf numFmtId="0" fontId="0" fillId="10" borderId="2" xfId="0" applyFill="1" applyBorder="1" applyAlignment="1">
      <alignment horizontal="left"/>
    </xf>
    <xf numFmtId="0" fontId="11" fillId="0" borderId="0" xfId="4" applyFont="1" applyAlignment="1">
      <alignment horizontal="center"/>
    </xf>
    <xf numFmtId="0" fontId="9" fillId="11" borderId="2" xfId="0" applyFont="1" applyFill="1" applyBorder="1" applyAlignment="1">
      <alignment horizontal="center"/>
    </xf>
    <xf numFmtId="0" fontId="6" fillId="10" borderId="3" xfId="4" applyFont="1" applyFill="1" applyBorder="1" applyAlignment="1">
      <alignment horizontal="center" wrapText="1"/>
    </xf>
    <xf numFmtId="0" fontId="6" fillId="10" borderId="3" xfId="0" applyFont="1" applyFill="1" applyBorder="1" applyAlignment="1">
      <alignment horizontal="center" wrapText="1"/>
    </xf>
    <xf numFmtId="0" fontId="0" fillId="0" borderId="4" xfId="0" applyBorder="1" applyAlignment="1">
      <alignment horizontal="center"/>
    </xf>
    <xf numFmtId="0" fontId="6" fillId="10" borderId="5" xfId="4" applyFont="1" applyFill="1" applyBorder="1" applyAlignment="1">
      <alignment horizontal="center" wrapText="1"/>
    </xf>
    <xf numFmtId="0" fontId="6" fillId="10" borderId="5" xfId="0" applyFont="1" applyFill="1" applyBorder="1" applyAlignment="1">
      <alignment horizontal="center" wrapText="1"/>
    </xf>
    <xf numFmtId="0" fontId="0" fillId="0" borderId="0" xfId="0" applyAlignment="1">
      <alignment horizontal="left"/>
    </xf>
    <xf numFmtId="0" fontId="0" fillId="0" borderId="0" xfId="0" applyAlignment="1">
      <alignment horizontal="right"/>
    </xf>
    <xf numFmtId="0" fontId="12" fillId="0" borderId="0" xfId="0" applyFont="1" applyAlignment="1">
      <alignment horizontal="center" vertical="center"/>
    </xf>
    <xf numFmtId="0" fontId="12" fillId="0" borderId="6" xfId="0" applyFont="1" applyBorder="1" applyAlignment="1">
      <alignment horizontal="center" vertical="center"/>
    </xf>
    <xf numFmtId="0" fontId="0" fillId="0" borderId="7" xfId="0" applyBorder="1" applyAlignment="1">
      <alignment horizontal="center"/>
    </xf>
    <xf numFmtId="0" fontId="13" fillId="10" borderId="8" xfId="9" applyFont="1" applyFill="1" applyBorder="1" applyAlignment="1">
      <alignment horizontal="left"/>
    </xf>
    <xf numFmtId="0" fontId="6" fillId="0" borderId="5" xfId="4" applyFont="1" applyBorder="1" applyAlignment="1">
      <alignment horizontal="center" wrapText="1"/>
    </xf>
    <xf numFmtId="0" fontId="6" fillId="0" borderId="5" xfId="0" applyFont="1" applyBorder="1" applyAlignment="1">
      <alignment horizontal="center" wrapText="1"/>
    </xf>
    <xf numFmtId="0" fontId="6" fillId="0" borderId="3" xfId="0" applyFont="1" applyBorder="1" applyAlignment="1">
      <alignment horizontal="center" wrapText="1"/>
    </xf>
    <xf numFmtId="0" fontId="14" fillId="0" borderId="1" xfId="0" applyFont="1" applyBorder="1" applyAlignment="1">
      <alignment horizontal="center"/>
    </xf>
    <xf numFmtId="0" fontId="0" fillId="0" borderId="1" xfId="0" applyBorder="1" applyAlignment="1">
      <alignment horizontal="center" vertical="center"/>
    </xf>
    <xf numFmtId="0" fontId="2" fillId="4" borderId="0" xfId="4" applyFont="1" applyFill="1" applyAlignment="1">
      <alignment horizontal="left"/>
    </xf>
    <xf numFmtId="0" fontId="0" fillId="10" borderId="1" xfId="0" applyFill="1" applyBorder="1" applyAlignment="1">
      <alignment horizontal="center"/>
    </xf>
    <xf numFmtId="0" fontId="14" fillId="10" borderId="3" xfId="0" applyFont="1" applyFill="1" applyBorder="1" applyAlignment="1">
      <alignment horizontal="center"/>
    </xf>
    <xf numFmtId="0" fontId="14" fillId="10" borderId="5" xfId="0" applyFont="1" applyFill="1" applyBorder="1" applyAlignment="1">
      <alignment horizontal="center"/>
    </xf>
    <xf numFmtId="0" fontId="6" fillId="10" borderId="1" xfId="0" applyFont="1" applyFill="1" applyBorder="1" applyAlignment="1">
      <alignment horizontal="center" wrapText="1"/>
    </xf>
    <xf numFmtId="0" fontId="6" fillId="10" borderId="1" xfId="4" applyFont="1" applyFill="1" applyBorder="1" applyAlignment="1">
      <alignment horizontal="center" wrapText="1"/>
    </xf>
    <xf numFmtId="0" fontId="0" fillId="0" borderId="0" xfId="0" applyAlignment="1">
      <alignment horizontal="center" vertical="center" wrapText="1"/>
    </xf>
    <xf numFmtId="0" fontId="12" fillId="17" borderId="8" xfId="0" applyFont="1" applyFill="1" applyBorder="1"/>
    <xf numFmtId="0" fontId="13" fillId="2" borderId="12" xfId="9" applyFont="1" applyFill="1" applyBorder="1"/>
    <xf numFmtId="0" fontId="15" fillId="0" borderId="0" xfId="8" applyFont="1"/>
    <xf numFmtId="0" fontId="16" fillId="5" borderId="13" xfId="9" applyFont="1" applyFill="1" applyBorder="1" applyAlignment="1">
      <alignment horizontal="center"/>
    </xf>
    <xf numFmtId="0" fontId="16" fillId="5" borderId="14" xfId="9" applyFont="1" applyFill="1" applyBorder="1" applyAlignment="1">
      <alignment horizontal="center"/>
    </xf>
    <xf numFmtId="0" fontId="16" fillId="5" borderId="15" xfId="9" applyFont="1" applyFill="1" applyBorder="1" applyAlignment="1">
      <alignment horizontal="center"/>
    </xf>
    <xf numFmtId="0" fontId="16" fillId="5" borderId="16" xfId="9" applyFont="1" applyFill="1" applyBorder="1" applyAlignment="1">
      <alignment horizontal="center"/>
    </xf>
    <xf numFmtId="0" fontId="16" fillId="5" borderId="9" xfId="9" applyFont="1" applyFill="1" applyBorder="1" applyAlignment="1">
      <alignment horizontal="center"/>
    </xf>
    <xf numFmtId="0" fontId="13" fillId="2" borderId="8" xfId="9" applyFont="1" applyFill="1" applyBorder="1" applyAlignment="1">
      <alignment horizontal="center"/>
    </xf>
    <xf numFmtId="9" fontId="13" fillId="2" borderId="9" xfId="11" applyFont="1" applyFill="1" applyBorder="1"/>
    <xf numFmtId="9" fontId="13" fillId="2" borderId="17" xfId="11" applyFont="1" applyFill="1" applyBorder="1"/>
    <xf numFmtId="9" fontId="13" fillId="2" borderId="12" xfId="11" applyFont="1" applyFill="1" applyBorder="1"/>
    <xf numFmtId="0" fontId="13" fillId="2" borderId="12" xfId="9" applyFont="1" applyFill="1" applyBorder="1" applyAlignment="1">
      <alignment horizontal="center"/>
    </xf>
    <xf numFmtId="0" fontId="15" fillId="0" borderId="12" xfId="8" applyFont="1" applyBorder="1"/>
    <xf numFmtId="9" fontId="13" fillId="2" borderId="19" xfId="11" applyFont="1" applyFill="1" applyBorder="1"/>
    <xf numFmtId="0" fontId="16" fillId="6" borderId="14" xfId="9" applyFont="1" applyFill="1" applyBorder="1" applyAlignment="1">
      <alignment horizontal="center"/>
    </xf>
    <xf numFmtId="1" fontId="16" fillId="6" borderId="14" xfId="9" applyNumberFormat="1" applyFont="1" applyFill="1" applyBorder="1" applyAlignment="1">
      <alignment horizontal="center"/>
    </xf>
    <xf numFmtId="9" fontId="16" fillId="6" borderId="19" xfId="11" applyFont="1" applyFill="1" applyBorder="1"/>
    <xf numFmtId="9" fontId="16" fillId="6" borderId="14" xfId="11" applyFont="1" applyFill="1" applyBorder="1"/>
    <xf numFmtId="0" fontId="17" fillId="5" borderId="13" xfId="9" applyFont="1" applyFill="1" applyBorder="1" applyAlignment="1">
      <alignment horizontal="center"/>
    </xf>
    <xf numFmtId="0" fontId="17" fillId="5" borderId="14" xfId="9" applyFont="1" applyFill="1" applyBorder="1" applyAlignment="1">
      <alignment horizontal="center"/>
    </xf>
    <xf numFmtId="0" fontId="17" fillId="5" borderId="20" xfId="9" applyFont="1" applyFill="1" applyBorder="1" applyAlignment="1">
      <alignment horizontal="center"/>
    </xf>
    <xf numFmtId="0" fontId="13" fillId="2" borderId="8" xfId="9" applyFont="1" applyFill="1" applyBorder="1" applyAlignment="1">
      <alignment horizontal="left"/>
    </xf>
    <xf numFmtId="0" fontId="15" fillId="10" borderId="8" xfId="5" applyFont="1" applyFill="1" applyBorder="1" applyAlignment="1">
      <alignment horizontal="left"/>
    </xf>
    <xf numFmtId="9" fontId="13" fillId="2" borderId="21" xfId="11" applyFont="1" applyFill="1" applyBorder="1"/>
    <xf numFmtId="0" fontId="15" fillId="0" borderId="19" xfId="8" applyFont="1" applyBorder="1"/>
    <xf numFmtId="0" fontId="16" fillId="5" borderId="20" xfId="9" applyFont="1" applyFill="1" applyBorder="1" applyAlignment="1">
      <alignment horizontal="center"/>
    </xf>
    <xf numFmtId="0" fontId="16" fillId="6" borderId="13" xfId="9" applyFont="1" applyFill="1" applyBorder="1"/>
    <xf numFmtId="9" fontId="16" fillId="6" borderId="20" xfId="11" applyFont="1" applyFill="1" applyBorder="1"/>
    <xf numFmtId="0" fontId="13" fillId="2" borderId="22" xfId="9" applyFont="1" applyFill="1" applyBorder="1"/>
    <xf numFmtId="1" fontId="13" fillId="2" borderId="12" xfId="9" applyNumberFormat="1" applyFont="1" applyFill="1" applyBorder="1" applyAlignment="1">
      <alignment horizontal="center"/>
    </xf>
    <xf numFmtId="9" fontId="13" fillId="2" borderId="0" xfId="11" applyFont="1" applyFill="1" applyBorder="1"/>
    <xf numFmtId="1" fontId="13" fillId="0" borderId="12" xfId="9" applyNumberFormat="1" applyFont="1" applyBorder="1" applyAlignment="1">
      <alignment horizontal="center"/>
    </xf>
    <xf numFmtId="0" fontId="18" fillId="3" borderId="23" xfId="9" applyFont="1" applyFill="1" applyBorder="1"/>
    <xf numFmtId="1" fontId="18" fillId="3" borderId="19" xfId="9" applyNumberFormat="1" applyFont="1" applyFill="1" applyBorder="1" applyAlignment="1">
      <alignment horizontal="center"/>
    </xf>
    <xf numFmtId="0" fontId="18" fillId="7" borderId="14" xfId="9" applyFont="1" applyFill="1" applyBorder="1"/>
    <xf numFmtId="1" fontId="18" fillId="7" borderId="14" xfId="8" applyNumberFormat="1" applyFont="1" applyFill="1" applyBorder="1" applyAlignment="1">
      <alignment horizontal="center"/>
    </xf>
    <xf numFmtId="0" fontId="15" fillId="10" borderId="12" xfId="5" applyFont="1" applyFill="1" applyBorder="1" applyAlignment="1">
      <alignment horizontal="left"/>
    </xf>
    <xf numFmtId="0" fontId="13" fillId="2" borderId="24" xfId="9" applyFont="1" applyFill="1" applyBorder="1"/>
    <xf numFmtId="0" fontId="13" fillId="0" borderId="25" xfId="9" applyFont="1" applyBorder="1" applyAlignment="1">
      <alignment horizontal="center"/>
    </xf>
    <xf numFmtId="0" fontId="13" fillId="2" borderId="26" xfId="9" applyFont="1" applyFill="1" applyBorder="1"/>
    <xf numFmtId="0" fontId="13" fillId="2" borderId="19" xfId="9" applyFont="1" applyFill="1" applyBorder="1"/>
    <xf numFmtId="0" fontId="16" fillId="6" borderId="14" xfId="9" applyFont="1" applyFill="1" applyBorder="1"/>
    <xf numFmtId="1" fontId="13" fillId="2" borderId="22" xfId="8" applyNumberFormat="1" applyFont="1" applyFill="1" applyBorder="1"/>
    <xf numFmtId="0" fontId="13" fillId="2" borderId="11" xfId="9" applyFont="1" applyFill="1" applyBorder="1" applyAlignment="1">
      <alignment horizontal="left"/>
    </xf>
    <xf numFmtId="0" fontId="13" fillId="2" borderId="11" xfId="9" applyFont="1" applyFill="1" applyBorder="1" applyAlignment="1">
      <alignment horizontal="center"/>
    </xf>
    <xf numFmtId="1" fontId="15" fillId="0" borderId="0" xfId="8" applyNumberFormat="1" applyFont="1"/>
    <xf numFmtId="0" fontId="16" fillId="6" borderId="16" xfId="9" applyFont="1" applyFill="1" applyBorder="1"/>
    <xf numFmtId="9" fontId="16" fillId="6" borderId="27" xfId="11" applyFont="1" applyFill="1" applyBorder="1"/>
    <xf numFmtId="1" fontId="16" fillId="6" borderId="28" xfId="9" applyNumberFormat="1" applyFont="1" applyFill="1" applyBorder="1" applyAlignment="1">
      <alignment horizontal="center"/>
    </xf>
    <xf numFmtId="0" fontId="16" fillId="5" borderId="29" xfId="9" applyFont="1" applyFill="1" applyBorder="1" applyAlignment="1">
      <alignment horizontal="center"/>
    </xf>
    <xf numFmtId="0" fontId="13" fillId="2" borderId="8" xfId="9" applyFont="1" applyFill="1" applyBorder="1"/>
    <xf numFmtId="0" fontId="13" fillId="2" borderId="30" xfId="9" applyFont="1" applyFill="1" applyBorder="1"/>
    <xf numFmtId="0" fontId="13" fillId="2" borderId="31" xfId="9" applyFont="1" applyFill="1" applyBorder="1"/>
    <xf numFmtId="0" fontId="16" fillId="6" borderId="19" xfId="9" applyFont="1" applyFill="1" applyBorder="1" applyAlignment="1">
      <alignment horizontal="center"/>
    </xf>
    <xf numFmtId="1" fontId="16" fillId="6" borderId="32" xfId="9" applyNumberFormat="1" applyFont="1" applyFill="1" applyBorder="1" applyAlignment="1">
      <alignment horizontal="center"/>
    </xf>
    <xf numFmtId="0" fontId="13" fillId="2" borderId="19" xfId="9" applyFont="1" applyFill="1" applyBorder="1" applyAlignment="1">
      <alignment horizontal="center"/>
    </xf>
    <xf numFmtId="0" fontId="16" fillId="5" borderId="33" xfId="9" applyFont="1" applyFill="1" applyBorder="1" applyAlignment="1">
      <alignment horizontal="center"/>
    </xf>
    <xf numFmtId="0" fontId="15" fillId="0" borderId="34" xfId="8" applyFont="1" applyBorder="1"/>
    <xf numFmtId="0" fontId="13" fillId="2" borderId="35" xfId="9" applyFont="1" applyFill="1" applyBorder="1" applyAlignment="1">
      <alignment horizontal="center"/>
    </xf>
    <xf numFmtId="9" fontId="13" fillId="2" borderId="35" xfId="11" applyFont="1" applyFill="1" applyBorder="1"/>
    <xf numFmtId="9" fontId="15" fillId="0" borderId="36" xfId="8" applyNumberFormat="1" applyFont="1" applyBorder="1"/>
    <xf numFmtId="0" fontId="19" fillId="18" borderId="11" xfId="4" applyFont="1" applyFill="1" applyBorder="1" applyAlignment="1">
      <alignment horizontal="left"/>
    </xf>
    <xf numFmtId="0" fontId="13" fillId="10" borderId="9" xfId="9" applyFont="1" applyFill="1" applyBorder="1" applyAlignment="1">
      <alignment horizontal="center"/>
    </xf>
    <xf numFmtId="9" fontId="13" fillId="10" borderId="9" xfId="11" applyFont="1" applyFill="1" applyBorder="1"/>
    <xf numFmtId="0" fontId="15" fillId="0" borderId="37" xfId="8" applyFont="1" applyBorder="1"/>
    <xf numFmtId="0" fontId="13" fillId="2" borderId="1" xfId="9" applyFont="1" applyFill="1" applyBorder="1" applyAlignment="1">
      <alignment horizontal="center"/>
    </xf>
    <xf numFmtId="9" fontId="13" fillId="2" borderId="1" xfId="11" applyFont="1" applyFill="1" applyBorder="1"/>
    <xf numFmtId="9" fontId="13" fillId="2" borderId="38" xfId="11" applyFont="1" applyFill="1" applyBorder="1"/>
    <xf numFmtId="0" fontId="17" fillId="18" borderId="8" xfId="4" applyFont="1" applyFill="1" applyBorder="1" applyAlignment="1">
      <alignment horizontal="left"/>
    </xf>
    <xf numFmtId="0" fontId="13" fillId="10" borderId="12" xfId="9" applyFont="1" applyFill="1" applyBorder="1" applyAlignment="1">
      <alignment horizontal="center"/>
    </xf>
    <xf numFmtId="9" fontId="13" fillId="10" borderId="12" xfId="11" applyFont="1" applyFill="1" applyBorder="1"/>
    <xf numFmtId="0" fontId="19" fillId="10" borderId="8" xfId="4" applyFont="1" applyFill="1" applyBorder="1" applyAlignment="1">
      <alignment horizontal="left"/>
    </xf>
    <xf numFmtId="0" fontId="16" fillId="6" borderId="39" xfId="9" applyFont="1" applyFill="1" applyBorder="1" applyAlignment="1">
      <alignment horizontal="center"/>
    </xf>
    <xf numFmtId="1" fontId="16" fillId="6" borderId="40" xfId="9" applyNumberFormat="1" applyFont="1" applyFill="1" applyBorder="1" applyAlignment="1">
      <alignment horizontal="center"/>
    </xf>
    <xf numFmtId="9" fontId="16" fillId="6" borderId="40" xfId="11" applyFont="1" applyFill="1" applyBorder="1"/>
    <xf numFmtId="9" fontId="16" fillId="6" borderId="41" xfId="11" applyFont="1" applyFill="1" applyBorder="1"/>
    <xf numFmtId="0" fontId="19" fillId="18" borderId="30" xfId="4" applyFont="1" applyFill="1" applyBorder="1" applyAlignment="1">
      <alignment horizontal="left"/>
    </xf>
    <xf numFmtId="0" fontId="13" fillId="10" borderId="19" xfId="9" applyFont="1" applyFill="1" applyBorder="1" applyAlignment="1">
      <alignment horizontal="center"/>
    </xf>
    <xf numFmtId="9" fontId="13" fillId="10" borderId="19" xfId="11" applyFont="1" applyFill="1" applyBorder="1"/>
    <xf numFmtId="0" fontId="16" fillId="5" borderId="34" xfId="9" applyFont="1" applyFill="1" applyBorder="1" applyAlignment="1">
      <alignment horizontal="center"/>
    </xf>
    <xf numFmtId="0" fontId="16" fillId="5" borderId="35" xfId="9" applyFont="1" applyFill="1" applyBorder="1" applyAlignment="1">
      <alignment horizontal="center"/>
    </xf>
    <xf numFmtId="0" fontId="16" fillId="5" borderId="36" xfId="9" applyFont="1" applyFill="1" applyBorder="1" applyAlignment="1">
      <alignment horizontal="center"/>
    </xf>
    <xf numFmtId="0" fontId="13" fillId="2" borderId="37" xfId="9" applyFont="1" applyFill="1" applyBorder="1" applyAlignment="1">
      <alignment horizontal="left"/>
    </xf>
    <xf numFmtId="0" fontId="17" fillId="18" borderId="0" xfId="4" applyFont="1" applyFill="1" applyAlignment="1">
      <alignment horizontal="left"/>
    </xf>
    <xf numFmtId="0" fontId="13" fillId="10" borderId="0" xfId="9" applyFont="1" applyFill="1" applyAlignment="1">
      <alignment horizontal="center"/>
    </xf>
    <xf numFmtId="9" fontId="13" fillId="10" borderId="0" xfId="11" applyFont="1" applyFill="1" applyBorder="1"/>
    <xf numFmtId="0" fontId="19" fillId="10" borderId="0" xfId="4" applyFont="1" applyFill="1" applyAlignment="1">
      <alignment horizontal="left"/>
    </xf>
    <xf numFmtId="0" fontId="19" fillId="18" borderId="0" xfId="4" applyFont="1" applyFill="1" applyAlignment="1">
      <alignment horizontal="left"/>
    </xf>
    <xf numFmtId="0" fontId="13" fillId="2" borderId="25" xfId="9" applyFont="1" applyFill="1" applyBorder="1" applyAlignment="1">
      <alignment horizontal="center"/>
    </xf>
    <xf numFmtId="0" fontId="17" fillId="10" borderId="0" xfId="4" applyFont="1" applyFill="1" applyAlignment="1">
      <alignment horizontal="left"/>
    </xf>
    <xf numFmtId="0" fontId="15" fillId="10" borderId="0" xfId="8" applyFont="1" applyFill="1"/>
    <xf numFmtId="0" fontId="15" fillId="0" borderId="0" xfId="8" applyFont="1" applyAlignment="1">
      <alignment horizontal="left"/>
    </xf>
    <xf numFmtId="0" fontId="15" fillId="0" borderId="1" xfId="8" applyFont="1" applyBorder="1" applyAlignment="1">
      <alignment horizontal="center" vertical="center"/>
    </xf>
    <xf numFmtId="0" fontId="12" fillId="17" borderId="37" xfId="0" applyFont="1" applyFill="1" applyBorder="1"/>
    <xf numFmtId="0" fontId="13" fillId="10" borderId="37" xfId="9" applyFont="1" applyFill="1" applyBorder="1" applyAlignment="1">
      <alignment horizontal="left"/>
    </xf>
    <xf numFmtId="9" fontId="16" fillId="6" borderId="39" xfId="11" applyFont="1" applyFill="1" applyBorder="1"/>
    <xf numFmtId="9" fontId="16" fillId="6" borderId="41" xfId="10" applyFont="1" applyFill="1" applyBorder="1" applyAlignment="1">
      <alignment horizontal="center"/>
    </xf>
    <xf numFmtId="9" fontId="15" fillId="0" borderId="38" xfId="10" applyFont="1" applyBorder="1" applyAlignment="1">
      <alignment horizontal="center"/>
    </xf>
    <xf numFmtId="1" fontId="16" fillId="6" borderId="40" xfId="11" applyNumberFormat="1" applyFont="1" applyFill="1" applyBorder="1" applyAlignment="1">
      <alignment horizontal="center" vertical="center"/>
    </xf>
    <xf numFmtId="0" fontId="16" fillId="6" borderId="39" xfId="9" applyFont="1" applyFill="1" applyBorder="1"/>
    <xf numFmtId="0" fontId="16" fillId="6" borderId="40" xfId="9" applyFont="1" applyFill="1" applyBorder="1" applyAlignment="1">
      <alignment horizontal="center" vertical="center"/>
    </xf>
    <xf numFmtId="0" fontId="16" fillId="6" borderId="42" xfId="9" applyFont="1" applyFill="1" applyBorder="1"/>
    <xf numFmtId="0" fontId="16" fillId="6" borderId="2" xfId="9" applyFont="1" applyFill="1" applyBorder="1" applyAlignment="1">
      <alignment horizontal="center" vertical="center"/>
    </xf>
    <xf numFmtId="0" fontId="16" fillId="5" borderId="43" xfId="9" applyFont="1" applyFill="1" applyBorder="1" applyAlignment="1">
      <alignment horizontal="center"/>
    </xf>
    <xf numFmtId="0" fontId="16" fillId="5" borderId="43" xfId="9" applyFont="1" applyFill="1" applyBorder="1" applyAlignment="1">
      <alignment horizontal="center" vertical="center"/>
    </xf>
    <xf numFmtId="0" fontId="16" fillId="5" borderId="20" xfId="9" applyFont="1" applyFill="1" applyBorder="1" applyAlignment="1">
      <alignment horizontal="center" vertical="center"/>
    </xf>
    <xf numFmtId="9" fontId="16" fillId="6" borderId="44" xfId="9" applyNumberFormat="1" applyFont="1" applyFill="1" applyBorder="1" applyAlignment="1">
      <alignment horizontal="center" vertical="center"/>
    </xf>
    <xf numFmtId="9" fontId="15" fillId="0" borderId="26" xfId="10" applyFont="1" applyBorder="1" applyAlignment="1">
      <alignment horizontal="center" vertical="center"/>
    </xf>
    <xf numFmtId="9" fontId="16" fillId="6" borderId="41" xfId="9" applyNumberFormat="1" applyFont="1" applyFill="1" applyBorder="1" applyAlignment="1">
      <alignment horizontal="center" vertical="center"/>
    </xf>
    <xf numFmtId="0" fontId="15" fillId="11" borderId="24" xfId="8" applyFont="1" applyFill="1" applyBorder="1"/>
    <xf numFmtId="0" fontId="15" fillId="11" borderId="7" xfId="8" applyFont="1" applyFill="1" applyBorder="1" applyAlignment="1">
      <alignment horizontal="center" vertical="center"/>
    </xf>
    <xf numFmtId="9" fontId="15" fillId="11" borderId="26" xfId="10" applyFont="1" applyFill="1" applyBorder="1" applyAlignment="1">
      <alignment horizontal="center" vertical="center"/>
    </xf>
    <xf numFmtId="0" fontId="13" fillId="2" borderId="0" xfId="9" applyFont="1" applyFill="1" applyAlignment="1">
      <alignment horizontal="center"/>
    </xf>
    <xf numFmtId="0" fontId="13" fillId="2" borderId="0" xfId="9" applyFont="1" applyFill="1"/>
    <xf numFmtId="0" fontId="13" fillId="2" borderId="0" xfId="9" applyFont="1" applyFill="1" applyAlignment="1">
      <alignment horizontal="left"/>
    </xf>
    <xf numFmtId="0" fontId="15" fillId="10" borderId="22" xfId="5" applyFont="1" applyFill="1" applyBorder="1" applyAlignment="1">
      <alignment horizontal="left"/>
    </xf>
    <xf numFmtId="0" fontId="1" fillId="11" borderId="2" xfId="0" applyFont="1" applyFill="1" applyBorder="1" applyAlignment="1">
      <alignment horizontal="center" vertical="center" wrapText="1"/>
    </xf>
    <xf numFmtId="0" fontId="12" fillId="0" borderId="0" xfId="0" applyFont="1" applyAlignment="1">
      <alignment horizontal="center"/>
    </xf>
    <xf numFmtId="0" fontId="12" fillId="0" borderId="0" xfId="0" applyFont="1" applyAlignment="1">
      <alignment wrapText="1"/>
    </xf>
    <xf numFmtId="0" fontId="12" fillId="0" borderId="0" xfId="0" applyFont="1"/>
    <xf numFmtId="0" fontId="12" fillId="0" borderId="0" xfId="0" applyFont="1" applyAlignment="1">
      <alignment horizontal="center" wrapText="1"/>
    </xf>
    <xf numFmtId="0" fontId="1" fillId="11" borderId="2" xfId="4" applyFill="1" applyBorder="1" applyAlignment="1">
      <alignment horizontal="center" vertical="center" wrapText="1"/>
    </xf>
    <xf numFmtId="0" fontId="1" fillId="9" borderId="2" xfId="4" applyFill="1" applyBorder="1" applyAlignment="1">
      <alignment horizontal="center" vertical="center" wrapText="1"/>
    </xf>
    <xf numFmtId="0" fontId="15" fillId="9" borderId="0" xfId="0" applyFont="1" applyFill="1"/>
    <xf numFmtId="0" fontId="12" fillId="10" borderId="1" xfId="0" applyFont="1" applyFill="1" applyBorder="1" applyAlignment="1">
      <alignment horizontal="center"/>
    </xf>
    <xf numFmtId="14" fontId="12" fillId="10" borderId="1" xfId="0" applyNumberFormat="1" applyFont="1" applyFill="1" applyBorder="1" applyAlignment="1">
      <alignment horizontal="center"/>
    </xf>
    <xf numFmtId="0" fontId="12" fillId="10" borderId="1" xfId="0" applyFont="1" applyFill="1" applyBorder="1" applyAlignment="1">
      <alignment horizontal="center" vertical="center"/>
    </xf>
    <xf numFmtId="20" fontId="12" fillId="10" borderId="1" xfId="0" applyNumberFormat="1" applyFont="1" applyFill="1" applyBorder="1" applyAlignment="1">
      <alignment horizontal="center"/>
    </xf>
    <xf numFmtId="0" fontId="12" fillId="10" borderId="1" xfId="0" applyFont="1" applyFill="1" applyBorder="1" applyAlignment="1">
      <alignment wrapText="1"/>
    </xf>
    <xf numFmtId="0" fontId="12" fillId="10" borderId="0" xfId="0" applyFont="1" applyFill="1"/>
    <xf numFmtId="0" fontId="12" fillId="10" borderId="0" xfId="0" applyFont="1" applyFill="1" applyAlignment="1">
      <alignment horizontal="center" vertical="center"/>
    </xf>
    <xf numFmtId="0" fontId="12" fillId="0" borderId="1" xfId="0" applyFont="1" applyBorder="1" applyAlignment="1">
      <alignment horizontal="center"/>
    </xf>
    <xf numFmtId="0" fontId="12" fillId="0" borderId="1" xfId="0" applyFont="1" applyBorder="1" applyAlignment="1">
      <alignment horizontal="center" vertical="center"/>
    </xf>
    <xf numFmtId="0" fontId="12" fillId="0" borderId="1" xfId="0" applyFont="1" applyBorder="1" applyAlignment="1">
      <alignment wrapText="1"/>
    </xf>
    <xf numFmtId="0" fontId="12" fillId="10" borderId="0" xfId="0" applyFont="1" applyFill="1" applyAlignment="1">
      <alignment horizontal="center"/>
    </xf>
    <xf numFmtId="0" fontId="24" fillId="12" borderId="0" xfId="4" applyFont="1" applyFill="1" applyAlignment="1">
      <alignment horizontal="left"/>
    </xf>
    <xf numFmtId="0" fontId="2" fillId="13" borderId="9" xfId="4" applyFont="1" applyFill="1" applyBorder="1" applyAlignment="1">
      <alignment horizontal="center"/>
    </xf>
    <xf numFmtId="0" fontId="2" fillId="13" borderId="9" xfId="4" applyFont="1" applyFill="1" applyBorder="1" applyAlignment="1">
      <alignment horizontal="center" wrapText="1"/>
    </xf>
    <xf numFmtId="0" fontId="2" fillId="13" borderId="9" xfId="4" applyFont="1" applyFill="1" applyBorder="1" applyAlignment="1">
      <alignment horizontal="center" vertical="center" wrapText="1"/>
    </xf>
    <xf numFmtId="0" fontId="2" fillId="13" borderId="9" xfId="4" applyFont="1" applyFill="1" applyBorder="1" applyAlignment="1">
      <alignment wrapText="1"/>
    </xf>
    <xf numFmtId="0" fontId="1" fillId="13" borderId="10" xfId="0" applyFont="1" applyFill="1" applyBorder="1" applyAlignment="1">
      <alignment horizontal="center" wrapText="1"/>
    </xf>
    <xf numFmtId="0" fontId="1" fillId="13" borderId="0" xfId="0" applyFont="1" applyFill="1" applyAlignment="1">
      <alignment horizontal="center" wrapText="1"/>
    </xf>
    <xf numFmtId="0" fontId="25" fillId="14" borderId="0" xfId="4" applyFont="1" applyFill="1" applyAlignment="1">
      <alignment horizontal="left"/>
    </xf>
    <xf numFmtId="0" fontId="1" fillId="4" borderId="0" xfId="4" applyFill="1" applyAlignment="1">
      <alignment horizontal="center"/>
    </xf>
    <xf numFmtId="0" fontId="1" fillId="4" borderId="0" xfId="4" applyFill="1" applyAlignment="1">
      <alignment horizontal="center" vertical="center"/>
    </xf>
    <xf numFmtId="0" fontId="1" fillId="4" borderId="0" xfId="4" applyFill="1" applyAlignment="1">
      <alignment horizontal="left"/>
    </xf>
    <xf numFmtId="0" fontId="25" fillId="15" borderId="0" xfId="4" applyFont="1" applyFill="1" applyAlignment="1">
      <alignment horizontal="left"/>
    </xf>
    <xf numFmtId="0" fontId="4" fillId="0" borderId="0" xfId="5" applyFont="1" applyAlignment="1">
      <alignment horizontal="center"/>
    </xf>
    <xf numFmtId="0" fontId="11" fillId="0" borderId="0" xfId="4" applyFont="1" applyAlignment="1">
      <alignment horizontal="center" vertical="center"/>
    </xf>
    <xf numFmtId="0" fontId="4" fillId="0" borderId="8" xfId="5" applyFont="1" applyBorder="1" applyAlignment="1">
      <alignment horizontal="left"/>
    </xf>
    <xf numFmtId="0" fontId="4" fillId="0" borderId="8" xfId="5" applyFont="1" applyBorder="1" applyAlignment="1">
      <alignment horizontal="center"/>
    </xf>
    <xf numFmtId="0" fontId="25" fillId="0" borderId="0" xfId="4" applyFont="1" applyAlignment="1">
      <alignment horizontal="left"/>
    </xf>
    <xf numFmtId="0" fontId="24" fillId="14" borderId="0" xfId="4" applyFont="1" applyFill="1" applyAlignment="1">
      <alignment horizontal="left"/>
    </xf>
    <xf numFmtId="0" fontId="25" fillId="16" borderId="0" xfId="4" applyFont="1" applyFill="1" applyAlignment="1">
      <alignment horizontal="left"/>
    </xf>
    <xf numFmtId="0" fontId="23" fillId="0" borderId="0" xfId="0" applyFont="1" applyAlignment="1">
      <alignment horizontal="center" vertical="center"/>
    </xf>
    <xf numFmtId="0" fontId="23" fillId="0" borderId="0" xfId="0" applyFont="1" applyAlignment="1">
      <alignment vertical="center"/>
    </xf>
    <xf numFmtId="0" fontId="23" fillId="10" borderId="1" xfId="0" applyFont="1" applyFill="1" applyBorder="1" applyAlignment="1">
      <alignment horizontal="center" vertical="center"/>
    </xf>
    <xf numFmtId="0" fontId="23" fillId="0" borderId="1" xfId="0" applyFont="1" applyBorder="1" applyAlignment="1">
      <alignment horizontal="center" vertical="center"/>
    </xf>
    <xf numFmtId="0" fontId="14" fillId="0" borderId="0" xfId="0" applyFont="1" applyAlignment="1">
      <alignment horizontal="center"/>
    </xf>
    <xf numFmtId="0" fontId="0" fillId="0" borderId="47" xfId="0" applyBorder="1" applyAlignment="1">
      <alignment horizontal="center"/>
    </xf>
    <xf numFmtId="0" fontId="0" fillId="0" borderId="0" xfId="0" pivotButton="1"/>
    <xf numFmtId="0" fontId="0" fillId="0" borderId="0" xfId="0" applyAlignment="1">
      <alignment horizontal="left" indent="1"/>
    </xf>
    <xf numFmtId="0" fontId="15" fillId="11" borderId="9" xfId="5" applyFont="1" applyFill="1" applyBorder="1" applyAlignment="1">
      <alignment horizontal="left"/>
    </xf>
    <xf numFmtId="0" fontId="13" fillId="11" borderId="12" xfId="9" applyFont="1" applyFill="1" applyBorder="1" applyAlignment="1">
      <alignment horizontal="center"/>
    </xf>
    <xf numFmtId="9" fontId="13" fillId="11" borderId="21" xfId="11" applyFont="1" applyFill="1" applyBorder="1"/>
    <xf numFmtId="9" fontId="13" fillId="11" borderId="12" xfId="11" applyFont="1" applyFill="1" applyBorder="1"/>
    <xf numFmtId="0" fontId="15" fillId="11" borderId="12" xfId="5" applyFont="1" applyFill="1" applyBorder="1" applyAlignment="1">
      <alignment horizontal="left"/>
    </xf>
    <xf numFmtId="0" fontId="13" fillId="11" borderId="11" xfId="9" applyFont="1" applyFill="1" applyBorder="1" applyAlignment="1">
      <alignment horizontal="left"/>
    </xf>
    <xf numFmtId="0" fontId="13" fillId="11" borderId="11" xfId="9" applyFont="1" applyFill="1" applyBorder="1" applyAlignment="1">
      <alignment horizontal="center"/>
    </xf>
    <xf numFmtId="9" fontId="13" fillId="11" borderId="9" xfId="11" applyFont="1" applyFill="1" applyBorder="1"/>
    <xf numFmtId="0" fontId="13" fillId="11" borderId="8" xfId="9" applyFont="1" applyFill="1" applyBorder="1" applyAlignment="1">
      <alignment horizontal="left"/>
    </xf>
    <xf numFmtId="9" fontId="13" fillId="11" borderId="17" xfId="11" applyFont="1" applyFill="1" applyBorder="1"/>
    <xf numFmtId="0" fontId="12" fillId="19" borderId="11" xfId="0" applyFont="1" applyFill="1" applyBorder="1"/>
    <xf numFmtId="0" fontId="13" fillId="11" borderId="9" xfId="9" applyFont="1" applyFill="1" applyBorder="1" applyAlignment="1">
      <alignment horizontal="center"/>
    </xf>
    <xf numFmtId="9" fontId="13" fillId="11" borderId="18" xfId="11" applyFont="1" applyFill="1" applyBorder="1"/>
    <xf numFmtId="0" fontId="12" fillId="19" borderId="8" xfId="0" applyFont="1" applyFill="1" applyBorder="1"/>
    <xf numFmtId="0" fontId="13" fillId="11" borderId="8" xfId="9" applyFont="1" applyFill="1" applyBorder="1" applyAlignment="1">
      <alignment horizontal="center"/>
    </xf>
    <xf numFmtId="0" fontId="13" fillId="11" borderId="9" xfId="9" applyFont="1" applyFill="1" applyBorder="1"/>
    <xf numFmtId="0" fontId="13" fillId="11" borderId="12" xfId="9" applyFont="1" applyFill="1" applyBorder="1"/>
    <xf numFmtId="0" fontId="15" fillId="11" borderId="8" xfId="5" applyFont="1" applyFill="1" applyBorder="1" applyAlignment="1">
      <alignment horizontal="left"/>
    </xf>
    <xf numFmtId="0" fontId="13" fillId="11" borderId="11" xfId="9" applyFont="1" applyFill="1" applyBorder="1"/>
    <xf numFmtId="9" fontId="13" fillId="0" borderId="17" xfId="11" applyFont="1" applyFill="1" applyBorder="1"/>
    <xf numFmtId="0" fontId="12" fillId="0" borderId="8" xfId="0" applyFont="1" applyBorder="1"/>
    <xf numFmtId="0" fontId="13" fillId="0" borderId="12" xfId="9" applyFont="1" applyBorder="1" applyAlignment="1">
      <alignment horizontal="center"/>
    </xf>
    <xf numFmtId="0" fontId="0" fillId="10" borderId="1" xfId="0" applyFill="1" applyBorder="1"/>
    <xf numFmtId="0" fontId="12" fillId="10" borderId="1" xfId="0" applyFont="1" applyFill="1" applyBorder="1" applyAlignment="1">
      <alignment horizontal="left" wrapText="1"/>
    </xf>
    <xf numFmtId="0" fontId="23" fillId="10" borderId="1" xfId="0" applyFont="1" applyFill="1" applyBorder="1" applyAlignment="1">
      <alignment horizontal="center" vertical="center" wrapText="1"/>
    </xf>
    <xf numFmtId="0" fontId="12" fillId="11" borderId="0" xfId="0" applyFont="1" applyFill="1"/>
    <xf numFmtId="0" fontId="12" fillId="10" borderId="0" xfId="0" applyFont="1" applyFill="1" applyAlignment="1">
      <alignment wrapText="1"/>
    </xf>
    <xf numFmtId="14" fontId="12" fillId="0" borderId="1" xfId="0" applyNumberFormat="1" applyFont="1" applyBorder="1" applyAlignment="1">
      <alignment horizontal="center"/>
    </xf>
    <xf numFmtId="20" fontId="12" fillId="0" borderId="1" xfId="0" applyNumberFormat="1" applyFont="1" applyBorder="1" applyAlignment="1">
      <alignment horizontal="center"/>
    </xf>
    <xf numFmtId="0" fontId="12" fillId="0" borderId="2" xfId="0" applyFont="1" applyBorder="1" applyAlignment="1">
      <alignment horizontal="center" vertical="center"/>
    </xf>
    <xf numFmtId="0" fontId="12" fillId="0" borderId="3" xfId="0" applyFont="1" applyBorder="1" applyAlignment="1">
      <alignment wrapText="1"/>
    </xf>
    <xf numFmtId="0" fontId="12" fillId="0" borderId="4" xfId="0" applyFont="1" applyBorder="1" applyAlignment="1">
      <alignment horizontal="center" vertical="center"/>
    </xf>
    <xf numFmtId="17" fontId="23" fillId="0" borderId="1" xfId="0" applyNumberFormat="1" applyFont="1" applyBorder="1" applyAlignment="1">
      <alignment horizontal="center" vertical="center"/>
    </xf>
    <xf numFmtId="0" fontId="12" fillId="0" borderId="7" xfId="0" applyFont="1" applyBorder="1" applyAlignment="1">
      <alignment horizontal="center"/>
    </xf>
    <xf numFmtId="0" fontId="12" fillId="0" borderId="7" xfId="0" applyFont="1" applyBorder="1" applyAlignment="1">
      <alignment horizontal="center" vertical="center"/>
    </xf>
    <xf numFmtId="0" fontId="12" fillId="0" borderId="2" xfId="0" applyFont="1" applyBorder="1" applyAlignment="1">
      <alignment horizontal="center"/>
    </xf>
    <xf numFmtId="0" fontId="12" fillId="0" borderId="48" xfId="0" applyFont="1" applyBorder="1" applyAlignment="1">
      <alignment horizontal="center" vertical="center"/>
    </xf>
    <xf numFmtId="0" fontId="12" fillId="0" borderId="1" xfId="0" applyFont="1" applyBorder="1"/>
    <xf numFmtId="0" fontId="23" fillId="0" borderId="1" xfId="0" applyFont="1" applyBorder="1" applyAlignment="1">
      <alignment horizontal="center" vertical="center" wrapText="1"/>
    </xf>
    <xf numFmtId="0" fontId="12" fillId="0" borderId="48" xfId="0" applyFont="1" applyBorder="1" applyAlignment="1">
      <alignment horizontal="center"/>
    </xf>
    <xf numFmtId="0" fontId="12" fillId="0" borderId="3" xfId="0" applyFont="1" applyBorder="1" applyAlignment="1">
      <alignment horizontal="left" wrapText="1"/>
    </xf>
    <xf numFmtId="0" fontId="12" fillId="0" borderId="1" xfId="0" applyFont="1" applyBorder="1" applyAlignment="1">
      <alignment horizontal="left" wrapText="1"/>
    </xf>
    <xf numFmtId="0" fontId="12" fillId="0" borderId="3" xfId="0" applyFont="1" applyBorder="1" applyAlignment="1">
      <alignment horizontal="center" vertical="center"/>
    </xf>
    <xf numFmtId="14" fontId="12" fillId="0" borderId="1" xfId="0" applyNumberFormat="1" applyFont="1" applyBorder="1" applyAlignment="1">
      <alignment horizontal="center" vertical="center"/>
    </xf>
    <xf numFmtId="0" fontId="12" fillId="0" borderId="50" xfId="0" applyFont="1" applyBorder="1" applyAlignment="1">
      <alignment horizontal="center" vertical="center"/>
    </xf>
    <xf numFmtId="20" fontId="12" fillId="0" borderId="1" xfId="0" applyNumberFormat="1" applyFont="1" applyBorder="1" applyAlignment="1">
      <alignment horizontal="center" vertical="center"/>
    </xf>
    <xf numFmtId="0" fontId="12" fillId="0" borderId="1" xfId="0" applyFont="1" applyBorder="1" applyAlignment="1">
      <alignment vertical="center" wrapText="1"/>
    </xf>
    <xf numFmtId="0" fontId="12" fillId="0" borderId="0" xfId="0" applyFont="1" applyAlignment="1">
      <alignment vertical="center"/>
    </xf>
    <xf numFmtId="1" fontId="0" fillId="0" borderId="1" xfId="0" applyNumberFormat="1" applyBorder="1"/>
    <xf numFmtId="0" fontId="0" fillId="0" borderId="1" xfId="0" applyBorder="1" applyAlignment="1">
      <alignment vertical="center" wrapText="1"/>
    </xf>
    <xf numFmtId="0" fontId="0" fillId="0" borderId="1" xfId="0" applyBorder="1" applyAlignment="1">
      <alignment vertical="center"/>
    </xf>
    <xf numFmtId="16" fontId="12" fillId="0" borderId="1" xfId="0" applyNumberFormat="1" applyFont="1" applyBorder="1" applyAlignment="1">
      <alignment horizontal="center"/>
    </xf>
    <xf numFmtId="0" fontId="12" fillId="10" borderId="2" xfId="0" applyFont="1" applyFill="1" applyBorder="1" applyAlignment="1">
      <alignment horizontal="center"/>
    </xf>
    <xf numFmtId="14" fontId="12" fillId="10" borderId="2" xfId="0" applyNumberFormat="1"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xf>
    <xf numFmtId="0" fontId="12" fillId="10" borderId="2" xfId="0" applyFont="1" applyFill="1" applyBorder="1" applyAlignment="1">
      <alignment horizontal="center" vertical="center"/>
    </xf>
    <xf numFmtId="20" fontId="12" fillId="10" borderId="2" xfId="0" applyNumberFormat="1" applyFont="1" applyFill="1" applyBorder="1" applyAlignment="1">
      <alignment horizontal="center"/>
    </xf>
    <xf numFmtId="0" fontId="23" fillId="10" borderId="2" xfId="0" applyFont="1" applyFill="1" applyBorder="1" applyAlignment="1">
      <alignment horizontal="center" vertical="center"/>
    </xf>
    <xf numFmtId="0" fontId="12" fillId="10" borderId="2" xfId="0" applyFont="1" applyFill="1" applyBorder="1" applyAlignment="1">
      <alignment horizontal="left" wrapText="1"/>
    </xf>
    <xf numFmtId="14" fontId="12" fillId="0" borderId="1" xfId="0" applyNumberFormat="1" applyFont="1" applyBorder="1"/>
    <xf numFmtId="0" fontId="1" fillId="11" borderId="2" xfId="4" applyFill="1" applyBorder="1" applyAlignment="1">
      <alignment vertical="center" wrapText="1"/>
    </xf>
    <xf numFmtId="14" fontId="0" fillId="0" borderId="0" xfId="0" applyNumberFormat="1"/>
    <xf numFmtId="14" fontId="12" fillId="0" borderId="0" xfId="0" applyNumberFormat="1" applyFont="1"/>
    <xf numFmtId="14" fontId="0" fillId="0" borderId="1" xfId="0" applyNumberFormat="1" applyBorder="1" applyAlignment="1">
      <alignment vertical="center"/>
    </xf>
    <xf numFmtId="14" fontId="0" fillId="0" borderId="2" xfId="0" applyNumberFormat="1" applyBorder="1" applyAlignment="1">
      <alignment vertical="center"/>
    </xf>
    <xf numFmtId="14" fontId="12" fillId="0" borderId="1" xfId="0" applyNumberFormat="1" applyFont="1" applyBorder="1" applyAlignment="1">
      <alignment vertical="center"/>
    </xf>
    <xf numFmtId="14" fontId="0" fillId="0" borderId="2" xfId="0" applyNumberFormat="1" applyBorder="1"/>
    <xf numFmtId="14" fontId="12" fillId="10" borderId="1" xfId="0" applyNumberFormat="1" applyFont="1" applyFill="1" applyBorder="1"/>
    <xf numFmtId="14" fontId="12" fillId="10" borderId="0" xfId="0" applyNumberFormat="1" applyFont="1" applyFill="1"/>
    <xf numFmtId="0" fontId="12" fillId="10" borderId="1" xfId="0" applyFont="1" applyFill="1" applyBorder="1"/>
    <xf numFmtId="0" fontId="11" fillId="0" borderId="0" xfId="4" applyFont="1"/>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12" fillId="10" borderId="3" xfId="0" applyFont="1" applyFill="1" applyBorder="1" applyAlignment="1">
      <alignment wrapText="1"/>
    </xf>
    <xf numFmtId="0" fontId="12" fillId="0" borderId="37" xfId="0" applyFont="1" applyBorder="1"/>
    <xf numFmtId="9" fontId="15" fillId="0" borderId="38" xfId="10" applyFont="1" applyFill="1" applyBorder="1" applyAlignment="1">
      <alignment horizontal="center"/>
    </xf>
    <xf numFmtId="0" fontId="12" fillId="11" borderId="1" xfId="0" applyFont="1" applyFill="1" applyBorder="1" applyAlignment="1">
      <alignment horizontal="center" vertical="center"/>
    </xf>
    <xf numFmtId="0" fontId="12" fillId="0" borderId="1" xfId="0" applyFont="1" applyBorder="1" applyAlignment="1">
      <alignment horizontal="left"/>
    </xf>
    <xf numFmtId="0" fontId="7" fillId="0" borderId="0" xfId="0" applyFont="1" applyAlignment="1">
      <alignment horizontal="center" vertical="center"/>
    </xf>
    <xf numFmtId="0" fontId="28" fillId="11" borderId="2" xfId="4" applyFont="1" applyFill="1" applyBorder="1" applyAlignment="1">
      <alignment horizontal="center" vertical="center" wrapText="1"/>
    </xf>
    <xf numFmtId="14" fontId="7" fillId="0" borderId="1" xfId="0" applyNumberFormat="1" applyFont="1" applyBorder="1" applyAlignment="1">
      <alignment horizontal="center" vertical="center"/>
    </xf>
    <xf numFmtId="14" fontId="7" fillId="10" borderId="1" xfId="0" applyNumberFormat="1" applyFont="1" applyFill="1" applyBorder="1" applyAlignment="1">
      <alignment horizontal="center" vertical="center"/>
    </xf>
    <xf numFmtId="14" fontId="7" fillId="0" borderId="2" xfId="0" applyNumberFormat="1" applyFont="1" applyBorder="1" applyAlignment="1">
      <alignment horizontal="center" vertical="center"/>
    </xf>
    <xf numFmtId="0" fontId="7" fillId="10" borderId="1" xfId="0" applyFont="1" applyFill="1" applyBorder="1" applyAlignment="1">
      <alignment horizontal="center" vertical="center"/>
    </xf>
    <xf numFmtId="0" fontId="7" fillId="0" borderId="1" xfId="0" applyFont="1" applyBorder="1" applyAlignment="1">
      <alignment horizontal="center" vertical="center"/>
    </xf>
    <xf numFmtId="0" fontId="29" fillId="0" borderId="0" xfId="4" applyFont="1" applyAlignment="1">
      <alignment horizontal="center" vertical="center"/>
    </xf>
    <xf numFmtId="0" fontId="12" fillId="10" borderId="4" xfId="0" applyFont="1" applyFill="1" applyBorder="1" applyAlignment="1">
      <alignment horizontal="center" vertical="center"/>
    </xf>
    <xf numFmtId="0" fontId="12" fillId="20" borderId="0" xfId="0" applyFont="1" applyFill="1"/>
    <xf numFmtId="14" fontId="12" fillId="10" borderId="1" xfId="0" applyNumberFormat="1" applyFont="1" applyFill="1" applyBorder="1" applyAlignment="1">
      <alignment horizontal="center" vertical="center"/>
    </xf>
    <xf numFmtId="0" fontId="17" fillId="11" borderId="1" xfId="0" applyFont="1" applyFill="1" applyBorder="1" applyAlignment="1">
      <alignment horizontal="center" vertical="center"/>
    </xf>
    <xf numFmtId="0" fontId="15" fillId="10" borderId="1" xfId="0" applyFont="1" applyFill="1" applyBorder="1"/>
    <xf numFmtId="0" fontId="12" fillId="10" borderId="3" xfId="0" applyFont="1" applyFill="1" applyBorder="1" applyAlignment="1">
      <alignment horizontal="center" vertical="center"/>
    </xf>
    <xf numFmtId="14" fontId="0" fillId="0" borderId="2" xfId="0" applyNumberFormat="1" applyBorder="1" applyAlignment="1">
      <alignment horizontal="center"/>
    </xf>
    <xf numFmtId="14" fontId="0" fillId="0" borderId="0" xfId="0" applyNumberFormat="1" applyAlignment="1">
      <alignment horizontal="center"/>
    </xf>
    <xf numFmtId="0" fontId="0" fillId="0" borderId="0" xfId="0" applyAlignment="1">
      <alignment horizontal="center" vertical="center"/>
    </xf>
    <xf numFmtId="14" fontId="0" fillId="0" borderId="1" xfId="0" applyNumberFormat="1" applyBorder="1" applyAlignment="1">
      <alignment horizontal="center" vertical="center"/>
    </xf>
    <xf numFmtId="20" fontId="12" fillId="10" borderId="1" xfId="0" applyNumberFormat="1" applyFont="1" applyFill="1" applyBorder="1" applyAlignment="1">
      <alignment horizontal="center" vertical="center"/>
    </xf>
    <xf numFmtId="0" fontId="15" fillId="0" borderId="1" xfId="0" applyFont="1" applyBorder="1" applyAlignment="1">
      <alignment wrapText="1"/>
    </xf>
    <xf numFmtId="0" fontId="15" fillId="0" borderId="3" xfId="0" applyFont="1" applyBorder="1" applyAlignment="1">
      <alignment wrapText="1"/>
    </xf>
    <xf numFmtId="0" fontId="15" fillId="10" borderId="3" xfId="0" applyFont="1" applyFill="1" applyBorder="1" applyAlignment="1">
      <alignment wrapText="1"/>
    </xf>
    <xf numFmtId="0" fontId="15" fillId="0" borderId="1" xfId="0" applyFont="1" applyBorder="1" applyAlignment="1">
      <alignment vertical="center" wrapText="1"/>
    </xf>
    <xf numFmtId="0" fontId="12" fillId="0" borderId="3" xfId="0" applyFont="1" applyBorder="1" applyAlignment="1">
      <alignment horizontal="center"/>
    </xf>
    <xf numFmtId="0" fontId="9" fillId="11" borderId="1" xfId="0" applyFont="1" applyFill="1" applyBorder="1" applyAlignment="1">
      <alignment horizontal="center" vertical="center" wrapText="1"/>
    </xf>
    <xf numFmtId="14" fontId="0" fillId="0" borderId="1" xfId="0" applyNumberFormat="1" applyBorder="1" applyAlignment="1">
      <alignment horizontal="center" vertical="center" wrapText="1"/>
    </xf>
    <xf numFmtId="20" fontId="0" fillId="0" borderId="1" xfId="0" applyNumberFormat="1" applyBorder="1" applyAlignment="1">
      <alignment horizontal="center" vertical="center" wrapText="1"/>
    </xf>
    <xf numFmtId="0" fontId="12" fillId="11" borderId="1" xfId="0" applyFont="1" applyFill="1" applyBorder="1" applyAlignment="1">
      <alignment horizontal="center"/>
    </xf>
    <xf numFmtId="0" fontId="15" fillId="10" borderId="1" xfId="0" applyFont="1" applyFill="1" applyBorder="1" applyAlignment="1">
      <alignment horizontal="center" vertical="center"/>
    </xf>
    <xf numFmtId="17" fontId="23" fillId="10" borderId="1" xfId="0" applyNumberFormat="1" applyFont="1" applyFill="1" applyBorder="1" applyAlignment="1">
      <alignment horizontal="center" vertical="center"/>
    </xf>
    <xf numFmtId="0" fontId="2" fillId="11" borderId="2" xfId="4" applyFont="1" applyFill="1" applyBorder="1" applyAlignment="1">
      <alignment horizontal="center" vertical="center" wrapText="1"/>
    </xf>
    <xf numFmtId="0" fontId="2" fillId="11" borderId="1" xfId="4" applyFont="1" applyFill="1" applyBorder="1" applyAlignment="1">
      <alignment horizontal="center" vertical="center" wrapText="1"/>
    </xf>
    <xf numFmtId="0" fontId="2" fillId="9" borderId="1" xfId="4"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17" fillId="9" borderId="0" xfId="0" applyFont="1" applyFill="1"/>
    <xf numFmtId="0" fontId="12" fillId="0" borderId="4" xfId="0" applyFont="1" applyBorder="1" applyAlignment="1">
      <alignment horizontal="center"/>
    </xf>
    <xf numFmtId="0" fontId="0" fillId="10" borderId="0" xfId="0" applyFill="1"/>
    <xf numFmtId="0" fontId="31" fillId="10" borderId="1" xfId="9" applyFont="1" applyFill="1" applyBorder="1" applyAlignment="1">
      <alignment horizontal="center" vertical="center"/>
    </xf>
    <xf numFmtId="0" fontId="32" fillId="17" borderId="1" xfId="0" applyFont="1" applyFill="1" applyBorder="1"/>
    <xf numFmtId="0" fontId="33" fillId="10" borderId="1" xfId="0" applyFont="1" applyFill="1" applyBorder="1" applyAlignment="1">
      <alignment horizontal="center" vertical="center"/>
    </xf>
    <xf numFmtId="0" fontId="33" fillId="21" borderId="1" xfId="0" applyFont="1" applyFill="1" applyBorder="1" applyAlignment="1">
      <alignment horizontal="center" vertical="center"/>
    </xf>
    <xf numFmtId="0" fontId="33" fillId="22" borderId="1" xfId="0" applyFont="1" applyFill="1" applyBorder="1" applyAlignment="1">
      <alignment horizontal="center" vertical="center"/>
    </xf>
    <xf numFmtId="0" fontId="32" fillId="10" borderId="1" xfId="0" applyFont="1" applyFill="1" applyBorder="1"/>
    <xf numFmtId="0" fontId="34" fillId="17" borderId="0" xfId="0" applyFont="1" applyFill="1"/>
    <xf numFmtId="0" fontId="35" fillId="0" borderId="0" xfId="0" applyFont="1" applyAlignment="1">
      <alignment horizontal="center" vertical="center"/>
    </xf>
    <xf numFmtId="0" fontId="0" fillId="0" borderId="1" xfId="0" applyBorder="1" applyAlignment="1">
      <alignment horizontal="left" vertical="center" wrapText="1"/>
    </xf>
    <xf numFmtId="9" fontId="16" fillId="6" borderId="37" xfId="11" applyFont="1" applyFill="1" applyBorder="1"/>
    <xf numFmtId="0" fontId="12" fillId="17" borderId="39" xfId="0" applyFont="1" applyFill="1" applyBorder="1"/>
    <xf numFmtId="1" fontId="16" fillId="6" borderId="1" xfId="11" applyNumberFormat="1" applyFont="1" applyFill="1" applyBorder="1" applyAlignment="1">
      <alignment horizontal="center"/>
    </xf>
    <xf numFmtId="0" fontId="15" fillId="0" borderId="40" xfId="8" applyFont="1" applyBorder="1" applyAlignment="1">
      <alignment horizontal="center" vertical="center"/>
    </xf>
    <xf numFmtId="9" fontId="16" fillId="6" borderId="38" xfId="10" applyFont="1" applyFill="1" applyBorder="1" applyAlignment="1">
      <alignment horizontal="center"/>
    </xf>
    <xf numFmtId="9" fontId="15" fillId="0" borderId="41" xfId="10" applyFont="1" applyBorder="1" applyAlignment="1">
      <alignment horizontal="center"/>
    </xf>
    <xf numFmtId="0" fontId="6" fillId="0" borderId="1" xfId="0" applyFont="1" applyBorder="1" applyAlignment="1">
      <alignment horizontal="center" vertical="center" wrapText="1"/>
    </xf>
    <xf numFmtId="0" fontId="12" fillId="0" borderId="5" xfId="0" applyFont="1" applyBorder="1" applyAlignment="1">
      <alignment horizontal="center"/>
    </xf>
    <xf numFmtId="1" fontId="0" fillId="0" borderId="1" xfId="0" applyNumberFormat="1" applyBorder="1" applyAlignment="1">
      <alignment horizontal="center"/>
    </xf>
    <xf numFmtId="0" fontId="30" fillId="0" borderId="1" xfId="0" applyFont="1" applyBorder="1"/>
    <xf numFmtId="0" fontId="15" fillId="0" borderId="1" xfId="0" applyFont="1" applyBorder="1"/>
    <xf numFmtId="0" fontId="15" fillId="10" borderId="0" xfId="0" applyFont="1" applyFill="1"/>
    <xf numFmtId="0" fontId="0" fillId="0" borderId="3" xfId="0" applyBorder="1" applyAlignment="1">
      <alignment horizontal="center"/>
    </xf>
    <xf numFmtId="0" fontId="12" fillId="0" borderId="49" xfId="0" applyFont="1" applyBorder="1" applyAlignment="1">
      <alignment horizontal="center"/>
    </xf>
    <xf numFmtId="0" fontId="12" fillId="0" borderId="2" xfId="0" applyFont="1" applyBorder="1"/>
    <xf numFmtId="0" fontId="37" fillId="9" borderId="1" xfId="4" applyFont="1" applyFill="1" applyBorder="1" applyAlignment="1">
      <alignment horizontal="center" vertical="center" wrapText="1"/>
    </xf>
    <xf numFmtId="14" fontId="52" fillId="0" borderId="0" xfId="0" applyNumberFormat="1" applyFont="1" applyAlignment="1">
      <alignment horizontal="center" vertical="center"/>
    </xf>
    <xf numFmtId="0" fontId="36" fillId="0" borderId="1" xfId="0" applyFont="1" applyBorder="1"/>
    <xf numFmtId="0" fontId="0" fillId="0" borderId="60" xfId="0" applyBorder="1"/>
    <xf numFmtId="0" fontId="12" fillId="10" borderId="4" xfId="0" applyFont="1" applyFill="1" applyBorder="1" applyAlignment="1">
      <alignment horizontal="center"/>
    </xf>
    <xf numFmtId="0" fontId="36" fillId="10" borderId="1" xfId="0" applyFont="1" applyFill="1" applyBorder="1" applyAlignment="1">
      <alignment horizontal="center" vertical="center"/>
    </xf>
    <xf numFmtId="14" fontId="7" fillId="0" borderId="0" xfId="0" applyNumberFormat="1" applyFont="1" applyAlignment="1">
      <alignment horizontal="center" vertical="center"/>
    </xf>
    <xf numFmtId="14" fontId="0" fillId="0" borderId="0" xfId="0" applyNumberFormat="1" applyAlignment="1">
      <alignment horizontal="center" vertical="center"/>
    </xf>
    <xf numFmtId="0" fontId="36" fillId="0" borderId="0" xfId="0" applyFont="1" applyAlignment="1">
      <alignment horizontal="center"/>
    </xf>
    <xf numFmtId="0" fontId="36" fillId="0" borderId="0" xfId="0" applyFont="1"/>
    <xf numFmtId="1" fontId="12" fillId="0" borderId="0" xfId="0" applyNumberFormat="1" applyFont="1" applyAlignment="1">
      <alignment horizontal="center"/>
    </xf>
    <xf numFmtId="0" fontId="0" fillId="10" borderId="1" xfId="0" applyFill="1" applyBorder="1" applyAlignment="1">
      <alignment horizontal="center" vertical="center"/>
    </xf>
    <xf numFmtId="14" fontId="0" fillId="10" borderId="1" xfId="0" applyNumberFormat="1" applyFill="1" applyBorder="1" applyAlignment="1">
      <alignment horizontal="center" vertical="center"/>
    </xf>
    <xf numFmtId="20" fontId="0" fillId="10" borderId="1" xfId="0" applyNumberFormat="1" applyFill="1" applyBorder="1" applyAlignment="1">
      <alignment horizontal="center" vertical="center"/>
    </xf>
    <xf numFmtId="0" fontId="0" fillId="10" borderId="1" xfId="0" applyFill="1" applyBorder="1" applyAlignment="1">
      <alignment vertical="center" wrapText="1"/>
    </xf>
    <xf numFmtId="0" fontId="0" fillId="10" borderId="0" xfId="0" applyFill="1" applyAlignment="1">
      <alignment vertical="center"/>
    </xf>
    <xf numFmtId="0" fontId="36" fillId="0" borderId="1" xfId="0" applyFont="1" applyBorder="1" applyAlignment="1">
      <alignment horizontal="center"/>
    </xf>
    <xf numFmtId="0" fontId="0" fillId="0" borderId="61" xfId="0"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0" fillId="0" borderId="67" xfId="0" applyBorder="1"/>
    <xf numFmtId="0" fontId="0" fillId="0" borderId="68" xfId="0" applyBorder="1"/>
    <xf numFmtId="0" fontId="12" fillId="20" borderId="1" xfId="0" applyFont="1" applyFill="1" applyBorder="1" applyAlignment="1">
      <alignment horizontal="center" vertical="center"/>
    </xf>
    <xf numFmtId="0" fontId="12" fillId="20" borderId="1" xfId="0" applyFont="1" applyFill="1" applyBorder="1" applyAlignment="1">
      <alignment horizontal="center"/>
    </xf>
    <xf numFmtId="0" fontId="20" fillId="4" borderId="45" xfId="4" applyFont="1" applyFill="1" applyBorder="1" applyAlignment="1">
      <alignment horizontal="center" vertical="center"/>
    </xf>
    <xf numFmtId="0" fontId="20" fillId="10" borderId="45" xfId="4" applyFont="1" applyFill="1" applyBorder="1" applyAlignment="1">
      <alignment horizontal="center" vertical="center"/>
    </xf>
    <xf numFmtId="0" fontId="21" fillId="4" borderId="45" xfId="4"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cellXfs>
  <cellStyles count="53">
    <cellStyle name="20% - Énfasis1" xfId="30" builtinId="30" customBuiltin="1"/>
    <cellStyle name="20% - Énfasis2" xfId="34" builtinId="34" customBuiltin="1"/>
    <cellStyle name="20% - Énfasis3" xfId="38" builtinId="38" customBuiltin="1"/>
    <cellStyle name="20% - Énfasis4" xfId="42" builtinId="42" customBuiltin="1"/>
    <cellStyle name="20% - Énfasis5" xfId="46" builtinId="46" customBuiltin="1"/>
    <cellStyle name="20% - Énfasis6" xfId="50" builtinId="50" customBuiltin="1"/>
    <cellStyle name="40% - Énfasis1" xfId="31" builtinId="31" customBuiltin="1"/>
    <cellStyle name="40% - Énfasis2" xfId="35" builtinId="35" customBuiltin="1"/>
    <cellStyle name="40% - Énfasis3" xfId="39" builtinId="39" customBuiltin="1"/>
    <cellStyle name="40% - Énfasis4" xfId="43" builtinId="43" customBuiltin="1"/>
    <cellStyle name="40% - Énfasis5" xfId="47" builtinId="47" customBuiltin="1"/>
    <cellStyle name="40% - Énfasis6" xfId="51" builtinId="51" customBuiltin="1"/>
    <cellStyle name="60% - Énfasis1" xfId="32" builtinId="32" customBuiltin="1"/>
    <cellStyle name="60% - Énfasis2" xfId="36" builtinId="36" customBuiltin="1"/>
    <cellStyle name="60% - Énfasis3" xfId="40" builtinId="40" customBuiltin="1"/>
    <cellStyle name="60% - Énfasis4" xfId="44" builtinId="44" customBuiltin="1"/>
    <cellStyle name="60% - Énfasis5" xfId="48" builtinId="48" customBuiltin="1"/>
    <cellStyle name="60% - Énfasis6" xfId="52" builtinId="52" customBuiltin="1"/>
    <cellStyle name="Bueno" xfId="17" builtinId="26" customBuiltin="1"/>
    <cellStyle name="Cálculo" xfId="22" builtinId="22" customBuiltin="1"/>
    <cellStyle name="Celda de comprobación" xfId="24" builtinId="23" customBuiltin="1"/>
    <cellStyle name="Celda vinculada" xfId="23" builtinId="24" customBuiltin="1"/>
    <cellStyle name="Encabezado 1" xfId="13" builtinId="16" customBuiltin="1"/>
    <cellStyle name="Encabezado 4" xfId="16" builtinId="19" customBuiltin="1"/>
    <cellStyle name="Énfasis1" xfId="29" builtinId="29" customBuiltin="1"/>
    <cellStyle name="Énfasis2" xfId="33" builtinId="33" customBuiltin="1"/>
    <cellStyle name="Énfasis3" xfId="37" builtinId="37" customBuiltin="1"/>
    <cellStyle name="Énfasis4" xfId="41" builtinId="41" customBuiltin="1"/>
    <cellStyle name="Énfasis5" xfId="45" builtinId="45" customBuiltin="1"/>
    <cellStyle name="Énfasis6" xfId="49" builtinId="49" customBuiltin="1"/>
    <cellStyle name="Entrada" xfId="20" builtinId="20" customBuiltin="1"/>
    <cellStyle name="Euro" xfId="1" xr:uid="{00000000-0005-0000-0000-000000000000}"/>
    <cellStyle name="Hipervínculo 2" xfId="2" xr:uid="{00000000-0005-0000-0000-000001000000}"/>
    <cellStyle name="Hipervínculo 3" xfId="3" xr:uid="{00000000-0005-0000-0000-000002000000}"/>
    <cellStyle name="Incorrecto" xfId="18" builtinId="27" customBuiltin="1"/>
    <cellStyle name="Neutral" xfId="19" builtinId="28" customBuiltin="1"/>
    <cellStyle name="Normal" xfId="0" builtinId="0"/>
    <cellStyle name="Normal 2" xfId="4" xr:uid="{00000000-0005-0000-0000-000004000000}"/>
    <cellStyle name="Normal 2 2" xfId="5" xr:uid="{00000000-0005-0000-0000-000005000000}"/>
    <cellStyle name="Normal 3" xfId="6" xr:uid="{00000000-0005-0000-0000-000006000000}"/>
    <cellStyle name="Normal 3 2" xfId="7" xr:uid="{00000000-0005-0000-0000-000007000000}"/>
    <cellStyle name="Normal 4" xfId="8" xr:uid="{00000000-0005-0000-0000-000008000000}"/>
    <cellStyle name="Normal_Trimestral" xfId="9" xr:uid="{00000000-0005-0000-0000-000009000000}"/>
    <cellStyle name="Notas" xfId="26" builtinId="10" customBuiltin="1"/>
    <cellStyle name="Porcentaje" xfId="10" builtinId="5"/>
    <cellStyle name="Porcentual 2" xfId="11" xr:uid="{00000000-0005-0000-0000-00000B000000}"/>
    <cellStyle name="Salida" xfId="21" builtinId="21" customBuiltin="1"/>
    <cellStyle name="Texto de advertencia" xfId="25" builtinId="11" customBuiltin="1"/>
    <cellStyle name="Texto explicativo" xfId="27" builtinId="53" customBuiltin="1"/>
    <cellStyle name="Título" xfId="12" builtinId="15" customBuiltin="1"/>
    <cellStyle name="Título 2" xfId="14" builtinId="17" customBuiltin="1"/>
    <cellStyle name="Título 3" xfId="15" builtinId="18" customBuiltin="1"/>
    <cellStyle name="Total" xfId="28" builtinId="25" customBuiltin="1"/>
  </cellStyles>
  <dxfs count="24">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pivotCacheDefinition" Target="pivotCache/pivotCacheDefinition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pivotCacheDefinition" Target="pivotCache/pivotCacheDefinition7.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pivotCacheDefinition" Target="pivotCache/pivotCacheDefinition6.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3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3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3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3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3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3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3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4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4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42.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43.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44.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45.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Atenciones SPA</a:t>
            </a:r>
          </a:p>
        </c:rich>
      </c:tx>
      <c:layout>
        <c:manualLayout>
          <c:xMode val="edge"/>
          <c:yMode val="edge"/>
          <c:x val="0.37426377952755907"/>
          <c:y val="2.43055555555555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8C-4AA6-89F1-050937301D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8C-4AA6-89F1-050937301DC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8C-4AA6-89F1-050937301D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'Datos Total'!$B$51:$B$53</c:f>
              <c:strCache>
                <c:ptCount val="3"/>
                <c:pt idx="0">
                  <c:v>Nuevo &lt;6 Meses</c:v>
                </c:pt>
                <c:pt idx="1">
                  <c:v>Antiguo &gt;18 Meses</c:v>
                </c:pt>
                <c:pt idx="2">
                  <c:v>Intermedio 6&lt;X&gt;18</c:v>
                </c:pt>
              </c:strCache>
            </c:strRef>
          </c:cat>
          <c:val>
            <c:numRef>
              <c:f>'Datos Total'!$D$51:$D$53</c:f>
              <c:numCache>
                <c:formatCode>0%</c:formatCode>
                <c:ptCount val="3"/>
                <c:pt idx="0">
                  <c:v>0.30172413793103448</c:v>
                </c:pt>
                <c:pt idx="1">
                  <c:v>0.51724137931034486</c:v>
                </c:pt>
                <c:pt idx="2">
                  <c:v>0.18103448275862069</c:v>
                </c:pt>
              </c:numCache>
            </c:numRef>
          </c:val>
          <c:extLst>
            <c:ext xmlns:c16="http://schemas.microsoft.com/office/drawing/2014/chart" uri="{C3380CC4-5D6E-409C-BE32-E72D297353CC}">
              <c16:uniqueId val="{00000001-6174-42CF-B638-C55BF53AB19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CLASIFICACION DE LGF</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L"/>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FAE4-42E1-AE3A-AE1B40069AD6}"/>
              </c:ext>
            </c:extLst>
          </c:dPt>
          <c:dPt>
            <c:idx val="1"/>
            <c:invertIfNegative val="0"/>
            <c:bubble3D val="0"/>
            <c:spPr>
              <a:solidFill>
                <a:srgbClr val="FF0000"/>
              </a:soli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4032-47BE-ADD0-97A5645B35F9}"/>
              </c:ext>
            </c:extLst>
          </c:dPt>
          <c:dPt>
            <c:idx val="2"/>
            <c:invertIfNegative val="0"/>
            <c:bubble3D val="0"/>
            <c:spPr>
              <a:solidFill>
                <a:srgbClr val="FF0000"/>
              </a:soli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B6A-49E3-BF10-8A80E41B197D}"/>
              </c:ext>
            </c:extLst>
          </c:dPt>
          <c:dPt>
            <c:idx val="3"/>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EB6A-49E3-BF10-8A80E41B19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'Datos Total'!$R$19:$R$26</c15:sqref>
                  </c15:fullRef>
                </c:ext>
              </c:extLst>
              <c:f>('Datos Total'!$R$19:$R$21,'Datos Total'!$R$23,'Datos Total'!$R$25:$R$26)</c:f>
              <c:strCache>
                <c:ptCount val="6"/>
                <c:pt idx="0">
                  <c:v>AMPUTACION (LGF7)</c:v>
                </c:pt>
                <c:pt idx="1">
                  <c:v>ATROPELLO (LGF4)</c:v>
                </c:pt>
                <c:pt idx="2">
                  <c:v>ATRAPAMIENTO (LGF2)</c:v>
                </c:pt>
                <c:pt idx="3">
                  <c:v>C.SUSTANCIAS PELIGROSAS (LGF3)</c:v>
                </c:pt>
                <c:pt idx="4">
                  <c:v>C.ENERGIAS PELIGROSAS (LGF6)</c:v>
                </c:pt>
                <c:pt idx="5">
                  <c:v>QUEMADURAS (LGF8)</c:v>
                </c:pt>
              </c:strCache>
            </c:strRef>
          </c:cat>
          <c:val>
            <c:numRef>
              <c:extLst>
                <c:ext xmlns:c15="http://schemas.microsoft.com/office/drawing/2012/chart" uri="{02D57815-91ED-43cb-92C2-25804820EDAC}">
                  <c15:fullRef>
                    <c15:sqref>'Datos Total'!$S$19:$S$26</c15:sqref>
                  </c15:fullRef>
                </c:ext>
              </c:extLst>
              <c:f>('Datos Total'!$S$19:$S$21,'Datos Total'!$S$23,'Datos Total'!$S$25:$S$26)</c:f>
              <c:numCache>
                <c:formatCode>General</c:formatCode>
                <c:ptCount val="6"/>
                <c:pt idx="0">
                  <c:v>0</c:v>
                </c:pt>
                <c:pt idx="1">
                  <c:v>7</c:v>
                </c:pt>
                <c:pt idx="2">
                  <c:v>6</c:v>
                </c:pt>
                <c:pt idx="3">
                  <c:v>2</c:v>
                </c:pt>
                <c:pt idx="4">
                  <c:v>1</c:v>
                </c:pt>
                <c:pt idx="5">
                  <c:v>5</c:v>
                </c:pt>
              </c:numCache>
            </c:numRef>
          </c:val>
          <c:extLst>
            <c:ext xmlns:c16="http://schemas.microsoft.com/office/drawing/2014/chart" uri="{C3380CC4-5D6E-409C-BE32-E72D297353CC}">
              <c16:uniqueId val="{00000001-21B1-4373-8178-5C03388CB242}"/>
            </c:ext>
          </c:extLst>
        </c:ser>
        <c:dLbls>
          <c:showLegendKey val="0"/>
          <c:showVal val="0"/>
          <c:showCatName val="0"/>
          <c:showSerName val="0"/>
          <c:showPercent val="0"/>
          <c:showBubbleSize val="0"/>
        </c:dLbls>
        <c:gapWidth val="100"/>
        <c:axId val="2033374304"/>
        <c:axId val="2033369024"/>
      </c:barChart>
      <c:catAx>
        <c:axId val="203337430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L"/>
          </a:p>
        </c:txPr>
        <c:crossAx val="2033369024"/>
        <c:crosses val="autoZero"/>
        <c:auto val="1"/>
        <c:lblAlgn val="ctr"/>
        <c:lblOffset val="100"/>
        <c:noMultiLvlLbl val="0"/>
      </c:catAx>
      <c:valAx>
        <c:axId val="203336902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crossAx val="203337430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CL"/>
              <a:t>N°</a:t>
            </a:r>
            <a:r>
              <a:rPr lang="es-CL" baseline="0"/>
              <a:t> DE LGF POR AREA</a:t>
            </a:r>
            <a:endParaRPr lang="es-CL"/>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L"/>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134F-4994-9599-5EE55D447596}"/>
              </c:ext>
            </c:extLst>
          </c:dPt>
          <c:dPt>
            <c:idx val="3"/>
            <c:invertIfNegative val="0"/>
            <c:bubble3D val="0"/>
            <c:spPr>
              <a:solidFill>
                <a:schemeClr val="accent1"/>
              </a:soli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134F-4994-9599-5EE55D447596}"/>
              </c:ext>
            </c:extLst>
          </c:dPt>
          <c:dPt>
            <c:idx val="4"/>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134F-4994-9599-5EE55D447596}"/>
              </c:ext>
            </c:extLst>
          </c:dPt>
          <c:dPt>
            <c:idx val="5"/>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134F-4994-9599-5EE55D447596}"/>
              </c:ext>
            </c:extLst>
          </c:dPt>
          <c:dPt>
            <c:idx val="6"/>
            <c:invertIfNegative val="0"/>
            <c:bubble3D val="0"/>
            <c:spPr>
              <a:solidFill>
                <a:schemeClr val="accent1"/>
              </a:soli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134F-4994-9599-5EE55D4475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'Datos Total'!$R$4:$R$14</c15:sqref>
                  </c15:fullRef>
                </c:ext>
              </c:extLst>
              <c:f>'Datos Total'!$R$4:$R$10</c:f>
              <c:strCache>
                <c:ptCount val="7"/>
                <c:pt idx="0">
                  <c:v>SSGG</c:v>
                </c:pt>
                <c:pt idx="1">
                  <c:v>MANTENCION</c:v>
                </c:pt>
                <c:pt idx="2">
                  <c:v>P.POSTERIORES</c:v>
                </c:pt>
                <c:pt idx="3">
                  <c:v>FRIGORÍFICO</c:v>
                </c:pt>
                <c:pt idx="4">
                  <c:v>IQF Y CALIBRADO</c:v>
                </c:pt>
                <c:pt idx="5">
                  <c:v>FAENACION</c:v>
                </c:pt>
                <c:pt idx="6">
                  <c:v>TROZADO POLLO</c:v>
                </c:pt>
              </c:strCache>
            </c:strRef>
          </c:cat>
          <c:val>
            <c:numRef>
              <c:extLst>
                <c:ext xmlns:c15="http://schemas.microsoft.com/office/drawing/2012/chart" uri="{02D57815-91ED-43cb-92C2-25804820EDAC}">
                  <c15:fullRef>
                    <c15:sqref>'Datos Total'!$S$4:$S$14</c15:sqref>
                  </c15:fullRef>
                </c:ext>
              </c:extLst>
              <c:f>'Datos Total'!$S$4:$S$10</c:f>
              <c:numCache>
                <c:formatCode>General</c:formatCode>
                <c:ptCount val="7"/>
                <c:pt idx="0">
                  <c:v>5</c:v>
                </c:pt>
                <c:pt idx="1">
                  <c:v>4</c:v>
                </c:pt>
                <c:pt idx="2">
                  <c:v>4</c:v>
                </c:pt>
                <c:pt idx="3">
                  <c:v>2</c:v>
                </c:pt>
                <c:pt idx="4">
                  <c:v>2</c:v>
                </c:pt>
                <c:pt idx="5">
                  <c:v>2</c:v>
                </c:pt>
                <c:pt idx="6">
                  <c:v>2</c:v>
                </c:pt>
              </c:numCache>
            </c:numRef>
          </c:val>
          <c:extLst>
            <c:ext xmlns:c15="http://schemas.microsoft.com/office/drawing/2012/chart" uri="{02D57815-91ED-43cb-92C2-25804820EDAC}">
              <c15:categoryFilterExceptions>
                <c15:categoryFilterException>
                  <c15:sqref>'Datos Total'!$S$11</c15:sqref>
                  <c15:spPr xmlns:c15="http://schemas.microsoft.com/office/drawing/2012/chart">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accen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15:spPr>
                  <c15:invertIfNegative val="0"/>
                  <c15:bubble3D val="0"/>
                </c15:categoryFilterException>
              </c15:categoryFilterExceptions>
            </c:ext>
            <c:ext xmlns:c16="http://schemas.microsoft.com/office/drawing/2014/chart" uri="{C3380CC4-5D6E-409C-BE32-E72D297353CC}">
              <c16:uniqueId val="{00000000-74D1-49AC-8671-C06B1F04081E}"/>
            </c:ext>
          </c:extLst>
        </c:ser>
        <c:dLbls>
          <c:showLegendKey val="0"/>
          <c:showVal val="0"/>
          <c:showCatName val="0"/>
          <c:showSerName val="0"/>
          <c:showPercent val="0"/>
          <c:showBubbleSize val="0"/>
        </c:dLbls>
        <c:gapWidth val="100"/>
        <c:axId val="1498187280"/>
        <c:axId val="1498191600"/>
      </c:barChart>
      <c:catAx>
        <c:axId val="149818728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L"/>
          </a:p>
        </c:txPr>
        <c:crossAx val="1498191600"/>
        <c:crosses val="autoZero"/>
        <c:auto val="1"/>
        <c:lblAlgn val="ctr"/>
        <c:lblOffset val="100"/>
        <c:noMultiLvlLbl val="0"/>
      </c:catAx>
      <c:valAx>
        <c:axId val="1498191600"/>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crossAx val="149818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L"/>
              <a:t>N° ACCIDENTES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ACC.'!$B$5:$B$6</c:f>
              <c:strCache>
                <c:ptCount val="1"/>
                <c:pt idx="0">
                  <c:v>CTP</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ACC.'!$A$7:$A$14</c:f>
              <c:strCache>
                <c:ptCount val="7"/>
                <c:pt idx="0">
                  <c:v>SSGG</c:v>
                </c:pt>
                <c:pt idx="1">
                  <c:v>TROZADO DE POLLO</c:v>
                </c:pt>
                <c:pt idx="2">
                  <c:v>FRIGORIFICO</c:v>
                </c:pt>
                <c:pt idx="3">
                  <c:v>FAENACION</c:v>
                </c:pt>
                <c:pt idx="4">
                  <c:v>IQF Y CALIBRADO</c:v>
                </c:pt>
                <c:pt idx="5">
                  <c:v>MANTENCION</c:v>
                </c:pt>
                <c:pt idx="6">
                  <c:v>P. POSTERIORES</c:v>
                </c:pt>
              </c:strCache>
            </c:strRef>
          </c:cat>
          <c:val>
            <c:numRef>
              <c:f>'ANALISIS DE ACC.'!$B$7:$B$14</c:f>
              <c:numCache>
                <c:formatCode>General</c:formatCode>
                <c:ptCount val="7"/>
                <c:pt idx="0">
                  <c:v>6</c:v>
                </c:pt>
                <c:pt idx="1">
                  <c:v>6</c:v>
                </c:pt>
                <c:pt idx="2">
                  <c:v>3</c:v>
                </c:pt>
                <c:pt idx="3">
                  <c:v>1</c:v>
                </c:pt>
                <c:pt idx="5">
                  <c:v>2</c:v>
                </c:pt>
                <c:pt idx="6">
                  <c:v>1</c:v>
                </c:pt>
              </c:numCache>
            </c:numRef>
          </c:val>
          <c:extLst>
            <c:ext xmlns:c16="http://schemas.microsoft.com/office/drawing/2014/chart" uri="{C3380CC4-5D6E-409C-BE32-E72D297353CC}">
              <c16:uniqueId val="{00000000-6471-46DB-9320-B64382E83374}"/>
            </c:ext>
          </c:extLst>
        </c:ser>
        <c:ser>
          <c:idx val="1"/>
          <c:order val="1"/>
          <c:tx>
            <c:strRef>
              <c:f>'ANALISIS DE ACC.'!$C$5:$C$6</c:f>
              <c:strCache>
                <c:ptCount val="1"/>
                <c:pt idx="0">
                  <c:v>STP</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ACC.'!$A$7:$A$14</c:f>
              <c:strCache>
                <c:ptCount val="7"/>
                <c:pt idx="0">
                  <c:v>SSGG</c:v>
                </c:pt>
                <c:pt idx="1">
                  <c:v>TROZADO DE POLLO</c:v>
                </c:pt>
                <c:pt idx="2">
                  <c:v>FRIGORIFICO</c:v>
                </c:pt>
                <c:pt idx="3">
                  <c:v>FAENACION</c:v>
                </c:pt>
                <c:pt idx="4">
                  <c:v>IQF Y CALIBRADO</c:v>
                </c:pt>
                <c:pt idx="5">
                  <c:v>MANTENCION</c:v>
                </c:pt>
                <c:pt idx="6">
                  <c:v>P. POSTERIORES</c:v>
                </c:pt>
              </c:strCache>
            </c:strRef>
          </c:cat>
          <c:val>
            <c:numRef>
              <c:f>'ANALISIS DE ACC.'!$C$7:$C$14</c:f>
              <c:numCache>
                <c:formatCode>General</c:formatCode>
                <c:ptCount val="7"/>
                <c:pt idx="0">
                  <c:v>2</c:v>
                </c:pt>
                <c:pt idx="1">
                  <c:v>2</c:v>
                </c:pt>
                <c:pt idx="2">
                  <c:v>1</c:v>
                </c:pt>
                <c:pt idx="3">
                  <c:v>1</c:v>
                </c:pt>
                <c:pt idx="4">
                  <c:v>2</c:v>
                </c:pt>
              </c:numCache>
            </c:numRef>
          </c:val>
          <c:extLst>
            <c:ext xmlns:c16="http://schemas.microsoft.com/office/drawing/2014/chart" uri="{C3380CC4-5D6E-409C-BE32-E72D297353CC}">
              <c16:uniqueId val="{00000000-F6A7-4FCC-8E2A-419AEB2F9656}"/>
            </c:ext>
          </c:extLst>
        </c:ser>
        <c:dLbls>
          <c:dLblPos val="outEnd"/>
          <c:showLegendKey val="0"/>
          <c:showVal val="1"/>
          <c:showCatName val="0"/>
          <c:showSerName val="0"/>
          <c:showPercent val="0"/>
          <c:showBubbleSize val="0"/>
        </c:dLbls>
        <c:gapWidth val="100"/>
        <c:overlap val="-24"/>
        <c:axId val="876905264"/>
        <c:axId val="876904784"/>
      </c:barChart>
      <c:catAx>
        <c:axId val="8769052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876904784"/>
        <c:crosses val="autoZero"/>
        <c:auto val="1"/>
        <c:lblAlgn val="ctr"/>
        <c:lblOffset val="100"/>
        <c:noMultiLvlLbl val="0"/>
      </c:catAx>
      <c:valAx>
        <c:axId val="87690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87690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INGRESOS</a:t>
            </a:r>
            <a:r>
              <a:rPr lang="en-US" baseline="0"/>
              <a:t> SPA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barChart>
        <c:barDir val="col"/>
        <c:grouping val="clustered"/>
        <c:varyColors val="0"/>
        <c:ser>
          <c:idx val="0"/>
          <c:order val="0"/>
          <c:tx>
            <c:strRef>
              <c:f>'Datos Total'!$M$3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'Datos Total'!$L$4:$L$15</c:f>
              <c:strCache>
                <c:ptCount val="12"/>
                <c:pt idx="0">
                  <c:v>TROZADO POLLO</c:v>
                </c:pt>
                <c:pt idx="1">
                  <c:v>SSGG</c:v>
                </c:pt>
                <c:pt idx="2">
                  <c:v>IQF Y CALIBRADO</c:v>
                </c:pt>
                <c:pt idx="3">
                  <c:v>FAENACION</c:v>
                </c:pt>
                <c:pt idx="4">
                  <c:v>FRIGORÍFICO</c:v>
                </c:pt>
                <c:pt idx="5">
                  <c:v>P.POSTERIORES</c:v>
                </c:pt>
                <c:pt idx="6">
                  <c:v>MANTENCION</c:v>
                </c:pt>
                <c:pt idx="7">
                  <c:v>TROZADO PAVO</c:v>
                </c:pt>
                <c:pt idx="8">
                  <c:v>CALIDAD</c:v>
                </c:pt>
                <c:pt idx="9">
                  <c:v>BODEGA</c:v>
                </c:pt>
                <c:pt idx="10">
                  <c:v>PERSONAL O PLANIFICACION</c:v>
                </c:pt>
                <c:pt idx="11">
                  <c:v>ADMINISTRACION</c:v>
                </c:pt>
              </c:strCache>
            </c:strRef>
          </c:cat>
          <c:val>
            <c:numRef>
              <c:f>'Datos Total'!$M$4:$M$15</c:f>
              <c:numCache>
                <c:formatCode>General</c:formatCode>
                <c:ptCount val="12"/>
                <c:pt idx="0">
                  <c:v>62</c:v>
                </c:pt>
                <c:pt idx="1">
                  <c:v>36</c:v>
                </c:pt>
                <c:pt idx="2">
                  <c:v>37</c:v>
                </c:pt>
                <c:pt idx="3">
                  <c:v>24</c:v>
                </c:pt>
                <c:pt idx="4">
                  <c:v>25</c:v>
                </c:pt>
                <c:pt idx="5">
                  <c:v>23</c:v>
                </c:pt>
                <c:pt idx="6">
                  <c:v>18</c:v>
                </c:pt>
                <c:pt idx="7">
                  <c:v>3</c:v>
                </c:pt>
                <c:pt idx="8">
                  <c:v>2</c:v>
                </c:pt>
                <c:pt idx="9">
                  <c:v>1</c:v>
                </c:pt>
                <c:pt idx="10">
                  <c:v>0</c:v>
                </c:pt>
                <c:pt idx="11">
                  <c:v>0</c:v>
                </c:pt>
              </c:numCache>
            </c:numRef>
          </c:val>
          <c:extLst>
            <c:ext xmlns:c16="http://schemas.microsoft.com/office/drawing/2014/chart" uri="{C3380CC4-5D6E-409C-BE32-E72D297353CC}">
              <c16:uniqueId val="{00000000-8C7E-4679-979F-1DB5CA1B47C4}"/>
            </c:ext>
          </c:extLst>
        </c:ser>
        <c:dLbls>
          <c:dLblPos val="outEnd"/>
          <c:showLegendKey val="0"/>
          <c:showVal val="1"/>
          <c:showCatName val="0"/>
          <c:showSerName val="0"/>
          <c:showPercent val="0"/>
          <c:showBubbleSize val="0"/>
        </c:dLbls>
        <c:gapWidth val="219"/>
        <c:overlap val="-27"/>
        <c:axId val="758633664"/>
        <c:axId val="767980528"/>
      </c:barChart>
      <c:catAx>
        <c:axId val="75863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767980528"/>
        <c:crosses val="autoZero"/>
        <c:auto val="1"/>
        <c:lblAlgn val="ctr"/>
        <c:lblOffset val="100"/>
        <c:noMultiLvlLbl val="0"/>
      </c:catAx>
      <c:valAx>
        <c:axId val="767980528"/>
        <c:scaling>
          <c:orientation val="minMax"/>
        </c:scaling>
        <c:delete val="1"/>
        <c:axPos val="l"/>
        <c:numFmt formatCode="General" sourceLinked="1"/>
        <c:majorTickMark val="none"/>
        <c:minorTickMark val="none"/>
        <c:tickLblPos val="nextTo"/>
        <c:crossAx val="758633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2197029246991235E-2"/>
          <c:y val="4.8611275944267916E-2"/>
          <c:w val="0.75378927295897236"/>
          <c:h val="0.70139126719586631"/>
        </c:manualLayout>
      </c:layout>
      <c:barChart>
        <c:barDir val="col"/>
        <c:grouping val="clustered"/>
        <c:varyColors val="0"/>
        <c:ser>
          <c:idx val="0"/>
          <c:order val="0"/>
          <c:tx>
            <c:strRef>
              <c:f>'Datos Total'!$C$3</c:f>
              <c:strCache>
                <c:ptCount val="1"/>
                <c:pt idx="0">
                  <c:v>Total</c:v>
                </c:pt>
              </c:strCache>
            </c:strRef>
          </c:tx>
          <c:spPr>
            <a:solidFill>
              <a:srgbClr val="FFFF00"/>
            </a:solidFill>
            <a:ln w="25400">
              <a:noFill/>
            </a:ln>
          </c:spPr>
          <c:invertIfNegative val="0"/>
          <c:dLbls>
            <c:spPr>
              <a:noFill/>
              <a:ln w="25400">
                <a:noFill/>
              </a:ln>
            </c:spPr>
            <c:txPr>
              <a:bodyPr/>
              <a:lstStyle/>
              <a:p>
                <a:pPr>
                  <a:defRPr sz="1000" b="0" i="0" u="none" strike="noStrike" baseline="0">
                    <a:solidFill>
                      <a:srgbClr val="333333"/>
                    </a:solidFill>
                    <a:latin typeface="Calibri"/>
                    <a:ea typeface="Calibri"/>
                    <a:cs typeface="Calibri"/>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Total'!$B$4:$B$10</c:f>
              <c:strCache>
                <c:ptCount val="7"/>
                <c:pt idx="0">
                  <c:v>IQF Y CALIBRADO</c:v>
                </c:pt>
                <c:pt idx="1">
                  <c:v>SSGG</c:v>
                </c:pt>
                <c:pt idx="2">
                  <c:v>FAENACION</c:v>
                </c:pt>
                <c:pt idx="3">
                  <c:v>TROZADO POLLO</c:v>
                </c:pt>
                <c:pt idx="4">
                  <c:v>FRIGORÍFICO</c:v>
                </c:pt>
                <c:pt idx="6">
                  <c:v>BODEGA</c:v>
                </c:pt>
              </c:strCache>
            </c:strRef>
          </c:cat>
          <c:val>
            <c:numRef>
              <c:f>'Datos Total'!$C$4:$C$10</c:f>
              <c:numCache>
                <c:formatCode>General</c:formatCode>
                <c:ptCount val="7"/>
                <c:pt idx="0">
                  <c:v>2</c:v>
                </c:pt>
                <c:pt idx="1">
                  <c:v>10</c:v>
                </c:pt>
                <c:pt idx="2">
                  <c:v>4</c:v>
                </c:pt>
                <c:pt idx="3">
                  <c:v>14</c:v>
                </c:pt>
                <c:pt idx="4">
                  <c:v>3</c:v>
                </c:pt>
                <c:pt idx="5">
                  <c:v>1</c:v>
                </c:pt>
                <c:pt idx="6">
                  <c:v>0</c:v>
                </c:pt>
              </c:numCache>
            </c:numRef>
          </c:val>
          <c:extLst>
            <c:ext xmlns:c16="http://schemas.microsoft.com/office/drawing/2014/chart" uri="{C3380CC4-5D6E-409C-BE32-E72D297353CC}">
              <c16:uniqueId val="{00000000-6D9C-4277-9D57-9AEE31FC3063}"/>
            </c:ext>
          </c:extLst>
        </c:ser>
        <c:dLbls>
          <c:showLegendKey val="0"/>
          <c:showVal val="0"/>
          <c:showCatName val="0"/>
          <c:showSerName val="0"/>
          <c:showPercent val="0"/>
          <c:showBubbleSize val="0"/>
        </c:dLbls>
        <c:gapWidth val="219"/>
        <c:overlap val="-27"/>
        <c:axId val="213005312"/>
        <c:axId val="212800000"/>
      </c:barChart>
      <c:lineChart>
        <c:grouping val="standard"/>
        <c:varyColors val="0"/>
        <c:ser>
          <c:idx val="1"/>
          <c:order val="1"/>
          <c:tx>
            <c:strRef>
              <c:f>'Datos Total'!$E$3</c:f>
              <c:strCache>
                <c:ptCount val="1"/>
                <c:pt idx="0">
                  <c:v>Pareto</c:v>
                </c:pt>
              </c:strCache>
            </c:strRef>
          </c:tx>
          <c:spPr>
            <a:ln>
              <a:solidFill>
                <a:srgbClr val="00B050"/>
              </a:solidFill>
            </a:ln>
          </c:spPr>
          <c:marker>
            <c:symbol val="none"/>
          </c:marker>
          <c:dLbls>
            <c:dLbl>
              <c:idx val="0"/>
              <c:layout>
                <c:manualLayout>
                  <c:x val="-4.9305999634069238E-2"/>
                  <c:y val="2.3248505217477948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E227-434C-9701-B63EAC21C55A}"/>
                </c:ext>
              </c:extLst>
            </c:dLbl>
            <c:dLbl>
              <c:idx val="1"/>
              <c:layout>
                <c:manualLayout>
                  <c:x val="-4.9305999634069266E-2"/>
                  <c:y val="2.3248505217477948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E227-434C-9701-B63EAC21C55A}"/>
                </c:ext>
              </c:extLst>
            </c:dLbl>
            <c:dLbl>
              <c:idx val="2"/>
              <c:layout>
                <c:manualLayout>
                  <c:x val="-4.6430182403802783E-2"/>
                  <c:y val="2.3248505217478031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E227-434C-9701-B63EAC21C55A}"/>
                </c:ext>
              </c:extLst>
            </c:dLbl>
            <c:dLbl>
              <c:idx val="3"/>
              <c:layout>
                <c:manualLayout>
                  <c:x val="-4.6430182403802783E-2"/>
                  <c:y val="2.7804784595613977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E227-434C-9701-B63EAC21C55A}"/>
                </c:ext>
              </c:extLst>
            </c:dLbl>
            <c:dLbl>
              <c:idx val="4"/>
              <c:layout>
                <c:manualLayout>
                  <c:x val="-4.6430182403802783E-2"/>
                  <c:y val="2.7804784595614061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E227-434C-9701-B63EAC21C55A}"/>
                </c:ext>
              </c:extLst>
            </c:dLbl>
            <c:dLbl>
              <c:idx val="5"/>
              <c:layout>
                <c:manualLayout>
                  <c:x val="-4.9305999634069238E-2"/>
                  <c:y val="2.3248505217478115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E227-434C-9701-B63EAC21C55A}"/>
                </c:ext>
              </c:extLst>
            </c:dLbl>
            <c:dLbl>
              <c:idx val="6"/>
              <c:layout>
                <c:manualLayout>
                  <c:x val="-5.6596083091644024E-2"/>
                  <c:y val="2.3248505217478031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8-E227-434C-9701-B63EAC21C55A}"/>
                </c:ext>
              </c:extLst>
            </c:dLbl>
            <c:spPr>
              <a:noFill/>
              <a:ln>
                <a:noFill/>
              </a:ln>
              <a:effectLst/>
            </c:spPr>
            <c:dLblPos val="b"/>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ext>
            </c:extLst>
          </c:dLbls>
          <c:cat>
            <c:strRef>
              <c:f>'Datos Total'!$B$4:$B$10</c:f>
              <c:strCache>
                <c:ptCount val="7"/>
                <c:pt idx="0">
                  <c:v>IQF Y CALIBRADO</c:v>
                </c:pt>
                <c:pt idx="1">
                  <c:v>SSGG</c:v>
                </c:pt>
                <c:pt idx="2">
                  <c:v>FAENACION</c:v>
                </c:pt>
                <c:pt idx="3">
                  <c:v>TROZADO POLLO</c:v>
                </c:pt>
                <c:pt idx="4">
                  <c:v>FRIGORÍFICO</c:v>
                </c:pt>
                <c:pt idx="6">
                  <c:v>BODEGA</c:v>
                </c:pt>
              </c:strCache>
            </c:strRef>
          </c:cat>
          <c:val>
            <c:numRef>
              <c:f>'Datos Total'!$E$4:$E$10</c:f>
              <c:numCache>
                <c:formatCode>0%</c:formatCode>
                <c:ptCount val="7"/>
                <c:pt idx="0">
                  <c:v>5.4054054054054057E-2</c:v>
                </c:pt>
                <c:pt idx="1">
                  <c:v>0.32432432432432434</c:v>
                </c:pt>
                <c:pt idx="2">
                  <c:v>0.43243243243243246</c:v>
                </c:pt>
                <c:pt idx="3">
                  <c:v>0.81081081081081086</c:v>
                </c:pt>
                <c:pt idx="4">
                  <c:v>0.89189189189189189</c:v>
                </c:pt>
                <c:pt idx="5">
                  <c:v>0.91891891891891886</c:v>
                </c:pt>
                <c:pt idx="6">
                  <c:v>0.91891891891891886</c:v>
                </c:pt>
              </c:numCache>
            </c:numRef>
          </c:val>
          <c:smooth val="0"/>
          <c:extLst>
            <c:ext xmlns:c16="http://schemas.microsoft.com/office/drawing/2014/chart" uri="{C3380CC4-5D6E-409C-BE32-E72D297353CC}">
              <c16:uniqueId val="{00000001-E227-434C-9701-B63EAC21C55A}"/>
            </c:ext>
          </c:extLst>
        </c:ser>
        <c:dLbls>
          <c:showLegendKey val="0"/>
          <c:showVal val="0"/>
          <c:showCatName val="0"/>
          <c:showSerName val="0"/>
          <c:showPercent val="0"/>
          <c:showBubbleSize val="0"/>
        </c:dLbls>
        <c:marker val="1"/>
        <c:smooth val="0"/>
        <c:axId val="1191085503"/>
        <c:axId val="1191079263"/>
      </c:lineChart>
      <c:catAx>
        <c:axId val="21300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600000" vert="horz"/>
          <a:lstStyle/>
          <a:p>
            <a:pPr>
              <a:defRPr sz="600" b="1" i="0" u="none" strike="noStrike" baseline="0">
                <a:solidFill>
                  <a:srgbClr val="333333"/>
                </a:solidFill>
                <a:latin typeface="Calibri"/>
                <a:ea typeface="Calibri"/>
                <a:cs typeface="Calibri"/>
              </a:defRPr>
            </a:pPr>
            <a:endParaRPr lang="es-CL"/>
          </a:p>
        </c:txPr>
        <c:crossAx val="212800000"/>
        <c:crosses val="autoZero"/>
        <c:auto val="1"/>
        <c:lblAlgn val="ctr"/>
        <c:lblOffset val="100"/>
        <c:noMultiLvlLbl val="0"/>
      </c:catAx>
      <c:valAx>
        <c:axId val="212800000"/>
        <c:scaling>
          <c:orientation val="minMax"/>
        </c:scaling>
        <c:delete val="1"/>
        <c:axPos val="l"/>
        <c:numFmt formatCode="General" sourceLinked="1"/>
        <c:majorTickMark val="out"/>
        <c:minorTickMark val="none"/>
        <c:tickLblPos val="nextTo"/>
        <c:crossAx val="213005312"/>
        <c:crosses val="autoZero"/>
        <c:crossBetween val="between"/>
      </c:valAx>
      <c:valAx>
        <c:axId val="1191079263"/>
        <c:scaling>
          <c:orientation val="minMax"/>
        </c:scaling>
        <c:delete val="0"/>
        <c:axPos val="r"/>
        <c:numFmt formatCode="0%" sourceLinked="1"/>
        <c:majorTickMark val="out"/>
        <c:minorTickMark val="none"/>
        <c:tickLblPos val="nextTo"/>
        <c:crossAx val="1191085503"/>
        <c:crosses val="max"/>
        <c:crossBetween val="between"/>
      </c:valAx>
      <c:catAx>
        <c:axId val="1191085503"/>
        <c:scaling>
          <c:orientation val="minMax"/>
        </c:scaling>
        <c:delete val="1"/>
        <c:axPos val="b"/>
        <c:numFmt formatCode="General" sourceLinked="1"/>
        <c:majorTickMark val="out"/>
        <c:minorTickMark val="none"/>
        <c:tickLblPos val="nextTo"/>
        <c:crossAx val="1191079263"/>
        <c:crosses val="autoZero"/>
        <c:auto val="1"/>
        <c:lblAlgn val="ctr"/>
        <c:lblOffset val="100"/>
        <c:noMultiLvlLbl val="0"/>
      </c:cat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4574691870248137E-2"/>
          <c:y val="5.283028602278534E-2"/>
          <c:w val="0.81285519263128514"/>
          <c:h val="0.70566167759006093"/>
        </c:manualLayout>
      </c:layout>
      <c:barChart>
        <c:barDir val="col"/>
        <c:grouping val="clustered"/>
        <c:varyColors val="0"/>
        <c:ser>
          <c:idx val="0"/>
          <c:order val="0"/>
          <c:tx>
            <c:strRef>
              <c:f>'Datos Total'!$L$18</c:f>
              <c:strCache>
                <c:ptCount val="1"/>
                <c:pt idx="0">
                  <c:v> MES</c:v>
                </c:pt>
              </c:strCache>
            </c:strRef>
          </c:tx>
          <c:spPr>
            <a:solidFill>
              <a:srgbClr val="FFFF00"/>
            </a:solidFill>
            <a:ln w="25400">
              <a:noFill/>
            </a:ln>
          </c:spPr>
          <c:invertIfNegative val="0"/>
          <c:dLbls>
            <c:spPr>
              <a:noFill/>
              <a:ln w="25400">
                <a:noFill/>
              </a:ln>
            </c:spPr>
            <c:txPr>
              <a:bodyPr/>
              <a:lstStyle/>
              <a:p>
                <a:pPr>
                  <a:defRPr sz="900" b="1" i="0" u="none" strike="noStrike" baseline="0">
                    <a:solidFill>
                      <a:srgbClr val="FF0000"/>
                    </a:solidFill>
                    <a:latin typeface="Calibri"/>
                    <a:ea typeface="Calibri"/>
                    <a:cs typeface="Calibri"/>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Total'!$L$52:$L$63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'Datos Total'!$M$19:$M$30</c:f>
              <c:numCache>
                <c:formatCode>0</c:formatCode>
                <c:ptCount val="12"/>
                <c:pt idx="0">
                  <c:v>13</c:v>
                </c:pt>
                <c:pt idx="1">
                  <c:v>11</c:v>
                </c:pt>
                <c:pt idx="2">
                  <c:v>24</c:v>
                </c:pt>
                <c:pt idx="3">
                  <c:v>9</c:v>
                </c:pt>
                <c:pt idx="4">
                  <c:v>30</c:v>
                </c:pt>
                <c:pt idx="5">
                  <c:v>17</c:v>
                </c:pt>
                <c:pt idx="6">
                  <c:v>17</c:v>
                </c:pt>
                <c:pt idx="7">
                  <c:v>32</c:v>
                </c:pt>
                <c:pt idx="8">
                  <c:v>13</c:v>
                </c:pt>
                <c:pt idx="9">
                  <c:v>11</c:v>
                </c:pt>
                <c:pt idx="10">
                  <c:v>25</c:v>
                </c:pt>
                <c:pt idx="11">
                  <c:v>16</c:v>
                </c:pt>
              </c:numCache>
            </c:numRef>
          </c:val>
          <c:extLst>
            <c:ext xmlns:c16="http://schemas.microsoft.com/office/drawing/2014/chart" uri="{C3380CC4-5D6E-409C-BE32-E72D297353CC}">
              <c16:uniqueId val="{00000000-1A53-423D-8110-8A08BC0F0027}"/>
            </c:ext>
          </c:extLst>
        </c:ser>
        <c:ser>
          <c:idx val="1"/>
          <c:order val="1"/>
          <c:tx>
            <c:strRef>
              <c:f>'Datos Total'!$L$51</c:f>
              <c:strCache>
                <c:ptCount val="1"/>
                <c:pt idx="0">
                  <c:v> MES CTP</c:v>
                </c:pt>
              </c:strCache>
            </c:strRef>
          </c:tx>
          <c:spPr>
            <a:solidFill>
              <a:srgbClr val="FF0000"/>
            </a:solidFill>
          </c:spPr>
          <c:invertIfNegative val="0"/>
          <c:dLbls>
            <c:spPr>
              <a:noFill/>
              <a:ln>
                <a:noFill/>
              </a:ln>
              <a:effectLst/>
            </c:spPr>
            <c:txPr>
              <a:bodyPr/>
              <a:lstStyle/>
              <a:p>
                <a:pPr>
                  <a:defRPr lang="es-CL" sz="900" b="1">
                    <a:solidFill>
                      <a:srgbClr val="FF0000"/>
                    </a:solidFill>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Total'!$L$52:$L$63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'Datos Total'!$M$52:$M$63</c:f>
              <c:numCache>
                <c:formatCode>0</c:formatCode>
                <c:ptCount val="12"/>
                <c:pt idx="0">
                  <c:v>6</c:v>
                </c:pt>
                <c:pt idx="1">
                  <c:v>1</c:v>
                </c:pt>
                <c:pt idx="2">
                  <c:v>3</c:v>
                </c:pt>
                <c:pt idx="3">
                  <c:v>8</c:v>
                </c:pt>
                <c:pt idx="4">
                  <c:v>4</c:v>
                </c:pt>
                <c:pt idx="5">
                  <c:v>3</c:v>
                </c:pt>
                <c:pt idx="6">
                  <c:v>5</c:v>
                </c:pt>
                <c:pt idx="7">
                  <c:v>5</c:v>
                </c:pt>
                <c:pt idx="8">
                  <c:v>0</c:v>
                </c:pt>
                <c:pt idx="9">
                  <c:v>1</c:v>
                </c:pt>
                <c:pt idx="10">
                  <c:v>4</c:v>
                </c:pt>
                <c:pt idx="11">
                  <c:v>5</c:v>
                </c:pt>
              </c:numCache>
            </c:numRef>
          </c:val>
          <c:extLst>
            <c:ext xmlns:c16="http://schemas.microsoft.com/office/drawing/2014/chart" uri="{C3380CC4-5D6E-409C-BE32-E72D297353CC}">
              <c16:uniqueId val="{00000001-1A53-423D-8110-8A08BC0F0027}"/>
            </c:ext>
          </c:extLst>
        </c:ser>
        <c:dLbls>
          <c:showLegendKey val="0"/>
          <c:showVal val="0"/>
          <c:showCatName val="0"/>
          <c:showSerName val="0"/>
          <c:showPercent val="0"/>
          <c:showBubbleSize val="0"/>
        </c:dLbls>
        <c:gapWidth val="219"/>
        <c:axId val="213007872"/>
        <c:axId val="214180992"/>
      </c:barChart>
      <c:catAx>
        <c:axId val="21300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900" b="0" i="0" u="none" strike="noStrike" baseline="0">
                <a:solidFill>
                  <a:srgbClr val="333333"/>
                </a:solidFill>
                <a:latin typeface="Calibri"/>
                <a:ea typeface="Calibri"/>
                <a:cs typeface="Calibri"/>
              </a:defRPr>
            </a:pPr>
            <a:endParaRPr lang="es-CL"/>
          </a:p>
        </c:txPr>
        <c:crossAx val="214180992"/>
        <c:crosses val="autoZero"/>
        <c:auto val="1"/>
        <c:lblAlgn val="ctr"/>
        <c:lblOffset val="100"/>
        <c:noMultiLvlLbl val="0"/>
      </c:catAx>
      <c:valAx>
        <c:axId val="214180992"/>
        <c:scaling>
          <c:orientation val="minMax"/>
        </c:scaling>
        <c:delete val="1"/>
        <c:axPos val="l"/>
        <c:numFmt formatCode="0" sourceLinked="1"/>
        <c:majorTickMark val="out"/>
        <c:minorTickMark val="none"/>
        <c:tickLblPos val="nextTo"/>
        <c:crossAx val="213007872"/>
        <c:crosses val="autoZero"/>
        <c:crossBetween val="between"/>
      </c:valAx>
      <c:spPr>
        <a:noFill/>
        <a:ln w="25400">
          <a:noFill/>
        </a:ln>
      </c:spPr>
    </c:plotArea>
    <c:legend>
      <c:legendPos val="r"/>
      <c:layout>
        <c:manualLayout>
          <c:xMode val="edge"/>
          <c:yMode val="edge"/>
          <c:x val="0.41020844316706656"/>
          <c:y val="0.90566196206606242"/>
          <c:w val="0.16635181941350186"/>
          <c:h val="6.7924528301886791E-2"/>
        </c:manualLayout>
      </c:layout>
      <c:overlay val="0"/>
      <c:spPr>
        <a:noFill/>
        <a:ln w="25400">
          <a:noFill/>
        </a:ln>
      </c:spPr>
      <c:txPr>
        <a:bodyPr/>
        <a:lstStyle/>
        <a:p>
          <a:pPr>
            <a:defRPr lang="es-CO" sz="690" b="0" i="0" u="none" strike="noStrike" baseline="0">
              <a:solidFill>
                <a:srgbClr val="333333"/>
              </a:solidFill>
              <a:latin typeface="Calibri"/>
              <a:ea typeface="Calibri"/>
              <a:cs typeface="Calibri"/>
            </a:defRPr>
          </a:pPr>
          <a:endParaRPr lang="es-C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perspective val="0"/>
    </c:view3D>
    <c:floor>
      <c:thickness val="0"/>
    </c:floor>
    <c:sideWall>
      <c:thickness val="0"/>
    </c:sideWall>
    <c:backWall>
      <c:thickness val="0"/>
    </c:backWall>
    <c:plotArea>
      <c:layout/>
      <c:pie3DChart>
        <c:varyColors val="1"/>
        <c:ser>
          <c:idx val="0"/>
          <c:order val="0"/>
          <c:tx>
            <c:strRef>
              <c:f>'[3]Datos Total'!$L$56</c:f>
              <c:strCache>
                <c:ptCount val="1"/>
                <c:pt idx="0">
                  <c:v>Atencion</c:v>
                </c:pt>
              </c:strCache>
            </c:strRef>
          </c:tx>
          <c:dPt>
            <c:idx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9632-4C19-B500-6FE54521FA80}"/>
              </c:ext>
            </c:extLst>
          </c:dPt>
          <c:dPt>
            <c:idx val="1"/>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632-4C19-B500-6FE54521FA80}"/>
              </c:ext>
            </c:extLst>
          </c:dPt>
          <c:dLbls>
            <c:spPr>
              <a:noFill/>
              <a:ln w="25400">
                <a:noFill/>
              </a:ln>
            </c:spPr>
            <c:txPr>
              <a:bodyPr/>
              <a:lstStyle/>
              <a:p>
                <a:pPr>
                  <a:defRPr sz="900" b="0" i="0" u="none" strike="noStrike" baseline="0">
                    <a:solidFill>
                      <a:srgbClr val="C0C0C0"/>
                    </a:solidFill>
                    <a:latin typeface="Calibri"/>
                    <a:ea typeface="Calibri"/>
                    <a:cs typeface="Calibri"/>
                  </a:defRPr>
                </a:pPr>
                <a:endParaRPr lang="es-CL"/>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'[3]Datos Total'!$L$57:$L$58</c:f>
              <c:strCache>
                <c:ptCount val="2"/>
                <c:pt idx="0">
                  <c:v>Trabajo</c:v>
                </c:pt>
                <c:pt idx="1">
                  <c:v>Enfermedad Profesional</c:v>
                </c:pt>
              </c:strCache>
            </c:strRef>
          </c:cat>
          <c:val>
            <c:numRef>
              <c:f>'[3]Datos Total'!$N$57:$N$58</c:f>
              <c:numCache>
                <c:formatCode>General</c:formatCode>
                <c:ptCount val="2"/>
                <c:pt idx="0">
                  <c:v>0</c:v>
                </c:pt>
                <c:pt idx="1">
                  <c:v>0</c:v>
                </c:pt>
              </c:numCache>
            </c:numRef>
          </c:val>
          <c:extLst>
            <c:ext xmlns:c16="http://schemas.microsoft.com/office/drawing/2014/chart" uri="{C3380CC4-5D6E-409C-BE32-E72D297353CC}">
              <c16:uniqueId val="{00000002-9632-4C19-B500-6FE54521FA80}"/>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33901580484257687"/>
          <c:y val="0.92307821522309785"/>
          <c:w val="0.31628841849314288"/>
          <c:h val="5.5384615384615407E-2"/>
        </c:manualLayout>
      </c:layout>
      <c:overlay val="0"/>
      <c:spPr>
        <a:noFill/>
        <a:ln w="25400">
          <a:noFill/>
        </a:ln>
      </c:spPr>
      <c:txPr>
        <a:bodyPr/>
        <a:lstStyle/>
        <a:p>
          <a:pPr>
            <a:defRPr lang="es-CO" sz="690" b="0" i="0" u="none" strike="noStrike" baseline="0">
              <a:solidFill>
                <a:srgbClr val="C0C0C0"/>
              </a:solidFill>
              <a:latin typeface="Calibri"/>
              <a:ea typeface="Calibri"/>
              <a:cs typeface="Calibri"/>
            </a:defRPr>
          </a:pPr>
          <a:endParaRPr lang="es-CL"/>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L"/>
              <a:t>Día</a:t>
            </a:r>
          </a:p>
        </c:rich>
      </c:tx>
      <c:overlay val="0"/>
    </c:title>
    <c:autoTitleDeleted val="0"/>
    <c:plotArea>
      <c:layout/>
      <c:barChart>
        <c:barDir val="col"/>
        <c:grouping val="clustered"/>
        <c:varyColors val="0"/>
        <c:ser>
          <c:idx val="0"/>
          <c:order val="0"/>
          <c:tx>
            <c:strRef>
              <c:f>'Datos Total'!$B$38</c:f>
              <c:strCache>
                <c:ptCount val="1"/>
                <c:pt idx="0">
                  <c:v>DIA</c:v>
                </c:pt>
              </c:strCache>
            </c:strRef>
          </c:tx>
          <c:spPr>
            <a:solidFill>
              <a:srgbClr val="FF0000"/>
            </a:solidFill>
            <a:ln w="25400">
              <a:solidFill>
                <a:srgbClr val="FF0000"/>
              </a:solidFill>
            </a:ln>
          </c:spPr>
          <c:invertIfNegative val="0"/>
          <c:cat>
            <c:strRef>
              <c:f>'Datos Total'!$B$39:$B$45</c:f>
              <c:strCache>
                <c:ptCount val="7"/>
                <c:pt idx="0">
                  <c:v>Jueves</c:v>
                </c:pt>
                <c:pt idx="1">
                  <c:v>Miercoles</c:v>
                </c:pt>
                <c:pt idx="2">
                  <c:v>Lunes</c:v>
                </c:pt>
                <c:pt idx="3">
                  <c:v>Viernes</c:v>
                </c:pt>
                <c:pt idx="4">
                  <c:v>Martes</c:v>
                </c:pt>
                <c:pt idx="5">
                  <c:v>Sabado</c:v>
                </c:pt>
                <c:pt idx="6">
                  <c:v>Domingo</c:v>
                </c:pt>
              </c:strCache>
            </c:strRef>
          </c:cat>
          <c:val>
            <c:numRef>
              <c:f>'Datos Total'!$C$39:$C$45</c:f>
              <c:numCache>
                <c:formatCode>General</c:formatCode>
                <c:ptCount val="7"/>
                <c:pt idx="0">
                  <c:v>32</c:v>
                </c:pt>
                <c:pt idx="1">
                  <c:v>50</c:v>
                </c:pt>
                <c:pt idx="2">
                  <c:v>39</c:v>
                </c:pt>
                <c:pt idx="3">
                  <c:v>41</c:v>
                </c:pt>
                <c:pt idx="4">
                  <c:v>43</c:v>
                </c:pt>
                <c:pt idx="5">
                  <c:v>25</c:v>
                </c:pt>
                <c:pt idx="6">
                  <c:v>2</c:v>
                </c:pt>
              </c:numCache>
            </c:numRef>
          </c:val>
          <c:extLst>
            <c:ext xmlns:c16="http://schemas.microsoft.com/office/drawing/2014/chart" uri="{C3380CC4-5D6E-409C-BE32-E72D297353CC}">
              <c16:uniqueId val="{00000000-824D-4222-8AC5-1173B24A3E30}"/>
            </c:ext>
          </c:extLst>
        </c:ser>
        <c:dLbls>
          <c:showLegendKey val="0"/>
          <c:showVal val="0"/>
          <c:showCatName val="0"/>
          <c:showSerName val="0"/>
          <c:showPercent val="0"/>
          <c:showBubbleSize val="0"/>
        </c:dLbls>
        <c:gapWidth val="75"/>
        <c:overlap val="-25"/>
        <c:axId val="214273024"/>
        <c:axId val="214186752"/>
      </c:barChart>
      <c:lineChart>
        <c:grouping val="standard"/>
        <c:varyColors val="0"/>
        <c:ser>
          <c:idx val="2"/>
          <c:order val="1"/>
          <c:tx>
            <c:strRef>
              <c:f>'Datos Total'!$E$38</c:f>
              <c:strCache>
                <c:ptCount val="1"/>
                <c:pt idx="0">
                  <c:v>Pareto</c:v>
                </c:pt>
              </c:strCache>
            </c:strRef>
          </c:tx>
          <c:spPr>
            <a:ln w="28575" cap="rnd">
              <a:solidFill>
                <a:srgbClr val="00B050"/>
              </a:solidFill>
              <a:round/>
            </a:ln>
            <a:effectLst/>
          </c:spPr>
          <c:marker>
            <c:symbol val="none"/>
          </c:marker>
          <c:cat>
            <c:strRef>
              <c:f>'[3]Datos Total'!$B$59:$B$65</c:f>
              <c:strCache>
                <c:ptCount val="7"/>
                <c:pt idx="0">
                  <c:v>Lunes</c:v>
                </c:pt>
                <c:pt idx="1">
                  <c:v>Jueves</c:v>
                </c:pt>
                <c:pt idx="2">
                  <c:v>Viernes</c:v>
                </c:pt>
                <c:pt idx="3">
                  <c:v>Sabado</c:v>
                </c:pt>
                <c:pt idx="4">
                  <c:v>Miercoles</c:v>
                </c:pt>
                <c:pt idx="5">
                  <c:v>Martes</c:v>
                </c:pt>
                <c:pt idx="6">
                  <c:v>Domingo</c:v>
                </c:pt>
              </c:strCache>
            </c:strRef>
          </c:cat>
          <c:val>
            <c:numRef>
              <c:f>'Datos Total'!$E$39:$E$45</c:f>
              <c:numCache>
                <c:formatCode>0%</c:formatCode>
                <c:ptCount val="7"/>
                <c:pt idx="0">
                  <c:v>0.13793103448275862</c:v>
                </c:pt>
                <c:pt idx="1">
                  <c:v>0.35344827586206895</c:v>
                </c:pt>
                <c:pt idx="2">
                  <c:v>0.52155172413793105</c:v>
                </c:pt>
                <c:pt idx="3">
                  <c:v>0.69827586206896552</c:v>
                </c:pt>
                <c:pt idx="4">
                  <c:v>0.88362068965517238</c:v>
                </c:pt>
                <c:pt idx="5">
                  <c:v>0.99137931034482751</c:v>
                </c:pt>
                <c:pt idx="6">
                  <c:v>0.99999999999999989</c:v>
                </c:pt>
              </c:numCache>
            </c:numRef>
          </c:val>
          <c:smooth val="0"/>
          <c:extLst>
            <c:ext xmlns:c16="http://schemas.microsoft.com/office/drawing/2014/chart" uri="{C3380CC4-5D6E-409C-BE32-E72D297353CC}">
              <c16:uniqueId val="{00000001-824D-4222-8AC5-1173B24A3E30}"/>
            </c:ext>
          </c:extLst>
        </c:ser>
        <c:dLbls>
          <c:showLegendKey val="0"/>
          <c:showVal val="0"/>
          <c:showCatName val="0"/>
          <c:showSerName val="0"/>
          <c:showPercent val="0"/>
          <c:showBubbleSize val="0"/>
        </c:dLbls>
        <c:marker val="1"/>
        <c:smooth val="0"/>
        <c:axId val="1057614735"/>
        <c:axId val="1057595599"/>
      </c:lineChart>
      <c:catAx>
        <c:axId val="214273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s-CL"/>
          </a:p>
        </c:txPr>
        <c:crossAx val="214186752"/>
        <c:crosses val="autoZero"/>
        <c:auto val="1"/>
        <c:lblAlgn val="ctr"/>
        <c:lblOffset val="100"/>
        <c:noMultiLvlLbl val="0"/>
      </c:catAx>
      <c:valAx>
        <c:axId val="214186752"/>
        <c:scaling>
          <c:orientation val="minMax"/>
        </c:scaling>
        <c:delete val="0"/>
        <c:axPos val="l"/>
        <c:majorGridlines/>
        <c:numFmt formatCode="General" sourceLinked="1"/>
        <c:majorTickMark val="none"/>
        <c:minorTickMark val="none"/>
        <c:tickLblPos val="nextTo"/>
        <c:spPr>
          <a:ln w="9525">
            <a:noFill/>
          </a:ln>
        </c:spPr>
        <c:crossAx val="214273024"/>
        <c:crosses val="autoZero"/>
        <c:crossBetween val="between"/>
      </c:valAx>
      <c:valAx>
        <c:axId val="1057595599"/>
        <c:scaling>
          <c:orientation val="minMax"/>
        </c:scaling>
        <c:delete val="0"/>
        <c:axPos val="r"/>
        <c:numFmt formatCode="0%" sourceLinked="1"/>
        <c:majorTickMark val="out"/>
        <c:minorTickMark val="none"/>
        <c:tickLblPos val="nextTo"/>
        <c:crossAx val="1057614735"/>
        <c:crosses val="max"/>
        <c:crossBetween val="between"/>
      </c:valAx>
      <c:catAx>
        <c:axId val="1057614735"/>
        <c:scaling>
          <c:orientation val="minMax"/>
        </c:scaling>
        <c:delete val="1"/>
        <c:axPos val="b"/>
        <c:numFmt formatCode="General" sourceLinked="1"/>
        <c:majorTickMark val="out"/>
        <c:minorTickMark val="none"/>
        <c:tickLblPos val="nextTo"/>
        <c:crossAx val="1057595599"/>
        <c:crosses val="autoZero"/>
        <c:auto val="1"/>
        <c:lblAlgn val="ctr"/>
        <c:lblOffset val="100"/>
        <c:noMultiLvlLbl val="0"/>
      </c:catAx>
      <c:spPr>
        <a:noFill/>
        <a:ln w="25400">
          <a:noFill/>
        </a:ln>
      </c:spPr>
    </c:plotArea>
    <c:legend>
      <c:legendPos val="b"/>
      <c:overlay val="0"/>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L"/>
              <a:t>Parte</a:t>
            </a:r>
            <a:r>
              <a:rPr lang="es-CL" baseline="0"/>
              <a:t> afectada</a:t>
            </a:r>
            <a:endParaRPr lang="es-CL"/>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L"/>
        </a:p>
      </c:txPr>
    </c:title>
    <c:autoTitleDeleted val="0"/>
    <c:plotArea>
      <c:layout/>
      <c:barChart>
        <c:barDir val="col"/>
        <c:grouping val="clustered"/>
        <c:varyColors val="0"/>
        <c:ser>
          <c:idx val="0"/>
          <c:order val="0"/>
          <c:tx>
            <c:strRef>
              <c:f>'Datos Total'!$H$3</c:f>
              <c:strCache>
                <c:ptCount val="1"/>
                <c:pt idx="0">
                  <c:v>Total</c:v>
                </c:pt>
              </c:strCache>
            </c:strRef>
          </c:tx>
          <c:spPr>
            <a:solidFill>
              <a:srgbClr val="FF0000"/>
            </a:solidFill>
            <a:ln>
              <a:solidFill>
                <a:srgbClr val="FF0000"/>
              </a:solidFill>
            </a:ln>
            <a:effectLst>
              <a:outerShdw blurRad="40000" dist="23000" dir="5400000" rotWithShape="0">
                <a:srgbClr val="000000">
                  <a:alpha val="35000"/>
                </a:srgbClr>
              </a:outerShdw>
            </a:effectLst>
          </c:spPr>
          <c:invertIfNegative val="0"/>
          <c:cat>
            <c:strRef>
              <c:f>'Datos Total'!$G$4:$G$15</c:f>
              <c:strCache>
                <c:ptCount val="12"/>
                <c:pt idx="0">
                  <c:v>Manos / dedos</c:v>
                </c:pt>
                <c:pt idx="1">
                  <c:v>Pierna</c:v>
                </c:pt>
                <c:pt idx="2">
                  <c:v>Ojos</c:v>
                </c:pt>
                <c:pt idx="3">
                  <c:v>Pie</c:v>
                </c:pt>
                <c:pt idx="4">
                  <c:v>Brazo</c:v>
                </c:pt>
                <c:pt idx="5">
                  <c:v>Rostro</c:v>
                </c:pt>
                <c:pt idx="6">
                  <c:v>Otro</c:v>
                </c:pt>
                <c:pt idx="7">
                  <c:v>Pelvis</c:v>
                </c:pt>
                <c:pt idx="8">
                  <c:v>Cabeza</c:v>
                </c:pt>
                <c:pt idx="9">
                  <c:v>Tronco</c:v>
                </c:pt>
                <c:pt idx="10">
                  <c:v>Espalda</c:v>
                </c:pt>
                <c:pt idx="11">
                  <c:v>Multiples</c:v>
                </c:pt>
              </c:strCache>
            </c:strRef>
          </c:cat>
          <c:val>
            <c:numRef>
              <c:f>'Datos Total'!$H$4:$H$15</c:f>
              <c:numCache>
                <c:formatCode>General</c:formatCode>
                <c:ptCount val="12"/>
                <c:pt idx="0">
                  <c:v>71</c:v>
                </c:pt>
                <c:pt idx="1">
                  <c:v>29</c:v>
                </c:pt>
                <c:pt idx="2">
                  <c:v>26</c:v>
                </c:pt>
                <c:pt idx="3">
                  <c:v>29</c:v>
                </c:pt>
                <c:pt idx="4">
                  <c:v>20</c:v>
                </c:pt>
                <c:pt idx="5">
                  <c:v>9</c:v>
                </c:pt>
                <c:pt idx="6">
                  <c:v>0</c:v>
                </c:pt>
                <c:pt idx="7">
                  <c:v>1</c:v>
                </c:pt>
                <c:pt idx="8">
                  <c:v>8</c:v>
                </c:pt>
                <c:pt idx="9">
                  <c:v>3</c:v>
                </c:pt>
                <c:pt idx="10">
                  <c:v>17</c:v>
                </c:pt>
                <c:pt idx="11">
                  <c:v>18</c:v>
                </c:pt>
              </c:numCache>
            </c:numRef>
          </c:val>
          <c:extLst>
            <c:ext xmlns:c16="http://schemas.microsoft.com/office/drawing/2014/chart" uri="{C3380CC4-5D6E-409C-BE32-E72D297353CC}">
              <c16:uniqueId val="{00000000-F6C9-4805-8BAB-A5E86B99F4A4}"/>
            </c:ext>
          </c:extLst>
        </c:ser>
        <c:dLbls>
          <c:showLegendKey val="0"/>
          <c:showVal val="0"/>
          <c:showCatName val="0"/>
          <c:showSerName val="0"/>
          <c:showPercent val="0"/>
          <c:showBubbleSize val="0"/>
        </c:dLbls>
        <c:gapWidth val="75"/>
        <c:overlap val="-25"/>
        <c:axId val="214273536"/>
        <c:axId val="215114880"/>
      </c:barChart>
      <c:lineChart>
        <c:grouping val="stacked"/>
        <c:varyColors val="0"/>
        <c:ser>
          <c:idx val="1"/>
          <c:order val="1"/>
          <c:tx>
            <c:strRef>
              <c:f>'Datos Total'!$J$3</c:f>
              <c:strCache>
                <c:ptCount val="1"/>
                <c:pt idx="0">
                  <c:v>Pareto</c:v>
                </c:pt>
              </c:strCache>
            </c:strRef>
          </c:tx>
          <c:spPr>
            <a:ln w="31750" cap="rnd">
              <a:solidFill>
                <a:srgbClr val="00B050"/>
              </a:solidFill>
              <a:round/>
            </a:ln>
            <a:effectLst>
              <a:outerShdw blurRad="40000" dist="23000" dir="5400000" rotWithShape="0">
                <a:srgbClr val="000000">
                  <a:alpha val="35000"/>
                </a:srgbClr>
              </a:outerShdw>
            </a:effectLst>
          </c:spPr>
          <c:marker>
            <c:symbol val="circle"/>
            <c:size val="6"/>
            <c:spPr>
              <a:solidFill>
                <a:srgbClr val="00B050"/>
              </a:solidFill>
              <a:ln w="12700">
                <a:solidFill>
                  <a:schemeClr val="lt2"/>
                </a:solidFill>
                <a:round/>
              </a:ln>
              <a:effectLst>
                <a:outerShdw blurRad="40000" dist="23000" dir="5400000" rotWithShape="0">
                  <a:srgbClr val="000000">
                    <a:alpha val="35000"/>
                  </a:srgbClr>
                </a:outerShdw>
              </a:effectLst>
            </c:spPr>
          </c:marker>
          <c:cat>
            <c:strRef>
              <c:f>'Datos Total'!$G$4:$G$15</c:f>
              <c:strCache>
                <c:ptCount val="12"/>
                <c:pt idx="0">
                  <c:v>Manos / dedos</c:v>
                </c:pt>
                <c:pt idx="1">
                  <c:v>Pierna</c:v>
                </c:pt>
                <c:pt idx="2">
                  <c:v>Ojos</c:v>
                </c:pt>
                <c:pt idx="3">
                  <c:v>Pie</c:v>
                </c:pt>
                <c:pt idx="4">
                  <c:v>Brazo</c:v>
                </c:pt>
                <c:pt idx="5">
                  <c:v>Rostro</c:v>
                </c:pt>
                <c:pt idx="6">
                  <c:v>Otro</c:v>
                </c:pt>
                <c:pt idx="7">
                  <c:v>Pelvis</c:v>
                </c:pt>
                <c:pt idx="8">
                  <c:v>Cabeza</c:v>
                </c:pt>
                <c:pt idx="9">
                  <c:v>Tronco</c:v>
                </c:pt>
                <c:pt idx="10">
                  <c:v>Espalda</c:v>
                </c:pt>
                <c:pt idx="11">
                  <c:v>Multiples</c:v>
                </c:pt>
              </c:strCache>
            </c:strRef>
          </c:cat>
          <c:val>
            <c:numRef>
              <c:f>'Datos Total'!$J$4:$J$15</c:f>
              <c:numCache>
                <c:formatCode>0%</c:formatCode>
                <c:ptCount val="12"/>
                <c:pt idx="0">
                  <c:v>0.30603448275862066</c:v>
                </c:pt>
                <c:pt idx="1">
                  <c:v>0.43103448275862066</c:v>
                </c:pt>
                <c:pt idx="2">
                  <c:v>0.5431034482758621</c:v>
                </c:pt>
                <c:pt idx="3">
                  <c:v>0.6681034482758621</c:v>
                </c:pt>
                <c:pt idx="4">
                  <c:v>0.7543103448275863</c:v>
                </c:pt>
                <c:pt idx="5">
                  <c:v>0.79310344827586221</c:v>
                </c:pt>
                <c:pt idx="6">
                  <c:v>0.79310344827586221</c:v>
                </c:pt>
                <c:pt idx="7">
                  <c:v>0.7974137931034484</c:v>
                </c:pt>
                <c:pt idx="8">
                  <c:v>0.83189655172413801</c:v>
                </c:pt>
                <c:pt idx="9">
                  <c:v>0.84482758620689669</c:v>
                </c:pt>
                <c:pt idx="10">
                  <c:v>0.91810344827586221</c:v>
                </c:pt>
                <c:pt idx="11">
                  <c:v>0.99568965517241392</c:v>
                </c:pt>
              </c:numCache>
            </c:numRef>
          </c:val>
          <c:smooth val="0"/>
          <c:extLst>
            <c:ext xmlns:c16="http://schemas.microsoft.com/office/drawing/2014/chart" uri="{C3380CC4-5D6E-409C-BE32-E72D297353CC}">
              <c16:uniqueId val="{00000000-ECFF-4823-BE0E-AE1BCCE888AD}"/>
            </c:ext>
          </c:extLst>
        </c:ser>
        <c:dLbls>
          <c:showLegendKey val="0"/>
          <c:showVal val="0"/>
          <c:showCatName val="0"/>
          <c:showSerName val="0"/>
          <c:showPercent val="0"/>
          <c:showBubbleSize val="0"/>
        </c:dLbls>
        <c:marker val="1"/>
        <c:smooth val="0"/>
        <c:axId val="215220736"/>
        <c:axId val="215115456"/>
      </c:lineChart>
      <c:catAx>
        <c:axId val="214273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s-CL"/>
          </a:p>
        </c:txPr>
        <c:crossAx val="215114880"/>
        <c:crosses val="autoZero"/>
        <c:auto val="1"/>
        <c:lblAlgn val="ctr"/>
        <c:lblOffset val="100"/>
        <c:noMultiLvlLbl val="0"/>
      </c:catAx>
      <c:valAx>
        <c:axId val="21511488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crossAx val="214273536"/>
        <c:crosses val="autoZero"/>
        <c:crossBetween val="between"/>
      </c:valAx>
      <c:catAx>
        <c:axId val="215220736"/>
        <c:scaling>
          <c:orientation val="minMax"/>
        </c:scaling>
        <c:delete val="1"/>
        <c:axPos val="b"/>
        <c:numFmt formatCode="General" sourceLinked="1"/>
        <c:majorTickMark val="none"/>
        <c:minorTickMark val="none"/>
        <c:tickLblPos val="nextTo"/>
        <c:crossAx val="215115456"/>
        <c:crosses val="autoZero"/>
        <c:auto val="1"/>
        <c:lblAlgn val="ctr"/>
        <c:lblOffset val="100"/>
        <c:noMultiLvlLbl val="0"/>
      </c:catAx>
      <c:valAx>
        <c:axId val="215115456"/>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crossAx val="215220736"/>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L"/>
              <a:t>Tipología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lotArea>
      <c:layout/>
      <c:barChart>
        <c:barDir val="col"/>
        <c:grouping val="clustered"/>
        <c:varyColors val="0"/>
        <c:ser>
          <c:idx val="0"/>
          <c:order val="0"/>
          <c:tx>
            <c:strRef>
              <c:f>'Datos Total'!$C$17</c:f>
              <c:strCache>
                <c:ptCount val="1"/>
                <c:pt idx="0">
                  <c:v>Total</c:v>
                </c:pt>
              </c:strCache>
            </c:strRef>
          </c:tx>
          <c:spPr>
            <a:solidFill>
              <a:srgbClr val="FF0000"/>
            </a:solidFill>
            <a:ln>
              <a:solidFill>
                <a:srgbClr val="FF0000"/>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'Datos Total'!$B$18:$B$31</c:f>
              <c:strCache>
                <c:ptCount val="14"/>
                <c:pt idx="0">
                  <c:v>Caida de mismo nivel</c:v>
                </c:pt>
                <c:pt idx="1">
                  <c:v>Golpeado por</c:v>
                </c:pt>
                <c:pt idx="2">
                  <c:v>Golpeado contra</c:v>
                </c:pt>
                <c:pt idx="3">
                  <c:v>Contacto con cuerpo cortante</c:v>
                </c:pt>
                <c:pt idx="4">
                  <c:v>Proyeccion de particulas</c:v>
                </c:pt>
                <c:pt idx="5">
                  <c:v>Otros</c:v>
                </c:pt>
                <c:pt idx="6">
                  <c:v>Atrapamiento</c:v>
                </c:pt>
                <c:pt idx="7">
                  <c:v>Caida de distinto nivel</c:v>
                </c:pt>
                <c:pt idx="8">
                  <c:v>Exposicion a humo y gases</c:v>
                </c:pt>
                <c:pt idx="9">
                  <c:v>Sobreesfuerzo</c:v>
                </c:pt>
                <c:pt idx="10">
                  <c:v>Contacto con cuerpo punzante</c:v>
                </c:pt>
                <c:pt idx="11">
                  <c:v>Contacto con temperaturas extremas</c:v>
                </c:pt>
                <c:pt idx="12">
                  <c:v>Picadura</c:v>
                </c:pt>
                <c:pt idx="13">
                  <c:v>Contacto con sustancias toxicas</c:v>
                </c:pt>
              </c:strCache>
            </c:strRef>
          </c:cat>
          <c:val>
            <c:numRef>
              <c:f>'Datos Total'!$C$18:$C$31</c:f>
              <c:numCache>
                <c:formatCode>General</c:formatCode>
                <c:ptCount val="14"/>
                <c:pt idx="0">
                  <c:v>37</c:v>
                </c:pt>
                <c:pt idx="1">
                  <c:v>70</c:v>
                </c:pt>
                <c:pt idx="2">
                  <c:v>28</c:v>
                </c:pt>
                <c:pt idx="3">
                  <c:v>13</c:v>
                </c:pt>
                <c:pt idx="4">
                  <c:v>22</c:v>
                </c:pt>
                <c:pt idx="5">
                  <c:v>9</c:v>
                </c:pt>
                <c:pt idx="6">
                  <c:v>6</c:v>
                </c:pt>
                <c:pt idx="7">
                  <c:v>11</c:v>
                </c:pt>
                <c:pt idx="8">
                  <c:v>2</c:v>
                </c:pt>
                <c:pt idx="9">
                  <c:v>14</c:v>
                </c:pt>
                <c:pt idx="10">
                  <c:v>7</c:v>
                </c:pt>
                <c:pt idx="11">
                  <c:v>4</c:v>
                </c:pt>
                <c:pt idx="12">
                  <c:v>3</c:v>
                </c:pt>
                <c:pt idx="13">
                  <c:v>5</c:v>
                </c:pt>
              </c:numCache>
            </c:numRef>
          </c:val>
          <c:extLst>
            <c:ext xmlns:c16="http://schemas.microsoft.com/office/drawing/2014/chart" uri="{C3380CC4-5D6E-409C-BE32-E72D297353CC}">
              <c16:uniqueId val="{00000000-5876-4ABD-8340-33FF1B47A621}"/>
            </c:ext>
          </c:extLst>
        </c:ser>
        <c:dLbls>
          <c:showLegendKey val="0"/>
          <c:showVal val="0"/>
          <c:showCatName val="0"/>
          <c:showSerName val="0"/>
          <c:showPercent val="0"/>
          <c:showBubbleSize val="0"/>
        </c:dLbls>
        <c:gapWidth val="75"/>
        <c:overlap val="-25"/>
        <c:axId val="215221760"/>
        <c:axId val="215117760"/>
      </c:barChart>
      <c:lineChart>
        <c:grouping val="stacked"/>
        <c:varyColors val="0"/>
        <c:ser>
          <c:idx val="1"/>
          <c:order val="1"/>
          <c:tx>
            <c:strRef>
              <c:f>'Datos Total'!$E$17</c:f>
              <c:strCache>
                <c:ptCount val="1"/>
                <c:pt idx="0">
                  <c:v>Pareto</c:v>
                </c:pt>
              </c:strCache>
            </c:strRef>
          </c:tx>
          <c:spPr>
            <a:ln w="34925" cap="rnd">
              <a:solidFill>
                <a:srgbClr val="00B050"/>
              </a:solidFill>
              <a:round/>
            </a:ln>
            <a:effectLst>
              <a:outerShdw blurRad="40000" dist="23000" dir="5400000" rotWithShape="0">
                <a:srgbClr val="000000">
                  <a:alpha val="35000"/>
                </a:srgbClr>
              </a:outerShdw>
            </a:effectLst>
          </c:spPr>
          <c:marker>
            <c:symbol val="circle"/>
            <c:size val="6"/>
            <c:spPr>
              <a:solidFill>
                <a:srgbClr val="00B050"/>
              </a:soli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'Datos Total'!$B$18:$B$31</c:f>
              <c:strCache>
                <c:ptCount val="14"/>
                <c:pt idx="0">
                  <c:v>Caida de mismo nivel</c:v>
                </c:pt>
                <c:pt idx="1">
                  <c:v>Golpeado por</c:v>
                </c:pt>
                <c:pt idx="2">
                  <c:v>Golpeado contra</c:v>
                </c:pt>
                <c:pt idx="3">
                  <c:v>Contacto con cuerpo cortante</c:v>
                </c:pt>
                <c:pt idx="4">
                  <c:v>Proyeccion de particulas</c:v>
                </c:pt>
                <c:pt idx="5">
                  <c:v>Otros</c:v>
                </c:pt>
                <c:pt idx="6">
                  <c:v>Atrapamiento</c:v>
                </c:pt>
                <c:pt idx="7">
                  <c:v>Caida de distinto nivel</c:v>
                </c:pt>
                <c:pt idx="8">
                  <c:v>Exposicion a humo y gases</c:v>
                </c:pt>
                <c:pt idx="9">
                  <c:v>Sobreesfuerzo</c:v>
                </c:pt>
                <c:pt idx="10">
                  <c:v>Contacto con cuerpo punzante</c:v>
                </c:pt>
                <c:pt idx="11">
                  <c:v>Contacto con temperaturas extremas</c:v>
                </c:pt>
                <c:pt idx="12">
                  <c:v>Picadura</c:v>
                </c:pt>
                <c:pt idx="13">
                  <c:v>Contacto con sustancias toxicas</c:v>
                </c:pt>
              </c:strCache>
            </c:strRef>
          </c:cat>
          <c:val>
            <c:numRef>
              <c:f>'Datos Total'!$E$18:$E$31</c:f>
              <c:numCache>
                <c:formatCode>0%</c:formatCode>
                <c:ptCount val="14"/>
                <c:pt idx="0">
                  <c:v>0.15948275862068967</c:v>
                </c:pt>
                <c:pt idx="1">
                  <c:v>0.46120689655172414</c:v>
                </c:pt>
                <c:pt idx="2">
                  <c:v>0.5818965517241379</c:v>
                </c:pt>
                <c:pt idx="3">
                  <c:v>0.63793103448275856</c:v>
                </c:pt>
                <c:pt idx="4">
                  <c:v>0.73275862068965514</c:v>
                </c:pt>
                <c:pt idx="5">
                  <c:v>0.77155172413793105</c:v>
                </c:pt>
                <c:pt idx="6">
                  <c:v>0.79741379310344829</c:v>
                </c:pt>
                <c:pt idx="7">
                  <c:v>0.84482758620689657</c:v>
                </c:pt>
                <c:pt idx="8">
                  <c:v>0.85344827586206895</c:v>
                </c:pt>
                <c:pt idx="9">
                  <c:v>0.9137931034482758</c:v>
                </c:pt>
                <c:pt idx="10">
                  <c:v>0.94396551724137923</c:v>
                </c:pt>
                <c:pt idx="11">
                  <c:v>0.96120689655172409</c:v>
                </c:pt>
                <c:pt idx="12">
                  <c:v>0.97413793103448276</c:v>
                </c:pt>
                <c:pt idx="13">
                  <c:v>0.99568965517241381</c:v>
                </c:pt>
              </c:numCache>
            </c:numRef>
          </c:val>
          <c:smooth val="0"/>
          <c:extLst>
            <c:ext xmlns:c16="http://schemas.microsoft.com/office/drawing/2014/chart" uri="{C3380CC4-5D6E-409C-BE32-E72D297353CC}">
              <c16:uniqueId val="{00000000-2C13-4CF4-BEE7-EDDA0235FBEF}"/>
            </c:ext>
          </c:extLst>
        </c:ser>
        <c:dLbls>
          <c:showLegendKey val="0"/>
          <c:showVal val="0"/>
          <c:showCatName val="0"/>
          <c:showSerName val="0"/>
          <c:showPercent val="0"/>
          <c:showBubbleSize val="0"/>
        </c:dLbls>
        <c:marker val="1"/>
        <c:smooth val="0"/>
        <c:axId val="215222784"/>
        <c:axId val="215118336"/>
      </c:lineChart>
      <c:catAx>
        <c:axId val="215221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15117760"/>
        <c:crosses val="autoZero"/>
        <c:auto val="1"/>
        <c:lblAlgn val="ctr"/>
        <c:lblOffset val="100"/>
        <c:noMultiLvlLbl val="0"/>
      </c:catAx>
      <c:valAx>
        <c:axId val="21511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15221760"/>
        <c:crosses val="autoZero"/>
        <c:crossBetween val="between"/>
      </c:valAx>
      <c:catAx>
        <c:axId val="215222784"/>
        <c:scaling>
          <c:orientation val="minMax"/>
        </c:scaling>
        <c:delete val="1"/>
        <c:axPos val="b"/>
        <c:numFmt formatCode="General" sourceLinked="1"/>
        <c:majorTickMark val="none"/>
        <c:minorTickMark val="none"/>
        <c:tickLblPos val="nextTo"/>
        <c:crossAx val="215118336"/>
        <c:crosses val="autoZero"/>
        <c:auto val="1"/>
        <c:lblAlgn val="ctr"/>
        <c:lblOffset val="100"/>
        <c:noMultiLvlLbl val="0"/>
      </c:catAx>
      <c:valAx>
        <c:axId val="21511833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15222784"/>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es-CL"/>
        </a:p>
      </c:txPr>
    </c:title>
    <c:autoTitleDeleted val="0"/>
    <c:view3D>
      <c:rotX val="30"/>
      <c:rotY val="0"/>
      <c:rAngAx val="0"/>
      <c:perspective val="0"/>
    </c:view3D>
    <c:floor>
      <c:thickness val="0"/>
    </c:floor>
    <c:sideWall>
      <c:thickness val="0"/>
    </c:sideWall>
    <c:backWall>
      <c:thickness val="0"/>
    </c:backWall>
    <c:plotArea>
      <c:layout>
        <c:manualLayout>
          <c:layoutTarget val="inner"/>
          <c:xMode val="edge"/>
          <c:yMode val="edge"/>
          <c:x val="0.25000046238840284"/>
          <c:y val="0.20415259406188169"/>
          <c:w val="0.49431909608615981"/>
          <c:h val="0.56401479376418173"/>
        </c:manualLayout>
      </c:layout>
      <c:pie3DChart>
        <c:varyColors val="1"/>
        <c:ser>
          <c:idx val="0"/>
          <c:order val="0"/>
          <c:tx>
            <c:strRef>
              <c:f>'Datos Total'!$G$50</c:f>
              <c:strCache>
                <c:ptCount val="1"/>
                <c:pt idx="0">
                  <c:v>Atencion</c:v>
                </c:pt>
              </c:strCache>
            </c:strRef>
          </c:tx>
          <c:dPt>
            <c:idx val="0"/>
            <c:bubble3D val="0"/>
            <c:spPr>
              <a:solidFill>
                <a:srgbClr val="00B0F0"/>
              </a:solidFill>
              <a:ln w="25400">
                <a:solidFill>
                  <a:srgbClr val="FFFFFF"/>
                </a:solidFill>
                <a:prstDash val="solid"/>
              </a:ln>
            </c:spPr>
            <c:extLst>
              <c:ext xmlns:c16="http://schemas.microsoft.com/office/drawing/2014/chart" uri="{C3380CC4-5D6E-409C-BE32-E72D297353CC}">
                <c16:uniqueId val="{00000000-77AB-4E3F-B731-2640C419DEAA}"/>
              </c:ext>
            </c:extLst>
          </c:dPt>
          <c:dPt>
            <c:idx val="1"/>
            <c:bubble3D val="0"/>
            <c:spPr>
              <a:solidFill>
                <a:srgbClr val="FF0000"/>
              </a:solidFill>
              <a:ln w="25400">
                <a:solidFill>
                  <a:srgbClr val="FFFFFF"/>
                </a:solidFill>
                <a:prstDash val="solid"/>
              </a:ln>
            </c:spPr>
            <c:extLst>
              <c:ext xmlns:c16="http://schemas.microsoft.com/office/drawing/2014/chart" uri="{C3380CC4-5D6E-409C-BE32-E72D297353CC}">
                <c16:uniqueId val="{00000001-77AB-4E3F-B731-2640C419DEAA}"/>
              </c:ext>
            </c:extLst>
          </c:dPt>
          <c:dPt>
            <c:idx val="2"/>
            <c:bubble3D val="0"/>
            <c:spPr>
              <a:solidFill>
                <a:srgbClr val="FFFF00"/>
              </a:solidFill>
              <a:ln w="25400">
                <a:solidFill>
                  <a:srgbClr val="FFFFFF"/>
                </a:solidFill>
                <a:prstDash val="solid"/>
              </a:ln>
            </c:spPr>
            <c:extLst>
              <c:ext xmlns:c16="http://schemas.microsoft.com/office/drawing/2014/chart" uri="{C3380CC4-5D6E-409C-BE32-E72D297353CC}">
                <c16:uniqueId val="{00000002-77AB-4E3F-B731-2640C419DEAA}"/>
              </c:ext>
            </c:extLst>
          </c:dPt>
          <c:dLbls>
            <c:dLbl>
              <c:idx val="0"/>
              <c:layout>
                <c:manualLayout>
                  <c:x val="-7.8176250695935728E-2"/>
                  <c:y val="-0.2373124812685614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7AB-4E3F-B731-2640C419DEAA}"/>
                </c:ext>
              </c:extLst>
            </c:dLbl>
            <c:dLbl>
              <c:idx val="1"/>
              <c:layout>
                <c:manualLayout>
                  <c:x val="7.1747991728307023E-2"/>
                  <c:y val="8.680162384546222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AB-4E3F-B731-2640C419DEAA}"/>
                </c:ext>
              </c:extLst>
            </c:dLbl>
            <c:dLbl>
              <c:idx val="2"/>
              <c:layout>
                <c:manualLayout>
                  <c:x val="1.8751690129642885E-2"/>
                  <c:y val="-1.470579153384373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7AB-4E3F-B731-2640C419DEAA}"/>
                </c:ext>
              </c:extLst>
            </c:dLbl>
            <c:dLbl>
              <c:idx val="3"/>
              <c:layout>
                <c:manualLayout>
                  <c:x val="5.44514425873052E-2"/>
                  <c:y val="-1.957605708634532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7AB-4E3F-B731-2640C419DEAA}"/>
                </c:ext>
              </c:extLst>
            </c:dLbl>
            <c:spPr>
              <a:noFill/>
              <a:ln>
                <a:noFill/>
              </a:ln>
              <a:effectLst/>
            </c:spPr>
            <c:txPr>
              <a:bodyPr/>
              <a:lstStyle/>
              <a:p>
                <a:pPr>
                  <a:defRPr lang="es-CL" b="1">
                    <a:solidFill>
                      <a:sysClr val="windowText" lastClr="000000"/>
                    </a:solidFill>
                  </a:defRPr>
                </a:pPr>
                <a:endParaRPr lang="es-CL"/>
              </a:p>
            </c:txPr>
            <c:showLegendKey val="0"/>
            <c:showVal val="1"/>
            <c:showCatName val="0"/>
            <c:showSerName val="0"/>
            <c:showPercent val="0"/>
            <c:showBubbleSize val="0"/>
            <c:showLeaderLines val="1"/>
            <c:extLst>
              <c:ext xmlns:c15="http://schemas.microsoft.com/office/drawing/2012/chart" uri="{CE6537A1-D6FC-4f65-9D91-7224C49458BB}"/>
            </c:extLst>
          </c:dLbls>
          <c:cat>
            <c:strRef>
              <c:f>'Datos Total'!$G$51:$G$54</c:f>
              <c:strCache>
                <c:ptCount val="4"/>
                <c:pt idx="0">
                  <c:v>Acc. STP</c:v>
                </c:pt>
                <c:pt idx="1">
                  <c:v>Acc. CTP</c:v>
                </c:pt>
                <c:pt idx="2">
                  <c:v>Acc. Grave</c:v>
                </c:pt>
                <c:pt idx="3">
                  <c:v>EP</c:v>
                </c:pt>
              </c:strCache>
            </c:strRef>
          </c:cat>
          <c:val>
            <c:numRef>
              <c:f>'Datos Total'!$H$51:$H$54</c:f>
              <c:numCache>
                <c:formatCode>General</c:formatCode>
                <c:ptCount val="4"/>
                <c:pt idx="0">
                  <c:v>187</c:v>
                </c:pt>
                <c:pt idx="1">
                  <c:v>45</c:v>
                </c:pt>
                <c:pt idx="2">
                  <c:v>0</c:v>
                </c:pt>
                <c:pt idx="3">
                  <c:v>0</c:v>
                </c:pt>
              </c:numCache>
            </c:numRef>
          </c:val>
          <c:extLst>
            <c:ext xmlns:c16="http://schemas.microsoft.com/office/drawing/2014/chart" uri="{C3380CC4-5D6E-409C-BE32-E72D297353CC}">
              <c16:uniqueId val="{00000004-77AB-4E3F-B731-2640C419DEAA}"/>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15340923293679223"/>
          <c:y val="0.86851356383220191"/>
          <c:w val="0.698865141857267"/>
          <c:h val="0.10380622837370251"/>
        </c:manualLayout>
      </c:layout>
      <c:overlay val="0"/>
      <c:spPr>
        <a:noFill/>
        <a:ln w="25400">
          <a:noFill/>
        </a:ln>
      </c:spPr>
      <c:txPr>
        <a:bodyPr/>
        <a:lstStyle/>
        <a:p>
          <a:pPr>
            <a:defRPr lang="es-CO" sz="1400" b="0" i="0" u="none" strike="noStrike" baseline="0">
              <a:solidFill>
                <a:srgbClr val="333333"/>
              </a:solidFill>
              <a:latin typeface="Calibri"/>
              <a:ea typeface="Calibri"/>
              <a:cs typeface="Calibri"/>
            </a:defRPr>
          </a:pPr>
          <a:endParaRPr lang="es-CL"/>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8939428968818399E-3"/>
          <c:y val="4.827586206896544E-2"/>
          <c:w val="0.76894081613402743"/>
          <c:h val="0.71034482758620732"/>
        </c:manualLayout>
      </c:layout>
      <c:barChart>
        <c:barDir val="col"/>
        <c:grouping val="clustered"/>
        <c:varyColors val="0"/>
        <c:ser>
          <c:idx val="0"/>
          <c:order val="0"/>
          <c:tx>
            <c:strRef>
              <c:f>'Datos Total'!$B$50</c:f>
              <c:strCache>
                <c:ptCount val="1"/>
                <c:pt idx="0">
                  <c:v>Antigüedad</c:v>
                </c:pt>
              </c:strCache>
            </c:strRef>
          </c:tx>
          <c:spPr>
            <a:solidFill>
              <a:srgbClr val="FF0000"/>
            </a:solidFill>
            <a:ln w="25400">
              <a:noFill/>
            </a:ln>
          </c:spPr>
          <c:invertIfNegative val="0"/>
          <c:dLbls>
            <c:spPr>
              <a:noFill/>
              <a:ln w="25400">
                <a:noFill/>
              </a:ln>
            </c:spPr>
            <c:txPr>
              <a:bodyPr/>
              <a:lstStyle/>
              <a:p>
                <a:pPr>
                  <a:defRPr sz="900" b="0" i="0" u="none" strike="noStrike" baseline="0">
                    <a:solidFill>
                      <a:srgbClr val="333333"/>
                    </a:solidFill>
                    <a:latin typeface="Calibri"/>
                    <a:ea typeface="Calibri"/>
                    <a:cs typeface="Calibri"/>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Total'!$B$51:$B$53</c:f>
              <c:strCache>
                <c:ptCount val="3"/>
                <c:pt idx="0">
                  <c:v>Nuevo &lt;6 Meses</c:v>
                </c:pt>
                <c:pt idx="1">
                  <c:v>Antiguo &gt;18 Meses</c:v>
                </c:pt>
                <c:pt idx="2">
                  <c:v>Intermedio 6&lt;X&gt;18</c:v>
                </c:pt>
              </c:strCache>
            </c:strRef>
          </c:cat>
          <c:val>
            <c:numRef>
              <c:f>'Datos Total'!$C$51:$C$53</c:f>
              <c:numCache>
                <c:formatCode>General</c:formatCode>
                <c:ptCount val="3"/>
                <c:pt idx="0">
                  <c:v>70</c:v>
                </c:pt>
                <c:pt idx="1">
                  <c:v>120</c:v>
                </c:pt>
                <c:pt idx="2">
                  <c:v>42</c:v>
                </c:pt>
              </c:numCache>
            </c:numRef>
          </c:val>
          <c:extLst>
            <c:ext xmlns:c16="http://schemas.microsoft.com/office/drawing/2014/chart" uri="{C3380CC4-5D6E-409C-BE32-E72D297353CC}">
              <c16:uniqueId val="{00000000-AFA2-4566-A61F-B80600BDFC0C}"/>
            </c:ext>
          </c:extLst>
        </c:ser>
        <c:dLbls>
          <c:showLegendKey val="0"/>
          <c:showVal val="0"/>
          <c:showCatName val="0"/>
          <c:showSerName val="0"/>
          <c:showPercent val="0"/>
          <c:showBubbleSize val="0"/>
        </c:dLbls>
        <c:gapWidth val="219"/>
        <c:overlap val="-27"/>
        <c:axId val="214919168"/>
        <c:axId val="214864384"/>
      </c:barChart>
      <c:lineChart>
        <c:grouping val="standard"/>
        <c:varyColors val="0"/>
        <c:ser>
          <c:idx val="2"/>
          <c:order val="1"/>
          <c:tx>
            <c:strRef>
              <c:f>'Datos Total'!$E$50</c:f>
              <c:strCache>
                <c:ptCount val="1"/>
                <c:pt idx="0">
                  <c:v>Pareto</c:v>
                </c:pt>
              </c:strCache>
            </c:strRef>
          </c:tx>
          <c:spPr>
            <a:ln w="28575">
              <a:solidFill>
                <a:srgbClr val="FFFF00"/>
              </a:solidFill>
              <a:prstDash val="solid"/>
            </a:ln>
            <a:effectLst/>
          </c:spPr>
          <c:marker>
            <c:symbol val="circle"/>
            <c:size val="5"/>
            <c:spPr>
              <a:ln>
                <a:solidFill>
                  <a:srgbClr val="FFFF00"/>
                </a:solidFill>
                <a:prstDash val="solid"/>
              </a:ln>
            </c:spPr>
          </c:marker>
          <c:dLbls>
            <c:spPr>
              <a:noFill/>
              <a:ln w="25400">
                <a:noFill/>
              </a:ln>
            </c:spPr>
            <c:txPr>
              <a:bodyPr/>
              <a:lstStyle/>
              <a:p>
                <a:pPr>
                  <a:defRPr sz="900" b="0" i="0" u="none" strike="noStrike" baseline="0">
                    <a:solidFill>
                      <a:srgbClr val="333333"/>
                    </a:solidFill>
                    <a:latin typeface="Calibri"/>
                    <a:ea typeface="Calibri"/>
                    <a:cs typeface="Calibri"/>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both"/>
            <c:errValType val="percentage"/>
            <c:noEndCap val="0"/>
            <c:val val="0.1"/>
          </c:errBars>
          <c:cat>
            <c:strRef>
              <c:f>'[3]Datos Total'!$G$35:$G$42</c:f>
              <c:strCache>
                <c:ptCount val="8"/>
                <c:pt idx="0">
                  <c:v>Piso</c:v>
                </c:pt>
                <c:pt idx="1">
                  <c:v>Agua Caliente</c:v>
                </c:pt>
                <c:pt idx="2">
                  <c:v>Maquina o Equipo</c:v>
                </c:pt>
                <c:pt idx="3">
                  <c:v>Quimicos Aseo</c:v>
                </c:pt>
                <c:pt idx="4">
                  <c:v>Insumos</c:v>
                </c:pt>
                <c:pt idx="5">
                  <c:v>Superficie de Trabajo</c:v>
                </c:pt>
                <c:pt idx="6">
                  <c:v>Estructura</c:v>
                </c:pt>
                <c:pt idx="7">
                  <c:v>Otro</c:v>
                </c:pt>
              </c:strCache>
            </c:strRef>
          </c:cat>
          <c:val>
            <c:numRef>
              <c:f>'Datos Total'!$E$51:$E$53</c:f>
              <c:numCache>
                <c:formatCode>0%</c:formatCode>
                <c:ptCount val="3"/>
                <c:pt idx="0">
                  <c:v>0.30172413793103448</c:v>
                </c:pt>
                <c:pt idx="1">
                  <c:v>0.81896551724137934</c:v>
                </c:pt>
                <c:pt idx="2">
                  <c:v>1</c:v>
                </c:pt>
              </c:numCache>
            </c:numRef>
          </c:val>
          <c:smooth val="0"/>
          <c:extLst>
            <c:ext xmlns:c16="http://schemas.microsoft.com/office/drawing/2014/chart" uri="{C3380CC4-5D6E-409C-BE32-E72D297353CC}">
              <c16:uniqueId val="{00000001-AFA2-4566-A61F-B80600BDFC0C}"/>
            </c:ext>
          </c:extLst>
        </c:ser>
        <c:dLbls>
          <c:showLegendKey val="0"/>
          <c:showVal val="0"/>
          <c:showCatName val="0"/>
          <c:showSerName val="0"/>
          <c:showPercent val="0"/>
          <c:showBubbleSize val="0"/>
        </c:dLbls>
        <c:marker val="1"/>
        <c:smooth val="0"/>
        <c:axId val="214919168"/>
        <c:axId val="214864384"/>
      </c:lineChart>
      <c:catAx>
        <c:axId val="21491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600" b="1" i="0" u="none" strike="noStrike" baseline="0">
                <a:solidFill>
                  <a:srgbClr val="333333"/>
                </a:solidFill>
                <a:latin typeface="Calibri"/>
                <a:ea typeface="Calibri"/>
                <a:cs typeface="Calibri"/>
              </a:defRPr>
            </a:pPr>
            <a:endParaRPr lang="es-CL"/>
          </a:p>
        </c:txPr>
        <c:crossAx val="214864384"/>
        <c:crosses val="autoZero"/>
        <c:auto val="1"/>
        <c:lblAlgn val="ctr"/>
        <c:lblOffset val="100"/>
        <c:noMultiLvlLbl val="0"/>
      </c:catAx>
      <c:valAx>
        <c:axId val="214864384"/>
        <c:scaling>
          <c:orientation val="minMax"/>
        </c:scaling>
        <c:delete val="1"/>
        <c:axPos val="l"/>
        <c:numFmt formatCode="General" sourceLinked="1"/>
        <c:majorTickMark val="out"/>
        <c:minorTickMark val="none"/>
        <c:tickLblPos val="nextTo"/>
        <c:crossAx val="214919168"/>
        <c:crosses val="autoZero"/>
        <c:crossBetween val="between"/>
      </c:valAx>
      <c:spPr>
        <a:noFill/>
        <a:ln w="25400">
          <a:noFill/>
        </a:ln>
      </c:spPr>
    </c:plotArea>
    <c:legend>
      <c:legendPos val="r"/>
      <c:overlay val="0"/>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L"/>
              <a:t>Agente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L"/>
        </a:p>
      </c:txPr>
    </c:title>
    <c:autoTitleDeleted val="0"/>
    <c:plotArea>
      <c:layout/>
      <c:barChart>
        <c:barDir val="col"/>
        <c:grouping val="clustered"/>
        <c:varyColors val="0"/>
        <c:ser>
          <c:idx val="0"/>
          <c:order val="0"/>
          <c:tx>
            <c:strRef>
              <c:f>'Datos Total'!$H$26</c:f>
              <c:strCache>
                <c:ptCount val="1"/>
                <c:pt idx="0">
                  <c:v>Total</c:v>
                </c:pt>
              </c:strCache>
            </c:strRef>
          </c:tx>
          <c:spPr>
            <a:solidFill>
              <a:srgbClr val="FF0000"/>
            </a:solidFill>
            <a:ln>
              <a:solidFill>
                <a:srgbClr val="FF0000"/>
              </a:solidFill>
            </a:ln>
            <a:effectLst>
              <a:outerShdw blurRad="40000" dist="23000" dir="5400000" rotWithShape="0">
                <a:srgbClr val="000000">
                  <a:alpha val="35000"/>
                </a:srgbClr>
              </a:outerShdw>
            </a:effectLst>
          </c:spPr>
          <c:invertIfNegative val="0"/>
          <c:cat>
            <c:strRef>
              <c:f>'Datos Total'!$G$27:$G$41</c:f>
              <c:strCache>
                <c:ptCount val="15"/>
                <c:pt idx="0">
                  <c:v>Superficies de trabajo</c:v>
                </c:pt>
                <c:pt idx="1">
                  <c:v>Infraestructura</c:v>
                </c:pt>
                <c:pt idx="2">
                  <c:v>Otros</c:v>
                </c:pt>
                <c:pt idx="3">
                  <c:v>Materia Prima</c:v>
                </c:pt>
                <c:pt idx="4">
                  <c:v>Maquinarias</c:v>
                </c:pt>
                <c:pt idx="5">
                  <c:v>Materiales</c:v>
                </c:pt>
                <c:pt idx="6">
                  <c:v>Producto quimico</c:v>
                </c:pt>
                <c:pt idx="7">
                  <c:v>Equipos Transporte de carga</c:v>
                </c:pt>
                <c:pt idx="8">
                  <c:v>Bins</c:v>
                </c:pt>
                <c:pt idx="9">
                  <c:v>Bandejas</c:v>
                </c:pt>
                <c:pt idx="10">
                  <c:v>Cuchillo</c:v>
                </c:pt>
                <c:pt idx="11">
                  <c:v>Pallet</c:v>
                </c:pt>
                <c:pt idx="12">
                  <c:v>Cajas</c:v>
                </c:pt>
                <c:pt idx="13">
                  <c:v>Animales - Insectos</c:v>
                </c:pt>
                <c:pt idx="14">
                  <c:v>Herramientas de mano</c:v>
                </c:pt>
              </c:strCache>
            </c:strRef>
          </c:cat>
          <c:val>
            <c:numRef>
              <c:f>'Datos Total'!$H$27:$H$41</c:f>
              <c:numCache>
                <c:formatCode>General</c:formatCode>
                <c:ptCount val="15"/>
                <c:pt idx="0">
                  <c:v>13</c:v>
                </c:pt>
                <c:pt idx="1">
                  <c:v>29</c:v>
                </c:pt>
                <c:pt idx="2">
                  <c:v>9</c:v>
                </c:pt>
                <c:pt idx="3">
                  <c:v>23</c:v>
                </c:pt>
                <c:pt idx="4">
                  <c:v>24</c:v>
                </c:pt>
                <c:pt idx="5">
                  <c:v>27</c:v>
                </c:pt>
                <c:pt idx="6">
                  <c:v>13</c:v>
                </c:pt>
                <c:pt idx="7">
                  <c:v>19</c:v>
                </c:pt>
                <c:pt idx="8">
                  <c:v>9</c:v>
                </c:pt>
                <c:pt idx="9">
                  <c:v>8</c:v>
                </c:pt>
                <c:pt idx="10">
                  <c:v>3</c:v>
                </c:pt>
                <c:pt idx="11">
                  <c:v>3</c:v>
                </c:pt>
                <c:pt idx="12">
                  <c:v>15</c:v>
                </c:pt>
                <c:pt idx="13">
                  <c:v>4</c:v>
                </c:pt>
                <c:pt idx="14">
                  <c:v>1</c:v>
                </c:pt>
              </c:numCache>
            </c:numRef>
          </c:val>
          <c:extLst>
            <c:ext xmlns:c16="http://schemas.microsoft.com/office/drawing/2014/chart" uri="{C3380CC4-5D6E-409C-BE32-E72D297353CC}">
              <c16:uniqueId val="{00000000-1D74-452E-A2E8-2CF95AB44F18}"/>
            </c:ext>
          </c:extLst>
        </c:ser>
        <c:dLbls>
          <c:showLegendKey val="0"/>
          <c:showVal val="0"/>
          <c:showCatName val="0"/>
          <c:showSerName val="0"/>
          <c:showPercent val="0"/>
          <c:showBubbleSize val="0"/>
        </c:dLbls>
        <c:gapWidth val="75"/>
        <c:overlap val="-25"/>
        <c:axId val="214273536"/>
        <c:axId val="215114880"/>
      </c:barChart>
      <c:lineChart>
        <c:grouping val="stacked"/>
        <c:varyColors val="0"/>
        <c:ser>
          <c:idx val="1"/>
          <c:order val="1"/>
          <c:tx>
            <c:strRef>
              <c:f>'Datos Total'!$J$26</c:f>
              <c:strCache>
                <c:ptCount val="1"/>
                <c:pt idx="0">
                  <c:v>Pareto</c:v>
                </c:pt>
              </c:strCache>
            </c:strRef>
          </c:tx>
          <c:spPr>
            <a:ln w="31750" cap="rnd">
              <a:solidFill>
                <a:srgbClr val="00B050"/>
              </a:solidFill>
              <a:round/>
            </a:ln>
            <a:effectLst>
              <a:outerShdw blurRad="40000" dist="23000" dir="5400000" rotWithShape="0">
                <a:srgbClr val="000000">
                  <a:alpha val="35000"/>
                </a:srgbClr>
              </a:outerShdw>
            </a:effectLst>
          </c:spPr>
          <c:marker>
            <c:symbol val="circle"/>
            <c:size val="6"/>
            <c:spPr>
              <a:solidFill>
                <a:srgbClr val="00B050"/>
              </a:solidFill>
              <a:ln w="12700">
                <a:solidFill>
                  <a:schemeClr val="lt2"/>
                </a:solidFill>
                <a:round/>
              </a:ln>
              <a:effectLst>
                <a:outerShdw blurRad="40000" dist="23000" dir="5400000" rotWithShape="0">
                  <a:srgbClr val="000000">
                    <a:alpha val="35000"/>
                  </a:srgbClr>
                </a:outerShdw>
              </a:effectLst>
            </c:spPr>
          </c:marker>
          <c:cat>
            <c:strRef>
              <c:f>'Datos Total'!$G$27:$G$41</c:f>
              <c:strCache>
                <c:ptCount val="15"/>
                <c:pt idx="0">
                  <c:v>Superficies de trabajo</c:v>
                </c:pt>
                <c:pt idx="1">
                  <c:v>Infraestructura</c:v>
                </c:pt>
                <c:pt idx="2">
                  <c:v>Otros</c:v>
                </c:pt>
                <c:pt idx="3">
                  <c:v>Materia Prima</c:v>
                </c:pt>
                <c:pt idx="4">
                  <c:v>Maquinarias</c:v>
                </c:pt>
                <c:pt idx="5">
                  <c:v>Materiales</c:v>
                </c:pt>
                <c:pt idx="6">
                  <c:v>Producto quimico</c:v>
                </c:pt>
                <c:pt idx="7">
                  <c:v>Equipos Transporte de carga</c:v>
                </c:pt>
                <c:pt idx="8">
                  <c:v>Bins</c:v>
                </c:pt>
                <c:pt idx="9">
                  <c:v>Bandejas</c:v>
                </c:pt>
                <c:pt idx="10">
                  <c:v>Cuchillo</c:v>
                </c:pt>
                <c:pt idx="11">
                  <c:v>Pallet</c:v>
                </c:pt>
                <c:pt idx="12">
                  <c:v>Cajas</c:v>
                </c:pt>
                <c:pt idx="13">
                  <c:v>Animales - Insectos</c:v>
                </c:pt>
                <c:pt idx="14">
                  <c:v>Herramientas de mano</c:v>
                </c:pt>
              </c:strCache>
            </c:strRef>
          </c:cat>
          <c:val>
            <c:numRef>
              <c:f>'Datos Total'!$J$27:$J$41</c:f>
              <c:numCache>
                <c:formatCode>0%</c:formatCode>
                <c:ptCount val="15"/>
                <c:pt idx="0">
                  <c:v>6.3414634146341464E-2</c:v>
                </c:pt>
                <c:pt idx="1">
                  <c:v>0.20487804878048779</c:v>
                </c:pt>
                <c:pt idx="2">
                  <c:v>0.24878048780487805</c:v>
                </c:pt>
                <c:pt idx="3">
                  <c:v>0.36097560975609755</c:v>
                </c:pt>
                <c:pt idx="4">
                  <c:v>0.47804878048780486</c:v>
                </c:pt>
                <c:pt idx="5">
                  <c:v>0.6097560975609756</c:v>
                </c:pt>
                <c:pt idx="6">
                  <c:v>0.673170731707317</c:v>
                </c:pt>
                <c:pt idx="7">
                  <c:v>0.76585365853658527</c:v>
                </c:pt>
                <c:pt idx="8">
                  <c:v>0.80975609756097555</c:v>
                </c:pt>
                <c:pt idx="9">
                  <c:v>0.84878048780487803</c:v>
                </c:pt>
                <c:pt idx="10">
                  <c:v>0.86341463414634145</c:v>
                </c:pt>
                <c:pt idx="11">
                  <c:v>0.87804878048780488</c:v>
                </c:pt>
                <c:pt idx="12">
                  <c:v>0.95121951219512191</c:v>
                </c:pt>
                <c:pt idx="13">
                  <c:v>0.97073170731707314</c:v>
                </c:pt>
                <c:pt idx="14">
                  <c:v>0.97560975609756095</c:v>
                </c:pt>
              </c:numCache>
            </c:numRef>
          </c:val>
          <c:smooth val="0"/>
          <c:extLst>
            <c:ext xmlns:c16="http://schemas.microsoft.com/office/drawing/2014/chart" uri="{C3380CC4-5D6E-409C-BE32-E72D297353CC}">
              <c16:uniqueId val="{00000000-A1C7-447C-BA0B-4691468D77A8}"/>
            </c:ext>
          </c:extLst>
        </c:ser>
        <c:dLbls>
          <c:showLegendKey val="0"/>
          <c:showVal val="0"/>
          <c:showCatName val="0"/>
          <c:showSerName val="0"/>
          <c:showPercent val="0"/>
          <c:showBubbleSize val="0"/>
        </c:dLbls>
        <c:marker val="1"/>
        <c:smooth val="0"/>
        <c:axId val="215220736"/>
        <c:axId val="215115456"/>
      </c:lineChart>
      <c:catAx>
        <c:axId val="214273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s-CL"/>
          </a:p>
        </c:txPr>
        <c:crossAx val="215114880"/>
        <c:crosses val="autoZero"/>
        <c:auto val="1"/>
        <c:lblAlgn val="ctr"/>
        <c:lblOffset val="100"/>
        <c:noMultiLvlLbl val="0"/>
      </c:catAx>
      <c:valAx>
        <c:axId val="21511488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crossAx val="214273536"/>
        <c:crosses val="autoZero"/>
        <c:crossBetween val="between"/>
      </c:valAx>
      <c:catAx>
        <c:axId val="215220736"/>
        <c:scaling>
          <c:orientation val="minMax"/>
        </c:scaling>
        <c:delete val="1"/>
        <c:axPos val="b"/>
        <c:numFmt formatCode="General" sourceLinked="1"/>
        <c:majorTickMark val="none"/>
        <c:minorTickMark val="none"/>
        <c:tickLblPos val="nextTo"/>
        <c:crossAx val="215115456"/>
        <c:crosses val="autoZero"/>
        <c:auto val="1"/>
        <c:lblAlgn val="ctr"/>
        <c:lblOffset val="100"/>
        <c:noMultiLvlLbl val="0"/>
      </c:catAx>
      <c:valAx>
        <c:axId val="215115456"/>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crossAx val="215220736"/>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Supervisores Trozado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2500023119420142"/>
          <c:y val="0.14552265319396643"/>
          <c:w val="0.84848641780306322"/>
          <c:h val="0.62686681375862463"/>
        </c:manualLayout>
      </c:layout>
      <c:bar3DChart>
        <c:barDir val="col"/>
        <c:grouping val="clustered"/>
        <c:varyColors val="0"/>
        <c:ser>
          <c:idx val="0"/>
          <c:order val="0"/>
          <c:tx>
            <c:strRef>
              <c:f>'Grafica Sup.'!$C$2</c:f>
              <c:strCache>
                <c:ptCount val="1"/>
                <c:pt idx="0">
                  <c:v>N° ACC.</c:v>
                </c:pt>
              </c:strCache>
            </c:strRef>
          </c:tx>
          <c:spPr>
            <a:solidFill>
              <a:srgbClr val="FF0000"/>
            </a:solidFill>
          </c:spPr>
          <c:invertIfNegative val="0"/>
          <c:cat>
            <c:strRef>
              <c:f>'Grafica Sup.'!$B$3:$B$8</c:f>
              <c:strCache>
                <c:ptCount val="6"/>
                <c:pt idx="0">
                  <c:v>ARNALDO VERA</c:v>
                </c:pt>
                <c:pt idx="1">
                  <c:v>RAMIRO RAMIREZ</c:v>
                </c:pt>
                <c:pt idx="2">
                  <c:v>FABIAN GONZALEZ</c:v>
                </c:pt>
                <c:pt idx="3">
                  <c:v>JOSE CARVALLO</c:v>
                </c:pt>
                <c:pt idx="4">
                  <c:v>RAFAEL ASTORGA</c:v>
                </c:pt>
                <c:pt idx="5">
                  <c:v>JORGE MEZA</c:v>
                </c:pt>
              </c:strCache>
            </c:strRef>
          </c:cat>
          <c:val>
            <c:numRef>
              <c:f>'Grafica Sup.'!$C$3:$C$8</c:f>
              <c:numCache>
                <c:formatCode>General</c:formatCode>
                <c:ptCount val="6"/>
                <c:pt idx="0">
                  <c:v>7</c:v>
                </c:pt>
                <c:pt idx="1">
                  <c:v>8</c:v>
                </c:pt>
                <c:pt idx="2">
                  <c:v>0</c:v>
                </c:pt>
                <c:pt idx="3">
                  <c:v>30</c:v>
                </c:pt>
                <c:pt idx="4">
                  <c:v>3</c:v>
                </c:pt>
                <c:pt idx="5">
                  <c:v>0</c:v>
                </c:pt>
              </c:numCache>
            </c:numRef>
          </c:val>
          <c:extLst>
            <c:ext xmlns:c16="http://schemas.microsoft.com/office/drawing/2014/chart" uri="{C3380CC4-5D6E-409C-BE32-E72D297353CC}">
              <c16:uniqueId val="{00000000-7897-4A26-ABB1-0B7AE4A9C491}"/>
            </c:ext>
          </c:extLst>
        </c:ser>
        <c:ser>
          <c:idx val="1"/>
          <c:order val="1"/>
          <c:tx>
            <c:strRef>
              <c:f>'Grafica Sup.'!$D$2</c:f>
              <c:strCache>
                <c:ptCount val="1"/>
                <c:pt idx="0">
                  <c:v>N° ACC CTP</c:v>
                </c:pt>
              </c:strCache>
            </c:strRef>
          </c:tx>
          <c:spPr>
            <a:solidFill>
              <a:srgbClr val="FFFF00"/>
            </a:solidFill>
          </c:spPr>
          <c:invertIfNegative val="0"/>
          <c:val>
            <c:numRef>
              <c:f>'Grafica Sup.'!$D$3:$D$8</c:f>
              <c:numCache>
                <c:formatCode>General</c:formatCode>
                <c:ptCount val="6"/>
                <c:pt idx="0">
                  <c:v>0</c:v>
                </c:pt>
                <c:pt idx="1">
                  <c:v>3</c:v>
                </c:pt>
                <c:pt idx="2">
                  <c:v>0</c:v>
                </c:pt>
                <c:pt idx="3">
                  <c:v>9</c:v>
                </c:pt>
                <c:pt idx="4">
                  <c:v>2</c:v>
                </c:pt>
                <c:pt idx="5">
                  <c:v>0</c:v>
                </c:pt>
              </c:numCache>
            </c:numRef>
          </c:val>
          <c:extLst>
            <c:ext xmlns:c16="http://schemas.microsoft.com/office/drawing/2014/chart" uri="{C3380CC4-5D6E-409C-BE32-E72D297353CC}">
              <c16:uniqueId val="{00000001-7897-4A26-ABB1-0B7AE4A9C491}"/>
            </c:ext>
          </c:extLst>
        </c:ser>
        <c:dLbls>
          <c:showLegendKey val="0"/>
          <c:showVal val="0"/>
          <c:showCatName val="0"/>
          <c:showSerName val="0"/>
          <c:showPercent val="0"/>
          <c:showBubbleSize val="0"/>
        </c:dLbls>
        <c:gapWidth val="150"/>
        <c:shape val="box"/>
        <c:axId val="213353984"/>
        <c:axId val="214866688"/>
        <c:axId val="0"/>
      </c:bar3DChart>
      <c:catAx>
        <c:axId val="213353984"/>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L"/>
          </a:p>
        </c:txPr>
        <c:crossAx val="214866688"/>
        <c:crosses val="autoZero"/>
        <c:auto val="1"/>
        <c:lblAlgn val="ctr"/>
        <c:lblOffset val="100"/>
        <c:noMultiLvlLbl val="0"/>
      </c:catAx>
      <c:valAx>
        <c:axId val="214866688"/>
        <c:scaling>
          <c:orientation val="minMax"/>
        </c:scaling>
        <c:delete val="1"/>
        <c:axPos val="l"/>
        <c:numFmt formatCode="General" sourceLinked="1"/>
        <c:majorTickMark val="out"/>
        <c:minorTickMark val="none"/>
        <c:tickLblPos val="nextTo"/>
        <c:crossAx val="213353984"/>
        <c:crosses val="autoZero"/>
        <c:crossBetween val="between"/>
      </c:valAx>
      <c:dTable>
        <c:showHorzBorder val="1"/>
        <c:showVertBorder val="1"/>
        <c:showOutline val="1"/>
        <c:showKeys val="1"/>
        <c:txPr>
          <a:bodyPr/>
          <a:lstStyle/>
          <a:p>
            <a:pPr rtl="0">
              <a:defRPr lang="es-CL" sz="500" b="0" i="0" u="none" strike="noStrike" baseline="0">
                <a:solidFill>
                  <a:srgbClr val="000000"/>
                </a:solidFill>
                <a:latin typeface="Arial Black" pitchFamily="34" charset="0"/>
                <a:ea typeface="Calibri"/>
                <a:cs typeface="Calibri"/>
              </a:defRPr>
            </a:pPr>
            <a:endParaRPr lang="es-CL"/>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SSGG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2689417409108311"/>
          <c:y val="5.2419354838709721E-2"/>
          <c:w val="0.88447133284381863"/>
          <c:h val="0.7338709677419355"/>
        </c:manualLayout>
      </c:layout>
      <c:bar3DChart>
        <c:barDir val="col"/>
        <c:grouping val="clustered"/>
        <c:varyColors val="0"/>
        <c:ser>
          <c:idx val="0"/>
          <c:order val="0"/>
          <c:tx>
            <c:strRef>
              <c:f>'Grafica Sup.'!$C$16</c:f>
              <c:strCache>
                <c:ptCount val="1"/>
                <c:pt idx="0">
                  <c:v>N° ACC.</c:v>
                </c:pt>
              </c:strCache>
            </c:strRef>
          </c:tx>
          <c:spPr>
            <a:solidFill>
              <a:srgbClr val="FF0000"/>
            </a:solidFill>
          </c:spPr>
          <c:invertIfNegative val="0"/>
          <c:cat>
            <c:strRef>
              <c:f>'Grafica Sup.'!$B$17:$B$23</c:f>
              <c:strCache>
                <c:ptCount val="7"/>
                <c:pt idx="0">
                  <c:v>SERGIO AQUEVEQUE</c:v>
                </c:pt>
                <c:pt idx="1">
                  <c:v>FELIPE HERRERA</c:v>
                </c:pt>
                <c:pt idx="2">
                  <c:v>DAVID ROMO</c:v>
                </c:pt>
                <c:pt idx="3">
                  <c:v>ROLANDO EMIHUEQUE</c:v>
                </c:pt>
                <c:pt idx="4">
                  <c:v>PATRICIO PALACIOS</c:v>
                </c:pt>
                <c:pt idx="5">
                  <c:v>ORLANDO FARIAS</c:v>
                </c:pt>
                <c:pt idx="6">
                  <c:v>LUIS URBINA</c:v>
                </c:pt>
              </c:strCache>
            </c:strRef>
          </c:cat>
          <c:val>
            <c:numRef>
              <c:f>'Grafica Sup.'!$C$17:$C$23</c:f>
              <c:numCache>
                <c:formatCode>General</c:formatCode>
                <c:ptCount val="7"/>
                <c:pt idx="0">
                  <c:v>1</c:v>
                </c:pt>
                <c:pt idx="1">
                  <c:v>0</c:v>
                </c:pt>
                <c:pt idx="2">
                  <c:v>1</c:v>
                </c:pt>
                <c:pt idx="3">
                  <c:v>1</c:v>
                </c:pt>
                <c:pt idx="4">
                  <c:v>13</c:v>
                </c:pt>
                <c:pt idx="5">
                  <c:v>1</c:v>
                </c:pt>
                <c:pt idx="6">
                  <c:v>7</c:v>
                </c:pt>
              </c:numCache>
            </c:numRef>
          </c:val>
          <c:extLst>
            <c:ext xmlns:c16="http://schemas.microsoft.com/office/drawing/2014/chart" uri="{C3380CC4-5D6E-409C-BE32-E72D297353CC}">
              <c16:uniqueId val="{00000000-53DB-41D3-BC61-B4112FA505AB}"/>
            </c:ext>
          </c:extLst>
        </c:ser>
        <c:ser>
          <c:idx val="1"/>
          <c:order val="1"/>
          <c:tx>
            <c:strRef>
              <c:f>'Grafica Sup.'!$D$16</c:f>
              <c:strCache>
                <c:ptCount val="1"/>
                <c:pt idx="0">
                  <c:v>N° ACC CTP</c:v>
                </c:pt>
              </c:strCache>
            </c:strRef>
          </c:tx>
          <c:spPr>
            <a:solidFill>
              <a:srgbClr val="FFFF00"/>
            </a:solidFill>
          </c:spPr>
          <c:invertIfNegative val="0"/>
          <c:cat>
            <c:strRef>
              <c:f>'Grafica Sup.'!$B$17:$B$23</c:f>
              <c:strCache>
                <c:ptCount val="7"/>
                <c:pt idx="0">
                  <c:v>SERGIO AQUEVEQUE</c:v>
                </c:pt>
                <c:pt idx="1">
                  <c:v>FELIPE HERRERA</c:v>
                </c:pt>
                <c:pt idx="2">
                  <c:v>DAVID ROMO</c:v>
                </c:pt>
                <c:pt idx="3">
                  <c:v>ROLANDO EMIHUEQUE</c:v>
                </c:pt>
                <c:pt idx="4">
                  <c:v>PATRICIO PALACIOS</c:v>
                </c:pt>
                <c:pt idx="5">
                  <c:v>ORLANDO FARIAS</c:v>
                </c:pt>
                <c:pt idx="6">
                  <c:v>LUIS URBINA</c:v>
                </c:pt>
              </c:strCache>
            </c:strRef>
          </c:cat>
          <c:val>
            <c:numRef>
              <c:f>'Grafica Sup.'!$D$17:$D$23</c:f>
              <c:numCache>
                <c:formatCode>General</c:formatCode>
                <c:ptCount val="7"/>
                <c:pt idx="0">
                  <c:v>0</c:v>
                </c:pt>
                <c:pt idx="1">
                  <c:v>0</c:v>
                </c:pt>
                <c:pt idx="2">
                  <c:v>0</c:v>
                </c:pt>
                <c:pt idx="3">
                  <c:v>1</c:v>
                </c:pt>
                <c:pt idx="4">
                  <c:v>6</c:v>
                </c:pt>
                <c:pt idx="5">
                  <c:v>0</c:v>
                </c:pt>
                <c:pt idx="6">
                  <c:v>3</c:v>
                </c:pt>
              </c:numCache>
            </c:numRef>
          </c:val>
          <c:extLst>
            <c:ext xmlns:c16="http://schemas.microsoft.com/office/drawing/2014/chart" uri="{C3380CC4-5D6E-409C-BE32-E72D297353CC}">
              <c16:uniqueId val="{00000001-53DB-41D3-BC61-B4112FA505AB}"/>
            </c:ext>
          </c:extLst>
        </c:ser>
        <c:dLbls>
          <c:showLegendKey val="0"/>
          <c:showVal val="0"/>
          <c:showCatName val="0"/>
          <c:showSerName val="0"/>
          <c:showPercent val="0"/>
          <c:showBubbleSize val="0"/>
        </c:dLbls>
        <c:gapWidth val="150"/>
        <c:shape val="box"/>
        <c:axId val="213327872"/>
        <c:axId val="215516288"/>
        <c:axId val="0"/>
      </c:bar3DChart>
      <c:catAx>
        <c:axId val="213327872"/>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L"/>
          </a:p>
        </c:txPr>
        <c:crossAx val="215516288"/>
        <c:crosses val="autoZero"/>
        <c:auto val="1"/>
        <c:lblAlgn val="ctr"/>
        <c:lblOffset val="100"/>
        <c:noMultiLvlLbl val="0"/>
      </c:catAx>
      <c:valAx>
        <c:axId val="215516288"/>
        <c:scaling>
          <c:orientation val="minMax"/>
        </c:scaling>
        <c:delete val="1"/>
        <c:axPos val="l"/>
        <c:numFmt formatCode="General" sourceLinked="1"/>
        <c:majorTickMark val="out"/>
        <c:minorTickMark val="none"/>
        <c:tickLblPos val="nextTo"/>
        <c:crossAx val="213327872"/>
        <c:crosses val="autoZero"/>
        <c:crossBetween val="between"/>
      </c:valAx>
      <c:dTable>
        <c:showHorzBorder val="1"/>
        <c:showVertBorder val="1"/>
        <c:showOutline val="1"/>
        <c:showKeys val="1"/>
        <c:txPr>
          <a:bodyPr/>
          <a:lstStyle/>
          <a:p>
            <a:pPr rtl="0">
              <a:defRPr lang="es-CL" sz="500" b="1" i="0" u="none" strike="noStrike" baseline="0">
                <a:solidFill>
                  <a:srgbClr val="000000"/>
                </a:solidFill>
                <a:latin typeface="Arial Black" pitchFamily="34" charset="0"/>
                <a:ea typeface="Calibri"/>
                <a:cs typeface="Calibri"/>
              </a:defRPr>
            </a:pPr>
            <a:endParaRPr lang="es-CL"/>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P.Posteriores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077505720464727"/>
          <c:y val="0.10222266589698749"/>
          <c:w val="0.9054828773729886"/>
          <c:h val="0.69333634260565358"/>
        </c:manualLayout>
      </c:layout>
      <c:bar3DChart>
        <c:barDir val="col"/>
        <c:grouping val="clustered"/>
        <c:varyColors val="0"/>
        <c:ser>
          <c:idx val="0"/>
          <c:order val="0"/>
          <c:tx>
            <c:strRef>
              <c:f>'Grafica Sup.'!$C$32</c:f>
              <c:strCache>
                <c:ptCount val="1"/>
                <c:pt idx="0">
                  <c:v>N° ACC.</c:v>
                </c:pt>
              </c:strCache>
            </c:strRef>
          </c:tx>
          <c:spPr>
            <a:solidFill>
              <a:srgbClr val="FF0000"/>
            </a:solidFill>
          </c:spPr>
          <c:invertIfNegative val="0"/>
          <c:cat>
            <c:strRef>
              <c:f>'Grafica Sup.'!$B$33:$B$35</c:f>
              <c:strCache>
                <c:ptCount val="3"/>
                <c:pt idx="0">
                  <c:v>RONALD ONELL</c:v>
                </c:pt>
                <c:pt idx="1">
                  <c:v>MARCO QUINTANILLA</c:v>
                </c:pt>
                <c:pt idx="2">
                  <c:v>EDGAR HERNANDEZ</c:v>
                </c:pt>
              </c:strCache>
            </c:strRef>
          </c:cat>
          <c:val>
            <c:numRef>
              <c:f>'Grafica Sup.'!$C$33:$C$35</c:f>
              <c:numCache>
                <c:formatCode>General</c:formatCode>
                <c:ptCount val="3"/>
                <c:pt idx="0">
                  <c:v>0</c:v>
                </c:pt>
                <c:pt idx="1">
                  <c:v>0</c:v>
                </c:pt>
                <c:pt idx="2">
                  <c:v>5</c:v>
                </c:pt>
              </c:numCache>
            </c:numRef>
          </c:val>
          <c:extLst>
            <c:ext xmlns:c16="http://schemas.microsoft.com/office/drawing/2014/chart" uri="{C3380CC4-5D6E-409C-BE32-E72D297353CC}">
              <c16:uniqueId val="{00000000-F743-4DB7-8C78-701AC9405DDA}"/>
            </c:ext>
          </c:extLst>
        </c:ser>
        <c:ser>
          <c:idx val="1"/>
          <c:order val="1"/>
          <c:tx>
            <c:strRef>
              <c:f>'Grafica Sup.'!$D$32</c:f>
              <c:strCache>
                <c:ptCount val="1"/>
                <c:pt idx="0">
                  <c:v>N° ACC CTP</c:v>
                </c:pt>
              </c:strCache>
            </c:strRef>
          </c:tx>
          <c:spPr>
            <a:solidFill>
              <a:srgbClr val="FFFF00"/>
            </a:solidFill>
          </c:spPr>
          <c:invertIfNegative val="0"/>
          <c:cat>
            <c:strRef>
              <c:f>'Grafica Sup.'!$B$33:$B$35</c:f>
              <c:strCache>
                <c:ptCount val="3"/>
                <c:pt idx="0">
                  <c:v>RONALD ONELL</c:v>
                </c:pt>
                <c:pt idx="1">
                  <c:v>MARCO QUINTANILLA</c:v>
                </c:pt>
                <c:pt idx="2">
                  <c:v>EDGAR HERNANDEZ</c:v>
                </c:pt>
              </c:strCache>
            </c:strRef>
          </c:cat>
          <c:val>
            <c:numRef>
              <c:f>'Grafica Sup.'!$D$33:$D$35</c:f>
              <c:numCache>
                <c:formatCode>General</c:formatCode>
                <c:ptCount val="3"/>
                <c:pt idx="0">
                  <c:v>0</c:v>
                </c:pt>
                <c:pt idx="1">
                  <c:v>0</c:v>
                </c:pt>
                <c:pt idx="2">
                  <c:v>0</c:v>
                </c:pt>
              </c:numCache>
            </c:numRef>
          </c:val>
          <c:extLst>
            <c:ext xmlns:c16="http://schemas.microsoft.com/office/drawing/2014/chart" uri="{C3380CC4-5D6E-409C-BE32-E72D297353CC}">
              <c16:uniqueId val="{00000001-F743-4DB7-8C78-701AC9405DDA}"/>
            </c:ext>
          </c:extLst>
        </c:ser>
        <c:dLbls>
          <c:showLegendKey val="0"/>
          <c:showVal val="0"/>
          <c:showCatName val="0"/>
          <c:showSerName val="0"/>
          <c:showPercent val="0"/>
          <c:showBubbleSize val="0"/>
        </c:dLbls>
        <c:gapWidth val="150"/>
        <c:shape val="box"/>
        <c:axId val="213329408"/>
        <c:axId val="215518592"/>
        <c:axId val="0"/>
      </c:bar3DChart>
      <c:catAx>
        <c:axId val="213329408"/>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L"/>
          </a:p>
        </c:txPr>
        <c:crossAx val="215518592"/>
        <c:crosses val="autoZero"/>
        <c:auto val="1"/>
        <c:lblAlgn val="ctr"/>
        <c:lblOffset val="100"/>
        <c:noMultiLvlLbl val="0"/>
      </c:catAx>
      <c:valAx>
        <c:axId val="215518592"/>
        <c:scaling>
          <c:orientation val="minMax"/>
        </c:scaling>
        <c:delete val="1"/>
        <c:axPos val="l"/>
        <c:numFmt formatCode="General" sourceLinked="1"/>
        <c:majorTickMark val="out"/>
        <c:minorTickMark val="none"/>
        <c:tickLblPos val="nextTo"/>
        <c:crossAx val="213329408"/>
        <c:crosses val="autoZero"/>
        <c:crossBetween val="between"/>
      </c:valAx>
      <c:dTable>
        <c:showHorzBorder val="1"/>
        <c:showVertBorder val="1"/>
        <c:showOutline val="1"/>
        <c:showKeys val="1"/>
        <c:txPr>
          <a:bodyPr/>
          <a:lstStyle/>
          <a:p>
            <a:pPr rtl="0">
              <a:defRPr lang="es-CL" sz="500" b="0" i="0" u="none" strike="noStrike" baseline="0">
                <a:solidFill>
                  <a:srgbClr val="000000"/>
                </a:solidFill>
                <a:latin typeface="Arial Black" pitchFamily="34" charset="0"/>
                <a:ea typeface="Calibri"/>
                <a:cs typeface="Calibri"/>
              </a:defRPr>
            </a:pPr>
            <a:endParaRPr lang="es-CL"/>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Faena V/S Incidentes</a:t>
            </a:r>
          </a:p>
        </c:rich>
      </c:tx>
      <c:overlay val="0"/>
    </c:title>
    <c:autoTitleDeleted val="0"/>
    <c:view3D>
      <c:rotX val="15"/>
      <c:rotY val="20"/>
      <c:depthPercent val="100"/>
      <c:rAngAx val="1"/>
    </c:view3D>
    <c:floor>
      <c:thickness val="0"/>
    </c:floor>
    <c:sideWall>
      <c:thickness val="0"/>
      <c:spPr>
        <a:noFill/>
        <a:ln w="25400">
          <a:noFill/>
        </a:ln>
      </c:spPr>
    </c:sideWall>
    <c:backWall>
      <c:thickness val="0"/>
      <c:spPr>
        <a:noFill/>
        <a:ln w="25400">
          <a:noFill/>
        </a:ln>
      </c:spPr>
    </c:backWall>
    <c:plotArea>
      <c:layout>
        <c:manualLayout>
          <c:layoutTarget val="inner"/>
          <c:xMode val="edge"/>
          <c:yMode val="edge"/>
          <c:x val="0.14095264314107739"/>
          <c:y val="0.14335688810657524"/>
          <c:w val="0.86476351332498813"/>
          <c:h val="0.6118891565524559"/>
        </c:manualLayout>
      </c:layout>
      <c:bar3DChart>
        <c:barDir val="col"/>
        <c:grouping val="clustered"/>
        <c:varyColors val="0"/>
        <c:ser>
          <c:idx val="0"/>
          <c:order val="0"/>
          <c:tx>
            <c:strRef>
              <c:f>'Grafica Sup.'!$C$45</c:f>
              <c:strCache>
                <c:ptCount val="1"/>
                <c:pt idx="0">
                  <c:v>N° ACC.</c:v>
                </c:pt>
              </c:strCache>
            </c:strRef>
          </c:tx>
          <c:spPr>
            <a:solidFill>
              <a:srgbClr val="FF0000"/>
            </a:solidFill>
          </c:spPr>
          <c:invertIfNegative val="0"/>
          <c:cat>
            <c:strRef>
              <c:f>'Grafica Sup.'!$B$46:$B$49</c:f>
              <c:strCache>
                <c:ptCount val="4"/>
                <c:pt idx="0">
                  <c:v>ERWIN GATICA</c:v>
                </c:pt>
                <c:pt idx="1">
                  <c:v>CESAR CARTAGENA</c:v>
                </c:pt>
                <c:pt idx="2">
                  <c:v>ANTONIO RIVAS</c:v>
                </c:pt>
                <c:pt idx="3">
                  <c:v>CRISTIAN MEZA</c:v>
                </c:pt>
              </c:strCache>
            </c:strRef>
          </c:cat>
          <c:val>
            <c:numRef>
              <c:f>'Grafica Sup.'!$C$46:$C$49</c:f>
              <c:numCache>
                <c:formatCode>General</c:formatCode>
                <c:ptCount val="4"/>
                <c:pt idx="0">
                  <c:v>9</c:v>
                </c:pt>
                <c:pt idx="1">
                  <c:v>6</c:v>
                </c:pt>
                <c:pt idx="2">
                  <c:v>2</c:v>
                </c:pt>
                <c:pt idx="3">
                  <c:v>0</c:v>
                </c:pt>
              </c:numCache>
            </c:numRef>
          </c:val>
          <c:extLst>
            <c:ext xmlns:c16="http://schemas.microsoft.com/office/drawing/2014/chart" uri="{C3380CC4-5D6E-409C-BE32-E72D297353CC}">
              <c16:uniqueId val="{00000000-1B29-4C12-A29A-7DE7BEDCD1CF}"/>
            </c:ext>
          </c:extLst>
        </c:ser>
        <c:ser>
          <c:idx val="1"/>
          <c:order val="1"/>
          <c:tx>
            <c:strRef>
              <c:f>'Grafica Sup.'!$D$45</c:f>
              <c:strCache>
                <c:ptCount val="1"/>
                <c:pt idx="0">
                  <c:v>N° ACC CTP</c:v>
                </c:pt>
              </c:strCache>
            </c:strRef>
          </c:tx>
          <c:spPr>
            <a:solidFill>
              <a:srgbClr val="FFFF00"/>
            </a:solidFill>
          </c:spPr>
          <c:invertIfNegative val="0"/>
          <c:cat>
            <c:strRef>
              <c:f>'Grafica Sup.'!$B$46:$B$49</c:f>
              <c:strCache>
                <c:ptCount val="4"/>
                <c:pt idx="0">
                  <c:v>ERWIN GATICA</c:v>
                </c:pt>
                <c:pt idx="1">
                  <c:v>CESAR CARTAGENA</c:v>
                </c:pt>
                <c:pt idx="2">
                  <c:v>ANTONIO RIVAS</c:v>
                </c:pt>
                <c:pt idx="3">
                  <c:v>CRISTIAN MEZA</c:v>
                </c:pt>
              </c:strCache>
            </c:strRef>
          </c:cat>
          <c:val>
            <c:numRef>
              <c:f>'Grafica Sup.'!$D$46:$D$49</c:f>
              <c:numCache>
                <c:formatCode>General</c:formatCode>
                <c:ptCount val="4"/>
                <c:pt idx="0">
                  <c:v>2</c:v>
                </c:pt>
                <c:pt idx="1">
                  <c:v>2</c:v>
                </c:pt>
                <c:pt idx="2">
                  <c:v>0</c:v>
                </c:pt>
                <c:pt idx="3">
                  <c:v>0</c:v>
                </c:pt>
              </c:numCache>
            </c:numRef>
          </c:val>
          <c:extLst>
            <c:ext xmlns:c16="http://schemas.microsoft.com/office/drawing/2014/chart" uri="{C3380CC4-5D6E-409C-BE32-E72D297353CC}">
              <c16:uniqueId val="{00000001-1B29-4C12-A29A-7DE7BEDCD1CF}"/>
            </c:ext>
          </c:extLst>
        </c:ser>
        <c:dLbls>
          <c:showLegendKey val="0"/>
          <c:showVal val="0"/>
          <c:showCatName val="0"/>
          <c:showSerName val="0"/>
          <c:showPercent val="0"/>
          <c:showBubbleSize val="0"/>
        </c:dLbls>
        <c:gapWidth val="150"/>
        <c:shape val="box"/>
        <c:axId val="215941120"/>
        <c:axId val="215520896"/>
        <c:axId val="0"/>
      </c:bar3DChart>
      <c:catAx>
        <c:axId val="21594112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L"/>
          </a:p>
        </c:txPr>
        <c:crossAx val="215520896"/>
        <c:crosses val="autoZero"/>
        <c:auto val="1"/>
        <c:lblAlgn val="ctr"/>
        <c:lblOffset val="100"/>
        <c:noMultiLvlLbl val="0"/>
      </c:catAx>
      <c:valAx>
        <c:axId val="215520896"/>
        <c:scaling>
          <c:orientation val="minMax"/>
        </c:scaling>
        <c:delete val="1"/>
        <c:axPos val="l"/>
        <c:numFmt formatCode="General" sourceLinked="1"/>
        <c:majorTickMark val="out"/>
        <c:minorTickMark val="none"/>
        <c:tickLblPos val="nextTo"/>
        <c:crossAx val="215941120"/>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CL"/>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Trozado</a:t>
            </a:r>
            <a:r>
              <a:rPr lang="es-CL" baseline="0"/>
              <a:t> Pavo</a:t>
            </a:r>
            <a:r>
              <a:rPr lang="es-CL"/>
              <a:t>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4015177436925583"/>
          <c:y val="9.9631175823007706E-2"/>
          <c:w val="0.86553190387499979"/>
          <c:h val="0.6531377081730505"/>
        </c:manualLayout>
      </c:layout>
      <c:bar3DChart>
        <c:barDir val="col"/>
        <c:grouping val="clustered"/>
        <c:varyColors val="0"/>
        <c:ser>
          <c:idx val="0"/>
          <c:order val="0"/>
          <c:tx>
            <c:strRef>
              <c:f>'Grafica Sup.'!$C$59</c:f>
              <c:strCache>
                <c:ptCount val="1"/>
                <c:pt idx="0">
                  <c:v>N° ACC.</c:v>
                </c:pt>
              </c:strCache>
            </c:strRef>
          </c:tx>
          <c:spPr>
            <a:solidFill>
              <a:srgbClr val="FF0000"/>
            </a:solidFill>
          </c:spPr>
          <c:invertIfNegative val="0"/>
          <c:cat>
            <c:strRef>
              <c:f>'Grafica Sup.'!$B$60:$B$61</c:f>
              <c:strCache>
                <c:ptCount val="2"/>
                <c:pt idx="0">
                  <c:v>JAQUELINE PAVEZ</c:v>
                </c:pt>
                <c:pt idx="1">
                  <c:v>MARCELA MARDONES </c:v>
                </c:pt>
              </c:strCache>
            </c:strRef>
          </c:cat>
          <c:val>
            <c:numRef>
              <c:f>'Grafica Sup.'!$C$60:$C$61</c:f>
              <c:numCache>
                <c:formatCode>General</c:formatCode>
                <c:ptCount val="2"/>
                <c:pt idx="0">
                  <c:v>0</c:v>
                </c:pt>
                <c:pt idx="1">
                  <c:v>0</c:v>
                </c:pt>
              </c:numCache>
            </c:numRef>
          </c:val>
          <c:extLst>
            <c:ext xmlns:c16="http://schemas.microsoft.com/office/drawing/2014/chart" uri="{C3380CC4-5D6E-409C-BE32-E72D297353CC}">
              <c16:uniqueId val="{00000000-D0D9-4CE3-90B8-FC9B3D7D20C0}"/>
            </c:ext>
          </c:extLst>
        </c:ser>
        <c:ser>
          <c:idx val="1"/>
          <c:order val="1"/>
          <c:tx>
            <c:strRef>
              <c:f>'Grafica Sup.'!$D$59</c:f>
              <c:strCache>
                <c:ptCount val="1"/>
                <c:pt idx="0">
                  <c:v>N° ACC CTP</c:v>
                </c:pt>
              </c:strCache>
            </c:strRef>
          </c:tx>
          <c:spPr>
            <a:solidFill>
              <a:srgbClr val="FFFF00"/>
            </a:solidFill>
          </c:spPr>
          <c:invertIfNegative val="0"/>
          <c:cat>
            <c:strRef>
              <c:f>'Grafica Sup.'!$B$60:$B$61</c:f>
              <c:strCache>
                <c:ptCount val="2"/>
                <c:pt idx="0">
                  <c:v>JAQUELINE PAVEZ</c:v>
                </c:pt>
                <c:pt idx="1">
                  <c:v>MARCELA MARDONES </c:v>
                </c:pt>
              </c:strCache>
            </c:strRef>
          </c:cat>
          <c:val>
            <c:numRef>
              <c:f>'Grafica Sup.'!$D$60:$D$61</c:f>
              <c:numCache>
                <c:formatCode>General</c:formatCode>
                <c:ptCount val="2"/>
                <c:pt idx="0">
                  <c:v>0</c:v>
                </c:pt>
                <c:pt idx="1">
                  <c:v>0</c:v>
                </c:pt>
              </c:numCache>
            </c:numRef>
          </c:val>
          <c:extLst>
            <c:ext xmlns:c16="http://schemas.microsoft.com/office/drawing/2014/chart" uri="{C3380CC4-5D6E-409C-BE32-E72D297353CC}">
              <c16:uniqueId val="{00000001-D0D9-4CE3-90B8-FC9B3D7D20C0}"/>
            </c:ext>
          </c:extLst>
        </c:ser>
        <c:dLbls>
          <c:showLegendKey val="0"/>
          <c:showVal val="0"/>
          <c:showCatName val="0"/>
          <c:showSerName val="0"/>
          <c:showPercent val="0"/>
          <c:showBubbleSize val="0"/>
        </c:dLbls>
        <c:gapWidth val="150"/>
        <c:shape val="box"/>
        <c:axId val="215942656"/>
        <c:axId val="215859200"/>
        <c:axId val="0"/>
      </c:bar3DChart>
      <c:catAx>
        <c:axId val="215942656"/>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L"/>
          </a:p>
        </c:txPr>
        <c:crossAx val="215859200"/>
        <c:crosses val="autoZero"/>
        <c:auto val="1"/>
        <c:lblAlgn val="ctr"/>
        <c:lblOffset val="100"/>
        <c:noMultiLvlLbl val="0"/>
      </c:catAx>
      <c:valAx>
        <c:axId val="215859200"/>
        <c:scaling>
          <c:orientation val="minMax"/>
        </c:scaling>
        <c:delete val="1"/>
        <c:axPos val="l"/>
        <c:numFmt formatCode="General" sourceLinked="1"/>
        <c:majorTickMark val="out"/>
        <c:minorTickMark val="none"/>
        <c:tickLblPos val="nextTo"/>
        <c:crossAx val="215942656"/>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CL"/>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Frigorifico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3962264150943396"/>
          <c:y val="0.14400028125054931"/>
          <c:w val="0.86603773584905652"/>
          <c:h val="0.61600120312734985"/>
        </c:manualLayout>
      </c:layout>
      <c:bar3DChart>
        <c:barDir val="col"/>
        <c:grouping val="clustered"/>
        <c:varyColors val="0"/>
        <c:ser>
          <c:idx val="1"/>
          <c:order val="0"/>
          <c:tx>
            <c:strRef>
              <c:f>'Grafica Sup.'!$C$73</c:f>
              <c:strCache>
                <c:ptCount val="1"/>
                <c:pt idx="0">
                  <c:v>N° ACC.</c:v>
                </c:pt>
              </c:strCache>
            </c:strRef>
          </c:tx>
          <c:spPr>
            <a:solidFill>
              <a:srgbClr val="FF0000"/>
            </a:solidFill>
          </c:spPr>
          <c:invertIfNegative val="0"/>
          <c:cat>
            <c:strRef>
              <c:f>'Grafica Sup.'!$B$74:$B$76</c:f>
              <c:strCache>
                <c:ptCount val="3"/>
                <c:pt idx="0">
                  <c:v>MAURICIO HERNANDEZ</c:v>
                </c:pt>
                <c:pt idx="1">
                  <c:v>MARIA EUGENIA YAÑEZ</c:v>
                </c:pt>
                <c:pt idx="2">
                  <c:v>JUAN VILLAVICENCIO</c:v>
                </c:pt>
              </c:strCache>
            </c:strRef>
          </c:cat>
          <c:val>
            <c:numRef>
              <c:f>'Grafica Sup.'!$C$74:$C$76</c:f>
              <c:numCache>
                <c:formatCode>General</c:formatCode>
                <c:ptCount val="3"/>
                <c:pt idx="0">
                  <c:v>4</c:v>
                </c:pt>
                <c:pt idx="1">
                  <c:v>0</c:v>
                </c:pt>
                <c:pt idx="2">
                  <c:v>2</c:v>
                </c:pt>
              </c:numCache>
            </c:numRef>
          </c:val>
          <c:extLst>
            <c:ext xmlns:c16="http://schemas.microsoft.com/office/drawing/2014/chart" uri="{C3380CC4-5D6E-409C-BE32-E72D297353CC}">
              <c16:uniqueId val="{00000000-1D17-4E74-85E4-5EA2B1B4F887}"/>
            </c:ext>
          </c:extLst>
        </c:ser>
        <c:ser>
          <c:idx val="2"/>
          <c:order val="1"/>
          <c:tx>
            <c:strRef>
              <c:f>'Grafica Sup.'!$D$73</c:f>
              <c:strCache>
                <c:ptCount val="1"/>
                <c:pt idx="0">
                  <c:v>N° ACC CTP</c:v>
                </c:pt>
              </c:strCache>
            </c:strRef>
          </c:tx>
          <c:spPr>
            <a:solidFill>
              <a:srgbClr val="FFFF00"/>
            </a:solidFill>
          </c:spPr>
          <c:invertIfNegative val="0"/>
          <c:cat>
            <c:strRef>
              <c:f>'Grafica Sup.'!$B$74:$B$76</c:f>
              <c:strCache>
                <c:ptCount val="3"/>
                <c:pt idx="0">
                  <c:v>MAURICIO HERNANDEZ</c:v>
                </c:pt>
                <c:pt idx="1">
                  <c:v>MARIA EUGENIA YAÑEZ</c:v>
                </c:pt>
                <c:pt idx="2">
                  <c:v>JUAN VILLAVICENCIO</c:v>
                </c:pt>
              </c:strCache>
            </c:strRef>
          </c:cat>
          <c:val>
            <c:numRef>
              <c:f>'Grafica Sup.'!$D$74:$D$76</c:f>
              <c:numCache>
                <c:formatCode>General</c:formatCode>
                <c:ptCount val="3"/>
                <c:pt idx="0">
                  <c:v>1</c:v>
                </c:pt>
                <c:pt idx="1">
                  <c:v>0</c:v>
                </c:pt>
                <c:pt idx="2">
                  <c:v>2</c:v>
                </c:pt>
              </c:numCache>
            </c:numRef>
          </c:val>
          <c:extLst>
            <c:ext xmlns:c16="http://schemas.microsoft.com/office/drawing/2014/chart" uri="{C3380CC4-5D6E-409C-BE32-E72D297353CC}">
              <c16:uniqueId val="{00000001-1D17-4E74-85E4-5EA2B1B4F887}"/>
            </c:ext>
          </c:extLst>
        </c:ser>
        <c:dLbls>
          <c:showLegendKey val="0"/>
          <c:showVal val="0"/>
          <c:showCatName val="0"/>
          <c:showSerName val="0"/>
          <c:showPercent val="0"/>
          <c:showBubbleSize val="0"/>
        </c:dLbls>
        <c:gapWidth val="150"/>
        <c:shape val="box"/>
        <c:axId val="215944704"/>
        <c:axId val="215861504"/>
        <c:axId val="0"/>
      </c:bar3DChart>
      <c:catAx>
        <c:axId val="215944704"/>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L"/>
          </a:p>
        </c:txPr>
        <c:crossAx val="215861504"/>
        <c:crosses val="autoZero"/>
        <c:auto val="1"/>
        <c:lblAlgn val="ctr"/>
        <c:lblOffset val="100"/>
        <c:noMultiLvlLbl val="0"/>
      </c:catAx>
      <c:valAx>
        <c:axId val="215861504"/>
        <c:scaling>
          <c:orientation val="minMax"/>
        </c:scaling>
        <c:delete val="1"/>
        <c:axPos val="l"/>
        <c:numFmt formatCode="General" sourceLinked="1"/>
        <c:majorTickMark val="out"/>
        <c:minorTickMark val="none"/>
        <c:tickLblPos val="nextTo"/>
        <c:crossAx val="215944704"/>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CL"/>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Mantencion</a:t>
            </a:r>
            <a:r>
              <a:rPr lang="es-CL" baseline="0"/>
              <a:t> </a:t>
            </a:r>
            <a:r>
              <a:rPr lang="es-CL"/>
              <a:t>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8.782749288831751E-2"/>
          <c:y val="8.2353059445455262E-2"/>
          <c:w val="0.91987742551448315"/>
          <c:h val="0.69411864389740907"/>
        </c:manualLayout>
      </c:layout>
      <c:bar3DChart>
        <c:barDir val="col"/>
        <c:grouping val="clustered"/>
        <c:varyColors val="0"/>
        <c:ser>
          <c:idx val="1"/>
          <c:order val="0"/>
          <c:tx>
            <c:strRef>
              <c:f>'Grafica Sup.'!$C$86</c:f>
              <c:strCache>
                <c:ptCount val="1"/>
                <c:pt idx="0">
                  <c:v>N° ACC.</c:v>
                </c:pt>
              </c:strCache>
            </c:strRef>
          </c:tx>
          <c:spPr>
            <a:solidFill>
              <a:srgbClr val="FF0000"/>
            </a:solidFill>
          </c:spPr>
          <c:invertIfNegative val="0"/>
          <c:cat>
            <c:strRef>
              <c:f>'Grafica Sup.'!$B$87:$B$97</c:f>
              <c:strCache>
                <c:ptCount val="11"/>
                <c:pt idx="0">
                  <c:v>MICHEL CARVAJAL</c:v>
                </c:pt>
                <c:pt idx="1">
                  <c:v>ISMAEL SANTIS</c:v>
                </c:pt>
                <c:pt idx="2">
                  <c:v>DANIEL GONZALEZ</c:v>
                </c:pt>
                <c:pt idx="3">
                  <c:v>NICOLAS ROJAS</c:v>
                </c:pt>
                <c:pt idx="4">
                  <c:v>EMANUEL MELLADO</c:v>
                </c:pt>
                <c:pt idx="5">
                  <c:v>DAVID ROJAS</c:v>
                </c:pt>
                <c:pt idx="6">
                  <c:v>DAVID MADARIAGA</c:v>
                </c:pt>
                <c:pt idx="7">
                  <c:v>JORGE CONTRERAS</c:v>
                </c:pt>
                <c:pt idx="8">
                  <c:v>SERGIO LETELIER</c:v>
                </c:pt>
                <c:pt idx="9">
                  <c:v>FRANCISCO ACEVEDO</c:v>
                </c:pt>
                <c:pt idx="10">
                  <c:v>PEDRO HUERTA</c:v>
                </c:pt>
              </c:strCache>
            </c:strRef>
          </c:cat>
          <c:val>
            <c:numRef>
              <c:f>'Grafica Sup.'!$C$87:$C$97</c:f>
              <c:numCache>
                <c:formatCode>General</c:formatCode>
                <c:ptCount val="11"/>
                <c:pt idx="0">
                  <c:v>0</c:v>
                </c:pt>
                <c:pt idx="1">
                  <c:v>0</c:v>
                </c:pt>
                <c:pt idx="2">
                  <c:v>3</c:v>
                </c:pt>
                <c:pt idx="3">
                  <c:v>3</c:v>
                </c:pt>
                <c:pt idx="4">
                  <c:v>5</c:v>
                </c:pt>
                <c:pt idx="5">
                  <c:v>0</c:v>
                </c:pt>
                <c:pt idx="6">
                  <c:v>0</c:v>
                </c:pt>
                <c:pt idx="7">
                  <c:v>0</c:v>
                </c:pt>
                <c:pt idx="8">
                  <c:v>0</c:v>
                </c:pt>
                <c:pt idx="9">
                  <c:v>1</c:v>
                </c:pt>
                <c:pt idx="10">
                  <c:v>0</c:v>
                </c:pt>
              </c:numCache>
            </c:numRef>
          </c:val>
          <c:extLst>
            <c:ext xmlns:c16="http://schemas.microsoft.com/office/drawing/2014/chart" uri="{C3380CC4-5D6E-409C-BE32-E72D297353CC}">
              <c16:uniqueId val="{00000000-2032-4246-BBC8-0B46F8F2A0B3}"/>
            </c:ext>
          </c:extLst>
        </c:ser>
        <c:ser>
          <c:idx val="2"/>
          <c:order val="1"/>
          <c:tx>
            <c:strRef>
              <c:f>'Grafica Sup.'!$D$86</c:f>
              <c:strCache>
                <c:ptCount val="1"/>
                <c:pt idx="0">
                  <c:v>N° ACC CTP</c:v>
                </c:pt>
              </c:strCache>
            </c:strRef>
          </c:tx>
          <c:spPr>
            <a:solidFill>
              <a:srgbClr val="FFFF00"/>
            </a:solidFill>
          </c:spPr>
          <c:invertIfNegative val="0"/>
          <c:cat>
            <c:strRef>
              <c:f>'Grafica Sup.'!$B$87:$B$97</c:f>
              <c:strCache>
                <c:ptCount val="11"/>
                <c:pt idx="0">
                  <c:v>MICHEL CARVAJAL</c:v>
                </c:pt>
                <c:pt idx="1">
                  <c:v>ISMAEL SANTIS</c:v>
                </c:pt>
                <c:pt idx="2">
                  <c:v>DANIEL GONZALEZ</c:v>
                </c:pt>
                <c:pt idx="3">
                  <c:v>NICOLAS ROJAS</c:v>
                </c:pt>
                <c:pt idx="4">
                  <c:v>EMANUEL MELLADO</c:v>
                </c:pt>
                <c:pt idx="5">
                  <c:v>DAVID ROJAS</c:v>
                </c:pt>
                <c:pt idx="6">
                  <c:v>DAVID MADARIAGA</c:v>
                </c:pt>
                <c:pt idx="7">
                  <c:v>JORGE CONTRERAS</c:v>
                </c:pt>
                <c:pt idx="8">
                  <c:v>SERGIO LETELIER</c:v>
                </c:pt>
                <c:pt idx="9">
                  <c:v>FRANCISCO ACEVEDO</c:v>
                </c:pt>
                <c:pt idx="10">
                  <c:v>PEDRO HUERTA</c:v>
                </c:pt>
              </c:strCache>
            </c:strRef>
          </c:cat>
          <c:val>
            <c:numRef>
              <c:f>'Grafica Sup.'!$D$87:$D$97</c:f>
              <c:numCache>
                <c:formatCode>General</c:formatCode>
                <c:ptCount val="11"/>
                <c:pt idx="0">
                  <c:v>0</c:v>
                </c:pt>
                <c:pt idx="1">
                  <c:v>0</c:v>
                </c:pt>
                <c:pt idx="2">
                  <c:v>1</c:v>
                </c:pt>
                <c:pt idx="3">
                  <c:v>1</c:v>
                </c:pt>
                <c:pt idx="4">
                  <c:v>0</c:v>
                </c:pt>
                <c:pt idx="5">
                  <c:v>0</c:v>
                </c:pt>
                <c:pt idx="6">
                  <c:v>0</c:v>
                </c:pt>
                <c:pt idx="7">
                  <c:v>0</c:v>
                </c:pt>
                <c:pt idx="8">
                  <c:v>0</c:v>
                </c:pt>
                <c:pt idx="9">
                  <c:v>1</c:v>
                </c:pt>
                <c:pt idx="10">
                  <c:v>0</c:v>
                </c:pt>
              </c:numCache>
            </c:numRef>
          </c:val>
          <c:extLst>
            <c:ext xmlns:c16="http://schemas.microsoft.com/office/drawing/2014/chart" uri="{C3380CC4-5D6E-409C-BE32-E72D297353CC}">
              <c16:uniqueId val="{00000001-2032-4246-BBC8-0B46F8F2A0B3}"/>
            </c:ext>
          </c:extLst>
        </c:ser>
        <c:dLbls>
          <c:showLegendKey val="0"/>
          <c:showVal val="0"/>
          <c:showCatName val="0"/>
          <c:showSerName val="0"/>
          <c:showPercent val="0"/>
          <c:showBubbleSize val="0"/>
        </c:dLbls>
        <c:gapWidth val="150"/>
        <c:shape val="box"/>
        <c:axId val="216327680"/>
        <c:axId val="215863808"/>
        <c:axId val="0"/>
      </c:bar3DChart>
      <c:catAx>
        <c:axId val="21632768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L"/>
          </a:p>
        </c:txPr>
        <c:crossAx val="215863808"/>
        <c:crosses val="autoZero"/>
        <c:auto val="1"/>
        <c:lblAlgn val="ctr"/>
        <c:lblOffset val="100"/>
        <c:noMultiLvlLbl val="0"/>
      </c:catAx>
      <c:valAx>
        <c:axId val="215863808"/>
        <c:scaling>
          <c:orientation val="minMax"/>
        </c:scaling>
        <c:delete val="1"/>
        <c:axPos val="l"/>
        <c:numFmt formatCode="General" sourceLinked="1"/>
        <c:majorTickMark val="out"/>
        <c:minorTickMark val="none"/>
        <c:tickLblPos val="nextTo"/>
        <c:crossAx val="216327680"/>
        <c:crosses val="autoZero"/>
        <c:crossBetween val="between"/>
      </c:valAx>
      <c:dTable>
        <c:showHorzBorder val="1"/>
        <c:showVertBorder val="1"/>
        <c:showOutline val="1"/>
        <c:showKeys val="1"/>
        <c:txPr>
          <a:bodyPr/>
          <a:lstStyle/>
          <a:p>
            <a:pPr rtl="0">
              <a:defRPr lang="es-CL" sz="500" b="0" i="0" u="none" strike="noStrike" baseline="0">
                <a:solidFill>
                  <a:srgbClr val="000000"/>
                </a:solidFill>
                <a:latin typeface="Franklin Gothic Demi" pitchFamily="34" charset="0"/>
                <a:ea typeface="Calibri"/>
                <a:cs typeface="Calibri"/>
              </a:defRPr>
            </a:pPr>
            <a:endParaRPr lang="es-CL"/>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a:t>
            </a:r>
            <a:r>
              <a:rPr lang="es-CL" sz="1800" b="1" i="0" u="none" strike="noStrike" baseline="0">
                <a:effectLst/>
              </a:rPr>
              <a:t>IQF Calibrado </a:t>
            </a:r>
            <a:r>
              <a:rPr lang="es-CL"/>
              <a:t>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4015177436925583"/>
          <c:y val="9.9678456591640027E-2"/>
          <c:w val="0.86553190387499979"/>
          <c:h val="0.70418006430868163"/>
        </c:manualLayout>
      </c:layout>
      <c:bar3DChart>
        <c:barDir val="col"/>
        <c:grouping val="clustered"/>
        <c:varyColors val="0"/>
        <c:ser>
          <c:idx val="0"/>
          <c:order val="0"/>
          <c:tx>
            <c:strRef>
              <c:f>'Grafica Sup.'!$C$105</c:f>
              <c:strCache>
                <c:ptCount val="1"/>
                <c:pt idx="0">
                  <c:v>N° ACC.</c:v>
                </c:pt>
              </c:strCache>
            </c:strRef>
          </c:tx>
          <c:spPr>
            <a:solidFill>
              <a:srgbClr val="FF0000"/>
            </a:solidFill>
          </c:spPr>
          <c:invertIfNegative val="0"/>
          <c:cat>
            <c:multiLvlStrRef>
              <c:f>'Grafica Sup.'!$A$122:$B$126</c:f>
              <c:multiLvlStrCache>
                <c:ptCount val="5"/>
                <c:lvl>
                  <c:pt idx="0">
                    <c:v> MAXIMO CAMPOS</c:v>
                  </c:pt>
                  <c:pt idx="1">
                    <c:v>FERNANDO FUENTEALBA</c:v>
                  </c:pt>
                  <c:pt idx="2">
                    <c:v> </c:v>
                  </c:pt>
                  <c:pt idx="3">
                    <c:v>FRANCISCO SANCHEZ</c:v>
                  </c:pt>
                  <c:pt idx="4">
                    <c:v>MIGUEL HENRRIQUEZ</c:v>
                  </c:pt>
                </c:lvl>
                <c:lvl>
                  <c:pt idx="0">
                    <c:v>IQF Y CALIBRADO</c:v>
                  </c:pt>
                </c:lvl>
              </c:multiLvlStrCache>
            </c:multiLvlStrRef>
          </c:cat>
          <c:val>
            <c:numRef>
              <c:f>'Grafica Sup.'!$C$122:$C$126</c:f>
              <c:numCache>
                <c:formatCode>General</c:formatCode>
                <c:ptCount val="5"/>
                <c:pt idx="0">
                  <c:v>11</c:v>
                </c:pt>
                <c:pt idx="1">
                  <c:v>7</c:v>
                </c:pt>
                <c:pt idx="2">
                  <c:v>0</c:v>
                </c:pt>
                <c:pt idx="3">
                  <c:v>10</c:v>
                </c:pt>
                <c:pt idx="4">
                  <c:v>7</c:v>
                </c:pt>
              </c:numCache>
            </c:numRef>
          </c:val>
          <c:extLst>
            <c:ext xmlns:c16="http://schemas.microsoft.com/office/drawing/2014/chart" uri="{C3380CC4-5D6E-409C-BE32-E72D297353CC}">
              <c16:uniqueId val="{00000000-BE77-4F47-9DEE-E30A87D59E21}"/>
            </c:ext>
          </c:extLst>
        </c:ser>
        <c:ser>
          <c:idx val="1"/>
          <c:order val="1"/>
          <c:tx>
            <c:strRef>
              <c:f>'Grafica Sup.'!$D$105</c:f>
              <c:strCache>
                <c:ptCount val="1"/>
                <c:pt idx="0">
                  <c:v>N° ACC CTP</c:v>
                </c:pt>
              </c:strCache>
            </c:strRef>
          </c:tx>
          <c:spPr>
            <a:solidFill>
              <a:srgbClr val="FFFF00"/>
            </a:solidFill>
          </c:spPr>
          <c:invertIfNegative val="0"/>
          <c:cat>
            <c:multiLvlStrRef>
              <c:f>'Grafica Sup.'!$A$122:$B$126</c:f>
              <c:multiLvlStrCache>
                <c:ptCount val="5"/>
                <c:lvl>
                  <c:pt idx="0">
                    <c:v> MAXIMO CAMPOS</c:v>
                  </c:pt>
                  <c:pt idx="1">
                    <c:v>FERNANDO FUENTEALBA</c:v>
                  </c:pt>
                  <c:pt idx="2">
                    <c:v> </c:v>
                  </c:pt>
                  <c:pt idx="3">
                    <c:v>FRANCISCO SANCHEZ</c:v>
                  </c:pt>
                  <c:pt idx="4">
                    <c:v>MIGUEL HENRRIQUEZ</c:v>
                  </c:pt>
                </c:lvl>
                <c:lvl>
                  <c:pt idx="0">
                    <c:v>IQF Y CALIBRADO</c:v>
                  </c:pt>
                </c:lvl>
              </c:multiLvlStrCache>
            </c:multiLvlStrRef>
          </c:cat>
          <c:val>
            <c:numRef>
              <c:f>'Grafica Sup.'!$D$122:$D$126</c:f>
              <c:numCache>
                <c:formatCode>General</c:formatCode>
                <c:ptCount val="5"/>
                <c:pt idx="0">
                  <c:v>0</c:v>
                </c:pt>
                <c:pt idx="1">
                  <c:v>0</c:v>
                </c:pt>
                <c:pt idx="2">
                  <c:v>0</c:v>
                </c:pt>
                <c:pt idx="3">
                  <c:v>1</c:v>
                </c:pt>
                <c:pt idx="4">
                  <c:v>1</c:v>
                </c:pt>
              </c:numCache>
            </c:numRef>
          </c:val>
          <c:extLst>
            <c:ext xmlns:c16="http://schemas.microsoft.com/office/drawing/2014/chart" uri="{C3380CC4-5D6E-409C-BE32-E72D297353CC}">
              <c16:uniqueId val="{00000001-BE77-4F47-9DEE-E30A87D59E21}"/>
            </c:ext>
          </c:extLst>
        </c:ser>
        <c:dLbls>
          <c:showLegendKey val="0"/>
          <c:showVal val="0"/>
          <c:showCatName val="0"/>
          <c:showSerName val="0"/>
          <c:showPercent val="0"/>
          <c:showBubbleSize val="0"/>
        </c:dLbls>
        <c:gapWidth val="150"/>
        <c:shape val="box"/>
        <c:axId val="216329216"/>
        <c:axId val="215866112"/>
        <c:axId val="0"/>
      </c:bar3DChart>
      <c:catAx>
        <c:axId val="216329216"/>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L"/>
          </a:p>
        </c:txPr>
        <c:crossAx val="215866112"/>
        <c:crosses val="autoZero"/>
        <c:auto val="1"/>
        <c:lblAlgn val="ctr"/>
        <c:lblOffset val="100"/>
        <c:noMultiLvlLbl val="0"/>
      </c:catAx>
      <c:valAx>
        <c:axId val="215866112"/>
        <c:scaling>
          <c:orientation val="minMax"/>
        </c:scaling>
        <c:delete val="1"/>
        <c:axPos val="l"/>
        <c:numFmt formatCode="General" sourceLinked="1"/>
        <c:majorTickMark val="out"/>
        <c:minorTickMark val="none"/>
        <c:tickLblPos val="nextTo"/>
        <c:crossAx val="216329216"/>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CL"/>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Calidad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330936420631833"/>
          <c:y val="0.14375000000000004"/>
          <c:w val="0.86510867341069209"/>
          <c:h val="0.62187500000000073"/>
        </c:manualLayout>
      </c:layout>
      <c:bar3DChart>
        <c:barDir val="col"/>
        <c:grouping val="clustered"/>
        <c:varyColors val="0"/>
        <c:ser>
          <c:idx val="0"/>
          <c:order val="0"/>
          <c:tx>
            <c:strRef>
              <c:f>'Grafica Sup.'!$C$121</c:f>
              <c:strCache>
                <c:ptCount val="1"/>
                <c:pt idx="0">
                  <c:v>N° ACC.</c:v>
                </c:pt>
              </c:strCache>
            </c:strRef>
          </c:tx>
          <c:spPr>
            <a:solidFill>
              <a:srgbClr val="FF0000"/>
            </a:solidFill>
          </c:spPr>
          <c:invertIfNegative val="0"/>
          <c:cat>
            <c:multiLvlStrRef>
              <c:f>'Grafica Sup.'!$A$106:$B$107</c:f>
              <c:multiLvlStrCache>
                <c:ptCount val="2"/>
                <c:lvl>
                  <c:pt idx="0">
                    <c:v>SOLEDAD CARRASCO</c:v>
                  </c:pt>
                  <c:pt idx="1">
                    <c:v>HECNIMAR URDANETA</c:v>
                  </c:pt>
                </c:lvl>
                <c:lvl>
                  <c:pt idx="0">
                    <c:v>CALIDAD</c:v>
                  </c:pt>
                </c:lvl>
              </c:multiLvlStrCache>
            </c:multiLvlStrRef>
          </c:cat>
          <c:val>
            <c:numRef>
              <c:f>'Grafica Sup.'!$C$106:$C$107</c:f>
              <c:numCache>
                <c:formatCode>General</c:formatCode>
                <c:ptCount val="2"/>
                <c:pt idx="0">
                  <c:v>1</c:v>
                </c:pt>
                <c:pt idx="1">
                  <c:v>1</c:v>
                </c:pt>
              </c:numCache>
            </c:numRef>
          </c:val>
          <c:extLst>
            <c:ext xmlns:c16="http://schemas.microsoft.com/office/drawing/2014/chart" uri="{C3380CC4-5D6E-409C-BE32-E72D297353CC}">
              <c16:uniqueId val="{00000000-4878-4395-9BE9-E932493516E8}"/>
            </c:ext>
          </c:extLst>
        </c:ser>
        <c:ser>
          <c:idx val="1"/>
          <c:order val="1"/>
          <c:tx>
            <c:strRef>
              <c:f>'Grafica Sup.'!$D$121</c:f>
              <c:strCache>
                <c:ptCount val="1"/>
                <c:pt idx="0">
                  <c:v>N° ACC CTP</c:v>
                </c:pt>
              </c:strCache>
            </c:strRef>
          </c:tx>
          <c:spPr>
            <a:solidFill>
              <a:srgbClr val="FFFF00"/>
            </a:solidFill>
          </c:spPr>
          <c:invertIfNegative val="0"/>
          <c:cat>
            <c:multiLvlStrRef>
              <c:f>'Grafica Sup.'!$A$106:$B$107</c:f>
              <c:multiLvlStrCache>
                <c:ptCount val="2"/>
                <c:lvl>
                  <c:pt idx="0">
                    <c:v>SOLEDAD CARRASCO</c:v>
                  </c:pt>
                  <c:pt idx="1">
                    <c:v>HECNIMAR URDANETA</c:v>
                  </c:pt>
                </c:lvl>
                <c:lvl>
                  <c:pt idx="0">
                    <c:v>CALIDAD</c:v>
                  </c:pt>
                </c:lvl>
              </c:multiLvlStrCache>
            </c:multiLvlStrRef>
          </c:cat>
          <c:val>
            <c:numRef>
              <c:f>'Grafica Sup.'!$D$106:$D$107</c:f>
              <c:numCache>
                <c:formatCode>General</c:formatCode>
                <c:ptCount val="2"/>
                <c:pt idx="0">
                  <c:v>0</c:v>
                </c:pt>
                <c:pt idx="1">
                  <c:v>0</c:v>
                </c:pt>
              </c:numCache>
            </c:numRef>
          </c:val>
          <c:extLst>
            <c:ext xmlns:c16="http://schemas.microsoft.com/office/drawing/2014/chart" uri="{C3380CC4-5D6E-409C-BE32-E72D297353CC}">
              <c16:uniqueId val="{00000001-4878-4395-9BE9-E932493516E8}"/>
            </c:ext>
          </c:extLst>
        </c:ser>
        <c:dLbls>
          <c:showLegendKey val="0"/>
          <c:showVal val="0"/>
          <c:showCatName val="0"/>
          <c:showSerName val="0"/>
          <c:showPercent val="0"/>
          <c:showBubbleSize val="0"/>
        </c:dLbls>
        <c:gapWidth val="150"/>
        <c:shape val="box"/>
        <c:axId val="216329728"/>
        <c:axId val="216065152"/>
        <c:axId val="0"/>
      </c:bar3DChart>
      <c:catAx>
        <c:axId val="216329728"/>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L"/>
          </a:p>
        </c:txPr>
        <c:crossAx val="216065152"/>
        <c:crosses val="autoZero"/>
        <c:auto val="1"/>
        <c:lblAlgn val="ctr"/>
        <c:lblOffset val="100"/>
        <c:noMultiLvlLbl val="0"/>
      </c:catAx>
      <c:valAx>
        <c:axId val="216065152"/>
        <c:scaling>
          <c:orientation val="minMax"/>
        </c:scaling>
        <c:delete val="1"/>
        <c:axPos val="l"/>
        <c:numFmt formatCode="General" sourceLinked="1"/>
        <c:majorTickMark val="out"/>
        <c:minorTickMark val="none"/>
        <c:tickLblPos val="nextTo"/>
        <c:crossAx val="216329728"/>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CL"/>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a:t>
            </a:r>
            <a:r>
              <a:rPr lang="es-CL" sz="1800" b="1" i="0" u="none" strike="noStrike" baseline="0">
                <a:effectLst/>
              </a:rPr>
              <a:t>Bodega </a:t>
            </a:r>
            <a:r>
              <a:rPr lang="es-CL"/>
              <a:t>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4015177436925583"/>
          <c:y val="0.14423122067564564"/>
          <c:w val="0.86553190387499979"/>
          <c:h val="0.60577112683771173"/>
        </c:manualLayout>
      </c:layout>
      <c:bar3DChart>
        <c:barDir val="col"/>
        <c:grouping val="clustered"/>
        <c:varyColors val="0"/>
        <c:ser>
          <c:idx val="0"/>
          <c:order val="0"/>
          <c:spPr>
            <a:solidFill>
              <a:srgbClr val="FF0000"/>
            </a:solidFill>
          </c:spPr>
          <c:invertIfNegative val="0"/>
          <c:cat>
            <c:strRef>
              <c:f>'Grafica Sup.'!$A$138:$B$138</c:f>
              <c:strCache>
                <c:ptCount val="2"/>
                <c:pt idx="0">
                  <c:v>BODEGA</c:v>
                </c:pt>
                <c:pt idx="1">
                  <c:v>VICTORIA MILLARES</c:v>
                </c:pt>
              </c:strCache>
            </c:strRef>
          </c:cat>
          <c:val>
            <c:numRef>
              <c:f>'Grafica Sup.'!$C$138</c:f>
              <c:numCache>
                <c:formatCode>General</c:formatCode>
                <c:ptCount val="1"/>
                <c:pt idx="0">
                  <c:v>0</c:v>
                </c:pt>
              </c:numCache>
            </c:numRef>
          </c:val>
          <c:extLst>
            <c:ext xmlns:c16="http://schemas.microsoft.com/office/drawing/2014/chart" uri="{C3380CC4-5D6E-409C-BE32-E72D297353CC}">
              <c16:uniqueId val="{00000000-37B5-470F-87C4-6C6F0682D134}"/>
            </c:ext>
          </c:extLst>
        </c:ser>
        <c:ser>
          <c:idx val="1"/>
          <c:order val="1"/>
          <c:spPr>
            <a:solidFill>
              <a:srgbClr val="FFFF00"/>
            </a:solidFill>
          </c:spPr>
          <c:invertIfNegative val="0"/>
          <c:cat>
            <c:strRef>
              <c:f>'Grafica Sup.'!$A$138:$B$138</c:f>
              <c:strCache>
                <c:ptCount val="2"/>
                <c:pt idx="0">
                  <c:v>BODEGA</c:v>
                </c:pt>
                <c:pt idx="1">
                  <c:v>VICTORIA MILLARES</c:v>
                </c:pt>
              </c:strCache>
            </c:strRef>
          </c:cat>
          <c:val>
            <c:numRef>
              <c:f>'Grafica Sup.'!$D$138</c:f>
              <c:numCache>
                <c:formatCode>General</c:formatCode>
                <c:ptCount val="1"/>
                <c:pt idx="0">
                  <c:v>0</c:v>
                </c:pt>
              </c:numCache>
            </c:numRef>
          </c:val>
          <c:extLst>
            <c:ext xmlns:c16="http://schemas.microsoft.com/office/drawing/2014/chart" uri="{C3380CC4-5D6E-409C-BE32-E72D297353CC}">
              <c16:uniqueId val="{00000001-37B5-470F-87C4-6C6F0682D134}"/>
            </c:ext>
          </c:extLst>
        </c:ser>
        <c:dLbls>
          <c:showLegendKey val="0"/>
          <c:showVal val="0"/>
          <c:showCatName val="0"/>
          <c:showSerName val="0"/>
          <c:showPercent val="0"/>
          <c:showBubbleSize val="0"/>
        </c:dLbls>
        <c:gapWidth val="150"/>
        <c:shape val="box"/>
        <c:axId val="216356352"/>
        <c:axId val="216067456"/>
        <c:axId val="0"/>
      </c:bar3DChart>
      <c:catAx>
        <c:axId val="216356352"/>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L"/>
          </a:p>
        </c:txPr>
        <c:crossAx val="216067456"/>
        <c:crosses val="autoZero"/>
        <c:auto val="1"/>
        <c:lblAlgn val="ctr"/>
        <c:lblOffset val="100"/>
        <c:noMultiLvlLbl val="0"/>
      </c:catAx>
      <c:valAx>
        <c:axId val="216067456"/>
        <c:scaling>
          <c:orientation val="minMax"/>
        </c:scaling>
        <c:delete val="1"/>
        <c:axPos val="l"/>
        <c:numFmt formatCode="General" sourceLinked="1"/>
        <c:majorTickMark val="out"/>
        <c:minorTickMark val="none"/>
        <c:tickLblPos val="nextTo"/>
        <c:crossAx val="216356352"/>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CL"/>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L"/>
    </a:p>
  </c:txPr>
  <c:printSettings>
    <c:headerFooter/>
    <c:pageMargins b="0.75000000000001465" l="0.70000000000000062" r="0.70000000000000062" t="0.75000000000001465" header="0.30000000000000032" footer="0.3000000000000003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L"/>
              <a:t>N° ACCIDENTES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ACC.'!$B$5:$B$6</c:f>
              <c:strCache>
                <c:ptCount val="1"/>
                <c:pt idx="0">
                  <c:v>CTP</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ACC.'!$A$7:$A$14</c:f>
              <c:strCache>
                <c:ptCount val="7"/>
                <c:pt idx="0">
                  <c:v>SSGG</c:v>
                </c:pt>
                <c:pt idx="1">
                  <c:v>TROZADO DE POLLO</c:v>
                </c:pt>
                <c:pt idx="2">
                  <c:v>FRIGORIFICO</c:v>
                </c:pt>
                <c:pt idx="3">
                  <c:v>FAENACION</c:v>
                </c:pt>
                <c:pt idx="4">
                  <c:v>IQF Y CALIBRADO</c:v>
                </c:pt>
                <c:pt idx="5">
                  <c:v>MANTENCION</c:v>
                </c:pt>
                <c:pt idx="6">
                  <c:v>P. POSTERIORES</c:v>
                </c:pt>
              </c:strCache>
            </c:strRef>
          </c:cat>
          <c:val>
            <c:numRef>
              <c:f>'ANALISIS DE ACC.'!$B$7:$B$14</c:f>
              <c:numCache>
                <c:formatCode>General</c:formatCode>
                <c:ptCount val="7"/>
                <c:pt idx="0">
                  <c:v>6</c:v>
                </c:pt>
                <c:pt idx="1">
                  <c:v>6</c:v>
                </c:pt>
                <c:pt idx="2">
                  <c:v>3</c:v>
                </c:pt>
                <c:pt idx="3">
                  <c:v>1</c:v>
                </c:pt>
                <c:pt idx="5">
                  <c:v>2</c:v>
                </c:pt>
                <c:pt idx="6">
                  <c:v>1</c:v>
                </c:pt>
              </c:numCache>
            </c:numRef>
          </c:val>
          <c:extLst>
            <c:ext xmlns:c16="http://schemas.microsoft.com/office/drawing/2014/chart" uri="{C3380CC4-5D6E-409C-BE32-E72D297353CC}">
              <c16:uniqueId val="{00000000-7A8F-487F-82F9-545EAC01672B}"/>
            </c:ext>
          </c:extLst>
        </c:ser>
        <c:ser>
          <c:idx val="1"/>
          <c:order val="1"/>
          <c:tx>
            <c:strRef>
              <c:f>'ANALISIS DE ACC.'!$C$5:$C$6</c:f>
              <c:strCache>
                <c:ptCount val="1"/>
                <c:pt idx="0">
                  <c:v>STP</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ACC.'!$A$7:$A$14</c:f>
              <c:strCache>
                <c:ptCount val="7"/>
                <c:pt idx="0">
                  <c:v>SSGG</c:v>
                </c:pt>
                <c:pt idx="1">
                  <c:v>TROZADO DE POLLO</c:v>
                </c:pt>
                <c:pt idx="2">
                  <c:v>FRIGORIFICO</c:v>
                </c:pt>
                <c:pt idx="3">
                  <c:v>FAENACION</c:v>
                </c:pt>
                <c:pt idx="4">
                  <c:v>IQF Y CALIBRADO</c:v>
                </c:pt>
                <c:pt idx="5">
                  <c:v>MANTENCION</c:v>
                </c:pt>
                <c:pt idx="6">
                  <c:v>P. POSTERIORES</c:v>
                </c:pt>
              </c:strCache>
            </c:strRef>
          </c:cat>
          <c:val>
            <c:numRef>
              <c:f>'ANALISIS DE ACC.'!$C$7:$C$14</c:f>
              <c:numCache>
                <c:formatCode>General</c:formatCode>
                <c:ptCount val="7"/>
                <c:pt idx="0">
                  <c:v>2</c:v>
                </c:pt>
                <c:pt idx="1">
                  <c:v>2</c:v>
                </c:pt>
                <c:pt idx="2">
                  <c:v>1</c:v>
                </c:pt>
                <c:pt idx="3">
                  <c:v>1</c:v>
                </c:pt>
                <c:pt idx="4">
                  <c:v>2</c:v>
                </c:pt>
              </c:numCache>
            </c:numRef>
          </c:val>
          <c:extLst>
            <c:ext xmlns:c16="http://schemas.microsoft.com/office/drawing/2014/chart" uri="{C3380CC4-5D6E-409C-BE32-E72D297353CC}">
              <c16:uniqueId val="{00000000-79B2-45CD-A00B-4DBFB649DB84}"/>
            </c:ext>
          </c:extLst>
        </c:ser>
        <c:dLbls>
          <c:dLblPos val="outEnd"/>
          <c:showLegendKey val="0"/>
          <c:showVal val="1"/>
          <c:showCatName val="0"/>
          <c:showSerName val="0"/>
          <c:showPercent val="0"/>
          <c:showBubbleSize val="0"/>
        </c:dLbls>
        <c:gapWidth val="100"/>
        <c:overlap val="-24"/>
        <c:axId val="876905264"/>
        <c:axId val="876904784"/>
      </c:barChart>
      <c:catAx>
        <c:axId val="8769052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876904784"/>
        <c:crosses val="autoZero"/>
        <c:auto val="1"/>
        <c:lblAlgn val="ctr"/>
        <c:lblOffset val="100"/>
        <c:noMultiLvlLbl val="0"/>
      </c:catAx>
      <c:valAx>
        <c:axId val="87690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87690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DIA DE LA SEMANA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ACC.'!$B$24</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ACC.'!$A$25:$A$32</c:f>
              <c:strCache>
                <c:ptCount val="7"/>
                <c:pt idx="0">
                  <c:v>MIERCOLES</c:v>
                </c:pt>
                <c:pt idx="1">
                  <c:v>VIERNES</c:v>
                </c:pt>
                <c:pt idx="2">
                  <c:v>MARTES</c:v>
                </c:pt>
                <c:pt idx="3">
                  <c:v>LUNES</c:v>
                </c:pt>
                <c:pt idx="4">
                  <c:v>SABADO</c:v>
                </c:pt>
                <c:pt idx="5">
                  <c:v>JUEVES</c:v>
                </c:pt>
                <c:pt idx="6">
                  <c:v>DOMINGO</c:v>
                </c:pt>
              </c:strCache>
            </c:strRef>
          </c:cat>
          <c:val>
            <c:numRef>
              <c:f>'ANALISIS DE ACC.'!$B$25:$B$32</c:f>
              <c:numCache>
                <c:formatCode>General</c:formatCode>
                <c:ptCount val="7"/>
                <c:pt idx="0">
                  <c:v>17</c:v>
                </c:pt>
                <c:pt idx="1">
                  <c:v>15</c:v>
                </c:pt>
                <c:pt idx="2">
                  <c:v>12</c:v>
                </c:pt>
                <c:pt idx="3">
                  <c:v>11</c:v>
                </c:pt>
                <c:pt idx="4">
                  <c:v>10</c:v>
                </c:pt>
                <c:pt idx="5">
                  <c:v>9</c:v>
                </c:pt>
                <c:pt idx="6">
                  <c:v>1</c:v>
                </c:pt>
              </c:numCache>
            </c:numRef>
          </c:val>
          <c:extLst>
            <c:ext xmlns:c16="http://schemas.microsoft.com/office/drawing/2014/chart" uri="{C3380CC4-5D6E-409C-BE32-E72D297353CC}">
              <c16:uniqueId val="{00000000-B9F8-45C8-914F-F147CA37600C}"/>
            </c:ext>
          </c:extLst>
        </c:ser>
        <c:dLbls>
          <c:dLblPos val="outEnd"/>
          <c:showLegendKey val="0"/>
          <c:showVal val="1"/>
          <c:showCatName val="0"/>
          <c:showSerName val="0"/>
          <c:showPercent val="0"/>
          <c:showBubbleSize val="0"/>
        </c:dLbls>
        <c:gapWidth val="100"/>
        <c:overlap val="-24"/>
        <c:axId val="743131600"/>
        <c:axId val="344773792"/>
      </c:barChart>
      <c:catAx>
        <c:axId val="7431316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344773792"/>
        <c:crosses val="autoZero"/>
        <c:auto val="1"/>
        <c:lblAlgn val="ctr"/>
        <c:lblOffset val="100"/>
        <c:noMultiLvlLbl val="0"/>
      </c:catAx>
      <c:valAx>
        <c:axId val="34477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74313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ANTIGUEDAD LABORAL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ACC.'!$B$40</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ACC.'!$A$41:$A$44</c:f>
              <c:strCache>
                <c:ptCount val="3"/>
                <c:pt idx="0">
                  <c:v>ANTIGUO</c:v>
                </c:pt>
                <c:pt idx="1">
                  <c:v>NUEVO</c:v>
                </c:pt>
                <c:pt idx="2">
                  <c:v>INTERMEDIO</c:v>
                </c:pt>
              </c:strCache>
            </c:strRef>
          </c:cat>
          <c:val>
            <c:numRef>
              <c:f>'ANALISIS DE ACC.'!$B$41:$B$44</c:f>
              <c:numCache>
                <c:formatCode>General</c:formatCode>
                <c:ptCount val="3"/>
                <c:pt idx="0">
                  <c:v>14</c:v>
                </c:pt>
                <c:pt idx="1">
                  <c:v>8</c:v>
                </c:pt>
                <c:pt idx="2">
                  <c:v>5</c:v>
                </c:pt>
              </c:numCache>
            </c:numRef>
          </c:val>
          <c:extLst>
            <c:ext xmlns:c16="http://schemas.microsoft.com/office/drawing/2014/chart" uri="{C3380CC4-5D6E-409C-BE32-E72D297353CC}">
              <c16:uniqueId val="{00000000-F952-4455-A864-9D56A727E6CA}"/>
            </c:ext>
          </c:extLst>
        </c:ser>
        <c:dLbls>
          <c:dLblPos val="outEnd"/>
          <c:showLegendKey val="0"/>
          <c:showVal val="1"/>
          <c:showCatName val="0"/>
          <c:showSerName val="0"/>
          <c:showPercent val="0"/>
          <c:showBubbleSize val="0"/>
        </c:dLbls>
        <c:gapWidth val="100"/>
        <c:overlap val="-24"/>
        <c:axId val="1095692864"/>
        <c:axId val="1095698624"/>
      </c:barChart>
      <c:catAx>
        <c:axId val="10956928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095698624"/>
        <c:crosses val="autoZero"/>
        <c:auto val="1"/>
        <c:lblAlgn val="ctr"/>
        <c:lblOffset val="100"/>
        <c:noMultiLvlLbl val="0"/>
      </c:catAx>
      <c:valAx>
        <c:axId val="109569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09569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TIPOLOGIA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ACC.'!$B$54</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ACC.'!$A$55:$A$65</c:f>
              <c:strCache>
                <c:ptCount val="10"/>
                <c:pt idx="0">
                  <c:v>Caida de mismo nivel</c:v>
                </c:pt>
                <c:pt idx="1">
                  <c:v>Golpeado contra</c:v>
                </c:pt>
                <c:pt idx="2">
                  <c:v>Atrapamiento</c:v>
                </c:pt>
                <c:pt idx="3">
                  <c:v>Golpeado por</c:v>
                </c:pt>
                <c:pt idx="4">
                  <c:v>Caida de distinto nivel</c:v>
                </c:pt>
                <c:pt idx="5">
                  <c:v>Proyeccion de particulas</c:v>
                </c:pt>
                <c:pt idx="6">
                  <c:v>Contacto con sustancias toxicas</c:v>
                </c:pt>
                <c:pt idx="7">
                  <c:v>Contacto con cuerpo punzante</c:v>
                </c:pt>
                <c:pt idx="8">
                  <c:v>Contacto con cuerpo cortante</c:v>
                </c:pt>
                <c:pt idx="9">
                  <c:v>Otros</c:v>
                </c:pt>
              </c:strCache>
            </c:strRef>
          </c:cat>
          <c:val>
            <c:numRef>
              <c:f>'ANALISIS DE ACC.'!$B$55:$B$65</c:f>
              <c:numCache>
                <c:formatCode>General</c:formatCode>
                <c:ptCount val="10"/>
                <c:pt idx="0">
                  <c:v>8</c:v>
                </c:pt>
                <c:pt idx="1">
                  <c:v>4</c:v>
                </c:pt>
                <c:pt idx="2">
                  <c:v>3</c:v>
                </c:pt>
                <c:pt idx="3">
                  <c:v>2</c:v>
                </c:pt>
                <c:pt idx="4">
                  <c:v>2</c:v>
                </c:pt>
                <c:pt idx="5">
                  <c:v>2</c:v>
                </c:pt>
                <c:pt idx="6">
                  <c:v>2</c:v>
                </c:pt>
                <c:pt idx="7">
                  <c:v>2</c:v>
                </c:pt>
                <c:pt idx="8">
                  <c:v>1</c:v>
                </c:pt>
                <c:pt idx="9">
                  <c:v>1</c:v>
                </c:pt>
              </c:numCache>
            </c:numRef>
          </c:val>
          <c:extLst>
            <c:ext xmlns:c16="http://schemas.microsoft.com/office/drawing/2014/chart" uri="{C3380CC4-5D6E-409C-BE32-E72D297353CC}">
              <c16:uniqueId val="{00000000-B9FD-439C-8A41-044605AC43CE}"/>
            </c:ext>
          </c:extLst>
        </c:ser>
        <c:dLbls>
          <c:dLblPos val="outEnd"/>
          <c:showLegendKey val="0"/>
          <c:showVal val="1"/>
          <c:showCatName val="0"/>
          <c:showSerName val="0"/>
          <c:showPercent val="0"/>
          <c:showBubbleSize val="0"/>
        </c:dLbls>
        <c:gapWidth val="100"/>
        <c:overlap val="-24"/>
        <c:axId val="1095950912"/>
        <c:axId val="1095956672"/>
      </c:barChart>
      <c:catAx>
        <c:axId val="1095950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095956672"/>
        <c:crosses val="autoZero"/>
        <c:auto val="1"/>
        <c:lblAlgn val="ctr"/>
        <c:lblOffset val="100"/>
        <c:noMultiLvlLbl val="0"/>
      </c:catAx>
      <c:valAx>
        <c:axId val="1095956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09595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L"/>
              <a:t>TIPO DE LESION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ACC.'!$B$74</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ACC.'!$A$75:$A$82</c:f>
              <c:strCache>
                <c:ptCount val="7"/>
                <c:pt idx="0">
                  <c:v>Contusión</c:v>
                </c:pt>
                <c:pt idx="1">
                  <c:v>Herida cortante</c:v>
                </c:pt>
                <c:pt idx="2">
                  <c:v>Conjuntivitis</c:v>
                </c:pt>
                <c:pt idx="3">
                  <c:v>Quemadura</c:v>
                </c:pt>
                <c:pt idx="4">
                  <c:v>Torsión</c:v>
                </c:pt>
                <c:pt idx="5">
                  <c:v>Atrición</c:v>
                </c:pt>
                <c:pt idx="6">
                  <c:v>Fractura</c:v>
                </c:pt>
              </c:strCache>
            </c:strRef>
          </c:cat>
          <c:val>
            <c:numRef>
              <c:f>'ANALISIS DE ACC.'!$B$75:$B$82</c:f>
              <c:numCache>
                <c:formatCode>General</c:formatCode>
                <c:ptCount val="7"/>
                <c:pt idx="0">
                  <c:v>15</c:v>
                </c:pt>
                <c:pt idx="1">
                  <c:v>4</c:v>
                </c:pt>
                <c:pt idx="2">
                  <c:v>2</c:v>
                </c:pt>
                <c:pt idx="3">
                  <c:v>2</c:v>
                </c:pt>
                <c:pt idx="4">
                  <c:v>2</c:v>
                </c:pt>
                <c:pt idx="5">
                  <c:v>1</c:v>
                </c:pt>
                <c:pt idx="6">
                  <c:v>1</c:v>
                </c:pt>
              </c:numCache>
            </c:numRef>
          </c:val>
          <c:extLst>
            <c:ext xmlns:c16="http://schemas.microsoft.com/office/drawing/2014/chart" uri="{C3380CC4-5D6E-409C-BE32-E72D297353CC}">
              <c16:uniqueId val="{00000000-3B0E-473C-9C8B-C1BC85AF828F}"/>
            </c:ext>
          </c:extLst>
        </c:ser>
        <c:dLbls>
          <c:dLblPos val="outEnd"/>
          <c:showLegendKey val="0"/>
          <c:showVal val="1"/>
          <c:showCatName val="0"/>
          <c:showSerName val="0"/>
          <c:showPercent val="0"/>
          <c:showBubbleSize val="0"/>
        </c:dLbls>
        <c:gapWidth val="100"/>
        <c:overlap val="-24"/>
        <c:axId val="1095948512"/>
        <c:axId val="1095947552"/>
      </c:barChart>
      <c:catAx>
        <c:axId val="10959485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095947552"/>
        <c:crosses val="autoZero"/>
        <c:auto val="1"/>
        <c:lblAlgn val="ctr"/>
        <c:lblOffset val="100"/>
        <c:noMultiLvlLbl val="0"/>
      </c:catAx>
      <c:valAx>
        <c:axId val="109594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09594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PARTE AFECTADA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ACC.'!$B$90</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ACC.'!$A$91:$A$97</c:f>
              <c:strCache>
                <c:ptCount val="6"/>
                <c:pt idx="0">
                  <c:v>Manos / dedos</c:v>
                </c:pt>
                <c:pt idx="1">
                  <c:v>Pie</c:v>
                </c:pt>
                <c:pt idx="2">
                  <c:v>Pierna</c:v>
                </c:pt>
                <c:pt idx="3">
                  <c:v>Multiples</c:v>
                </c:pt>
                <c:pt idx="4">
                  <c:v>Ojos</c:v>
                </c:pt>
                <c:pt idx="5">
                  <c:v>Brazo</c:v>
                </c:pt>
              </c:strCache>
            </c:strRef>
          </c:cat>
          <c:val>
            <c:numRef>
              <c:f>'ANALISIS DE ACC.'!$B$91:$B$97</c:f>
              <c:numCache>
                <c:formatCode>General</c:formatCode>
                <c:ptCount val="6"/>
                <c:pt idx="0">
                  <c:v>9</c:v>
                </c:pt>
                <c:pt idx="1">
                  <c:v>5</c:v>
                </c:pt>
                <c:pt idx="2">
                  <c:v>5</c:v>
                </c:pt>
                <c:pt idx="3">
                  <c:v>4</c:v>
                </c:pt>
                <c:pt idx="4">
                  <c:v>2</c:v>
                </c:pt>
                <c:pt idx="5">
                  <c:v>2</c:v>
                </c:pt>
              </c:numCache>
            </c:numRef>
          </c:val>
          <c:extLst>
            <c:ext xmlns:c16="http://schemas.microsoft.com/office/drawing/2014/chart" uri="{C3380CC4-5D6E-409C-BE32-E72D297353CC}">
              <c16:uniqueId val="{00000000-D61B-46D4-B055-81CCBDDF53C2}"/>
            </c:ext>
          </c:extLst>
        </c:ser>
        <c:dLbls>
          <c:dLblPos val="outEnd"/>
          <c:showLegendKey val="0"/>
          <c:showVal val="1"/>
          <c:showCatName val="0"/>
          <c:showSerName val="0"/>
          <c:showPercent val="0"/>
          <c:showBubbleSize val="0"/>
        </c:dLbls>
        <c:gapWidth val="100"/>
        <c:overlap val="-24"/>
        <c:axId val="1095954752"/>
        <c:axId val="1095952352"/>
      </c:barChart>
      <c:catAx>
        <c:axId val="1095954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095952352"/>
        <c:crosses val="autoZero"/>
        <c:auto val="1"/>
        <c:lblAlgn val="ctr"/>
        <c:lblOffset val="100"/>
        <c:noMultiLvlLbl val="0"/>
      </c:catAx>
      <c:valAx>
        <c:axId val="109595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095954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ACC.!TablaDinámica7</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L"/>
              <a:t>AGENTE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ACC.'!$B$108</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ACC.'!$A$109:$A$121</c:f>
              <c:strCache>
                <c:ptCount val="12"/>
                <c:pt idx="0">
                  <c:v>Infraestructura</c:v>
                </c:pt>
                <c:pt idx="1">
                  <c:v>Superficies de trabajo</c:v>
                </c:pt>
                <c:pt idx="2">
                  <c:v>Maquinarias</c:v>
                </c:pt>
                <c:pt idx="3">
                  <c:v>Superficies de transito</c:v>
                </c:pt>
                <c:pt idx="4">
                  <c:v>Materia Prima</c:v>
                </c:pt>
                <c:pt idx="5">
                  <c:v>Producto quimico</c:v>
                </c:pt>
                <c:pt idx="6">
                  <c:v>Bins</c:v>
                </c:pt>
                <c:pt idx="7">
                  <c:v>Materiales</c:v>
                </c:pt>
                <c:pt idx="8">
                  <c:v>Equipos Transporte de carga</c:v>
                </c:pt>
                <c:pt idx="9">
                  <c:v>Elemento cortante</c:v>
                </c:pt>
                <c:pt idx="10">
                  <c:v>Otros</c:v>
                </c:pt>
                <c:pt idx="11">
                  <c:v>Animales - Insectos</c:v>
                </c:pt>
              </c:strCache>
            </c:strRef>
          </c:cat>
          <c:val>
            <c:numRef>
              <c:f>'ANALISIS DE ACC.'!$B$109:$B$121</c:f>
              <c:numCache>
                <c:formatCode>General</c:formatCode>
                <c:ptCount val="12"/>
                <c:pt idx="0">
                  <c:v>4</c:v>
                </c:pt>
                <c:pt idx="1">
                  <c:v>4</c:v>
                </c:pt>
                <c:pt idx="2">
                  <c:v>4</c:v>
                </c:pt>
                <c:pt idx="3">
                  <c:v>3</c:v>
                </c:pt>
                <c:pt idx="4">
                  <c:v>2</c:v>
                </c:pt>
                <c:pt idx="5">
                  <c:v>2</c:v>
                </c:pt>
                <c:pt idx="6">
                  <c:v>2</c:v>
                </c:pt>
                <c:pt idx="7">
                  <c:v>2</c:v>
                </c:pt>
                <c:pt idx="8">
                  <c:v>1</c:v>
                </c:pt>
                <c:pt idx="9">
                  <c:v>1</c:v>
                </c:pt>
                <c:pt idx="10">
                  <c:v>1</c:v>
                </c:pt>
                <c:pt idx="11">
                  <c:v>1</c:v>
                </c:pt>
              </c:numCache>
            </c:numRef>
          </c:val>
          <c:extLst>
            <c:ext xmlns:c16="http://schemas.microsoft.com/office/drawing/2014/chart" uri="{C3380CC4-5D6E-409C-BE32-E72D297353CC}">
              <c16:uniqueId val="{00000000-620A-407E-8BE6-D7FDF7EE13F0}"/>
            </c:ext>
          </c:extLst>
        </c:ser>
        <c:dLbls>
          <c:dLblPos val="outEnd"/>
          <c:showLegendKey val="0"/>
          <c:showVal val="1"/>
          <c:showCatName val="0"/>
          <c:showSerName val="0"/>
          <c:showPercent val="0"/>
          <c:showBubbleSize val="0"/>
        </c:dLbls>
        <c:gapWidth val="100"/>
        <c:overlap val="-24"/>
        <c:axId val="344775712"/>
        <c:axId val="344786752"/>
      </c:barChart>
      <c:catAx>
        <c:axId val="3447757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344786752"/>
        <c:crosses val="autoZero"/>
        <c:auto val="1"/>
        <c:lblAlgn val="ctr"/>
        <c:lblOffset val="100"/>
        <c:noMultiLvlLbl val="0"/>
      </c:catAx>
      <c:valAx>
        <c:axId val="344786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34477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ACC.!TablaDinámica8</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FUENTE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ACC.'!$B$129</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ACC.'!$A$130:$A$150</c:f>
              <c:strCache>
                <c:ptCount val="20"/>
                <c:pt idx="0">
                  <c:v>TRANSITO POR AREAS DE PROCESO</c:v>
                </c:pt>
                <c:pt idx="1">
                  <c:v>TRANSITO POR AREAS COMUNES</c:v>
                </c:pt>
                <c:pt idx="2">
                  <c:v>MOVIMIENTO DE MATERIALES (BINS, PALLET, BANDEJAS)</c:v>
                </c:pt>
                <c:pt idx="3">
                  <c:v>MANIPULACION DE MATERIA PRIMA</c:v>
                </c:pt>
                <c:pt idx="4">
                  <c:v>MANIPULACION DE PRODUCTO QUIMICO</c:v>
                </c:pt>
                <c:pt idx="5">
                  <c:v>LIMPIEZA DE SUPERFICIE SOBRE TARIMA/ESCALERA</c:v>
                </c:pt>
                <c:pt idx="6">
                  <c:v>REALIZANDO LABORES DE ASEO</c:v>
                </c:pt>
                <c:pt idx="7">
                  <c:v>ARMADO DE PALLET</c:v>
                </c:pt>
                <c:pt idx="8">
                  <c:v>LINEA DE ESPURGO TROZADO AUTOMATICO</c:v>
                </c:pt>
                <c:pt idx="9">
                  <c:v>CAMBIO DE ROPA EN CAMARINES</c:v>
                </c:pt>
                <c:pt idx="10">
                  <c:v>LABORES DE MANTENCIÓN</c:v>
                </c:pt>
                <c:pt idx="11">
                  <c:v>COLGADO DE AVES VIVAS</c:v>
                </c:pt>
                <c:pt idx="12">
                  <c:v>OPERACIÓN DE MAQUINAS, EQUIPOS O HERRAMIENTAS MOTRICES</c:v>
                </c:pt>
                <c:pt idx="13">
                  <c:v>LABORES SOBRE TARIMA/ESCALERA</c:v>
                </c:pt>
                <c:pt idx="14">
                  <c:v>MANIPULACION DE MATERIALES DE TRABAJO</c:v>
                </c:pt>
                <c:pt idx="15">
                  <c:v>RETIRO DE PRODUCTO ATASCADO</c:v>
                </c:pt>
                <c:pt idx="16">
                  <c:v>MANIPULACIÓN DE CUCHILLO Y/O MANTENER FILO</c:v>
                </c:pt>
                <c:pt idx="17">
                  <c:v>REALIZANDO LABORES DE CORTE </c:v>
                </c:pt>
                <c:pt idx="18">
                  <c:v>TRANSPORTE DE CINTA</c:v>
                </c:pt>
                <c:pt idx="19">
                  <c:v>(en blanco)</c:v>
                </c:pt>
              </c:strCache>
            </c:strRef>
          </c:cat>
          <c:val>
            <c:numRef>
              <c:f>'ANALISIS DE ACC.'!$B$130:$B$150</c:f>
              <c:numCache>
                <c:formatCode>General</c:formatCode>
                <c:ptCount val="20"/>
                <c:pt idx="0">
                  <c:v>7</c:v>
                </c:pt>
                <c:pt idx="1">
                  <c:v>6</c:v>
                </c:pt>
                <c:pt idx="2">
                  <c:v>6</c:v>
                </c:pt>
                <c:pt idx="3">
                  <c:v>5</c:v>
                </c:pt>
                <c:pt idx="4">
                  <c:v>4</c:v>
                </c:pt>
                <c:pt idx="5">
                  <c:v>3</c:v>
                </c:pt>
                <c:pt idx="6">
                  <c:v>3</c:v>
                </c:pt>
                <c:pt idx="7">
                  <c:v>2</c:v>
                </c:pt>
                <c:pt idx="8">
                  <c:v>2</c:v>
                </c:pt>
                <c:pt idx="9">
                  <c:v>2</c:v>
                </c:pt>
                <c:pt idx="10">
                  <c:v>1</c:v>
                </c:pt>
                <c:pt idx="11">
                  <c:v>1</c:v>
                </c:pt>
                <c:pt idx="12">
                  <c:v>1</c:v>
                </c:pt>
                <c:pt idx="13">
                  <c:v>1</c:v>
                </c:pt>
                <c:pt idx="14">
                  <c:v>1</c:v>
                </c:pt>
                <c:pt idx="15">
                  <c:v>1</c:v>
                </c:pt>
                <c:pt idx="16">
                  <c:v>1</c:v>
                </c:pt>
                <c:pt idx="17">
                  <c:v>1</c:v>
                </c:pt>
                <c:pt idx="18">
                  <c:v>1</c:v>
                </c:pt>
              </c:numCache>
            </c:numRef>
          </c:val>
          <c:extLst>
            <c:ext xmlns:c16="http://schemas.microsoft.com/office/drawing/2014/chart" uri="{C3380CC4-5D6E-409C-BE32-E72D297353CC}">
              <c16:uniqueId val="{00000000-AFA2-4EBD-87E4-C7E4A9D9FF38}"/>
            </c:ext>
          </c:extLst>
        </c:ser>
        <c:dLbls>
          <c:dLblPos val="outEnd"/>
          <c:showLegendKey val="0"/>
          <c:showVal val="1"/>
          <c:showCatName val="0"/>
          <c:showSerName val="0"/>
          <c:showPercent val="0"/>
          <c:showBubbleSize val="0"/>
        </c:dLbls>
        <c:gapWidth val="100"/>
        <c:overlap val="-24"/>
        <c:axId val="887931216"/>
        <c:axId val="887933616"/>
      </c:barChart>
      <c:catAx>
        <c:axId val="8879312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887933616"/>
        <c:crosses val="autoZero"/>
        <c:auto val="1"/>
        <c:lblAlgn val="ctr"/>
        <c:lblOffset val="100"/>
        <c:noMultiLvlLbl val="0"/>
      </c:catAx>
      <c:valAx>
        <c:axId val="88793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88793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ACC.!TablaDinámica9</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TURNO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ACC.'!$B$156</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ACC.'!$A$157:$A$160</c:f>
              <c:strCache>
                <c:ptCount val="3"/>
                <c:pt idx="0">
                  <c:v>TARDE</c:v>
                </c:pt>
                <c:pt idx="1">
                  <c:v>MAÑANA</c:v>
                </c:pt>
                <c:pt idx="2">
                  <c:v>NOCHE</c:v>
                </c:pt>
              </c:strCache>
            </c:strRef>
          </c:cat>
          <c:val>
            <c:numRef>
              <c:f>'ANALISIS DE ACC.'!$B$157:$B$160</c:f>
              <c:numCache>
                <c:formatCode>General</c:formatCode>
                <c:ptCount val="3"/>
                <c:pt idx="0">
                  <c:v>12</c:v>
                </c:pt>
                <c:pt idx="1">
                  <c:v>11</c:v>
                </c:pt>
                <c:pt idx="2">
                  <c:v>4</c:v>
                </c:pt>
              </c:numCache>
            </c:numRef>
          </c:val>
          <c:extLst>
            <c:ext xmlns:c16="http://schemas.microsoft.com/office/drawing/2014/chart" uri="{C3380CC4-5D6E-409C-BE32-E72D297353CC}">
              <c16:uniqueId val="{00000000-758E-41A7-AAC5-CFC0739CDFF1}"/>
            </c:ext>
          </c:extLst>
        </c:ser>
        <c:dLbls>
          <c:dLblPos val="outEnd"/>
          <c:showLegendKey val="0"/>
          <c:showVal val="1"/>
          <c:showCatName val="0"/>
          <c:showSerName val="0"/>
          <c:showPercent val="0"/>
          <c:showBubbleSize val="0"/>
        </c:dLbls>
        <c:gapWidth val="100"/>
        <c:overlap val="-24"/>
        <c:axId val="674864768"/>
        <c:axId val="674867168"/>
      </c:barChart>
      <c:catAx>
        <c:axId val="6748647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674867168"/>
        <c:crosses val="autoZero"/>
        <c:auto val="1"/>
        <c:lblAlgn val="ctr"/>
        <c:lblOffset val="100"/>
        <c:noMultiLvlLbl val="0"/>
      </c:catAx>
      <c:valAx>
        <c:axId val="67486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67486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ACC.!TablaDinámica10</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ACCION-CONDICION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ACC.'!$B$172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ACC.'!$A$173:$A$175</c:f>
              <c:strCache>
                <c:ptCount val="2"/>
                <c:pt idx="0">
                  <c:v>ACCION</c:v>
                </c:pt>
                <c:pt idx="1">
                  <c:v>CONDICION</c:v>
                </c:pt>
              </c:strCache>
            </c:strRef>
          </c:cat>
          <c:val>
            <c:numRef>
              <c:f>'ANALISIS DE ACC.'!$B$173:$B$175</c:f>
              <c:numCache>
                <c:formatCode>General</c:formatCode>
                <c:ptCount val="2"/>
                <c:pt idx="0">
                  <c:v>16</c:v>
                </c:pt>
                <c:pt idx="1">
                  <c:v>11</c:v>
                </c:pt>
              </c:numCache>
            </c:numRef>
          </c:val>
          <c:extLst>
            <c:ext xmlns:c16="http://schemas.microsoft.com/office/drawing/2014/chart" uri="{C3380CC4-5D6E-409C-BE32-E72D297353CC}">
              <c16:uniqueId val="{00000000-3FB0-4F3C-B664-7B77FFFDE833}"/>
            </c:ext>
          </c:extLst>
        </c:ser>
        <c:dLbls>
          <c:dLblPos val="outEnd"/>
          <c:showLegendKey val="0"/>
          <c:showVal val="1"/>
          <c:showCatName val="0"/>
          <c:showSerName val="0"/>
          <c:showPercent val="0"/>
          <c:showBubbleSize val="0"/>
        </c:dLbls>
        <c:gapWidth val="100"/>
        <c:overlap val="-24"/>
        <c:axId val="887928336"/>
        <c:axId val="887935056"/>
      </c:barChart>
      <c:catAx>
        <c:axId val="8879283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887935056"/>
        <c:crosses val="autoZero"/>
        <c:auto val="1"/>
        <c:lblAlgn val="ctr"/>
        <c:lblOffset val="100"/>
        <c:noMultiLvlLbl val="0"/>
      </c:catAx>
      <c:valAx>
        <c:axId val="887935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887928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ACC.!TablaDinámica11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AGENTE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ACC.'!$B$187</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ACC.'!$A$188:$A$202</c:f>
              <c:strCache>
                <c:ptCount val="14"/>
                <c:pt idx="0">
                  <c:v>Superficies de transito</c:v>
                </c:pt>
                <c:pt idx="1">
                  <c:v>Materia Prima</c:v>
                </c:pt>
                <c:pt idx="2">
                  <c:v>Materiales</c:v>
                </c:pt>
                <c:pt idx="3">
                  <c:v>Equipos Transporte de carga</c:v>
                </c:pt>
                <c:pt idx="4">
                  <c:v>Maquinarias</c:v>
                </c:pt>
                <c:pt idx="5">
                  <c:v>Bins</c:v>
                </c:pt>
                <c:pt idx="6">
                  <c:v>Superficies de trabajo</c:v>
                </c:pt>
                <c:pt idx="7">
                  <c:v>Infraestructura</c:v>
                </c:pt>
                <c:pt idx="8">
                  <c:v>Cajas</c:v>
                </c:pt>
                <c:pt idx="9">
                  <c:v>Vehículos</c:v>
                </c:pt>
                <c:pt idx="10">
                  <c:v>Bandejas</c:v>
                </c:pt>
                <c:pt idx="11">
                  <c:v>Producto quimico</c:v>
                </c:pt>
                <c:pt idx="12">
                  <c:v>Elemento cortante</c:v>
                </c:pt>
                <c:pt idx="13">
                  <c:v>Otros</c:v>
                </c:pt>
              </c:strCache>
            </c:strRef>
          </c:cat>
          <c:val>
            <c:numRef>
              <c:f>'ANALISIS DE ACC.'!$B$188:$B$202</c:f>
              <c:numCache>
                <c:formatCode>General</c:formatCode>
                <c:ptCount val="14"/>
                <c:pt idx="0">
                  <c:v>7</c:v>
                </c:pt>
                <c:pt idx="1">
                  <c:v>6</c:v>
                </c:pt>
                <c:pt idx="2">
                  <c:v>5</c:v>
                </c:pt>
                <c:pt idx="3">
                  <c:v>5</c:v>
                </c:pt>
                <c:pt idx="4">
                  <c:v>4</c:v>
                </c:pt>
                <c:pt idx="5">
                  <c:v>3</c:v>
                </c:pt>
                <c:pt idx="6">
                  <c:v>3</c:v>
                </c:pt>
                <c:pt idx="7">
                  <c:v>2</c:v>
                </c:pt>
                <c:pt idx="8">
                  <c:v>2</c:v>
                </c:pt>
                <c:pt idx="9">
                  <c:v>2</c:v>
                </c:pt>
                <c:pt idx="10">
                  <c:v>1</c:v>
                </c:pt>
                <c:pt idx="11">
                  <c:v>1</c:v>
                </c:pt>
                <c:pt idx="12">
                  <c:v>1</c:v>
                </c:pt>
                <c:pt idx="13">
                  <c:v>1</c:v>
                </c:pt>
              </c:numCache>
            </c:numRef>
          </c:val>
          <c:extLst>
            <c:ext xmlns:c16="http://schemas.microsoft.com/office/drawing/2014/chart" uri="{C3380CC4-5D6E-409C-BE32-E72D297353CC}">
              <c16:uniqueId val="{00000000-0B86-4F5B-A179-7FC3551A1554}"/>
            </c:ext>
          </c:extLst>
        </c:ser>
        <c:dLbls>
          <c:showLegendKey val="0"/>
          <c:showVal val="1"/>
          <c:showCatName val="0"/>
          <c:showSerName val="0"/>
          <c:showPercent val="0"/>
          <c:showBubbleSize val="0"/>
        </c:dLbls>
        <c:gapWidth val="150"/>
        <c:axId val="265126591"/>
        <c:axId val="1499106031"/>
      </c:barChart>
      <c:catAx>
        <c:axId val="2651265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499106031"/>
        <c:crosses val="autoZero"/>
        <c:auto val="1"/>
        <c:lblAlgn val="ctr"/>
        <c:lblOffset val="100"/>
        <c:noMultiLvlLbl val="0"/>
      </c:catAx>
      <c:valAx>
        <c:axId val="1499106031"/>
        <c:scaling>
          <c:orientation val="minMax"/>
        </c:scaling>
        <c:delete val="1"/>
        <c:axPos val="l"/>
        <c:numFmt formatCode="General" sourceLinked="1"/>
        <c:majorTickMark val="none"/>
        <c:minorTickMark val="none"/>
        <c:tickLblPos val="nextTo"/>
        <c:crossAx val="26512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ACC.!TablaDinámica12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PARTE AFECTADA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ACC.'!$B$209</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ACC.'!$A$210:$A$218</c:f>
              <c:strCache>
                <c:ptCount val="8"/>
                <c:pt idx="0">
                  <c:v>Manos / dedos</c:v>
                </c:pt>
                <c:pt idx="1">
                  <c:v>Espalda</c:v>
                </c:pt>
                <c:pt idx="2">
                  <c:v>Pie</c:v>
                </c:pt>
                <c:pt idx="3">
                  <c:v>Multiples</c:v>
                </c:pt>
                <c:pt idx="4">
                  <c:v>Pierna</c:v>
                </c:pt>
                <c:pt idx="5">
                  <c:v>Ojos</c:v>
                </c:pt>
                <c:pt idx="6">
                  <c:v>Brazo</c:v>
                </c:pt>
                <c:pt idx="7">
                  <c:v>Cabeza</c:v>
                </c:pt>
              </c:strCache>
            </c:strRef>
          </c:cat>
          <c:val>
            <c:numRef>
              <c:f>'ANALISIS DE ACC.'!$B$210:$B$218</c:f>
              <c:numCache>
                <c:formatCode>General</c:formatCode>
                <c:ptCount val="8"/>
                <c:pt idx="0">
                  <c:v>15</c:v>
                </c:pt>
                <c:pt idx="1">
                  <c:v>6</c:v>
                </c:pt>
                <c:pt idx="2">
                  <c:v>6</c:v>
                </c:pt>
                <c:pt idx="3">
                  <c:v>5</c:v>
                </c:pt>
                <c:pt idx="4">
                  <c:v>4</c:v>
                </c:pt>
                <c:pt idx="5">
                  <c:v>4</c:v>
                </c:pt>
                <c:pt idx="6">
                  <c:v>2</c:v>
                </c:pt>
                <c:pt idx="7">
                  <c:v>1</c:v>
                </c:pt>
              </c:numCache>
            </c:numRef>
          </c:val>
          <c:extLst>
            <c:ext xmlns:c16="http://schemas.microsoft.com/office/drawing/2014/chart" uri="{C3380CC4-5D6E-409C-BE32-E72D297353CC}">
              <c16:uniqueId val="{00000000-1ACE-401B-BD0A-93BACB8A2B21}"/>
            </c:ext>
          </c:extLst>
        </c:ser>
        <c:dLbls>
          <c:showLegendKey val="0"/>
          <c:showVal val="1"/>
          <c:showCatName val="0"/>
          <c:showSerName val="0"/>
          <c:showPercent val="0"/>
          <c:showBubbleSize val="0"/>
        </c:dLbls>
        <c:gapWidth val="150"/>
        <c:axId val="1197474479"/>
        <c:axId val="450579599"/>
      </c:barChart>
      <c:catAx>
        <c:axId val="11974744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50579599"/>
        <c:crosses val="autoZero"/>
        <c:auto val="1"/>
        <c:lblAlgn val="ctr"/>
        <c:lblOffset val="100"/>
        <c:noMultiLvlLbl val="0"/>
      </c:catAx>
      <c:valAx>
        <c:axId val="450579599"/>
        <c:scaling>
          <c:orientation val="minMax"/>
        </c:scaling>
        <c:delete val="1"/>
        <c:axPos val="l"/>
        <c:numFmt formatCode="General" sourceLinked="1"/>
        <c:majorTickMark val="none"/>
        <c:minorTickMark val="none"/>
        <c:tickLblPos val="nextTo"/>
        <c:crossAx val="119747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ACC.!TablaDinámica13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TIPO DE ACCIDENTE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DE ACC.'!$B$224</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DE ACC.'!$A$225:$A$235</c:f>
              <c:strCache>
                <c:ptCount val="10"/>
                <c:pt idx="0">
                  <c:v>Caida de mismo nivel</c:v>
                </c:pt>
                <c:pt idx="1">
                  <c:v>Golpeado por</c:v>
                </c:pt>
                <c:pt idx="2">
                  <c:v>Sobreesfuerzo</c:v>
                </c:pt>
                <c:pt idx="3">
                  <c:v>Golpeado contra</c:v>
                </c:pt>
                <c:pt idx="4">
                  <c:v>Proyeccion de particulas</c:v>
                </c:pt>
                <c:pt idx="5">
                  <c:v>Contacto con cuerpo cortante</c:v>
                </c:pt>
                <c:pt idx="6">
                  <c:v>Contacto con cuerpo punzante</c:v>
                </c:pt>
                <c:pt idx="7">
                  <c:v>Caida de distinto nivel</c:v>
                </c:pt>
                <c:pt idx="8">
                  <c:v>Atrapamiento</c:v>
                </c:pt>
                <c:pt idx="9">
                  <c:v>Otros</c:v>
                </c:pt>
              </c:strCache>
            </c:strRef>
          </c:cat>
          <c:val>
            <c:numRef>
              <c:f>'ANALISIS DE ACC.'!$B$225:$B$235</c:f>
              <c:numCache>
                <c:formatCode>General</c:formatCode>
                <c:ptCount val="10"/>
                <c:pt idx="0">
                  <c:v>9</c:v>
                </c:pt>
                <c:pt idx="1">
                  <c:v>6</c:v>
                </c:pt>
                <c:pt idx="2">
                  <c:v>6</c:v>
                </c:pt>
                <c:pt idx="3">
                  <c:v>5</c:v>
                </c:pt>
                <c:pt idx="4">
                  <c:v>4</c:v>
                </c:pt>
                <c:pt idx="5">
                  <c:v>4</c:v>
                </c:pt>
                <c:pt idx="6">
                  <c:v>4</c:v>
                </c:pt>
                <c:pt idx="7">
                  <c:v>3</c:v>
                </c:pt>
                <c:pt idx="8">
                  <c:v>1</c:v>
                </c:pt>
                <c:pt idx="9">
                  <c:v>1</c:v>
                </c:pt>
              </c:numCache>
            </c:numRef>
          </c:val>
          <c:extLst>
            <c:ext xmlns:c16="http://schemas.microsoft.com/office/drawing/2014/chart" uri="{C3380CC4-5D6E-409C-BE32-E72D297353CC}">
              <c16:uniqueId val="{00000000-74E5-4BA7-8A65-85010AF9D8D4}"/>
            </c:ext>
          </c:extLst>
        </c:ser>
        <c:dLbls>
          <c:dLblPos val="outEnd"/>
          <c:showLegendKey val="0"/>
          <c:showVal val="1"/>
          <c:showCatName val="0"/>
          <c:showSerName val="0"/>
          <c:showPercent val="0"/>
          <c:showBubbleSize val="0"/>
        </c:dLbls>
        <c:gapWidth val="150"/>
        <c:axId val="1089480383"/>
        <c:axId val="1355459247"/>
      </c:barChart>
      <c:catAx>
        <c:axId val="10894803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355459247"/>
        <c:crosses val="autoZero"/>
        <c:auto val="1"/>
        <c:lblAlgn val="ctr"/>
        <c:lblOffset val="100"/>
        <c:noMultiLvlLbl val="0"/>
      </c:catAx>
      <c:valAx>
        <c:axId val="1355459247"/>
        <c:scaling>
          <c:orientation val="minMax"/>
        </c:scaling>
        <c:delete val="1"/>
        <c:axPos val="l"/>
        <c:numFmt formatCode="General" sourceLinked="1"/>
        <c:majorTickMark val="none"/>
        <c:minorTickMark val="none"/>
        <c:tickLblPos val="nextTo"/>
        <c:crossAx val="108948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DE ACC.!TablaDinámica14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NATURALEZA DE LA LESION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L"/>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baseline="0"/>
                  <a:t>
</a:t>
                </a:r>
                <a:fld id="{8EE2B678-278C-4FE1-A7EA-1DD25D97C06F}" type="PERCENTAGE">
                  <a:rPr lang="en-US" baseline="0"/>
                  <a:pPr>
                    <a:defRPr sz="900" b="0" i="0" u="none" strike="noStrike" kern="1200" baseline="0">
                      <a:solidFill>
                        <a:schemeClr val="bg1"/>
                      </a:solidFill>
                      <a:latin typeface="+mn-lt"/>
                      <a:ea typeface="+mn-ea"/>
                      <a:cs typeface="+mn-cs"/>
                    </a:defRPr>
                  </a:pPr>
                  <a:t>[PORCENTAJE]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314814814814831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baseline="0"/>
                  <a:t>
</a:t>
                </a:r>
                <a:fld id="{4E1A3D28-907E-4DA2-8A18-C6E73CCD2CD4}" type="PERCENTAGE">
                  <a:rPr lang="en-US" baseline="0"/>
                  <a:pPr>
                    <a:defRPr sz="900" b="0" i="0" u="none" strike="noStrike" kern="1200" baseline="0">
                      <a:solidFill>
                        <a:schemeClr val="bg1"/>
                      </a:solidFill>
                      <a:latin typeface="+mn-lt"/>
                      <a:ea typeface="+mn-ea"/>
                      <a:cs typeface="+mn-cs"/>
                    </a:defRPr>
                  </a:pPr>
                  <a:t>[PORCENTAJE]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5555555555555558E-3"/>
              <c:y val="2.314814814814814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baseline="0"/>
                  <a:t>
</a:t>
                </a:r>
                <a:fld id="{7F926544-E2FF-4DFA-9C4C-AF6DDD2F6761}" type="PERCENTAGE">
                  <a:rPr lang="en-US" baseline="0"/>
                  <a:pPr>
                    <a:defRPr sz="900" b="0" i="0" u="none" strike="noStrike" kern="1200" baseline="0">
                      <a:solidFill>
                        <a:schemeClr val="bg1"/>
                      </a:solidFill>
                      <a:latin typeface="+mn-lt"/>
                      <a:ea typeface="+mn-ea"/>
                      <a:cs typeface="+mn-cs"/>
                    </a:defRPr>
                  </a:pPr>
                  <a:t>[PORCENTAJE]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0925337632079971E-17"/>
              <c:y val="-1.8518518518518563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baseline="0"/>
                  <a:t>
</a:t>
                </a:r>
                <a:fld id="{5A2A600B-D68A-4652-B259-9FFE45561C47}" type="PERCENTAGE">
                  <a:rPr lang="en-US" baseline="0"/>
                  <a:pPr>
                    <a:defRPr sz="900" b="0" i="0" u="none" strike="noStrike" kern="1200" baseline="0">
                      <a:solidFill>
                        <a:schemeClr val="bg1"/>
                      </a:solidFill>
                      <a:latin typeface="+mn-lt"/>
                      <a:ea typeface="+mn-ea"/>
                      <a:cs typeface="+mn-cs"/>
                    </a:defRPr>
                  </a:pPr>
                  <a:t>[PORCENTAJE]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7777777777777267E-3"/>
              <c:y val="-2.7777777777777776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baseline="0"/>
                  <a:t>
</a:t>
                </a:r>
                <a:fld id="{FAFE8540-DEE9-4AEF-8061-E6099BE8C023}" type="PERCENTAGE">
                  <a:rPr lang="en-US" baseline="0"/>
                  <a:pPr>
                    <a:defRPr sz="900" b="0" i="0" u="none" strike="noStrike" kern="1200" baseline="0">
                      <a:solidFill>
                        <a:schemeClr val="bg1"/>
                      </a:solidFill>
                      <a:latin typeface="+mn-lt"/>
                      <a:ea typeface="+mn-ea"/>
                      <a:cs typeface="+mn-cs"/>
                    </a:defRPr>
                  </a:pPr>
                  <a:t>[PORCENTAJE]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baseline="0"/>
                  <a:t>
</a:t>
                </a:r>
                <a:fld id="{8EE2B678-278C-4FE1-A7EA-1DD25D97C06F}" type="PERCENTAGE">
                  <a:rPr lang="en-US" baseline="0"/>
                  <a:pPr>
                    <a:defRPr>
                      <a:solidFill>
                        <a:schemeClr val="bg1"/>
                      </a:solidFill>
                    </a:defRPr>
                  </a:pPr>
                  <a:t>[PORCENTAJE]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314814814814831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baseline="0"/>
                  <a:t>
</a:t>
                </a:r>
                <a:fld id="{4E1A3D28-907E-4DA2-8A18-C6E73CCD2CD4}" type="PERCENTAGE">
                  <a:rPr lang="en-US" baseline="0"/>
                  <a:pPr>
                    <a:defRPr>
                      <a:solidFill>
                        <a:schemeClr val="bg1"/>
                      </a:solidFill>
                    </a:defRPr>
                  </a:pPr>
                  <a:t>[PORCENTAJE]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5555555555555558E-3"/>
              <c:y val="2.314814814814814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baseline="0"/>
                  <a:t>
</a:t>
                </a:r>
                <a:fld id="{7F926544-E2FF-4DFA-9C4C-AF6DDD2F6761}" type="PERCENTAGE">
                  <a:rPr lang="en-US" baseline="0"/>
                  <a:pPr>
                    <a:defRPr>
                      <a:solidFill>
                        <a:schemeClr val="bg1"/>
                      </a:solidFill>
                    </a:defRPr>
                  </a:pPr>
                  <a:t>[PORCENTAJE]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0925337632079971E-17"/>
              <c:y val="-1.8518518518518563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baseline="0"/>
                  <a:t>
</a:t>
                </a:r>
                <a:fld id="{5A2A600B-D68A-4652-B259-9FFE45561C47}" type="PERCENTAGE">
                  <a:rPr lang="en-US" baseline="0"/>
                  <a:pPr>
                    <a:defRPr>
                      <a:solidFill>
                        <a:schemeClr val="bg1"/>
                      </a:solidFill>
                    </a:defRPr>
                  </a:pPr>
                  <a:t>[PORCENTAJE]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7777777777777267E-3"/>
              <c:y val="-2.7777777777777776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baseline="0"/>
                  <a:t>
</a:t>
                </a:r>
                <a:fld id="{FAFE8540-DEE9-4AEF-8061-E6099BE8C023}" type="PERCENTAGE">
                  <a:rPr lang="en-US" baseline="0"/>
                  <a:pPr>
                    <a:defRPr>
                      <a:solidFill>
                        <a:schemeClr val="bg1"/>
                      </a:solidFill>
                    </a:defRPr>
                  </a:pPr>
                  <a:t>[PORCENTAJE]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0.17217191601049872"/>
          <c:y val="0.24651319626713328"/>
          <c:w val="0.39454527559055119"/>
          <c:h val="0.65757545931758532"/>
        </c:manualLayout>
      </c:layout>
      <c:doughnutChart>
        <c:varyColors val="1"/>
        <c:ser>
          <c:idx val="0"/>
          <c:order val="0"/>
          <c:tx>
            <c:strRef>
              <c:f>'ANALISIS DE ACC.'!$B$241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BF-48B3-8727-3166DFAE0EFA}"/>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E0BF-48B3-8727-3166DFAE0EFA}"/>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0BF-48B3-8727-3166DFAE0EFA}"/>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6-E0BF-48B3-8727-3166DFAE0EFA}"/>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E0BF-48B3-8727-3166DFAE0EFA}"/>
              </c:ext>
            </c:extLst>
          </c:dPt>
          <c:dLbls>
            <c:dLbl>
              <c:idx val="0"/>
              <c:tx>
                <c:rich>
                  <a:bodyPr/>
                  <a:lstStyle/>
                  <a:p>
                    <a:r>
                      <a:rPr lang="en-US" baseline="0"/>
                      <a:t>
</a:t>
                    </a:r>
                    <a:fld id="{8EE2B678-278C-4FE1-A7EA-1DD25D97C06F}" type="PERCENTAGE">
                      <a:rPr lang="en-US" baseline="0"/>
                      <a:pPr/>
                      <a:t>[PORCENTAJE]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0BF-48B3-8727-3166DFAE0EFA}"/>
                </c:ext>
              </c:extLst>
            </c:dLbl>
            <c:dLbl>
              <c:idx val="1"/>
              <c:layout>
                <c:manualLayout>
                  <c:x val="0"/>
                  <c:y val="-2.3148148148148317E-2"/>
                </c:manualLayout>
              </c:layout>
              <c:tx>
                <c:rich>
                  <a:bodyPr/>
                  <a:lstStyle/>
                  <a:p>
                    <a:r>
                      <a:rPr lang="en-US" baseline="0"/>
                      <a:t>
</a:t>
                    </a:r>
                    <a:fld id="{4E1A3D28-907E-4DA2-8A18-C6E73CCD2CD4}" type="PERCENTAGE">
                      <a:rPr lang="en-US" baseline="0"/>
                      <a:pPr/>
                      <a:t>[PORCENTAJE]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E0BF-48B3-8727-3166DFAE0EFA}"/>
                </c:ext>
              </c:extLst>
            </c:dLbl>
            <c:dLbl>
              <c:idx val="2"/>
              <c:layout>
                <c:manualLayout>
                  <c:x val="-5.5555555555555558E-3"/>
                  <c:y val="2.3148148148148147E-2"/>
                </c:manualLayout>
              </c:layout>
              <c:tx>
                <c:rich>
                  <a:bodyPr/>
                  <a:lstStyle/>
                  <a:p>
                    <a:r>
                      <a:rPr lang="en-US" baseline="0"/>
                      <a:t>
</a:t>
                    </a:r>
                    <a:fld id="{7F926544-E2FF-4DFA-9C4C-AF6DDD2F6761}" type="PERCENTAGE">
                      <a:rPr lang="en-US" baseline="0"/>
                      <a:pPr/>
                      <a:t>[PORCENTAJE]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0BF-48B3-8727-3166DFAE0EFA}"/>
                </c:ext>
              </c:extLst>
            </c:dLbl>
            <c:dLbl>
              <c:idx val="3"/>
              <c:layout>
                <c:manualLayout>
                  <c:x val="-5.0925337632079971E-17"/>
                  <c:y val="-1.8518518518518563E-2"/>
                </c:manualLayout>
              </c:layout>
              <c:tx>
                <c:rich>
                  <a:bodyPr/>
                  <a:lstStyle/>
                  <a:p>
                    <a:r>
                      <a:rPr lang="en-US" baseline="0"/>
                      <a:t>
</a:t>
                    </a:r>
                    <a:fld id="{5A2A600B-D68A-4652-B259-9FFE45561C47}" type="PERCENTAGE">
                      <a:rPr lang="en-US" baseline="0"/>
                      <a:pPr/>
                      <a:t>[PORCENTAJE]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E0BF-48B3-8727-3166DFAE0EFA}"/>
                </c:ext>
              </c:extLst>
            </c:dLbl>
            <c:dLbl>
              <c:idx val="4"/>
              <c:layout>
                <c:manualLayout>
                  <c:x val="2.7777777777777267E-3"/>
                  <c:y val="-2.7777777777777776E-2"/>
                </c:manualLayout>
              </c:layout>
              <c:tx>
                <c:rich>
                  <a:bodyPr/>
                  <a:lstStyle/>
                  <a:p>
                    <a:r>
                      <a:rPr lang="en-US" baseline="0"/>
                      <a:t>
</a:t>
                    </a:r>
                    <a:fld id="{FAFE8540-DEE9-4AEF-8061-E6099BE8C023}" type="PERCENTAGE">
                      <a:rPr lang="en-US" baseline="0"/>
                      <a:pPr/>
                      <a:t>[PORCENTAJE]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E0BF-48B3-8727-3166DFAE0EFA}"/>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L"/>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'ANALISIS DE ACC.'!$A$242:$A$247</c:f>
              <c:strCache>
                <c:ptCount val="5"/>
                <c:pt idx="0">
                  <c:v>JOSE CARVALLO</c:v>
                </c:pt>
                <c:pt idx="1">
                  <c:v>JORGE MEZA</c:v>
                </c:pt>
                <c:pt idx="2">
                  <c:v>ARNALDO VERA</c:v>
                </c:pt>
                <c:pt idx="3">
                  <c:v>RAMIRO RAMIREZ</c:v>
                </c:pt>
                <c:pt idx="4">
                  <c:v>IGNACIO MEZA</c:v>
                </c:pt>
              </c:strCache>
            </c:strRef>
          </c:cat>
          <c:val>
            <c:numRef>
              <c:f>'ANALISIS DE ACC.'!$B$242:$B$247</c:f>
              <c:numCache>
                <c:formatCode>General</c:formatCode>
                <c:ptCount val="5"/>
                <c:pt idx="0">
                  <c:v>8</c:v>
                </c:pt>
                <c:pt idx="1">
                  <c:v>4</c:v>
                </c:pt>
                <c:pt idx="2">
                  <c:v>3</c:v>
                </c:pt>
                <c:pt idx="3">
                  <c:v>1</c:v>
                </c:pt>
                <c:pt idx="4">
                  <c:v>1</c:v>
                </c:pt>
              </c:numCache>
            </c:numRef>
          </c:val>
          <c:extLst>
            <c:ext xmlns:c16="http://schemas.microsoft.com/office/drawing/2014/chart" uri="{C3380CC4-5D6E-409C-BE32-E72D297353CC}">
              <c16:uniqueId val="{00000002-E0BF-48B3-8727-3166DFAE0EF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68782808398950124"/>
          <c:y val="0.31054243219597544"/>
          <c:w val="0.22883858267716536"/>
          <c:h val="0.390627734033245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ESTADISTICO!TablaDinámica1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Tipo</a:t>
            </a:r>
            <a:r>
              <a:rPr lang="en-US" baseline="0"/>
              <a:t> de Acc.</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ESTADISTICO'!$B$3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ESTADISTICO'!$A$4:$A$19</c:f>
              <c:strCache>
                <c:ptCount val="15"/>
                <c:pt idx="0">
                  <c:v>Golpeado por</c:v>
                </c:pt>
                <c:pt idx="1">
                  <c:v>Caida de mismo nivel</c:v>
                </c:pt>
                <c:pt idx="2">
                  <c:v>Golpeado contra</c:v>
                </c:pt>
                <c:pt idx="3">
                  <c:v>Proyeccion de particulas</c:v>
                </c:pt>
                <c:pt idx="4">
                  <c:v>Sobreesfuerzo</c:v>
                </c:pt>
                <c:pt idx="5">
                  <c:v>Contacto con cuerpo cortante</c:v>
                </c:pt>
                <c:pt idx="6">
                  <c:v>Caida de distinto nivel</c:v>
                </c:pt>
                <c:pt idx="7">
                  <c:v>Otros</c:v>
                </c:pt>
                <c:pt idx="8">
                  <c:v>Contacto con cuerpo punzante</c:v>
                </c:pt>
                <c:pt idx="9">
                  <c:v>Atrapamiento</c:v>
                </c:pt>
                <c:pt idx="10">
                  <c:v>Contacto con sustancias toxicas</c:v>
                </c:pt>
                <c:pt idx="11">
                  <c:v>Contacto con temperaturas extremas</c:v>
                </c:pt>
                <c:pt idx="12">
                  <c:v>Picadura</c:v>
                </c:pt>
                <c:pt idx="13">
                  <c:v>Exposicion a humo y gases</c:v>
                </c:pt>
                <c:pt idx="14">
                  <c:v>Contacto con electricidad</c:v>
                </c:pt>
              </c:strCache>
            </c:strRef>
          </c:cat>
          <c:val>
            <c:numRef>
              <c:f>'ANALISIS ESTADISTICO'!$B$4:$B$19</c:f>
              <c:numCache>
                <c:formatCode>General</c:formatCode>
                <c:ptCount val="15"/>
                <c:pt idx="0">
                  <c:v>70</c:v>
                </c:pt>
                <c:pt idx="1">
                  <c:v>37</c:v>
                </c:pt>
                <c:pt idx="2">
                  <c:v>28</c:v>
                </c:pt>
                <c:pt idx="3">
                  <c:v>22</c:v>
                </c:pt>
                <c:pt idx="4">
                  <c:v>14</c:v>
                </c:pt>
                <c:pt idx="5">
                  <c:v>13</c:v>
                </c:pt>
                <c:pt idx="6">
                  <c:v>11</c:v>
                </c:pt>
                <c:pt idx="7">
                  <c:v>9</c:v>
                </c:pt>
                <c:pt idx="8">
                  <c:v>7</c:v>
                </c:pt>
                <c:pt idx="9">
                  <c:v>6</c:v>
                </c:pt>
                <c:pt idx="10">
                  <c:v>5</c:v>
                </c:pt>
                <c:pt idx="11">
                  <c:v>4</c:v>
                </c:pt>
                <c:pt idx="12">
                  <c:v>3</c:v>
                </c:pt>
                <c:pt idx="13">
                  <c:v>2</c:v>
                </c:pt>
                <c:pt idx="14">
                  <c:v>1</c:v>
                </c:pt>
              </c:numCache>
            </c:numRef>
          </c:val>
          <c:extLst>
            <c:ext xmlns:c16="http://schemas.microsoft.com/office/drawing/2014/chart" uri="{C3380CC4-5D6E-409C-BE32-E72D297353CC}">
              <c16:uniqueId val="{00000000-4489-4300-9540-11D30D20646F}"/>
            </c:ext>
          </c:extLst>
        </c:ser>
        <c:dLbls>
          <c:dLblPos val="outEnd"/>
          <c:showLegendKey val="0"/>
          <c:showVal val="1"/>
          <c:showCatName val="0"/>
          <c:showSerName val="0"/>
          <c:showPercent val="0"/>
          <c:showBubbleSize val="0"/>
        </c:dLbls>
        <c:gapWidth val="100"/>
        <c:overlap val="-24"/>
        <c:axId val="2090458991"/>
        <c:axId val="2060424623"/>
      </c:barChart>
      <c:catAx>
        <c:axId val="20904589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424623"/>
        <c:crosses val="autoZero"/>
        <c:auto val="1"/>
        <c:lblAlgn val="ctr"/>
        <c:lblOffset val="100"/>
        <c:noMultiLvlLbl val="0"/>
      </c:catAx>
      <c:valAx>
        <c:axId val="2060424623"/>
        <c:scaling>
          <c:orientation val="minMax"/>
        </c:scaling>
        <c:delete val="1"/>
        <c:axPos val="l"/>
        <c:numFmt formatCode="General" sourceLinked="1"/>
        <c:majorTickMark val="none"/>
        <c:minorTickMark val="none"/>
        <c:tickLblPos val="nextTo"/>
        <c:crossAx val="209045899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ESTADISTICO!TablaDinámica3</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Agente de Acc.</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ESTADISTICO'!$B$22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ESTADISTICO'!$A$23:$A$43</c:f>
              <c:strCache>
                <c:ptCount val="20"/>
                <c:pt idx="0">
                  <c:v>Infraestructura</c:v>
                </c:pt>
                <c:pt idx="1">
                  <c:v>Superficies de transito</c:v>
                </c:pt>
                <c:pt idx="2">
                  <c:v>Materiales</c:v>
                </c:pt>
                <c:pt idx="3">
                  <c:v>Maquinarias</c:v>
                </c:pt>
                <c:pt idx="4">
                  <c:v>Materia Prima</c:v>
                </c:pt>
                <c:pt idx="5">
                  <c:v>Equipos Transporte de carga</c:v>
                </c:pt>
                <c:pt idx="6">
                  <c:v>Cajas</c:v>
                </c:pt>
                <c:pt idx="7">
                  <c:v>Superficies de trabajo</c:v>
                </c:pt>
                <c:pt idx="8">
                  <c:v>Producto quimico</c:v>
                </c:pt>
                <c:pt idx="9">
                  <c:v>Bins</c:v>
                </c:pt>
                <c:pt idx="10">
                  <c:v>Otros</c:v>
                </c:pt>
                <c:pt idx="11">
                  <c:v>Bandejas</c:v>
                </c:pt>
                <c:pt idx="12">
                  <c:v>Animales - Insectos</c:v>
                </c:pt>
                <c:pt idx="13">
                  <c:v>Cuchillo</c:v>
                </c:pt>
                <c:pt idx="14">
                  <c:v>Pallet</c:v>
                </c:pt>
                <c:pt idx="15">
                  <c:v>Vehículos</c:v>
                </c:pt>
                <c:pt idx="16">
                  <c:v>Equipo electricos</c:v>
                </c:pt>
                <c:pt idx="17">
                  <c:v>Gases - vapores</c:v>
                </c:pt>
                <c:pt idx="18">
                  <c:v>Elemento cortante</c:v>
                </c:pt>
                <c:pt idx="19">
                  <c:v>Herramientas de mano</c:v>
                </c:pt>
              </c:strCache>
            </c:strRef>
          </c:cat>
          <c:val>
            <c:numRef>
              <c:f>'ANALISIS ESTADISTICO'!$B$23:$B$43</c:f>
              <c:numCache>
                <c:formatCode>General</c:formatCode>
                <c:ptCount val="20"/>
                <c:pt idx="0">
                  <c:v>29</c:v>
                </c:pt>
                <c:pt idx="1">
                  <c:v>27</c:v>
                </c:pt>
                <c:pt idx="2">
                  <c:v>27</c:v>
                </c:pt>
                <c:pt idx="3">
                  <c:v>24</c:v>
                </c:pt>
                <c:pt idx="4">
                  <c:v>23</c:v>
                </c:pt>
                <c:pt idx="5">
                  <c:v>19</c:v>
                </c:pt>
                <c:pt idx="6">
                  <c:v>15</c:v>
                </c:pt>
                <c:pt idx="7">
                  <c:v>13</c:v>
                </c:pt>
                <c:pt idx="8">
                  <c:v>13</c:v>
                </c:pt>
                <c:pt idx="9">
                  <c:v>9</c:v>
                </c:pt>
                <c:pt idx="10">
                  <c:v>9</c:v>
                </c:pt>
                <c:pt idx="11">
                  <c:v>8</c:v>
                </c:pt>
                <c:pt idx="12">
                  <c:v>4</c:v>
                </c:pt>
                <c:pt idx="13">
                  <c:v>3</c:v>
                </c:pt>
                <c:pt idx="14">
                  <c:v>3</c:v>
                </c:pt>
                <c:pt idx="15">
                  <c:v>2</c:v>
                </c:pt>
                <c:pt idx="16">
                  <c:v>1</c:v>
                </c:pt>
                <c:pt idx="17">
                  <c:v>1</c:v>
                </c:pt>
                <c:pt idx="18">
                  <c:v>1</c:v>
                </c:pt>
                <c:pt idx="19">
                  <c:v>1</c:v>
                </c:pt>
              </c:numCache>
            </c:numRef>
          </c:val>
          <c:extLst>
            <c:ext xmlns:c16="http://schemas.microsoft.com/office/drawing/2014/chart" uri="{C3380CC4-5D6E-409C-BE32-E72D297353CC}">
              <c16:uniqueId val="{00000000-57EC-4532-86A4-26D1982DDC5F}"/>
            </c:ext>
          </c:extLst>
        </c:ser>
        <c:dLbls>
          <c:dLblPos val="outEnd"/>
          <c:showLegendKey val="0"/>
          <c:showVal val="1"/>
          <c:showCatName val="0"/>
          <c:showSerName val="0"/>
          <c:showPercent val="0"/>
          <c:showBubbleSize val="0"/>
        </c:dLbls>
        <c:gapWidth val="100"/>
        <c:overlap val="-24"/>
        <c:axId val="341956911"/>
        <c:axId val="2089806095"/>
      </c:barChart>
      <c:catAx>
        <c:axId val="34195691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89806095"/>
        <c:crosses val="autoZero"/>
        <c:auto val="1"/>
        <c:lblAlgn val="ctr"/>
        <c:lblOffset val="100"/>
        <c:noMultiLvlLbl val="0"/>
      </c:catAx>
      <c:valAx>
        <c:axId val="2089806095"/>
        <c:scaling>
          <c:orientation val="minMax"/>
        </c:scaling>
        <c:delete val="1"/>
        <c:axPos val="l"/>
        <c:numFmt formatCode="General" sourceLinked="1"/>
        <c:majorTickMark val="none"/>
        <c:minorTickMark val="none"/>
        <c:tickLblPos val="nextTo"/>
        <c:crossAx val="341956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ESTADISTICO!TablaDinámica4</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Parte Afectada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ESTADISTICO'!$B$46</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ESTADISTICO'!$A$47:$A$59</c:f>
              <c:strCache>
                <c:ptCount val="12"/>
                <c:pt idx="0">
                  <c:v>Manos / dedos</c:v>
                </c:pt>
                <c:pt idx="1">
                  <c:v>Pie</c:v>
                </c:pt>
                <c:pt idx="2">
                  <c:v>Pierna</c:v>
                </c:pt>
                <c:pt idx="3">
                  <c:v>Ojos</c:v>
                </c:pt>
                <c:pt idx="4">
                  <c:v>Brazo</c:v>
                </c:pt>
                <c:pt idx="5">
                  <c:v>Multiples</c:v>
                </c:pt>
                <c:pt idx="6">
                  <c:v>Espalda</c:v>
                </c:pt>
                <c:pt idx="7">
                  <c:v>Rostro</c:v>
                </c:pt>
                <c:pt idx="8">
                  <c:v>Cabeza</c:v>
                </c:pt>
                <c:pt idx="9">
                  <c:v>Tronco</c:v>
                </c:pt>
                <c:pt idx="10">
                  <c:v>Pelvis</c:v>
                </c:pt>
                <c:pt idx="11">
                  <c:v>Lesion Interna</c:v>
                </c:pt>
              </c:strCache>
            </c:strRef>
          </c:cat>
          <c:val>
            <c:numRef>
              <c:f>'ANALISIS ESTADISTICO'!$B$47:$B$59</c:f>
              <c:numCache>
                <c:formatCode>General</c:formatCode>
                <c:ptCount val="12"/>
                <c:pt idx="0">
                  <c:v>71</c:v>
                </c:pt>
                <c:pt idx="1">
                  <c:v>29</c:v>
                </c:pt>
                <c:pt idx="2">
                  <c:v>29</c:v>
                </c:pt>
                <c:pt idx="3">
                  <c:v>26</c:v>
                </c:pt>
                <c:pt idx="4">
                  <c:v>20</c:v>
                </c:pt>
                <c:pt idx="5">
                  <c:v>18</c:v>
                </c:pt>
                <c:pt idx="6">
                  <c:v>17</c:v>
                </c:pt>
                <c:pt idx="7">
                  <c:v>9</c:v>
                </c:pt>
                <c:pt idx="8">
                  <c:v>8</c:v>
                </c:pt>
                <c:pt idx="9">
                  <c:v>3</c:v>
                </c:pt>
                <c:pt idx="10">
                  <c:v>1</c:v>
                </c:pt>
                <c:pt idx="11">
                  <c:v>1</c:v>
                </c:pt>
              </c:numCache>
            </c:numRef>
          </c:val>
          <c:extLst>
            <c:ext xmlns:c16="http://schemas.microsoft.com/office/drawing/2014/chart" uri="{C3380CC4-5D6E-409C-BE32-E72D297353CC}">
              <c16:uniqueId val="{00000000-7E08-4EF0-87A0-9F388BD4A48B}"/>
            </c:ext>
          </c:extLst>
        </c:ser>
        <c:dLbls>
          <c:dLblPos val="outEnd"/>
          <c:showLegendKey val="0"/>
          <c:showVal val="1"/>
          <c:showCatName val="0"/>
          <c:showSerName val="0"/>
          <c:showPercent val="0"/>
          <c:showBubbleSize val="0"/>
        </c:dLbls>
        <c:gapWidth val="100"/>
        <c:overlap val="-24"/>
        <c:axId val="341965551"/>
        <c:axId val="2060390895"/>
      </c:barChart>
      <c:catAx>
        <c:axId val="3419655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390895"/>
        <c:crosses val="autoZero"/>
        <c:auto val="1"/>
        <c:lblAlgn val="ctr"/>
        <c:lblOffset val="100"/>
        <c:noMultiLvlLbl val="0"/>
      </c:catAx>
      <c:valAx>
        <c:axId val="2060390895"/>
        <c:scaling>
          <c:orientation val="minMax"/>
        </c:scaling>
        <c:delete val="1"/>
        <c:axPos val="l"/>
        <c:numFmt formatCode="General" sourceLinked="1"/>
        <c:majorTickMark val="none"/>
        <c:minorTickMark val="none"/>
        <c:tickLblPos val="nextTo"/>
        <c:crossAx val="34196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ESTADISTICO!TablaDinámica5</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ANTIGÜEDAD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ESTADISTICO'!$B$62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ESTADISTICO'!$A$63:$A$66</c:f>
              <c:strCache>
                <c:ptCount val="3"/>
                <c:pt idx="0">
                  <c:v>ANTIGUO</c:v>
                </c:pt>
                <c:pt idx="1">
                  <c:v>NUEVO</c:v>
                </c:pt>
                <c:pt idx="2">
                  <c:v>INTERMEDIO</c:v>
                </c:pt>
              </c:strCache>
            </c:strRef>
          </c:cat>
          <c:val>
            <c:numRef>
              <c:f>'ANALISIS ESTADISTICO'!$B$63:$B$66</c:f>
              <c:numCache>
                <c:formatCode>General</c:formatCode>
                <c:ptCount val="3"/>
                <c:pt idx="0">
                  <c:v>120</c:v>
                </c:pt>
                <c:pt idx="1">
                  <c:v>70</c:v>
                </c:pt>
                <c:pt idx="2">
                  <c:v>42</c:v>
                </c:pt>
              </c:numCache>
            </c:numRef>
          </c:val>
          <c:extLst>
            <c:ext xmlns:c16="http://schemas.microsoft.com/office/drawing/2014/chart" uri="{C3380CC4-5D6E-409C-BE32-E72D297353CC}">
              <c16:uniqueId val="{00000000-C1F2-4E52-8304-8A82A0A6C49C}"/>
            </c:ext>
          </c:extLst>
        </c:ser>
        <c:dLbls>
          <c:dLblPos val="outEnd"/>
          <c:showLegendKey val="0"/>
          <c:showVal val="1"/>
          <c:showCatName val="0"/>
          <c:showSerName val="0"/>
          <c:showPercent val="0"/>
          <c:showBubbleSize val="0"/>
        </c:dLbls>
        <c:gapWidth val="100"/>
        <c:overlap val="-24"/>
        <c:axId val="342447247"/>
        <c:axId val="2089826927"/>
      </c:barChart>
      <c:catAx>
        <c:axId val="34244724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89826927"/>
        <c:crosses val="autoZero"/>
        <c:auto val="1"/>
        <c:lblAlgn val="ctr"/>
        <c:lblOffset val="100"/>
        <c:noMultiLvlLbl val="0"/>
      </c:catAx>
      <c:valAx>
        <c:axId val="2089826927"/>
        <c:scaling>
          <c:orientation val="minMax"/>
        </c:scaling>
        <c:delete val="1"/>
        <c:axPos val="l"/>
        <c:numFmt formatCode="General" sourceLinked="1"/>
        <c:majorTickMark val="none"/>
        <c:minorTickMark val="none"/>
        <c:tickLblPos val="nextTo"/>
        <c:crossAx val="34244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ESTADISTICO!TablaDinámica6</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Naturaleza</a:t>
            </a:r>
            <a:r>
              <a:rPr lang="en-US" baseline="0"/>
              <a:t> de la Lesion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ESTADISTICO'!$B$78</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 ESTADISTICO'!$A$79:$A$87</c:f>
              <c:strCache>
                <c:ptCount val="8"/>
                <c:pt idx="0">
                  <c:v>Contusión</c:v>
                </c:pt>
                <c:pt idx="1">
                  <c:v>Herida cortante</c:v>
                </c:pt>
                <c:pt idx="2">
                  <c:v>Otros</c:v>
                </c:pt>
                <c:pt idx="3">
                  <c:v>Conjuntivitis</c:v>
                </c:pt>
                <c:pt idx="4">
                  <c:v>Quemadura</c:v>
                </c:pt>
                <c:pt idx="5">
                  <c:v>Torsión</c:v>
                </c:pt>
                <c:pt idx="6">
                  <c:v>Atrición</c:v>
                </c:pt>
                <c:pt idx="7">
                  <c:v>Fractura</c:v>
                </c:pt>
              </c:strCache>
            </c:strRef>
          </c:cat>
          <c:val>
            <c:numRef>
              <c:f>'ANALISIS ESTADISTICO'!$B$79:$B$87</c:f>
              <c:numCache>
                <c:formatCode>General</c:formatCode>
                <c:ptCount val="8"/>
                <c:pt idx="0">
                  <c:v>126</c:v>
                </c:pt>
                <c:pt idx="1">
                  <c:v>33</c:v>
                </c:pt>
                <c:pt idx="2">
                  <c:v>25</c:v>
                </c:pt>
                <c:pt idx="3">
                  <c:v>20</c:v>
                </c:pt>
                <c:pt idx="4">
                  <c:v>10</c:v>
                </c:pt>
                <c:pt idx="5">
                  <c:v>10</c:v>
                </c:pt>
                <c:pt idx="6">
                  <c:v>7</c:v>
                </c:pt>
                <c:pt idx="7">
                  <c:v>1</c:v>
                </c:pt>
              </c:numCache>
            </c:numRef>
          </c:val>
          <c:extLst>
            <c:ext xmlns:c16="http://schemas.microsoft.com/office/drawing/2014/chart" uri="{C3380CC4-5D6E-409C-BE32-E72D297353CC}">
              <c16:uniqueId val="{00000000-BEEA-45E8-B45E-21C76A656221}"/>
            </c:ext>
          </c:extLst>
        </c:ser>
        <c:dLbls>
          <c:dLblPos val="outEnd"/>
          <c:showLegendKey val="0"/>
          <c:showVal val="1"/>
          <c:showCatName val="0"/>
          <c:showSerName val="0"/>
          <c:showPercent val="0"/>
          <c:showBubbleSize val="0"/>
        </c:dLbls>
        <c:gapWidth val="100"/>
        <c:overlap val="-24"/>
        <c:axId val="643940351"/>
        <c:axId val="2060438511"/>
      </c:barChart>
      <c:catAx>
        <c:axId val="6439403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438511"/>
        <c:crosses val="autoZero"/>
        <c:auto val="1"/>
        <c:lblAlgn val="ctr"/>
        <c:lblOffset val="100"/>
        <c:noMultiLvlLbl val="0"/>
      </c:catAx>
      <c:valAx>
        <c:axId val="2060438511"/>
        <c:scaling>
          <c:orientation val="minMax"/>
        </c:scaling>
        <c:delete val="1"/>
        <c:axPos val="l"/>
        <c:numFmt formatCode="General" sourceLinked="1"/>
        <c:majorTickMark val="none"/>
        <c:minorTickMark val="none"/>
        <c:tickLblPos val="nextTo"/>
        <c:crossAx val="64394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ESTADISTICO!TablaDinámica2</c:name>
    <c:fmtId val="1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Acc.</a:t>
            </a:r>
            <a:r>
              <a:rPr lang="en-US" baseline="0"/>
              <a:t> CTP y STP por area</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L"/>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 ESTADISTICO'!$B$92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'ANALISIS ESTADISTICO'!$A$93:$A$116</c:f>
              <c:multiLvlStrCache>
                <c:ptCount val="15"/>
                <c:lvl>
                  <c:pt idx="0">
                    <c:v>CTP</c:v>
                  </c:pt>
                  <c:pt idx="1">
                    <c:v>STP</c:v>
                  </c:pt>
                  <c:pt idx="2">
                    <c:v>CTP</c:v>
                  </c:pt>
                  <c:pt idx="3">
                    <c:v>STP</c:v>
                  </c:pt>
                  <c:pt idx="4">
                    <c:v>CTP</c:v>
                  </c:pt>
                  <c:pt idx="5">
                    <c:v>STP</c:v>
                  </c:pt>
                  <c:pt idx="6">
                    <c:v>CTP</c:v>
                  </c:pt>
                  <c:pt idx="7">
                    <c:v>STP</c:v>
                  </c:pt>
                  <c:pt idx="8">
                    <c:v>CTP</c:v>
                  </c:pt>
                  <c:pt idx="9">
                    <c:v>STP</c:v>
                  </c:pt>
                  <c:pt idx="10">
                    <c:v>CTP</c:v>
                  </c:pt>
                  <c:pt idx="11">
                    <c:v>STP</c:v>
                  </c:pt>
                  <c:pt idx="12">
                    <c:v>CTP</c:v>
                  </c:pt>
                  <c:pt idx="13">
                    <c:v>STP</c:v>
                  </c:pt>
                  <c:pt idx="14">
                    <c:v>STP</c:v>
                  </c:pt>
                </c:lvl>
                <c:lvl>
                  <c:pt idx="0">
                    <c:v>TROZADO DE POLLO</c:v>
                  </c:pt>
                  <c:pt idx="2">
                    <c:v>SSGG</c:v>
                  </c:pt>
                  <c:pt idx="4">
                    <c:v>P. POSTERIORES</c:v>
                  </c:pt>
                  <c:pt idx="6">
                    <c:v>FRIGORIFICO</c:v>
                  </c:pt>
                  <c:pt idx="8">
                    <c:v>IQF Y CALIBRADO</c:v>
                  </c:pt>
                  <c:pt idx="10">
                    <c:v>FAENACION</c:v>
                  </c:pt>
                  <c:pt idx="12">
                    <c:v>MANTENCION</c:v>
                  </c:pt>
                  <c:pt idx="14">
                    <c:v>CALIDAD</c:v>
                  </c:pt>
                </c:lvl>
              </c:multiLvlStrCache>
            </c:multiLvlStrRef>
          </c:cat>
          <c:val>
            <c:numRef>
              <c:f>'ANALISIS ESTADISTICO'!$B$93:$B$116</c:f>
              <c:numCache>
                <c:formatCode>General</c:formatCode>
                <c:ptCount val="15"/>
                <c:pt idx="0">
                  <c:v>15</c:v>
                </c:pt>
                <c:pt idx="1">
                  <c:v>7</c:v>
                </c:pt>
                <c:pt idx="2">
                  <c:v>13</c:v>
                </c:pt>
                <c:pt idx="3">
                  <c:v>7</c:v>
                </c:pt>
                <c:pt idx="4">
                  <c:v>3</c:v>
                </c:pt>
                <c:pt idx="5">
                  <c:v>5</c:v>
                </c:pt>
                <c:pt idx="6">
                  <c:v>5</c:v>
                </c:pt>
                <c:pt idx="7">
                  <c:v>3</c:v>
                </c:pt>
                <c:pt idx="8">
                  <c:v>2</c:v>
                </c:pt>
                <c:pt idx="9">
                  <c:v>6</c:v>
                </c:pt>
                <c:pt idx="10">
                  <c:v>4</c:v>
                </c:pt>
                <c:pt idx="11">
                  <c:v>2</c:v>
                </c:pt>
                <c:pt idx="12">
                  <c:v>3</c:v>
                </c:pt>
                <c:pt idx="13">
                  <c:v>2</c:v>
                </c:pt>
                <c:pt idx="14">
                  <c:v>1</c:v>
                </c:pt>
              </c:numCache>
            </c:numRef>
          </c:val>
          <c:extLst>
            <c:ext xmlns:c16="http://schemas.microsoft.com/office/drawing/2014/chart" uri="{C3380CC4-5D6E-409C-BE32-E72D297353CC}">
              <c16:uniqueId val="{00000000-DD9B-4728-A958-863FBFFC100B}"/>
            </c:ext>
          </c:extLst>
        </c:ser>
        <c:dLbls>
          <c:dLblPos val="outEnd"/>
          <c:showLegendKey val="0"/>
          <c:showVal val="1"/>
          <c:showCatName val="0"/>
          <c:showSerName val="0"/>
          <c:showPercent val="0"/>
          <c:showBubbleSize val="0"/>
        </c:dLbls>
        <c:gapWidth val="100"/>
        <c:overlap val="-24"/>
        <c:axId val="643916831"/>
        <c:axId val="2003602623"/>
      </c:barChart>
      <c:catAx>
        <c:axId val="64391683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03602623"/>
        <c:crosses val="autoZero"/>
        <c:auto val="1"/>
        <c:lblAlgn val="ctr"/>
        <c:lblOffset val="100"/>
        <c:noMultiLvlLbl val="0"/>
      </c:catAx>
      <c:valAx>
        <c:axId val="2003602623"/>
        <c:scaling>
          <c:orientation val="minMax"/>
        </c:scaling>
        <c:delete val="1"/>
        <c:axPos val="l"/>
        <c:numFmt formatCode="General" sourceLinked="1"/>
        <c:majorTickMark val="none"/>
        <c:minorTickMark val="none"/>
        <c:tickLblPos val="nextTo"/>
        <c:crossAx val="643916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2023.xlsx]ANALISIS ESTADISTICO!TablaDinámica7</c:name>
    <c:fmtId val="15"/>
  </c:pivotSource>
  <c:chart>
    <c:title>
      <c:tx>
        <c:rich>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Derivacion por Supervisor</a:t>
            </a:r>
            <a:endParaRPr lang="en-US"/>
          </a:p>
        </c:rich>
      </c:tx>
      <c:overlay val="0"/>
      <c:spPr>
        <a:noFill/>
        <a:ln>
          <a:noFill/>
        </a:ln>
        <a:effectLst/>
      </c:spPr>
      <c:txPr>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ivotFmts>
      <c:pivotFmt>
        <c:idx val="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s>
    <c:plotArea>
      <c:layout/>
      <c:pieChart>
        <c:varyColors val="1"/>
        <c:ser>
          <c:idx val="0"/>
          <c:order val="0"/>
          <c:tx>
            <c:strRef>
              <c:f>'ANALISIS ESTADISTICO'!$B$119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60-4A18-8473-B597BAAA9F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60-4A18-8473-B597BAAA9FC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360-4A18-8473-B597BAAA9FC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360-4A18-8473-B597BAAA9FC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360-4A18-8473-B597BAAA9FC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360-4A18-8473-B597BAAA9FC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360-4A18-8473-B597BAAA9FC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360-4A18-8473-B597BAAA9FC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360-4A18-8473-B597BAAA9FC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360-4A18-8473-B597BAAA9FC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360-4A18-8473-B597BAAA9FC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360-4A18-8473-B597BAAA9FC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F-99E9-45C9-9D24-F0347CA21F1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20-99E9-45C9-9D24-F0347CA21F1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2-99E9-45C9-9D24-F0347CA21F1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E-99E9-45C9-9D24-F0347CA21F1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360-4A18-8473-B597BAAA9FC9}"/>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360-4A18-8473-B597BAAA9FC9}"/>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0360-4A18-8473-B597BAAA9FC9}"/>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0360-4A18-8473-B597BAAA9FC9}"/>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0360-4A18-8473-B597BAAA9FC9}"/>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0360-4A18-8473-B597BAAA9FC9}"/>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0360-4A18-8473-B597BAAA9FC9}"/>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1D-99E9-45C9-9D24-F0347CA21F10}"/>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1C-99E9-45C9-9D24-F0347CA21F10}"/>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1B-99E9-45C9-9D24-F0347CA21F10}"/>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1A-99E9-45C9-9D24-F0347CA21F10}"/>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18-99E9-45C9-9D24-F0347CA21F10}"/>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19-99E9-45C9-9D24-F0347CA21F10}"/>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17-99E9-45C9-9D24-F0347CA21F10}"/>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6-99E9-45C9-9D24-F0347CA21F10}"/>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15-99E9-45C9-9D24-F0347CA21F10}"/>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14-99E9-45C9-9D24-F0347CA21F10}"/>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13-99E9-45C9-9D24-F0347CA21F10}"/>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12-99E9-45C9-9D24-F0347CA21F10}"/>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11-99E9-45C9-9D24-F0347CA21F10}"/>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10-99E9-45C9-9D24-F0347CA21F10}"/>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0F-99E9-45C9-9D24-F0347CA21F10}"/>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0E-99E9-45C9-9D24-F0347CA21F10}"/>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0D-99E9-45C9-9D24-F0347CA21F10}"/>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0C-99E9-45C9-9D24-F0347CA21F10}"/>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0B-99E9-45C9-9D24-F0347CA21F10}"/>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0A-99E9-45C9-9D24-F0347CA21F10}"/>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09-99E9-45C9-9D24-F0347CA21F10}"/>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08-99E9-45C9-9D24-F0347CA21F10}"/>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07-99E9-45C9-9D24-F0347CA21F10}"/>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06-99E9-45C9-9D24-F0347CA21F10}"/>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05-99E9-45C9-9D24-F0347CA21F10}"/>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04-99E9-45C9-9D24-F0347CA21F10}"/>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03-99E9-45C9-9D24-F0347CA21F10}"/>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0360-4A18-8473-B597BAAA9FC9}"/>
              </c:ext>
            </c:extLst>
          </c:dPt>
          <c:dLbls>
            <c:dLbl>
              <c:idx val="12"/>
              <c:delete val="1"/>
              <c:extLst>
                <c:ext xmlns:c15="http://schemas.microsoft.com/office/drawing/2012/chart" uri="{CE6537A1-D6FC-4f65-9D91-7224C49458BB}"/>
                <c:ext xmlns:c16="http://schemas.microsoft.com/office/drawing/2014/chart" uri="{C3380CC4-5D6E-409C-BE32-E72D297353CC}">
                  <c16:uniqueId val="{0000001F-99E9-45C9-9D24-F0347CA21F10}"/>
                </c:ext>
              </c:extLst>
            </c:dLbl>
            <c:dLbl>
              <c:idx val="13"/>
              <c:delete val="1"/>
              <c:extLst>
                <c:ext xmlns:c15="http://schemas.microsoft.com/office/drawing/2012/chart" uri="{CE6537A1-D6FC-4f65-9D91-7224C49458BB}"/>
                <c:ext xmlns:c16="http://schemas.microsoft.com/office/drawing/2014/chart" uri="{C3380CC4-5D6E-409C-BE32-E72D297353CC}">
                  <c16:uniqueId val="{00000020-99E9-45C9-9D24-F0347CA21F10}"/>
                </c:ext>
              </c:extLst>
            </c:dLbl>
            <c:dLbl>
              <c:idx val="15"/>
              <c:delete val="1"/>
              <c:extLst>
                <c:ext xmlns:c15="http://schemas.microsoft.com/office/drawing/2012/chart" uri="{CE6537A1-D6FC-4f65-9D91-7224C49458BB}"/>
                <c:ext xmlns:c16="http://schemas.microsoft.com/office/drawing/2014/chart" uri="{C3380CC4-5D6E-409C-BE32-E72D297353CC}">
                  <c16:uniqueId val="{0000001E-99E9-45C9-9D24-F0347CA21F10}"/>
                </c:ext>
              </c:extLst>
            </c:dLbl>
            <c:dLbl>
              <c:idx val="23"/>
              <c:delete val="1"/>
              <c:extLst>
                <c:ext xmlns:c15="http://schemas.microsoft.com/office/drawing/2012/chart" uri="{CE6537A1-D6FC-4f65-9D91-7224C49458BB}"/>
                <c:ext xmlns:c16="http://schemas.microsoft.com/office/drawing/2014/chart" uri="{C3380CC4-5D6E-409C-BE32-E72D297353CC}">
                  <c16:uniqueId val="{0000001D-99E9-45C9-9D24-F0347CA21F10}"/>
                </c:ext>
              </c:extLst>
            </c:dLbl>
            <c:dLbl>
              <c:idx val="24"/>
              <c:delete val="1"/>
              <c:extLst>
                <c:ext xmlns:c15="http://schemas.microsoft.com/office/drawing/2012/chart" uri="{CE6537A1-D6FC-4f65-9D91-7224C49458BB}"/>
                <c:ext xmlns:c16="http://schemas.microsoft.com/office/drawing/2014/chart" uri="{C3380CC4-5D6E-409C-BE32-E72D297353CC}">
                  <c16:uniqueId val="{0000001C-99E9-45C9-9D24-F0347CA21F10}"/>
                </c:ext>
              </c:extLst>
            </c:dLbl>
            <c:dLbl>
              <c:idx val="25"/>
              <c:delete val="1"/>
              <c:extLst>
                <c:ext xmlns:c15="http://schemas.microsoft.com/office/drawing/2012/chart" uri="{CE6537A1-D6FC-4f65-9D91-7224C49458BB}"/>
                <c:ext xmlns:c16="http://schemas.microsoft.com/office/drawing/2014/chart" uri="{C3380CC4-5D6E-409C-BE32-E72D297353CC}">
                  <c16:uniqueId val="{0000001B-99E9-45C9-9D24-F0347CA21F10}"/>
                </c:ext>
              </c:extLst>
            </c:dLbl>
            <c:dLbl>
              <c:idx val="26"/>
              <c:delete val="1"/>
              <c:extLst>
                <c:ext xmlns:c15="http://schemas.microsoft.com/office/drawing/2012/chart" uri="{CE6537A1-D6FC-4f65-9D91-7224C49458BB}"/>
                <c:ext xmlns:c16="http://schemas.microsoft.com/office/drawing/2014/chart" uri="{C3380CC4-5D6E-409C-BE32-E72D297353CC}">
                  <c16:uniqueId val="{0000001A-99E9-45C9-9D24-F0347CA21F10}"/>
                </c:ext>
              </c:extLst>
            </c:dLbl>
            <c:dLbl>
              <c:idx val="27"/>
              <c:delete val="1"/>
              <c:extLst>
                <c:ext xmlns:c15="http://schemas.microsoft.com/office/drawing/2012/chart" uri="{CE6537A1-D6FC-4f65-9D91-7224C49458BB}"/>
                <c:ext xmlns:c16="http://schemas.microsoft.com/office/drawing/2014/chart" uri="{C3380CC4-5D6E-409C-BE32-E72D297353CC}">
                  <c16:uniqueId val="{00000018-99E9-45C9-9D24-F0347CA21F10}"/>
                </c:ext>
              </c:extLst>
            </c:dLbl>
            <c:dLbl>
              <c:idx val="28"/>
              <c:delete val="1"/>
              <c:extLst>
                <c:ext xmlns:c15="http://schemas.microsoft.com/office/drawing/2012/chart" uri="{CE6537A1-D6FC-4f65-9D91-7224C49458BB}"/>
                <c:ext xmlns:c16="http://schemas.microsoft.com/office/drawing/2014/chart" uri="{C3380CC4-5D6E-409C-BE32-E72D297353CC}">
                  <c16:uniqueId val="{00000019-99E9-45C9-9D24-F0347CA21F10}"/>
                </c:ext>
              </c:extLst>
            </c:dLbl>
            <c:dLbl>
              <c:idx val="29"/>
              <c:delete val="1"/>
              <c:extLst>
                <c:ext xmlns:c15="http://schemas.microsoft.com/office/drawing/2012/chart" uri="{CE6537A1-D6FC-4f65-9D91-7224C49458BB}"/>
                <c:ext xmlns:c16="http://schemas.microsoft.com/office/drawing/2014/chart" uri="{C3380CC4-5D6E-409C-BE32-E72D297353CC}">
                  <c16:uniqueId val="{00000017-99E9-45C9-9D24-F0347CA21F10}"/>
                </c:ext>
              </c:extLst>
            </c:dLbl>
            <c:dLbl>
              <c:idx val="30"/>
              <c:delete val="1"/>
              <c:extLst>
                <c:ext xmlns:c15="http://schemas.microsoft.com/office/drawing/2012/chart" uri="{CE6537A1-D6FC-4f65-9D91-7224C49458BB}"/>
                <c:ext xmlns:c16="http://schemas.microsoft.com/office/drawing/2014/chart" uri="{C3380CC4-5D6E-409C-BE32-E72D297353CC}">
                  <c16:uniqueId val="{00000016-99E9-45C9-9D24-F0347CA21F10}"/>
                </c:ext>
              </c:extLst>
            </c:dLbl>
            <c:dLbl>
              <c:idx val="31"/>
              <c:delete val="1"/>
              <c:extLst>
                <c:ext xmlns:c15="http://schemas.microsoft.com/office/drawing/2012/chart" uri="{CE6537A1-D6FC-4f65-9D91-7224C49458BB}"/>
                <c:ext xmlns:c16="http://schemas.microsoft.com/office/drawing/2014/chart" uri="{C3380CC4-5D6E-409C-BE32-E72D297353CC}">
                  <c16:uniqueId val="{00000015-99E9-45C9-9D24-F0347CA21F10}"/>
                </c:ext>
              </c:extLst>
            </c:dLbl>
            <c:dLbl>
              <c:idx val="32"/>
              <c:delete val="1"/>
              <c:extLst>
                <c:ext xmlns:c15="http://schemas.microsoft.com/office/drawing/2012/chart" uri="{CE6537A1-D6FC-4f65-9D91-7224C49458BB}"/>
                <c:ext xmlns:c16="http://schemas.microsoft.com/office/drawing/2014/chart" uri="{C3380CC4-5D6E-409C-BE32-E72D297353CC}">
                  <c16:uniqueId val="{00000014-99E9-45C9-9D24-F0347CA21F10}"/>
                </c:ext>
              </c:extLst>
            </c:dLbl>
            <c:dLbl>
              <c:idx val="33"/>
              <c:delete val="1"/>
              <c:extLst>
                <c:ext xmlns:c15="http://schemas.microsoft.com/office/drawing/2012/chart" uri="{CE6537A1-D6FC-4f65-9D91-7224C49458BB}"/>
                <c:ext xmlns:c16="http://schemas.microsoft.com/office/drawing/2014/chart" uri="{C3380CC4-5D6E-409C-BE32-E72D297353CC}">
                  <c16:uniqueId val="{00000013-99E9-45C9-9D24-F0347CA21F10}"/>
                </c:ext>
              </c:extLst>
            </c:dLbl>
            <c:dLbl>
              <c:idx val="34"/>
              <c:delete val="1"/>
              <c:extLst>
                <c:ext xmlns:c15="http://schemas.microsoft.com/office/drawing/2012/chart" uri="{CE6537A1-D6FC-4f65-9D91-7224C49458BB}"/>
                <c:ext xmlns:c16="http://schemas.microsoft.com/office/drawing/2014/chart" uri="{C3380CC4-5D6E-409C-BE32-E72D297353CC}">
                  <c16:uniqueId val="{00000012-99E9-45C9-9D24-F0347CA21F10}"/>
                </c:ext>
              </c:extLst>
            </c:dLbl>
            <c:dLbl>
              <c:idx val="35"/>
              <c:delete val="1"/>
              <c:extLst>
                <c:ext xmlns:c15="http://schemas.microsoft.com/office/drawing/2012/chart" uri="{CE6537A1-D6FC-4f65-9D91-7224C49458BB}"/>
                <c:ext xmlns:c16="http://schemas.microsoft.com/office/drawing/2014/chart" uri="{C3380CC4-5D6E-409C-BE32-E72D297353CC}">
                  <c16:uniqueId val="{00000011-99E9-45C9-9D24-F0347CA21F10}"/>
                </c:ext>
              </c:extLst>
            </c:dLbl>
            <c:dLbl>
              <c:idx val="36"/>
              <c:delete val="1"/>
              <c:extLst>
                <c:ext xmlns:c15="http://schemas.microsoft.com/office/drawing/2012/chart" uri="{CE6537A1-D6FC-4f65-9D91-7224C49458BB}"/>
                <c:ext xmlns:c16="http://schemas.microsoft.com/office/drawing/2014/chart" uri="{C3380CC4-5D6E-409C-BE32-E72D297353CC}">
                  <c16:uniqueId val="{00000010-99E9-45C9-9D24-F0347CA21F10}"/>
                </c:ext>
              </c:extLst>
            </c:dLbl>
            <c:dLbl>
              <c:idx val="37"/>
              <c:delete val="1"/>
              <c:extLst>
                <c:ext xmlns:c15="http://schemas.microsoft.com/office/drawing/2012/chart" uri="{CE6537A1-D6FC-4f65-9D91-7224C49458BB}"/>
                <c:ext xmlns:c16="http://schemas.microsoft.com/office/drawing/2014/chart" uri="{C3380CC4-5D6E-409C-BE32-E72D297353CC}">
                  <c16:uniqueId val="{0000000F-99E9-45C9-9D24-F0347CA21F10}"/>
                </c:ext>
              </c:extLst>
            </c:dLbl>
            <c:dLbl>
              <c:idx val="38"/>
              <c:delete val="1"/>
              <c:extLst>
                <c:ext xmlns:c15="http://schemas.microsoft.com/office/drawing/2012/chart" uri="{CE6537A1-D6FC-4f65-9D91-7224C49458BB}"/>
                <c:ext xmlns:c16="http://schemas.microsoft.com/office/drawing/2014/chart" uri="{C3380CC4-5D6E-409C-BE32-E72D297353CC}">
                  <c16:uniqueId val="{0000000E-99E9-45C9-9D24-F0347CA21F10}"/>
                </c:ext>
              </c:extLst>
            </c:dLbl>
            <c:dLbl>
              <c:idx val="39"/>
              <c:delete val="1"/>
              <c:extLst>
                <c:ext xmlns:c15="http://schemas.microsoft.com/office/drawing/2012/chart" uri="{CE6537A1-D6FC-4f65-9D91-7224C49458BB}"/>
                <c:ext xmlns:c16="http://schemas.microsoft.com/office/drawing/2014/chart" uri="{C3380CC4-5D6E-409C-BE32-E72D297353CC}">
                  <c16:uniqueId val="{0000000D-99E9-45C9-9D24-F0347CA21F10}"/>
                </c:ext>
              </c:extLst>
            </c:dLbl>
            <c:dLbl>
              <c:idx val="40"/>
              <c:delete val="1"/>
              <c:extLst>
                <c:ext xmlns:c15="http://schemas.microsoft.com/office/drawing/2012/chart" uri="{CE6537A1-D6FC-4f65-9D91-7224C49458BB}"/>
                <c:ext xmlns:c16="http://schemas.microsoft.com/office/drawing/2014/chart" uri="{C3380CC4-5D6E-409C-BE32-E72D297353CC}">
                  <c16:uniqueId val="{0000000C-99E9-45C9-9D24-F0347CA21F10}"/>
                </c:ext>
              </c:extLst>
            </c:dLbl>
            <c:dLbl>
              <c:idx val="41"/>
              <c:delete val="1"/>
              <c:extLst>
                <c:ext xmlns:c15="http://schemas.microsoft.com/office/drawing/2012/chart" uri="{CE6537A1-D6FC-4f65-9D91-7224C49458BB}"/>
                <c:ext xmlns:c16="http://schemas.microsoft.com/office/drawing/2014/chart" uri="{C3380CC4-5D6E-409C-BE32-E72D297353CC}">
                  <c16:uniqueId val="{0000000B-99E9-45C9-9D24-F0347CA21F10}"/>
                </c:ext>
              </c:extLst>
            </c:dLbl>
            <c:dLbl>
              <c:idx val="42"/>
              <c:delete val="1"/>
              <c:extLst>
                <c:ext xmlns:c15="http://schemas.microsoft.com/office/drawing/2012/chart" uri="{CE6537A1-D6FC-4f65-9D91-7224C49458BB}"/>
                <c:ext xmlns:c16="http://schemas.microsoft.com/office/drawing/2014/chart" uri="{C3380CC4-5D6E-409C-BE32-E72D297353CC}">
                  <c16:uniqueId val="{0000000A-99E9-45C9-9D24-F0347CA21F10}"/>
                </c:ext>
              </c:extLst>
            </c:dLbl>
            <c:dLbl>
              <c:idx val="43"/>
              <c:delete val="1"/>
              <c:extLst>
                <c:ext xmlns:c15="http://schemas.microsoft.com/office/drawing/2012/chart" uri="{CE6537A1-D6FC-4f65-9D91-7224C49458BB}"/>
                <c:ext xmlns:c16="http://schemas.microsoft.com/office/drawing/2014/chart" uri="{C3380CC4-5D6E-409C-BE32-E72D297353CC}">
                  <c16:uniqueId val="{00000009-99E9-45C9-9D24-F0347CA21F10}"/>
                </c:ext>
              </c:extLst>
            </c:dLbl>
            <c:dLbl>
              <c:idx val="44"/>
              <c:delete val="1"/>
              <c:extLst>
                <c:ext xmlns:c15="http://schemas.microsoft.com/office/drawing/2012/chart" uri="{CE6537A1-D6FC-4f65-9D91-7224C49458BB}"/>
                <c:ext xmlns:c16="http://schemas.microsoft.com/office/drawing/2014/chart" uri="{C3380CC4-5D6E-409C-BE32-E72D297353CC}">
                  <c16:uniqueId val="{00000008-99E9-45C9-9D24-F0347CA21F10}"/>
                </c:ext>
              </c:extLst>
            </c:dLbl>
            <c:dLbl>
              <c:idx val="45"/>
              <c:delete val="1"/>
              <c:extLst>
                <c:ext xmlns:c15="http://schemas.microsoft.com/office/drawing/2012/chart" uri="{CE6537A1-D6FC-4f65-9D91-7224C49458BB}"/>
                <c:ext xmlns:c16="http://schemas.microsoft.com/office/drawing/2014/chart" uri="{C3380CC4-5D6E-409C-BE32-E72D297353CC}">
                  <c16:uniqueId val="{00000007-99E9-45C9-9D24-F0347CA21F10}"/>
                </c:ext>
              </c:extLst>
            </c:dLbl>
            <c:dLbl>
              <c:idx val="46"/>
              <c:delete val="1"/>
              <c:extLst>
                <c:ext xmlns:c15="http://schemas.microsoft.com/office/drawing/2012/chart" uri="{CE6537A1-D6FC-4f65-9D91-7224C49458BB}"/>
                <c:ext xmlns:c16="http://schemas.microsoft.com/office/drawing/2014/chart" uri="{C3380CC4-5D6E-409C-BE32-E72D297353CC}">
                  <c16:uniqueId val="{00000006-99E9-45C9-9D24-F0347CA21F10}"/>
                </c:ext>
              </c:extLst>
            </c:dLbl>
            <c:dLbl>
              <c:idx val="47"/>
              <c:delete val="1"/>
              <c:extLst>
                <c:ext xmlns:c15="http://schemas.microsoft.com/office/drawing/2012/chart" uri="{CE6537A1-D6FC-4f65-9D91-7224C49458BB}"/>
                <c:ext xmlns:c16="http://schemas.microsoft.com/office/drawing/2014/chart" uri="{C3380CC4-5D6E-409C-BE32-E72D297353CC}">
                  <c16:uniqueId val="{00000005-99E9-45C9-9D24-F0347CA21F10}"/>
                </c:ext>
              </c:extLst>
            </c:dLbl>
            <c:dLbl>
              <c:idx val="48"/>
              <c:delete val="1"/>
              <c:extLst>
                <c:ext xmlns:c15="http://schemas.microsoft.com/office/drawing/2012/chart" uri="{CE6537A1-D6FC-4f65-9D91-7224C49458BB}"/>
                <c:ext xmlns:c16="http://schemas.microsoft.com/office/drawing/2014/chart" uri="{C3380CC4-5D6E-409C-BE32-E72D297353CC}">
                  <c16:uniqueId val="{00000004-99E9-45C9-9D24-F0347CA21F10}"/>
                </c:ext>
              </c:extLst>
            </c:dLbl>
            <c:dLbl>
              <c:idx val="49"/>
              <c:delete val="1"/>
              <c:extLst>
                <c:ext xmlns:c15="http://schemas.microsoft.com/office/drawing/2012/chart" uri="{CE6537A1-D6FC-4f65-9D91-7224C49458BB}"/>
                <c:ext xmlns:c16="http://schemas.microsoft.com/office/drawing/2014/chart" uri="{C3380CC4-5D6E-409C-BE32-E72D297353CC}">
                  <c16:uniqueId val="{00000003-99E9-45C9-9D24-F0347CA21F10}"/>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L"/>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'ANALISIS ESTADISTICO'!$A$120:$A$171</c:f>
              <c:strCache>
                <c:ptCount val="51"/>
                <c:pt idx="0">
                  <c:v>JOSE CARVALLO</c:v>
                </c:pt>
                <c:pt idx="1">
                  <c:v>ALEJANDRO TORRES</c:v>
                </c:pt>
                <c:pt idx="2">
                  <c:v>PATRICIO PALACIOS</c:v>
                </c:pt>
                <c:pt idx="3">
                  <c:v>MAXIMO CAMPOS</c:v>
                </c:pt>
                <c:pt idx="4">
                  <c:v>MARCOS QUINTANILLA</c:v>
                </c:pt>
                <c:pt idx="5">
                  <c:v>ERWIN GATICA</c:v>
                </c:pt>
                <c:pt idx="6">
                  <c:v>RAMIRO RAMIREZ</c:v>
                </c:pt>
                <c:pt idx="7">
                  <c:v>FRANCISCO SANCHEZ</c:v>
                </c:pt>
                <c:pt idx="8">
                  <c:v>JORGE MEZA</c:v>
                </c:pt>
                <c:pt idx="9">
                  <c:v>LUIS URBINA</c:v>
                </c:pt>
                <c:pt idx="10">
                  <c:v>ARNALDO VERA</c:v>
                </c:pt>
                <c:pt idx="11">
                  <c:v>CESAR CARTAGENA</c:v>
                </c:pt>
                <c:pt idx="12">
                  <c:v>FERNANDO FUENTEALBA</c:v>
                </c:pt>
                <c:pt idx="13">
                  <c:v>ALEJANDRO SALAS</c:v>
                </c:pt>
                <c:pt idx="14">
                  <c:v>MAURICIO HERNANDEZ</c:v>
                </c:pt>
                <c:pt idx="15">
                  <c:v>EMANUEL MELLADO</c:v>
                </c:pt>
                <c:pt idx="16">
                  <c:v>EDGAR HERNANDEZ</c:v>
                </c:pt>
                <c:pt idx="17">
                  <c:v>NICOLAS ROJAS</c:v>
                </c:pt>
                <c:pt idx="18">
                  <c:v>MIGUEL HENRRIQUEZ</c:v>
                </c:pt>
                <c:pt idx="19">
                  <c:v>DANIEL GONZALEZ</c:v>
                </c:pt>
                <c:pt idx="20">
                  <c:v>JORDAN FARIAS</c:v>
                </c:pt>
                <c:pt idx="21">
                  <c:v>FRANCISCO CASTRO</c:v>
                </c:pt>
                <c:pt idx="22">
                  <c:v>CLAUDIO CID</c:v>
                </c:pt>
                <c:pt idx="23">
                  <c:v>JAQUELIN PAVEZ</c:v>
                </c:pt>
                <c:pt idx="24">
                  <c:v>ALVARO ABARCA</c:v>
                </c:pt>
                <c:pt idx="25">
                  <c:v>JUAN VILLAVICENCIO</c:v>
                </c:pt>
                <c:pt idx="26">
                  <c:v>CRISTIAN MESA</c:v>
                </c:pt>
                <c:pt idx="27">
                  <c:v>HECNIMAR URDANETA</c:v>
                </c:pt>
                <c:pt idx="28">
                  <c:v>ROLANDO EMIHUEQUE</c:v>
                </c:pt>
                <c:pt idx="29">
                  <c:v>JOSELINNE ALARCON</c:v>
                </c:pt>
                <c:pt idx="30">
                  <c:v>ORLANDO FARIAS</c:v>
                </c:pt>
                <c:pt idx="31">
                  <c:v>YESENIA VALDÉS</c:v>
                </c:pt>
                <c:pt idx="32">
                  <c:v>CRISTIAN VELIZ</c:v>
                </c:pt>
                <c:pt idx="33">
                  <c:v>IGNACIO MEZA</c:v>
                </c:pt>
                <c:pt idx="34">
                  <c:v>VICTOR GOMEZ</c:v>
                </c:pt>
                <c:pt idx="35">
                  <c:v>FRANCISCO ACEVEDO</c:v>
                </c:pt>
                <c:pt idx="36">
                  <c:v>ANTONIO RIVAS</c:v>
                </c:pt>
                <c:pt idx="37">
                  <c:v>JEAQUELINE PAVEZ</c:v>
                </c:pt>
                <c:pt idx="38">
                  <c:v>PATRICIO MACIEL </c:v>
                </c:pt>
                <c:pt idx="39">
                  <c:v>MATIAS CASTRO</c:v>
                </c:pt>
                <c:pt idx="40">
                  <c:v>PATRICIO PALACIOS </c:v>
                </c:pt>
                <c:pt idx="41">
                  <c:v>MATIAS PENROZ</c:v>
                </c:pt>
                <c:pt idx="42">
                  <c:v>ROBERTO LOYOLA</c:v>
                </c:pt>
                <c:pt idx="43">
                  <c:v>JOCELYN ALARCON</c:v>
                </c:pt>
                <c:pt idx="44">
                  <c:v>SERGIO AQUEVEQUE</c:v>
                </c:pt>
                <c:pt idx="45">
                  <c:v>JONATHAN VERA</c:v>
                </c:pt>
                <c:pt idx="46">
                  <c:v>VICTORIA MILLANERS</c:v>
                </c:pt>
                <c:pt idx="47">
                  <c:v>DAVID ROMO</c:v>
                </c:pt>
                <c:pt idx="48">
                  <c:v>NELSON PIZARRO</c:v>
                </c:pt>
                <c:pt idx="49">
                  <c:v>LUIS BUSTAMANTE</c:v>
                </c:pt>
                <c:pt idx="50">
                  <c:v>(en blanco)</c:v>
                </c:pt>
              </c:strCache>
            </c:strRef>
          </c:cat>
          <c:val>
            <c:numRef>
              <c:f>'ANALISIS ESTADISTICO'!$B$120:$B$171</c:f>
              <c:numCache>
                <c:formatCode>General</c:formatCode>
                <c:ptCount val="51"/>
                <c:pt idx="0">
                  <c:v>28</c:v>
                </c:pt>
                <c:pt idx="1">
                  <c:v>13</c:v>
                </c:pt>
                <c:pt idx="2">
                  <c:v>10</c:v>
                </c:pt>
                <c:pt idx="3">
                  <c:v>9</c:v>
                </c:pt>
                <c:pt idx="4">
                  <c:v>8</c:v>
                </c:pt>
                <c:pt idx="5">
                  <c:v>7</c:v>
                </c:pt>
                <c:pt idx="6">
                  <c:v>7</c:v>
                </c:pt>
                <c:pt idx="7">
                  <c:v>7</c:v>
                </c:pt>
                <c:pt idx="8">
                  <c:v>7</c:v>
                </c:pt>
                <c:pt idx="9">
                  <c:v>6</c:v>
                </c:pt>
                <c:pt idx="10">
                  <c:v>6</c:v>
                </c:pt>
                <c:pt idx="11">
                  <c:v>6</c:v>
                </c:pt>
                <c:pt idx="12">
                  <c:v>5</c:v>
                </c:pt>
                <c:pt idx="13">
                  <c:v>5</c:v>
                </c:pt>
                <c:pt idx="14">
                  <c:v>4</c:v>
                </c:pt>
                <c:pt idx="15">
                  <c:v>4</c:v>
                </c:pt>
                <c:pt idx="16">
                  <c:v>3</c:v>
                </c:pt>
                <c:pt idx="17">
                  <c:v>3</c:v>
                </c:pt>
                <c:pt idx="18">
                  <c:v>3</c:v>
                </c:pt>
                <c:pt idx="19">
                  <c:v>3</c:v>
                </c:pt>
                <c:pt idx="20">
                  <c:v>3</c:v>
                </c:pt>
                <c:pt idx="21">
                  <c:v>2</c:v>
                </c:pt>
                <c:pt idx="22">
                  <c:v>2</c:v>
                </c:pt>
                <c:pt idx="23">
                  <c:v>2</c:v>
                </c:pt>
                <c:pt idx="24">
                  <c:v>2</c:v>
                </c:pt>
                <c:pt idx="25">
                  <c:v>2</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extLst>
            <c:ext xmlns:c16="http://schemas.microsoft.com/office/drawing/2014/chart" uri="{C3380CC4-5D6E-409C-BE32-E72D297353CC}">
              <c16:uniqueId val="{00000000-99E9-45C9-9D24-F0347CA21F10}"/>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 Id="rId9"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2.xml"/><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10" Type="http://schemas.openxmlformats.org/officeDocument/2006/relationships/chart" Target="../charts/chart24.xml"/><Relationship Id="rId4" Type="http://schemas.openxmlformats.org/officeDocument/2006/relationships/chart" Target="../charts/chart18.xml"/><Relationship Id="rId9" Type="http://schemas.openxmlformats.org/officeDocument/2006/relationships/chart" Target="../charts/chart23.xml"/></Relationships>
</file>

<file path=xl/drawings/_rels/drawing6.xml.rels><?xml version="1.0" encoding="UTF-8" standalone="yes"?>
<Relationships xmlns="http://schemas.openxmlformats.org/package/2006/relationships"><Relationship Id="rId8" Type="http://schemas.openxmlformats.org/officeDocument/2006/relationships/chart" Target="../charts/chart32.xml"/><Relationship Id="rId13" Type="http://schemas.openxmlformats.org/officeDocument/2006/relationships/chart" Target="../charts/chart37.xml"/><Relationship Id="rId3" Type="http://schemas.openxmlformats.org/officeDocument/2006/relationships/chart" Target="../charts/chart27.xml"/><Relationship Id="rId7" Type="http://schemas.openxmlformats.org/officeDocument/2006/relationships/chart" Target="../charts/chart31.xml"/><Relationship Id="rId12" Type="http://schemas.openxmlformats.org/officeDocument/2006/relationships/chart" Target="../charts/chart36.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11" Type="http://schemas.openxmlformats.org/officeDocument/2006/relationships/chart" Target="../charts/chart35.xml"/><Relationship Id="rId5" Type="http://schemas.openxmlformats.org/officeDocument/2006/relationships/chart" Target="../charts/chart29.xml"/><Relationship Id="rId10" Type="http://schemas.openxmlformats.org/officeDocument/2006/relationships/chart" Target="../charts/chart34.xml"/><Relationship Id="rId4" Type="http://schemas.openxmlformats.org/officeDocument/2006/relationships/chart" Target="../charts/chart28.xml"/><Relationship Id="rId9" Type="http://schemas.openxmlformats.org/officeDocument/2006/relationships/chart" Target="../charts/chart33.xml"/><Relationship Id="rId14" Type="http://schemas.openxmlformats.org/officeDocument/2006/relationships/chart" Target="../charts/chart3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41.xml"/><Relationship Id="rId7" Type="http://schemas.openxmlformats.org/officeDocument/2006/relationships/chart" Target="../charts/chart45.xml"/><Relationship Id="rId2" Type="http://schemas.openxmlformats.org/officeDocument/2006/relationships/chart" Target="../charts/chart40.xml"/><Relationship Id="rId1" Type="http://schemas.openxmlformats.org/officeDocument/2006/relationships/chart" Target="../charts/chart39.xml"/><Relationship Id="rId6" Type="http://schemas.openxmlformats.org/officeDocument/2006/relationships/chart" Target="../charts/chart44.xml"/><Relationship Id="rId5" Type="http://schemas.openxmlformats.org/officeDocument/2006/relationships/chart" Target="../charts/chart43.xml"/><Relationship Id="rId4" Type="http://schemas.openxmlformats.org/officeDocument/2006/relationships/chart" Target="../charts/chart42.xml"/></Relationships>
</file>

<file path=xl/drawings/drawing1.xml><?xml version="1.0" encoding="utf-8"?>
<xdr:wsDr xmlns:xdr="http://schemas.openxmlformats.org/drawingml/2006/spreadsheetDrawing" xmlns:a="http://schemas.openxmlformats.org/drawingml/2006/main">
  <xdr:twoCellAnchor>
    <xdr:from>
      <xdr:col>0</xdr:col>
      <xdr:colOff>66647</xdr:colOff>
      <xdr:row>0</xdr:row>
      <xdr:rowOff>118542</xdr:rowOff>
    </xdr:from>
    <xdr:to>
      <xdr:col>3</xdr:col>
      <xdr:colOff>66647</xdr:colOff>
      <xdr:row>4</xdr:row>
      <xdr:rowOff>95249</xdr:rowOff>
    </xdr:to>
    <xdr:pic>
      <xdr:nvPicPr>
        <xdr:cNvPr id="1426" name="Imagen 1" descr="logo Ariztia jpg">
          <a:extLst>
            <a:ext uri="{FF2B5EF4-FFF2-40B4-BE49-F238E27FC236}">
              <a16:creationId xmlns:a16="http://schemas.microsoft.com/office/drawing/2014/main" id="{00000000-0008-0000-0000-000092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47" y="118542"/>
          <a:ext cx="2286000" cy="717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66675</xdr:rowOff>
    </xdr:from>
    <xdr:to>
      <xdr:col>2</xdr:col>
      <xdr:colOff>104775</xdr:colOff>
      <xdr:row>3</xdr:row>
      <xdr:rowOff>38100</xdr:rowOff>
    </xdr:to>
    <xdr:pic>
      <xdr:nvPicPr>
        <xdr:cNvPr id="2" name="Imagen 1" descr="logo Ariztia jpg">
          <a:extLst>
            <a:ext uri="{FF2B5EF4-FFF2-40B4-BE49-F238E27FC236}">
              <a16:creationId xmlns:a16="http://schemas.microsoft.com/office/drawing/2014/main" id="{62DB85A6-B532-487F-BD43-303EA7859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675"/>
          <a:ext cx="14287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59</xdr:row>
      <xdr:rowOff>47625</xdr:rowOff>
    </xdr:from>
    <xdr:to>
      <xdr:col>5</xdr:col>
      <xdr:colOff>47625</xdr:colOff>
      <xdr:row>76</xdr:row>
      <xdr:rowOff>19050</xdr:rowOff>
    </xdr:to>
    <xdr:graphicFrame macro="">
      <xdr:nvGraphicFramePr>
        <xdr:cNvPr id="2" name="Gráfico 1">
          <a:extLst>
            <a:ext uri="{FF2B5EF4-FFF2-40B4-BE49-F238E27FC236}">
              <a16:creationId xmlns:a16="http://schemas.microsoft.com/office/drawing/2014/main" id="{C74761A6-09D2-BDE4-FEFE-30CE2EB27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123825</xdr:colOff>
      <xdr:row>17</xdr:row>
      <xdr:rowOff>142875</xdr:rowOff>
    </xdr:from>
    <xdr:to>
      <xdr:col>26</xdr:col>
      <xdr:colOff>285750</xdr:colOff>
      <xdr:row>34</xdr:row>
      <xdr:rowOff>114300</xdr:rowOff>
    </xdr:to>
    <xdr:graphicFrame macro="">
      <xdr:nvGraphicFramePr>
        <xdr:cNvPr id="16" name="Gráfico 4">
          <a:extLst>
            <a:ext uri="{FF2B5EF4-FFF2-40B4-BE49-F238E27FC236}">
              <a16:creationId xmlns:a16="http://schemas.microsoft.com/office/drawing/2014/main" id="{C669EB32-84F8-3A33-E1BA-C5DE3843C97C}"/>
            </a:ext>
            <a:ext uri="{147F2762-F138-4A5C-976F-8EAC2B608ADB}">
              <a16:predDERef xmlns:a16="http://schemas.microsoft.com/office/drawing/2014/main" pred="{B1A3FAA8-A83E-265D-5BF4-63DB1A349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114300</xdr:colOff>
      <xdr:row>0</xdr:row>
      <xdr:rowOff>85725</xdr:rowOff>
    </xdr:from>
    <xdr:to>
      <xdr:col>26</xdr:col>
      <xdr:colOff>285750</xdr:colOff>
      <xdr:row>17</xdr:row>
      <xdr:rowOff>47625</xdr:rowOff>
    </xdr:to>
    <xdr:graphicFrame macro="">
      <xdr:nvGraphicFramePr>
        <xdr:cNvPr id="15" name="Gráfico 2">
          <a:extLst>
            <a:ext uri="{FF2B5EF4-FFF2-40B4-BE49-F238E27FC236}">
              <a16:creationId xmlns:a16="http://schemas.microsoft.com/office/drawing/2014/main" id="{B8CEBDB5-F4F2-2F8F-172A-87DB48E39B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28575</xdr:colOff>
      <xdr:row>78</xdr:row>
      <xdr:rowOff>185737</xdr:rowOff>
    </xdr:from>
    <xdr:to>
      <xdr:col>11</xdr:col>
      <xdr:colOff>1704975</xdr:colOff>
      <xdr:row>93</xdr:row>
      <xdr:rowOff>128587</xdr:rowOff>
    </xdr:to>
    <xdr:graphicFrame macro="">
      <xdr:nvGraphicFramePr>
        <xdr:cNvPr id="4" name="Gráfico 3">
          <a:extLst>
            <a:ext uri="{FF2B5EF4-FFF2-40B4-BE49-F238E27FC236}">
              <a16:creationId xmlns:a16="http://schemas.microsoft.com/office/drawing/2014/main" id="{BD3E024B-01AB-A5EE-4503-052569E7A5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581025</xdr:colOff>
      <xdr:row>0</xdr:row>
      <xdr:rowOff>100012</xdr:rowOff>
    </xdr:from>
    <xdr:to>
      <xdr:col>33</xdr:col>
      <xdr:colOff>487050</xdr:colOff>
      <xdr:row>17</xdr:row>
      <xdr:rowOff>19050</xdr:rowOff>
    </xdr:to>
    <xdr:graphicFrame macro="">
      <xdr:nvGraphicFramePr>
        <xdr:cNvPr id="14" name="Gráfico 2">
          <a:extLst>
            <a:ext uri="{FF2B5EF4-FFF2-40B4-BE49-F238E27FC236}">
              <a16:creationId xmlns:a16="http://schemas.microsoft.com/office/drawing/2014/main" id="{8BFA769E-B753-C348-18D0-A029A3D14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xdr:colOff>
      <xdr:row>17</xdr:row>
      <xdr:rowOff>57150</xdr:rowOff>
    </xdr:from>
    <xdr:to>
      <xdr:col>6</xdr:col>
      <xdr:colOff>9525</xdr:colOff>
      <xdr:row>34</xdr:row>
      <xdr:rowOff>47625</xdr:rowOff>
    </xdr:to>
    <xdr:graphicFrame macro="">
      <xdr:nvGraphicFramePr>
        <xdr:cNvPr id="5794910" name="Gráfico 12">
          <a:extLst>
            <a:ext uri="{FF2B5EF4-FFF2-40B4-BE49-F238E27FC236}">
              <a16:creationId xmlns:a16="http://schemas.microsoft.com/office/drawing/2014/main" id="{00000000-0008-0000-0300-00005E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34</xdr:row>
      <xdr:rowOff>85725</xdr:rowOff>
    </xdr:from>
    <xdr:to>
      <xdr:col>6</xdr:col>
      <xdr:colOff>9525</xdr:colOff>
      <xdr:row>50</xdr:row>
      <xdr:rowOff>19050</xdr:rowOff>
    </xdr:to>
    <xdr:graphicFrame macro="">
      <xdr:nvGraphicFramePr>
        <xdr:cNvPr id="5794912" name="Gráfico 24">
          <a:extLst>
            <a:ext uri="{FF2B5EF4-FFF2-40B4-BE49-F238E27FC236}">
              <a16:creationId xmlns:a16="http://schemas.microsoft.com/office/drawing/2014/main" id="{00000000-0008-0000-0300-000060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xdr:colOff>
      <xdr:row>154</xdr:row>
      <xdr:rowOff>76200</xdr:rowOff>
    </xdr:from>
    <xdr:to>
      <xdr:col>6</xdr:col>
      <xdr:colOff>9525</xdr:colOff>
      <xdr:row>173</xdr:row>
      <xdr:rowOff>95250</xdr:rowOff>
    </xdr:to>
    <xdr:graphicFrame macro="">
      <xdr:nvGraphicFramePr>
        <xdr:cNvPr id="5794915" name="Gráfico 30">
          <a:extLst>
            <a:ext uri="{FF2B5EF4-FFF2-40B4-BE49-F238E27FC236}">
              <a16:creationId xmlns:a16="http://schemas.microsoft.com/office/drawing/2014/main" id="{00000000-0008-0000-0300-000063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6</xdr:col>
      <xdr:colOff>0</xdr:colOff>
      <xdr:row>16</xdr:row>
      <xdr:rowOff>142875</xdr:rowOff>
    </xdr:to>
    <xdr:graphicFrame macro="">
      <xdr:nvGraphicFramePr>
        <xdr:cNvPr id="5794916" name="Gráfico 18">
          <a:extLst>
            <a:ext uri="{FF2B5EF4-FFF2-40B4-BE49-F238E27FC236}">
              <a16:creationId xmlns:a16="http://schemas.microsoft.com/office/drawing/2014/main" id="{00000000-0008-0000-0300-0000646C5800}"/>
            </a:ext>
            <a:ext uri="{147F2762-F138-4A5C-976F-8EAC2B608ADB}">
              <a16:predDERef xmlns:a16="http://schemas.microsoft.com/office/drawing/2014/main" pred="{00000000-0008-0000-0300-000063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8659</xdr:colOff>
      <xdr:row>0</xdr:row>
      <xdr:rowOff>25978</xdr:rowOff>
    </xdr:from>
    <xdr:to>
      <xdr:col>13</xdr:col>
      <xdr:colOff>18185</xdr:colOff>
      <xdr:row>17</xdr:row>
      <xdr:rowOff>64078</xdr:rowOff>
    </xdr:to>
    <xdr:graphicFrame macro="">
      <xdr:nvGraphicFramePr>
        <xdr:cNvPr id="5794917" name="Gráfico 20">
          <a:extLst>
            <a:ext uri="{FF2B5EF4-FFF2-40B4-BE49-F238E27FC236}">
              <a16:creationId xmlns:a16="http://schemas.microsoft.com/office/drawing/2014/main" id="{00000000-0008-0000-0300-0000656C5800}"/>
            </a:ext>
            <a:ext uri="{147F2762-F138-4A5C-976F-8EAC2B608ADB}">
              <a16:predDERef xmlns:a16="http://schemas.microsoft.com/office/drawing/2014/main" pred="{00000000-0008-0000-0300-000064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320387</xdr:colOff>
      <xdr:row>17</xdr:row>
      <xdr:rowOff>76200</xdr:rowOff>
    </xdr:from>
    <xdr:to>
      <xdr:col>13</xdr:col>
      <xdr:colOff>25978</xdr:colOff>
      <xdr:row>34</xdr:row>
      <xdr:rowOff>57150</xdr:rowOff>
    </xdr:to>
    <xdr:graphicFrame macro="">
      <xdr:nvGraphicFramePr>
        <xdr:cNvPr id="5794918" name="Gráfico 16">
          <a:extLst>
            <a:ext uri="{FF2B5EF4-FFF2-40B4-BE49-F238E27FC236}">
              <a16:creationId xmlns:a16="http://schemas.microsoft.com/office/drawing/2014/main" id="{00000000-0008-0000-0300-0000666C5800}"/>
            </a:ext>
            <a:ext uri="{147F2762-F138-4A5C-976F-8EAC2B608ADB}">
              <a16:predDERef xmlns:a16="http://schemas.microsoft.com/office/drawing/2014/main" pred="{00000000-0008-0000-0300-000065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84</xdr:row>
      <xdr:rowOff>0</xdr:rowOff>
    </xdr:from>
    <xdr:to>
      <xdr:col>6</xdr:col>
      <xdr:colOff>0</xdr:colOff>
      <xdr:row>101</xdr:row>
      <xdr:rowOff>0</xdr:rowOff>
    </xdr:to>
    <xdr:graphicFrame macro="">
      <xdr:nvGraphicFramePr>
        <xdr:cNvPr id="5794921" name="Gráfico 28">
          <a:extLst>
            <a:ext uri="{FF2B5EF4-FFF2-40B4-BE49-F238E27FC236}">
              <a16:creationId xmlns:a16="http://schemas.microsoft.com/office/drawing/2014/main" id="{00000000-0008-0000-0300-000069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361950</xdr:colOff>
      <xdr:row>84</xdr:row>
      <xdr:rowOff>66675</xdr:rowOff>
    </xdr:from>
    <xdr:to>
      <xdr:col>12</xdr:col>
      <xdr:colOff>361950</xdr:colOff>
      <xdr:row>101</xdr:row>
      <xdr:rowOff>76200</xdr:rowOff>
    </xdr:to>
    <xdr:graphicFrame macro="">
      <xdr:nvGraphicFramePr>
        <xdr:cNvPr id="5794922" name="Gráfico 22">
          <a:extLst>
            <a:ext uri="{FF2B5EF4-FFF2-40B4-BE49-F238E27FC236}">
              <a16:creationId xmlns:a16="http://schemas.microsoft.com/office/drawing/2014/main" id="{00000000-0008-0000-0300-00006A6C5800}"/>
            </a:ext>
            <a:ext uri="{147F2762-F138-4A5C-976F-8EAC2B608ADB}">
              <a16:predDERef xmlns:a16="http://schemas.microsoft.com/office/drawing/2014/main" pred="{00000000-0008-0000-0300-000069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43294</xdr:colOff>
      <xdr:row>34</xdr:row>
      <xdr:rowOff>103908</xdr:rowOff>
    </xdr:from>
    <xdr:to>
      <xdr:col>13</xdr:col>
      <xdr:colOff>25978</xdr:colOff>
      <xdr:row>51</xdr:row>
      <xdr:rowOff>142008</xdr:rowOff>
    </xdr:to>
    <xdr:graphicFrame macro="">
      <xdr:nvGraphicFramePr>
        <xdr:cNvPr id="15" name="Gráfico 20">
          <a:extLst>
            <a:ext uri="{FF2B5EF4-FFF2-40B4-BE49-F238E27FC236}">
              <a16:creationId xmlns:a16="http://schemas.microsoft.com/office/drawing/2014/main" id="{5CB47016-B358-4937-BAB6-1EFDE2FD1D7B}"/>
            </a:ext>
            <a:ext uri="{147F2762-F138-4A5C-976F-8EAC2B608ADB}">
              <a16:predDERef xmlns:a16="http://schemas.microsoft.com/office/drawing/2014/main" pred="{00000000-0008-0000-0300-000064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209550</xdr:colOff>
      <xdr:row>0</xdr:row>
      <xdr:rowOff>104775</xdr:rowOff>
    </xdr:from>
    <xdr:to>
      <xdr:col>11</xdr:col>
      <xdr:colOff>209550</xdr:colOff>
      <xdr:row>14</xdr:row>
      <xdr:rowOff>180975</xdr:rowOff>
    </xdr:to>
    <xdr:graphicFrame macro="">
      <xdr:nvGraphicFramePr>
        <xdr:cNvPr id="3960668" name="1 Gráfico">
          <a:extLst>
            <a:ext uri="{FF2B5EF4-FFF2-40B4-BE49-F238E27FC236}">
              <a16:creationId xmlns:a16="http://schemas.microsoft.com/office/drawing/2014/main" id="{00000000-0008-0000-0400-00005C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209550</xdr:colOff>
      <xdr:row>15</xdr:row>
      <xdr:rowOff>9525</xdr:rowOff>
    </xdr:from>
    <xdr:to>
      <xdr:col>11</xdr:col>
      <xdr:colOff>209550</xdr:colOff>
      <xdr:row>30</xdr:row>
      <xdr:rowOff>85725</xdr:rowOff>
    </xdr:to>
    <xdr:graphicFrame macro="">
      <xdr:nvGraphicFramePr>
        <xdr:cNvPr id="3960669" name="5 Gráfico">
          <a:extLst>
            <a:ext uri="{FF2B5EF4-FFF2-40B4-BE49-F238E27FC236}">
              <a16:creationId xmlns:a16="http://schemas.microsoft.com/office/drawing/2014/main" id="{00000000-0008-0000-0400-00005D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209550</xdr:colOff>
      <xdr:row>30</xdr:row>
      <xdr:rowOff>142875</xdr:rowOff>
    </xdr:from>
    <xdr:to>
      <xdr:col>11</xdr:col>
      <xdr:colOff>219075</xdr:colOff>
      <xdr:row>43</xdr:row>
      <xdr:rowOff>0</xdr:rowOff>
    </xdr:to>
    <xdr:graphicFrame macro="">
      <xdr:nvGraphicFramePr>
        <xdr:cNvPr id="3960670" name="6 Gráfico">
          <a:extLst>
            <a:ext uri="{FF2B5EF4-FFF2-40B4-BE49-F238E27FC236}">
              <a16:creationId xmlns:a16="http://schemas.microsoft.com/office/drawing/2014/main" id="{00000000-0008-0000-0400-00005E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209550</xdr:colOff>
      <xdr:row>43</xdr:row>
      <xdr:rowOff>66675</xdr:rowOff>
    </xdr:from>
    <xdr:to>
      <xdr:col>11</xdr:col>
      <xdr:colOff>180975</xdr:colOff>
      <xdr:row>57</xdr:row>
      <xdr:rowOff>123825</xdr:rowOff>
    </xdr:to>
    <xdr:graphicFrame macro="">
      <xdr:nvGraphicFramePr>
        <xdr:cNvPr id="3960671" name="6 Gráfico">
          <a:extLst>
            <a:ext uri="{FF2B5EF4-FFF2-40B4-BE49-F238E27FC236}">
              <a16:creationId xmlns:a16="http://schemas.microsoft.com/office/drawing/2014/main" id="{00000000-0008-0000-0400-00005F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190500</xdr:colOff>
      <xdr:row>57</xdr:row>
      <xdr:rowOff>161925</xdr:rowOff>
    </xdr:from>
    <xdr:to>
      <xdr:col>11</xdr:col>
      <xdr:colOff>190500</xdr:colOff>
      <xdr:row>71</xdr:row>
      <xdr:rowOff>76200</xdr:rowOff>
    </xdr:to>
    <xdr:graphicFrame macro="">
      <xdr:nvGraphicFramePr>
        <xdr:cNvPr id="3960672" name="6 Gráfico">
          <a:extLst>
            <a:ext uri="{FF2B5EF4-FFF2-40B4-BE49-F238E27FC236}">
              <a16:creationId xmlns:a16="http://schemas.microsoft.com/office/drawing/2014/main" id="{00000000-0008-0000-0400-000060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171450</xdr:colOff>
      <xdr:row>71</xdr:row>
      <xdr:rowOff>142875</xdr:rowOff>
    </xdr:from>
    <xdr:to>
      <xdr:col>11</xdr:col>
      <xdr:colOff>190500</xdr:colOff>
      <xdr:row>84</xdr:row>
      <xdr:rowOff>47625</xdr:rowOff>
    </xdr:to>
    <xdr:graphicFrame macro="">
      <xdr:nvGraphicFramePr>
        <xdr:cNvPr id="3960673" name="6 Gráfico">
          <a:extLst>
            <a:ext uri="{FF2B5EF4-FFF2-40B4-BE49-F238E27FC236}">
              <a16:creationId xmlns:a16="http://schemas.microsoft.com/office/drawing/2014/main" id="{00000000-0008-0000-0400-000061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171450</xdr:colOff>
      <xdr:row>84</xdr:row>
      <xdr:rowOff>85725</xdr:rowOff>
    </xdr:from>
    <xdr:to>
      <xdr:col>12</xdr:col>
      <xdr:colOff>447675</xdr:colOff>
      <xdr:row>101</xdr:row>
      <xdr:rowOff>85725</xdr:rowOff>
    </xdr:to>
    <xdr:graphicFrame macro="">
      <xdr:nvGraphicFramePr>
        <xdr:cNvPr id="3960674" name="7 Gráfico">
          <a:extLst>
            <a:ext uri="{FF2B5EF4-FFF2-40B4-BE49-F238E27FC236}">
              <a16:creationId xmlns:a16="http://schemas.microsoft.com/office/drawing/2014/main" id="{00000000-0008-0000-0400-000062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695325</xdr:colOff>
      <xdr:row>118</xdr:row>
      <xdr:rowOff>66675</xdr:rowOff>
    </xdr:from>
    <xdr:to>
      <xdr:col>11</xdr:col>
      <xdr:colOff>695325</xdr:colOff>
      <xdr:row>133</xdr:row>
      <xdr:rowOff>171450</xdr:rowOff>
    </xdr:to>
    <xdr:graphicFrame macro="">
      <xdr:nvGraphicFramePr>
        <xdr:cNvPr id="3960675" name="6 Gráfico">
          <a:extLst>
            <a:ext uri="{FF2B5EF4-FFF2-40B4-BE49-F238E27FC236}">
              <a16:creationId xmlns:a16="http://schemas.microsoft.com/office/drawing/2014/main" id="{00000000-0008-0000-0400-000063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628650</xdr:colOff>
      <xdr:row>101</xdr:row>
      <xdr:rowOff>171450</xdr:rowOff>
    </xdr:from>
    <xdr:to>
      <xdr:col>12</xdr:col>
      <xdr:colOff>133350</xdr:colOff>
      <xdr:row>117</xdr:row>
      <xdr:rowOff>171450</xdr:rowOff>
    </xdr:to>
    <xdr:graphicFrame macro="">
      <xdr:nvGraphicFramePr>
        <xdr:cNvPr id="3960676" name="6 Gráfico">
          <a:extLst>
            <a:ext uri="{FF2B5EF4-FFF2-40B4-BE49-F238E27FC236}">
              <a16:creationId xmlns:a16="http://schemas.microsoft.com/office/drawing/2014/main" id="{00000000-0008-0000-0400-000064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676275</xdr:colOff>
      <xdr:row>135</xdr:row>
      <xdr:rowOff>38100</xdr:rowOff>
    </xdr:from>
    <xdr:to>
      <xdr:col>11</xdr:col>
      <xdr:colOff>676275</xdr:colOff>
      <xdr:row>150</xdr:row>
      <xdr:rowOff>152400</xdr:rowOff>
    </xdr:to>
    <xdr:graphicFrame macro="">
      <xdr:nvGraphicFramePr>
        <xdr:cNvPr id="3960677" name="6 Gráfico">
          <a:extLst>
            <a:ext uri="{FF2B5EF4-FFF2-40B4-BE49-F238E27FC236}">
              <a16:creationId xmlns:a16="http://schemas.microsoft.com/office/drawing/2014/main" id="{00000000-0008-0000-0400-000065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xdr:row>
      <xdr:rowOff>123825</xdr:rowOff>
    </xdr:from>
    <xdr:to>
      <xdr:col>11</xdr:col>
      <xdr:colOff>0</xdr:colOff>
      <xdr:row>16</xdr:row>
      <xdr:rowOff>9525</xdr:rowOff>
    </xdr:to>
    <xdr:graphicFrame macro="">
      <xdr:nvGraphicFramePr>
        <xdr:cNvPr id="2" name="Gráfico 1">
          <a:extLst>
            <a:ext uri="{FF2B5EF4-FFF2-40B4-BE49-F238E27FC236}">
              <a16:creationId xmlns:a16="http://schemas.microsoft.com/office/drawing/2014/main" id="{16C0341C-71AF-4CFB-81D6-7EDFAD1498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20</xdr:row>
      <xdr:rowOff>176213</xdr:rowOff>
    </xdr:from>
    <xdr:to>
      <xdr:col>11</xdr:col>
      <xdr:colOff>9525</xdr:colOff>
      <xdr:row>34</xdr:row>
      <xdr:rowOff>9525</xdr:rowOff>
    </xdr:to>
    <xdr:graphicFrame macro="">
      <xdr:nvGraphicFramePr>
        <xdr:cNvPr id="3" name="Gráfico 2">
          <a:extLst>
            <a:ext uri="{FF2B5EF4-FFF2-40B4-BE49-F238E27FC236}">
              <a16:creationId xmlns:a16="http://schemas.microsoft.com/office/drawing/2014/main" id="{BCDDAE09-917E-19F5-6AAC-760D33AEB1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37</xdr:row>
      <xdr:rowOff>14287</xdr:rowOff>
    </xdr:from>
    <xdr:to>
      <xdr:col>11</xdr:col>
      <xdr:colOff>0</xdr:colOff>
      <xdr:row>47</xdr:row>
      <xdr:rowOff>19050</xdr:rowOff>
    </xdr:to>
    <xdr:graphicFrame macro="">
      <xdr:nvGraphicFramePr>
        <xdr:cNvPr id="4" name="Gráfico 3">
          <a:extLst>
            <a:ext uri="{FF2B5EF4-FFF2-40B4-BE49-F238E27FC236}">
              <a16:creationId xmlns:a16="http://schemas.microsoft.com/office/drawing/2014/main" id="{48E6F932-D31B-15B8-1CA3-D9C15926F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51</xdr:row>
      <xdr:rowOff>23812</xdr:rowOff>
    </xdr:from>
    <xdr:to>
      <xdr:col>11</xdr:col>
      <xdr:colOff>0</xdr:colOff>
      <xdr:row>64</xdr:row>
      <xdr:rowOff>47625</xdr:rowOff>
    </xdr:to>
    <xdr:graphicFrame macro="">
      <xdr:nvGraphicFramePr>
        <xdr:cNvPr id="5" name="Gráfico 4">
          <a:extLst>
            <a:ext uri="{FF2B5EF4-FFF2-40B4-BE49-F238E27FC236}">
              <a16:creationId xmlns:a16="http://schemas.microsoft.com/office/drawing/2014/main" id="{A9EDF7B6-C0BD-493B-39FC-9A4EC7C2A7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xdr:colOff>
      <xdr:row>71</xdr:row>
      <xdr:rowOff>0</xdr:rowOff>
    </xdr:from>
    <xdr:to>
      <xdr:col>11</xdr:col>
      <xdr:colOff>19050</xdr:colOff>
      <xdr:row>83</xdr:row>
      <xdr:rowOff>133350</xdr:rowOff>
    </xdr:to>
    <xdr:graphicFrame macro="">
      <xdr:nvGraphicFramePr>
        <xdr:cNvPr id="6" name="Gráfico 5">
          <a:extLst>
            <a:ext uri="{FF2B5EF4-FFF2-40B4-BE49-F238E27FC236}">
              <a16:creationId xmlns:a16="http://schemas.microsoft.com/office/drawing/2014/main" id="{1BB97727-65DB-2E97-908A-922E0F9C6F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87</xdr:row>
      <xdr:rowOff>14287</xdr:rowOff>
    </xdr:from>
    <xdr:to>
      <xdr:col>11</xdr:col>
      <xdr:colOff>0</xdr:colOff>
      <xdr:row>101</xdr:row>
      <xdr:rowOff>90487</xdr:rowOff>
    </xdr:to>
    <xdr:graphicFrame macro="">
      <xdr:nvGraphicFramePr>
        <xdr:cNvPr id="7" name="Gráfico 6">
          <a:extLst>
            <a:ext uri="{FF2B5EF4-FFF2-40B4-BE49-F238E27FC236}">
              <a16:creationId xmlns:a16="http://schemas.microsoft.com/office/drawing/2014/main" id="{8DB0EA34-FD7B-89DF-B14D-F9ECEA2CC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0</xdr:colOff>
      <xdr:row>105</xdr:row>
      <xdr:rowOff>14287</xdr:rowOff>
    </xdr:from>
    <xdr:to>
      <xdr:col>11</xdr:col>
      <xdr:colOff>0</xdr:colOff>
      <xdr:row>119</xdr:row>
      <xdr:rowOff>90487</xdr:rowOff>
    </xdr:to>
    <xdr:graphicFrame macro="">
      <xdr:nvGraphicFramePr>
        <xdr:cNvPr id="8" name="Gráfico 7">
          <a:extLst>
            <a:ext uri="{FF2B5EF4-FFF2-40B4-BE49-F238E27FC236}">
              <a16:creationId xmlns:a16="http://schemas.microsoft.com/office/drawing/2014/main" id="{BF03755B-7E3A-150D-8595-D9854A929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0</xdr:colOff>
      <xdr:row>126</xdr:row>
      <xdr:rowOff>14286</xdr:rowOff>
    </xdr:from>
    <xdr:to>
      <xdr:col>12</xdr:col>
      <xdr:colOff>609600</xdr:colOff>
      <xdr:row>146</xdr:row>
      <xdr:rowOff>9525</xdr:rowOff>
    </xdr:to>
    <xdr:graphicFrame macro="">
      <xdr:nvGraphicFramePr>
        <xdr:cNvPr id="9" name="Gráfico 8">
          <a:extLst>
            <a:ext uri="{FF2B5EF4-FFF2-40B4-BE49-F238E27FC236}">
              <a16:creationId xmlns:a16="http://schemas.microsoft.com/office/drawing/2014/main" id="{D668D149-5180-222D-3C8B-AC9B380B7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9525</xdr:colOff>
      <xdr:row>152</xdr:row>
      <xdr:rowOff>185737</xdr:rowOff>
    </xdr:from>
    <xdr:to>
      <xdr:col>11</xdr:col>
      <xdr:colOff>9525</xdr:colOff>
      <xdr:row>164</xdr:row>
      <xdr:rowOff>171450</xdr:rowOff>
    </xdr:to>
    <xdr:graphicFrame macro="">
      <xdr:nvGraphicFramePr>
        <xdr:cNvPr id="10" name="Gráfico 9">
          <a:extLst>
            <a:ext uri="{FF2B5EF4-FFF2-40B4-BE49-F238E27FC236}">
              <a16:creationId xmlns:a16="http://schemas.microsoft.com/office/drawing/2014/main" id="{00E93226-3AEA-51C8-E092-A872703699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752475</xdr:colOff>
      <xdr:row>169</xdr:row>
      <xdr:rowOff>33337</xdr:rowOff>
    </xdr:from>
    <xdr:to>
      <xdr:col>10</xdr:col>
      <xdr:colOff>752475</xdr:colOff>
      <xdr:row>183</xdr:row>
      <xdr:rowOff>109537</xdr:rowOff>
    </xdr:to>
    <xdr:graphicFrame macro="">
      <xdr:nvGraphicFramePr>
        <xdr:cNvPr id="11" name="Gráfico 10">
          <a:extLst>
            <a:ext uri="{FF2B5EF4-FFF2-40B4-BE49-F238E27FC236}">
              <a16:creationId xmlns:a16="http://schemas.microsoft.com/office/drawing/2014/main" id="{89DC3FF0-D26D-92F1-0A1C-182EB97392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9525</xdr:colOff>
      <xdr:row>186</xdr:row>
      <xdr:rowOff>23812</xdr:rowOff>
    </xdr:from>
    <xdr:to>
      <xdr:col>8</xdr:col>
      <xdr:colOff>695325</xdr:colOff>
      <xdr:row>200</xdr:row>
      <xdr:rowOff>100012</xdr:rowOff>
    </xdr:to>
    <xdr:graphicFrame macro="">
      <xdr:nvGraphicFramePr>
        <xdr:cNvPr id="160" name="Gráfico 11">
          <a:extLst>
            <a:ext uri="{FF2B5EF4-FFF2-40B4-BE49-F238E27FC236}">
              <a16:creationId xmlns:a16="http://schemas.microsoft.com/office/drawing/2014/main" id="{F7F7143F-07F8-3788-B7CA-6126951F99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228600</xdr:colOff>
      <xdr:row>205</xdr:row>
      <xdr:rowOff>33337</xdr:rowOff>
    </xdr:from>
    <xdr:to>
      <xdr:col>9</xdr:col>
      <xdr:colOff>152400</xdr:colOff>
      <xdr:row>219</xdr:row>
      <xdr:rowOff>109537</xdr:rowOff>
    </xdr:to>
    <xdr:graphicFrame macro="">
      <xdr:nvGraphicFramePr>
        <xdr:cNvPr id="159" name="Gráfico 12">
          <a:extLst>
            <a:ext uri="{FF2B5EF4-FFF2-40B4-BE49-F238E27FC236}">
              <a16:creationId xmlns:a16="http://schemas.microsoft.com/office/drawing/2014/main" id="{B013831B-DF96-22D4-17DA-441BBEE0B6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247650</xdr:colOff>
      <xdr:row>218</xdr:row>
      <xdr:rowOff>128587</xdr:rowOff>
    </xdr:from>
    <xdr:to>
      <xdr:col>9</xdr:col>
      <xdr:colOff>171450</xdr:colOff>
      <xdr:row>233</xdr:row>
      <xdr:rowOff>14287</xdr:rowOff>
    </xdr:to>
    <xdr:graphicFrame macro="">
      <xdr:nvGraphicFramePr>
        <xdr:cNvPr id="182" name="Gráfico 14">
          <a:extLst>
            <a:ext uri="{FF2B5EF4-FFF2-40B4-BE49-F238E27FC236}">
              <a16:creationId xmlns:a16="http://schemas.microsoft.com/office/drawing/2014/main" id="{6282A95C-A220-6B3F-0D73-D202F5CCD0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38100</xdr:colOff>
      <xdr:row>234</xdr:row>
      <xdr:rowOff>90487</xdr:rowOff>
    </xdr:from>
    <xdr:to>
      <xdr:col>8</xdr:col>
      <xdr:colOff>333375</xdr:colOff>
      <xdr:row>247</xdr:row>
      <xdr:rowOff>104775</xdr:rowOff>
    </xdr:to>
    <xdr:graphicFrame macro="">
      <xdr:nvGraphicFramePr>
        <xdr:cNvPr id="260" name="Gráfico 15">
          <a:extLst>
            <a:ext uri="{FF2B5EF4-FFF2-40B4-BE49-F238E27FC236}">
              <a16:creationId xmlns:a16="http://schemas.microsoft.com/office/drawing/2014/main" id="{16A28D59-D900-E958-3396-A3B5946222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666750</xdr:colOff>
      <xdr:row>2</xdr:row>
      <xdr:rowOff>109537</xdr:rowOff>
    </xdr:from>
    <xdr:to>
      <xdr:col>8</xdr:col>
      <xdr:colOff>666750</xdr:colOff>
      <xdr:row>16</xdr:row>
      <xdr:rowOff>185737</xdr:rowOff>
    </xdr:to>
    <xdr:graphicFrame macro="">
      <xdr:nvGraphicFramePr>
        <xdr:cNvPr id="3" name="Gráfico 3">
          <a:extLst>
            <a:ext uri="{FF2B5EF4-FFF2-40B4-BE49-F238E27FC236}">
              <a16:creationId xmlns:a16="http://schemas.microsoft.com/office/drawing/2014/main" id="{930B2C19-21CA-C4AE-91A1-2E252BC3F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2333625</xdr:colOff>
      <xdr:row>28</xdr:row>
      <xdr:rowOff>33337</xdr:rowOff>
    </xdr:from>
    <xdr:to>
      <xdr:col>7</xdr:col>
      <xdr:colOff>752475</xdr:colOff>
      <xdr:row>42</xdr:row>
      <xdr:rowOff>109537</xdr:rowOff>
    </xdr:to>
    <xdr:graphicFrame macro="">
      <xdr:nvGraphicFramePr>
        <xdr:cNvPr id="8" name="Gráfico 4">
          <a:extLst>
            <a:ext uri="{FF2B5EF4-FFF2-40B4-BE49-F238E27FC236}">
              <a16:creationId xmlns:a16="http://schemas.microsoft.com/office/drawing/2014/main" id="{2C8D82CA-7236-569C-4077-7DB17784A7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209550</xdr:colOff>
      <xdr:row>45</xdr:row>
      <xdr:rowOff>52387</xdr:rowOff>
    </xdr:from>
    <xdr:to>
      <xdr:col>7</xdr:col>
      <xdr:colOff>342900</xdr:colOff>
      <xdr:row>58</xdr:row>
      <xdr:rowOff>114300</xdr:rowOff>
    </xdr:to>
    <xdr:graphicFrame macro="">
      <xdr:nvGraphicFramePr>
        <xdr:cNvPr id="15" name="Gráfico 5">
          <a:extLst>
            <a:ext uri="{FF2B5EF4-FFF2-40B4-BE49-F238E27FC236}">
              <a16:creationId xmlns:a16="http://schemas.microsoft.com/office/drawing/2014/main" id="{C3C2AA20-FC79-4CC2-E27A-DD887127CC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504825</xdr:colOff>
      <xdr:row>61</xdr:row>
      <xdr:rowOff>80962</xdr:rowOff>
    </xdr:from>
    <xdr:to>
      <xdr:col>8</xdr:col>
      <xdr:colOff>504825</xdr:colOff>
      <xdr:row>75</xdr:row>
      <xdr:rowOff>157162</xdr:rowOff>
    </xdr:to>
    <xdr:graphicFrame macro="">
      <xdr:nvGraphicFramePr>
        <xdr:cNvPr id="16" name="Gráfico 6">
          <a:extLst>
            <a:ext uri="{FF2B5EF4-FFF2-40B4-BE49-F238E27FC236}">
              <a16:creationId xmlns:a16="http://schemas.microsoft.com/office/drawing/2014/main" id="{9E240EE5-C92B-6038-17FD-56248F31BB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676275</xdr:colOff>
      <xdr:row>77</xdr:row>
      <xdr:rowOff>42862</xdr:rowOff>
    </xdr:from>
    <xdr:to>
      <xdr:col>8</xdr:col>
      <xdr:colOff>676275</xdr:colOff>
      <xdr:row>91</xdr:row>
      <xdr:rowOff>119062</xdr:rowOff>
    </xdr:to>
    <xdr:graphicFrame macro="">
      <xdr:nvGraphicFramePr>
        <xdr:cNvPr id="20" name="Gráfico 8">
          <a:extLst>
            <a:ext uri="{FF2B5EF4-FFF2-40B4-BE49-F238E27FC236}">
              <a16:creationId xmlns:a16="http://schemas.microsoft.com/office/drawing/2014/main" id="{8C4D5E28-6F4E-DD33-4B47-D5DBE89BD7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561975</xdr:colOff>
      <xdr:row>93</xdr:row>
      <xdr:rowOff>23812</xdr:rowOff>
    </xdr:from>
    <xdr:to>
      <xdr:col>7</xdr:col>
      <xdr:colOff>723900</xdr:colOff>
      <xdr:row>107</xdr:row>
      <xdr:rowOff>100012</xdr:rowOff>
    </xdr:to>
    <xdr:graphicFrame macro="">
      <xdr:nvGraphicFramePr>
        <xdr:cNvPr id="2" name="Gráfico 9">
          <a:extLst>
            <a:ext uri="{FF2B5EF4-FFF2-40B4-BE49-F238E27FC236}">
              <a16:creationId xmlns:a16="http://schemas.microsoft.com/office/drawing/2014/main" id="{D1655805-D787-B53F-70FB-B631CCB230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819150</xdr:colOff>
      <xdr:row>114</xdr:row>
      <xdr:rowOff>138111</xdr:rowOff>
    </xdr:from>
    <xdr:to>
      <xdr:col>8</xdr:col>
      <xdr:colOff>657225</xdr:colOff>
      <xdr:row>131</xdr:row>
      <xdr:rowOff>142874</xdr:rowOff>
    </xdr:to>
    <xdr:graphicFrame macro="">
      <xdr:nvGraphicFramePr>
        <xdr:cNvPr id="11" name="Gráfico 10">
          <a:extLst>
            <a:ext uri="{FF2B5EF4-FFF2-40B4-BE49-F238E27FC236}">
              <a16:creationId xmlns:a16="http://schemas.microsoft.com/office/drawing/2014/main" id="{54D8FD8C-3590-7D81-302F-423AB2CA30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gsicennas\PL_PAICO\Informacion_prevencion\2015\Consolidado%20de%20Accidentes\Consolidado%20Accidentes%20y%20Emergencias_2015%20.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ariztiacl-my.sharepoint.com/personal/cjimenez_ariztia_com/Documents/Informacion_Prevencion/SGSST/Base%20de%20Datos/Personal/2022%20-%20Personal/11.Dotacion%20Paico%20Noviembre%202022.xlsx" TargetMode="External"/><Relationship Id="rId1" Type="http://schemas.openxmlformats.org/officeDocument/2006/relationships/externalLinkPath" Target="/personal/cjimenez_ariztia_com/Documents/Informacion_Prevencion/SGSST/Base%20de%20Datos/Personal/2022%20-%20Personal/11.Dotacion%20Paico%20Noviembre%20202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gsicennas\PL_PAICO\Users\cjimenez\AppData\Roaming\Microsoft\Excel\Base%20de%20Datos%202018%20Accidentes%20STP%20y%20CTP%20Arizt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olidado Accidentes"/>
      <sheetName val="Consolidado Emergencias."/>
      <sheetName val="Dias Perdidos"/>
      <sheetName val="ACC.CTP"/>
      <sheetName val="Arratres"/>
      <sheetName val="Instructivo"/>
      <sheetName val="Maestro"/>
      <sheetName val="Hoja5"/>
      <sheetName val="Hoja6"/>
      <sheetName val="Hoja1"/>
      <sheetName val="Datos Total"/>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BKVhLrjt7EaSkR1iCZwq6vJrWZiOMdZEimIovznDZKBsjem9_PL1T7iI5zdXqVPy" itemId="01Q7WYAULUKKH45SPE4BCK4LASJ5VOPOWS">
      <xxl21:absoluteUrl r:id="rId2"/>
    </xxl21:alternateUrls>
    <sheetNames>
      <sheetName val="Nomina_al_06122022"/>
    </sheetNames>
    <sheetDataSet>
      <sheetData sheetId="0">
        <row r="491">
          <cell r="G491">
            <v>44543</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se total"/>
      <sheetName val="Datos Total"/>
      <sheetName val="Gráficos"/>
    </sheetNames>
    <sheetDataSet>
      <sheetData sheetId="0"/>
      <sheetData sheetId="1">
        <row r="10">
          <cell r="B10" t="str">
            <v>Operador Recibio y Almacenamiento</v>
          </cell>
        </row>
        <row r="35">
          <cell r="G35" t="str">
            <v>Piso</v>
          </cell>
        </row>
        <row r="36">
          <cell r="G36" t="str">
            <v>Agua Caliente</v>
          </cell>
        </row>
        <row r="37">
          <cell r="G37" t="str">
            <v>Maquina o Equipo</v>
          </cell>
        </row>
        <row r="38">
          <cell r="G38" t="str">
            <v>Quimicos Aseo</v>
          </cell>
        </row>
        <row r="39">
          <cell r="G39" t="str">
            <v>Insumos</v>
          </cell>
        </row>
        <row r="40">
          <cell r="G40" t="str">
            <v>Superficie de Trabajo</v>
          </cell>
        </row>
        <row r="41">
          <cell r="G41" t="str">
            <v>Estructura</v>
          </cell>
        </row>
        <row r="42">
          <cell r="G42" t="str">
            <v>Otro</v>
          </cell>
        </row>
        <row r="56">
          <cell r="L56" t="str">
            <v>Atencion</v>
          </cell>
        </row>
        <row r="57">
          <cell r="L57" t="str">
            <v>Trabajo</v>
          </cell>
          <cell r="N57" t="e">
            <v>#DIV/0!</v>
          </cell>
        </row>
        <row r="58">
          <cell r="L58" t="str">
            <v>Enfermedad Profesional</v>
          </cell>
          <cell r="N58" t="e">
            <v>#DIV/0!</v>
          </cell>
        </row>
        <row r="59">
          <cell r="B59" t="str">
            <v>Lunes</v>
          </cell>
        </row>
        <row r="60">
          <cell r="B60" t="str">
            <v>Jueves</v>
          </cell>
        </row>
        <row r="61">
          <cell r="B61" t="str">
            <v>Viernes</v>
          </cell>
        </row>
        <row r="62">
          <cell r="B62" t="str">
            <v>Sabado</v>
          </cell>
        </row>
        <row r="63">
          <cell r="B63" t="str">
            <v>Miercoles</v>
          </cell>
        </row>
        <row r="64">
          <cell r="B64" t="str">
            <v>Martes</v>
          </cell>
        </row>
        <row r="65">
          <cell r="B65" t="str">
            <v>Domingo</v>
          </cell>
        </row>
      </sheetData>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Alan Carrasco" id="{E4BE3981-7A34-44E1-8498-ADAA26786FB2}" userId="S::acarrascof@ariztia.com::f2323d80-5f11-4d26-a98d-5fd87d5252b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as Gomez" refreshedDate="45101.496443171294" createdVersion="7" refreshedVersion="8" minRefreshableVersion="3" recordCount="354" xr:uid="{AA59F614-9921-4B26-A6E5-E36BCB64ECD0}">
  <cacheSource type="worksheet">
    <worksheetSource ref="C4:E11" sheet="Consolidado Accidentes"/>
  </cacheSource>
  <cacheFields count="42">
    <cacheField name="AÑO" numFmtId="0">
      <sharedItems containsBlank="1" containsMixedTypes="1" containsNumber="1" containsInteger="1" minValue="2023" maxValue="2023"/>
    </cacheField>
    <cacheField name="MES" numFmtId="0">
      <sharedItems containsBlank="1" count="8">
        <s v="ENERO"/>
        <s v="FEBRERO"/>
        <s v="MARZO"/>
        <s v="ABRIL"/>
        <s v="MAYO"/>
        <s v="JUNIO"/>
        <m/>
        <s v=" "/>
      </sharedItems>
    </cacheField>
    <cacheField name="PLANTA" numFmtId="0">
      <sharedItems containsBlank="1"/>
    </cacheField>
    <cacheField name="APELLIDOS" numFmtId="0">
      <sharedItems containsBlank="1"/>
    </cacheField>
    <cacheField name="NOMBRE" numFmtId="0">
      <sharedItems containsBlank="1"/>
    </cacheField>
    <cacheField name="GENERO" numFmtId="0">
      <sharedItems containsBlank="1" count="5">
        <s v="MASCULINO"/>
        <s v="FEMENINO"/>
        <s v="MASCULINO "/>
        <m/>
        <s v=" "/>
      </sharedItems>
    </cacheField>
    <cacheField name="RUT" numFmtId="0">
      <sharedItems containsBlank="1"/>
    </cacheField>
    <cacheField name="FECHA CONTRATO" numFmtId="14">
      <sharedItems containsDate="1" containsBlank="1" containsMixedTypes="1" minDate="1993-01-06T00:00:00" maxDate="2023-05-23T00:00:00"/>
    </cacheField>
    <cacheField name="MESES INTERNO" numFmtId="0">
      <sharedItems containsString="0" containsBlank="1" containsNumber="1" containsInteger="1" minValue="0" maxValue="363"/>
    </cacheField>
    <cacheField name="FECHA INCCIDENTE" numFmtId="0">
      <sharedItems containsNonDate="0" containsDate="1" containsString="0" containsBlank="1" minDate="2023-01-03T00:00:00" maxDate="2023-06-22T00:00:00"/>
    </cacheField>
    <cacheField name="ANTIGÜEDAD" numFmtId="0">
      <sharedItems containsBlank="1" count="5">
        <s v="ANTIGUO"/>
        <s v="INTERMEDIO"/>
        <s v="NUEVO"/>
        <m/>
        <e v="#VALUE!" u="1"/>
      </sharedItems>
    </cacheField>
    <cacheField name="FECHA INGRESO MUTUALIDAD" numFmtId="0">
      <sharedItems containsDate="1" containsBlank="1" containsMixedTypes="1" minDate="2023-01-04T00:00:00" maxDate="2023-06-20T00:00:00"/>
    </cacheField>
    <cacheField name="FECHA ALTA" numFmtId="0">
      <sharedItems containsDate="1" containsBlank="1" containsMixedTypes="1" minDate="2023-01-12T00:00:00" maxDate="2023-06-13T00:00:00"/>
    </cacheField>
    <cacheField name="REINGRESO" numFmtId="0">
      <sharedItems containsDate="1" containsBlank="1" containsMixedTypes="1" minDate="2023-01-10T00:00:00" maxDate="2023-06-13T00:00:00"/>
    </cacheField>
    <cacheField name="DP" numFmtId="0">
      <sharedItems containsBlank="1" containsMixedTypes="1" containsNumber="1" containsInteger="1" minValue="0" maxValue="17"/>
    </cacheField>
    <cacheField name="CLASIF ACC" numFmtId="0">
      <sharedItems containsBlank="1" count="6">
        <s v="STP"/>
        <s v="CTP"/>
        <s v="N/A"/>
        <m/>
        <s v="Acc. Grave" u="1"/>
        <s v=" " u="1"/>
      </sharedItems>
    </cacheField>
    <cacheField name="POTENCIAL_x000a_GRAVE - FATAL" numFmtId="0">
      <sharedItems containsBlank="1"/>
    </cacheField>
    <cacheField name="CLASIFICACION LGF" numFmtId="0">
      <sharedItems containsBlank="1" count="7">
        <s v="N/A"/>
        <s v="LGF2"/>
        <s v="LGF4"/>
        <s v="LGF3"/>
        <s v="LGF8"/>
        <m/>
        <s v="LGF7" u="1"/>
      </sharedItems>
    </cacheField>
    <cacheField name="AREA" numFmtId="0">
      <sharedItems containsBlank="1" count="10">
        <s v="FAENACION"/>
        <s v="TROZADO DE POLLO"/>
        <s v="SSGG"/>
        <s v="CALIDAD"/>
        <s v="FRIGORIFICO"/>
        <s v="IQF Y CALIBRADO"/>
        <s v="P. POSTERIORES"/>
        <s v="MANTENCION"/>
        <s v="TROZADO DE PAVO"/>
        <m/>
      </sharedItems>
    </cacheField>
    <cacheField name="SECCION" numFmtId="0">
      <sharedItems containsBlank="1"/>
    </cacheField>
    <cacheField name="CARGO" numFmtId="0">
      <sharedItems containsBlank="1"/>
    </cacheField>
    <cacheField name="LUGAR ACC" numFmtId="0">
      <sharedItems containsBlank="1"/>
    </cacheField>
    <cacheField name="MAQUINA, EQUIPO Y HERRAMIENTAS" numFmtId="0">
      <sharedItems containsBlank="1"/>
    </cacheField>
    <cacheField name="TURNO" numFmtId="0">
      <sharedItems containsBlank="1" count="4">
        <s v="MAÑANA"/>
        <s v="TARDE"/>
        <s v="NOCHE"/>
        <m/>
      </sharedItems>
    </cacheField>
    <cacheField name="HORA" numFmtId="0">
      <sharedItems containsNonDate="0" containsDate="1" containsString="0" containsBlank="1" minDate="1899-12-30T00:20:00" maxDate="1900-01-04T03:25:00"/>
    </cacheField>
    <cacheField name="DIA" numFmtId="0">
      <sharedItems containsBlank="1" count="9">
        <s v="MARTES"/>
        <s v="MIERCOLES"/>
        <s v="SABADO"/>
        <s v="VIERNES"/>
        <s v="JUEVES"/>
        <s v="LUNES"/>
        <s v="DOMINGO"/>
        <m/>
        <s v="MIÉRCOLES" u="1"/>
      </sharedItems>
    </cacheField>
    <cacheField name="SEMANA" numFmtId="0">
      <sharedItems containsBlank="1"/>
    </cacheField>
    <cacheField name="ADEXUS" numFmtId="0">
      <sharedItems containsBlank="1" containsMixedTypes="1" containsNumber="1" containsInteger="1" minValue="15412" maxValue="155661"/>
    </cacheField>
    <cacheField name="NC" numFmtId="0">
      <sharedItems containsBlank="1"/>
    </cacheField>
    <cacheField name="JEFE AREA" numFmtId="0">
      <sharedItems containsBlank="1"/>
    </cacheField>
    <cacheField name="SUPERVISOR" numFmtId="0">
      <sharedItems containsBlank="1" count="50">
        <m/>
        <s v="RAMIRO RAMIREZ"/>
        <s v="PATRICIO PALACIOS"/>
        <s v="HECNIMAR URDANETA"/>
        <s v="VICTORIA MILLANERS"/>
        <s v="LUIS URBINA"/>
        <s v="LUIS BUSTAMANTE"/>
        <s v="FERNANDO FUENTEALBA"/>
        <s v="ERWIN GATICA"/>
        <s v="JUAN VILLAVICENCIO"/>
        <s v="NICOLAS ROJAS"/>
        <s v="CESAR CARTAGENA"/>
        <s v="PATRICIO MACIEL "/>
        <s v="ALEJANDRO SALAS"/>
        <s v="JOSE CARVALLO"/>
        <s v="MARCOS QUINTANILLA"/>
        <s v="JAQUELIN PAVEZ"/>
        <s v="FRANCISCO SANCHEZ"/>
        <s v="FRANCISCO ACEVEDO"/>
        <s v="CRISTIAN MESA"/>
        <s v="MAXIMO CAMPOS"/>
        <s v="MAURICIO HERNANDEZ"/>
        <s v="DANIEL GONZALEZ"/>
        <s v="ORLANDO FARIAS"/>
        <s v="JORDAN FARIAS"/>
        <s v="JOSELINNE ALARCON"/>
        <s v="MATIAS CASTRO"/>
        <s v="ARNALDO VERA"/>
        <s v="JONATHAN VERA"/>
        <s v="NELSON PIZARRO"/>
        <s v="ALEJANDRO TORRES"/>
        <s v="JORGE MEZA"/>
        <s v="IGNACIO MEZA"/>
        <s v="ROBERTO LOYOLA"/>
        <s v="EMANUEL MELLADO"/>
        <s v="JOCELYN ALARCON"/>
        <s v="PATRICIO PALACIOS "/>
        <s v="JEAQUELINE PAVEZ"/>
        <s v="EDGAR HERNANDEZ"/>
        <s v="FRANCISCO CASTRO"/>
        <s v="MIGUEL HENRRIQUEZ" u="1"/>
        <s v="RONALD ONELL" u="1"/>
        <s v="SERGIO AQUEVEQUE" u="1"/>
        <s v="ANTONIO RIVAS" u="1"/>
        <s v="MARCELA MARDONES" u="1"/>
        <s v="ROLANDO EMIHUEQUE" u="1"/>
        <s v="CRISTIAN DURAN" u="1"/>
        <s v=" " u="1"/>
        <s v="RAFAEL ASTORGA" u="1"/>
        <s v="JONATHAN SANCHEZ" u="1"/>
      </sharedItems>
    </cacheField>
    <cacheField name="EDAD" numFmtId="0">
      <sharedItems containsString="0" containsBlank="1" containsNumber="1" containsInteger="1" minValue="19" maxValue="64"/>
    </cacheField>
    <cacheField name="AGENTE ACC" numFmtId="0">
      <sharedItems containsBlank="1" count="20">
        <s v="Materiales"/>
        <s v="Superficies de transito"/>
        <s v="Infraestructura"/>
        <s v="Otros"/>
        <s v="Maquinarias"/>
        <s v="Superficies de trabajo"/>
        <s v="Equipos Transporte de carga"/>
        <s v="Materia Prima"/>
        <s v="Producto quimico"/>
        <s v="Bins"/>
        <s v="Pallet"/>
        <s v="Animales - Insectos"/>
        <s v="Cuchillo"/>
        <s v="Elemento cortante"/>
        <s v="Cajas"/>
        <s v="Vehículos"/>
        <s v="Bandejas"/>
        <m/>
        <s v="Gases - vapores"/>
        <s v="Herramientas de mano" u="1"/>
      </sharedItems>
    </cacheField>
    <cacheField name="PARTE AFECTADA" numFmtId="0">
      <sharedItems containsBlank="1" count="13">
        <s v="Rostro"/>
        <s v="Pierna"/>
        <s v="Manos / dedos"/>
        <s v="Multiples"/>
        <s v="Pie"/>
        <s v="Brazo"/>
        <s v="Ojos"/>
        <s v="Otro"/>
        <s v="Espalda"/>
        <s v="Tronco"/>
        <s v="Cabeza"/>
        <m/>
        <s v=" " u="1"/>
      </sharedItems>
    </cacheField>
    <cacheField name="NATURALEZA DE LA LESION " numFmtId="0">
      <sharedItems containsBlank="1"/>
    </cacheField>
    <cacheField name="TIPO ACCIDENTE" numFmtId="0">
      <sharedItems containsBlank="1" count="16">
        <s v="Golpeado por"/>
        <s v="Caida de mismo nivel"/>
        <s v="Caida de distinto nivel"/>
        <s v="Contacto con cuerpo punzante"/>
        <s v="Sobreesfuerzo"/>
        <s v="Atrapamiento"/>
        <s v="Golpeado contra"/>
        <s v="Proyeccion de particulas"/>
        <s v="Exposicion a humo y gases"/>
        <s v="Contacto con cuerpo cortante"/>
        <s v="Contacto con sustancias toxicas"/>
        <s v="Contacto con temperaturas extremas"/>
        <s v="Otros"/>
        <s v="Picadura"/>
        <m/>
        <s v=" " u="1"/>
      </sharedItems>
    </cacheField>
    <cacheField name="DESCRIPCION DEL EVENTO (Ejemplo: colaboradora de TPO sufrió contusión (lesión) en el gluteo izquierdo (parte afectada) por caída mismo nivel (tipo de accidente), al resbalar en el piso (agente), en cámara 208 (lugar del accidente), mientras pegaba etiquetas (fuente)." numFmtId="0">
      <sharedItems containsBlank="1" longText="1"/>
    </cacheField>
    <cacheField name="ACCION - CONDICION" numFmtId="0">
      <sharedItems containsBlank="1" count="5">
        <s v="ACCION"/>
        <s v="CONDICION"/>
        <s v="CONDICION "/>
        <m/>
        <s v=" " u="1"/>
      </sharedItems>
    </cacheField>
    <cacheField name="TRABAJO HABITUAL" numFmtId="0">
      <sharedItems containsBlank="1" count="4">
        <s v="SI"/>
        <s v="NO"/>
        <m/>
        <s v=" " u="1"/>
      </sharedItems>
    </cacheField>
    <cacheField name="DERIVACION ACHS" numFmtId="0">
      <sharedItems containsBlank="1" count="4">
        <s v="NO"/>
        <s v="SI"/>
        <m/>
        <s v=" " u="1"/>
      </sharedItems>
    </cacheField>
    <cacheField name="EXPERTO DE TURNO" numFmtId="0">
      <sharedItems containsBlank="1"/>
    </cacheField>
    <cacheField name="Atencion SPA"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lissa Encina" refreshedDate="45167.730412152778" createdVersion="8" refreshedVersion="8" minRefreshableVersion="3" recordCount="353" xr:uid="{CC819B7E-910B-4E7B-A1C7-CE2B752A2B9E}">
  <cacheSource type="worksheet">
    <worksheetSource ref="C4:E11" sheet="Consolidado Accidentes"/>
  </cacheSource>
  <cacheFields count="42">
    <cacheField name="AÑO" numFmtId="0">
      <sharedItems containsBlank="1" containsMixedTypes="1" containsNumber="1" containsInteger="1" minValue="2022" maxValue="2023" count="4">
        <n v="2023"/>
        <m/>
        <s v=" "/>
        <n v="2022" u="1"/>
      </sharedItems>
    </cacheField>
    <cacheField name="MES" numFmtId="0">
      <sharedItems containsBlank="1"/>
    </cacheField>
    <cacheField name="PLANTA" numFmtId="0">
      <sharedItems containsBlank="1"/>
    </cacheField>
    <cacheField name="APELLIDOS" numFmtId="0">
      <sharedItems containsBlank="1"/>
    </cacheField>
    <cacheField name="NOMBRE" numFmtId="0">
      <sharedItems containsBlank="1"/>
    </cacheField>
    <cacheField name="GENERO" numFmtId="0">
      <sharedItems containsBlank="1"/>
    </cacheField>
    <cacheField name="RUT" numFmtId="0">
      <sharedItems containsBlank="1"/>
    </cacheField>
    <cacheField name="FECHA CONTRATO" numFmtId="14">
      <sharedItems containsDate="1" containsBlank="1" containsMixedTypes="1" minDate="1993-01-06T00:00:00" maxDate="2023-08-02T00:00:00"/>
    </cacheField>
    <cacheField name="MESES INTERNO" numFmtId="0">
      <sharedItems containsString="0" containsBlank="1" containsNumber="1" containsInteger="1" minValue="0" maxValue="363"/>
    </cacheField>
    <cacheField name="FECHA INCCIDENTE" numFmtId="0">
      <sharedItems containsNonDate="0" containsDate="1" containsString="0" containsBlank="1" minDate="2023-01-03T00:00:00" maxDate="2023-08-30T00:00:00"/>
    </cacheField>
    <cacheField name="ANTIGÜEDAD" numFmtId="0">
      <sharedItems containsBlank="1"/>
    </cacheField>
    <cacheField name="FECHA INGRESO MUTUALIDAD" numFmtId="0">
      <sharedItems containsDate="1" containsBlank="1" containsMixedTypes="1" minDate="2023-01-04T00:00:00" maxDate="2023-08-23T00:00:00"/>
    </cacheField>
    <cacheField name="FECHA ALTA" numFmtId="0">
      <sharedItems containsDate="1" containsBlank="1" containsMixedTypes="1" minDate="2023-01-12T00:00:00" maxDate="2023-08-23T00:00:00"/>
    </cacheField>
    <cacheField name="REINGRESO" numFmtId="0">
      <sharedItems containsDate="1" containsBlank="1" containsMixedTypes="1" minDate="2023-01-10T00:00:00" maxDate="2023-08-24T00:00:00"/>
    </cacheField>
    <cacheField name="DP" numFmtId="0">
      <sharedItems containsBlank="1" containsMixedTypes="1" containsNumber="1" containsInteger="1" minValue="0" maxValue="119"/>
    </cacheField>
    <cacheField name="CLASIF ACC" numFmtId="0">
      <sharedItems containsBlank="1"/>
    </cacheField>
    <cacheField name="POTENCIAL_x000a_GRAVE - FATAL" numFmtId="0">
      <sharedItems containsBlank="1"/>
    </cacheField>
    <cacheField name="CLASIFICACION LGF" numFmtId="0">
      <sharedItems containsBlank="1"/>
    </cacheField>
    <cacheField name="AREA" numFmtId="0">
      <sharedItems containsBlank="1" count="11">
        <s v="FAENACION"/>
        <s v="TROZADO DE POLLO"/>
        <s v="SSGG"/>
        <s v="CALIDAD"/>
        <s v="BODEGA"/>
        <s v="IQF Y CALIBRADO"/>
        <s v="FRIGORIFICO"/>
        <s v="MANTENCION"/>
        <s v="P. POSTERIORES"/>
        <s v="TROZADO DE PAVO"/>
        <m/>
      </sharedItems>
    </cacheField>
    <cacheField name="SECCION" numFmtId="0">
      <sharedItems containsBlank="1"/>
    </cacheField>
    <cacheField name="CARGO" numFmtId="0">
      <sharedItems containsBlank="1"/>
    </cacheField>
    <cacheField name="LUGAR ACC" numFmtId="0">
      <sharedItems containsBlank="1"/>
    </cacheField>
    <cacheField name="MAQUINA, EQUIPO Y HERRAMIENTAS" numFmtId="0">
      <sharedItems containsBlank="1"/>
    </cacheField>
    <cacheField name="TURNO" numFmtId="0">
      <sharedItems containsBlank="1"/>
    </cacheField>
    <cacheField name="HORA" numFmtId="0">
      <sharedItems containsNonDate="0" containsDate="1" containsString="0" containsBlank="1" minDate="1899-12-30T00:00:00" maxDate="1902-07-19T00:00:00"/>
    </cacheField>
    <cacheField name="DIA" numFmtId="0">
      <sharedItems containsBlank="1"/>
    </cacheField>
    <cacheField name="SEMANA" numFmtId="0">
      <sharedItems containsBlank="1"/>
    </cacheField>
    <cacheField name="ADEXUS" numFmtId="0">
      <sharedItems containsBlank="1" containsMixedTypes="1" containsNumber="1" containsInteger="1" minValue="15412" maxValue="155661"/>
    </cacheField>
    <cacheField name="NC" numFmtId="0">
      <sharedItems containsBlank="1"/>
    </cacheField>
    <cacheField name="JEFE AREA" numFmtId="0">
      <sharedItems containsBlank="1"/>
    </cacheField>
    <cacheField name="SUPERVISOR" numFmtId="0">
      <sharedItems containsBlank="1"/>
    </cacheField>
    <cacheField name="EDAD" numFmtId="0">
      <sharedItems containsString="0" containsBlank="1" containsNumber="1" containsInteger="1" minValue="18" maxValue="70"/>
    </cacheField>
    <cacheField name="AGENTE ACC" numFmtId="0">
      <sharedItems containsBlank="1"/>
    </cacheField>
    <cacheField name="PARTE AFECTADA" numFmtId="0">
      <sharedItems containsBlank="1" count="14">
        <s v="Rostro"/>
        <s v="Pierna"/>
        <s v="Manos / dedos"/>
        <s v="Multiples"/>
        <s v="Pie"/>
        <s v="Ojos"/>
        <s v="Otro"/>
        <s v="Espalda"/>
        <s v="Brazo"/>
        <s v="Tronco"/>
        <s v="Cabeza"/>
        <m/>
        <s v=" " u="1"/>
        <s v="Pelvis" u="1"/>
      </sharedItems>
    </cacheField>
    <cacheField name="NATURALEZA DE LA LESION " numFmtId="0">
      <sharedItems containsBlank="1"/>
    </cacheField>
    <cacheField name="TIPO ACCIDENTE" numFmtId="0">
      <sharedItems containsBlank="1"/>
    </cacheField>
    <cacheField name="DESCRIPCION DEL EVENTO (Ejemplo: colaboradora de TPO sufrió contusión (lesión) en el gluteo izquierdo (parte afectada) por caída mismo nivel (tipo de accidente), al resbalar en el piso (agente), en cámara 208 (lugar del accidente), mientras pegaba etiquetas (fuente)." numFmtId="0">
      <sharedItems containsBlank="1" longText="1"/>
    </cacheField>
    <cacheField name="ACCION - CONDICION" numFmtId="0">
      <sharedItems containsBlank="1"/>
    </cacheField>
    <cacheField name="TRABAJO HABITUAL" numFmtId="0">
      <sharedItems containsBlank="1"/>
    </cacheField>
    <cacheField name="DERIVACION ACHS" numFmtId="0">
      <sharedItems containsBlank="1"/>
    </cacheField>
    <cacheField name="EXPERTO DE TURNO" numFmtId="0">
      <sharedItems containsBlank="1"/>
    </cacheField>
    <cacheField name="Atencion SPA"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lissa Encina" refreshedDate="45303.445326967594" createdVersion="8" refreshedVersion="8" minRefreshableVersion="3" recordCount="188" xr:uid="{459E466E-9F2A-4FC8-9EDA-19DD808C9B23}">
  <cacheSource type="worksheet">
    <worksheetSource ref="A6:AQ194" sheet="Consolidado Accidentes"/>
  </cacheSource>
  <cacheFields count="43">
    <cacheField name="AÑO" numFmtId="0">
      <sharedItems containsSemiMixedTypes="0" containsString="0" containsNumber="1" containsInteger="1" minValue="2023" maxValue="2023"/>
    </cacheField>
    <cacheField name="MES" numFmtId="0">
      <sharedItems/>
    </cacheField>
    <cacheField name="PLANTA" numFmtId="0">
      <sharedItems/>
    </cacheField>
    <cacheField name="APELLIDOS" numFmtId="0">
      <sharedItems/>
    </cacheField>
    <cacheField name="NOMBRE" numFmtId="0">
      <sharedItems/>
    </cacheField>
    <cacheField name="GENERO" numFmtId="0">
      <sharedItems/>
    </cacheField>
    <cacheField name="RUT" numFmtId="0">
      <sharedItems/>
    </cacheField>
    <cacheField name="FECHA CONTRATO" numFmtId="14">
      <sharedItems containsSemiMixedTypes="0" containsNonDate="0" containsDate="1" containsString="0" minDate="1993-01-06T00:00:00" maxDate="2023-09-05T00:00:00"/>
    </cacheField>
    <cacheField name="MESES INTERNO" numFmtId="0">
      <sharedItems containsSemiMixedTypes="0" containsString="0" containsNumber="1" containsInteger="1" minValue="0" maxValue="363"/>
    </cacheField>
    <cacheField name="FECHA INCCIDENTE" numFmtId="14">
      <sharedItems containsSemiMixedTypes="0" containsNonDate="0" containsDate="1" containsString="0" minDate="2023-01-03T00:00:00" maxDate="2023-10-26T00:00:00"/>
    </cacheField>
    <cacheField name="ANTIGÜEDAD" numFmtId="0">
      <sharedItems/>
    </cacheField>
    <cacheField name="FECHA INGRESO MUTUALIDAD" numFmtId="0">
      <sharedItems containsDate="1" containsMixedTypes="1" minDate="2023-01-04T00:00:00" maxDate="2023-10-26T00:00:00"/>
    </cacheField>
    <cacheField name="FECHA ALTA" numFmtId="0">
      <sharedItems containsDate="1" containsBlank="1" containsMixedTypes="1" minDate="2023-01-12T00:00:00" maxDate="2023-10-26T00:00:00"/>
    </cacheField>
    <cacheField name="REINGRESO" numFmtId="0">
      <sharedItems containsDate="1" containsMixedTypes="1" minDate="2023-01-10T00:00:00" maxDate="2023-08-24T00:00:00"/>
    </cacheField>
    <cacheField name="DP" numFmtId="0">
      <sharedItems containsMixedTypes="1" containsNumber="1" containsInteger="1" minValue="0" maxValue="163"/>
    </cacheField>
    <cacheField name="CLASIF ACC" numFmtId="0">
      <sharedItems/>
    </cacheField>
    <cacheField name="POTENCIAL_x000a_GRAVE - FATAL" numFmtId="0">
      <sharedItems/>
    </cacheField>
    <cacheField name="CLASIFICACION LGF" numFmtId="0">
      <sharedItems/>
    </cacheField>
    <cacheField name="AREA" numFmtId="0">
      <sharedItems count="11">
        <s v="BODEGA"/>
        <s v="IQF Y CALIBRADO"/>
        <s v="FAENACION"/>
        <s v="CALIDAD"/>
        <s v="FRIGORIFICO"/>
        <s v="TROZADO DE POLLO"/>
        <s v="SSGG"/>
        <s v="P. POSTERIORES"/>
        <s v="MANTENCION"/>
        <s v="TROZADO DE PAVO"/>
        <s v="CAMARA 208"/>
      </sharedItems>
    </cacheField>
    <cacheField name="SECCION" numFmtId="0">
      <sharedItems containsBlank="1"/>
    </cacheField>
    <cacheField name="CARGO" numFmtId="0">
      <sharedItems/>
    </cacheField>
    <cacheField name="LUGAR ACC" numFmtId="0">
      <sharedItems containsBlank="1"/>
    </cacheField>
    <cacheField name="MAQUINA, EQUIPO Y HERRAMIENTAS" numFmtId="0">
      <sharedItems containsBlank="1"/>
    </cacheField>
    <cacheField name="TURNO" numFmtId="0">
      <sharedItems/>
    </cacheField>
    <cacheField name="HORA" numFmtId="0">
      <sharedItems containsNonDate="0" containsDate="1" containsString="0" containsBlank="1" minDate="1899-12-30T00:00:00" maxDate="1902-07-19T00:00:00"/>
    </cacheField>
    <cacheField name="DIA" numFmtId="0">
      <sharedItems/>
    </cacheField>
    <cacheField name="SEMANA" numFmtId="0">
      <sharedItems/>
    </cacheField>
    <cacheField name="ADEXUS" numFmtId="0">
      <sharedItems containsBlank="1" containsMixedTypes="1" containsNumber="1" containsInteger="1" minValue="15412" maxValue="155661"/>
    </cacheField>
    <cacheField name="NC" numFmtId="0">
      <sharedItems containsBlank="1"/>
    </cacheField>
    <cacheField name="JEFE AREA" numFmtId="0">
      <sharedItems/>
    </cacheField>
    <cacheField name="SUPERVISOR" numFmtId="0">
      <sharedItems containsBlank="1" count="51">
        <s v="VICTORIA MILLANERS"/>
        <s v="FERNANDO FUENTEALBA"/>
        <s v="ERWIN GATICA"/>
        <s v="HECNIMAR URDANETA"/>
        <m/>
        <s v="JUAN VILLAVICENCIO"/>
        <s v="RAMIRO RAMIREZ"/>
        <s v="PATRICIO PALACIOS"/>
        <s v="LUIS BUSTAMANTE"/>
        <s v="LUIS URBINA"/>
        <s v="JOSE CARVALLO"/>
        <s v="CESAR CARTAGENA"/>
        <s v="ALEJANDRO SALAS"/>
        <s v="NICOLAS ROJAS"/>
        <s v="MARCOS QUINTANILLA"/>
        <s v="JAQUELIN PAVEZ"/>
        <s v="PATRICIO MACIEL "/>
        <s v="FRANCISCO SANCHEZ"/>
        <s v="MAURICIO HERNANDEZ"/>
        <s v="FRANCISCO ACEVEDO"/>
        <s v="MATIAS CASTRO"/>
        <s v="MAXIMO CAMPOS"/>
        <s v="JORDAN FARIAS"/>
        <s v="DANIEL GONZALEZ"/>
        <s v="JOSELINNE ALARCON"/>
        <s v="CRISTIAN MESA"/>
        <s v="ORLANDO FARIAS"/>
        <s v="NELSON PIZARRO"/>
        <s v="ARNALDO VERA"/>
        <s v="ALEJANDRO TORRES"/>
        <s v="JONATHAN VERA"/>
        <s v="JORGE MEZA"/>
        <s v="JOCELYN ALARCON"/>
        <s v="JEAQUELINE PAVEZ"/>
        <s v="PATRICIO PALACIOS "/>
        <s v="ROBERTO LOYOLA"/>
        <s v="EMANUEL MELLADO"/>
        <s v="FRANCISCO CASTRO"/>
        <s v="EDGAR HERNANDEZ"/>
        <s v="MATIAS PENROZ"/>
        <s v="CRISTIAN VELIZ"/>
        <s v="CLAUDIO CID"/>
        <s v="MIGUEL HENRRIQUEZ"/>
        <s v="DAVID ROMO"/>
        <s v="ALVARO ABARCA"/>
        <s v="IGNACIO MEZA"/>
        <s v="ROLANDO EMIHUEQUE"/>
        <s v="YESENIA VALDÉS"/>
        <s v="VICTOR GOMEZ"/>
        <s v="SERGIO AQUEVEQUE"/>
        <s v="ANTONIO RIVAS"/>
      </sharedItems>
    </cacheField>
    <cacheField name="EDAD" numFmtId="0">
      <sharedItems containsString="0" containsBlank="1" containsNumber="1" containsInteger="1" minValue="18" maxValue="70"/>
    </cacheField>
    <cacheField name="AGENTE ACC" numFmtId="0">
      <sharedItems/>
    </cacheField>
    <cacheField name="PARTE AFECTADA" numFmtId="0">
      <sharedItems/>
    </cacheField>
    <cacheField name="NATURALEZA DE LA LESION " numFmtId="0">
      <sharedItems/>
    </cacheField>
    <cacheField name="TIPO ACCIDENTE" numFmtId="0">
      <sharedItems/>
    </cacheField>
    <cacheField name="DESCRIPCION DEL EVENTO (Ejemplo: colaboradora de TPO sufrió contusión (lesión) en el gluteo izquierdo (parte afectada) por caída mismo nivel (tipo de accidente), al resbalar en el piso (agente), en cámara 208 (lugar del accidente), mientras pegaba etiquetas (fuente)." numFmtId="0">
      <sharedItems longText="1"/>
    </cacheField>
    <cacheField name="ACCION - CONDICION" numFmtId="0">
      <sharedItems/>
    </cacheField>
    <cacheField name="TRABAJO HABITUAL" numFmtId="0">
      <sharedItems/>
    </cacheField>
    <cacheField name="DERIVACION ACHS" numFmtId="0">
      <sharedItems/>
    </cacheField>
    <cacheField name="EXPERTO DE TURNO" numFmtId="0">
      <sharedItems/>
    </cacheField>
    <cacheField name="Atencion SPA" numFmtId="0">
      <sharedItems containsBlank="1"/>
    </cacheField>
    <cacheField name="FUENTES (TAREA)"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lissa Encina" refreshedDate="45303.445327314817" createdVersion="8" refreshedVersion="8" minRefreshableVersion="3" recordCount="207" xr:uid="{1059125B-D29D-4EF1-ADE7-3D08BA7C8982}">
  <cacheSource type="worksheet">
    <worksheetSource ref="A6:AP213" sheet="Consolidado Accidentes"/>
  </cacheSource>
  <cacheFields count="42">
    <cacheField name="AÑO" numFmtId="0">
      <sharedItems containsSemiMixedTypes="0" containsString="0" containsNumber="1" containsInteger="1" minValue="2023" maxValue="2023"/>
    </cacheField>
    <cacheField name="MES" numFmtId="0">
      <sharedItems/>
    </cacheField>
    <cacheField name="PLANTA" numFmtId="0">
      <sharedItems/>
    </cacheField>
    <cacheField name="APELLIDOS" numFmtId="0">
      <sharedItems/>
    </cacheField>
    <cacheField name="NOMBRE" numFmtId="0">
      <sharedItems/>
    </cacheField>
    <cacheField name="GENERO" numFmtId="0">
      <sharedItems/>
    </cacheField>
    <cacheField name="RUT" numFmtId="0">
      <sharedItems/>
    </cacheField>
    <cacheField name="FECHA CONTRATO" numFmtId="14">
      <sharedItems containsSemiMixedTypes="0" containsNonDate="0" containsDate="1" containsString="0" minDate="1899-12-30T00:00:00" maxDate="2023-09-26T00:00:00"/>
    </cacheField>
    <cacheField name="MESES INTERNO" numFmtId="0">
      <sharedItems containsSemiMixedTypes="0" containsString="0" containsNumber="1" containsInteger="1" minValue="0" maxValue="1486"/>
    </cacheField>
    <cacheField name="FECHA INCCIDENTE" numFmtId="14">
      <sharedItems containsSemiMixedTypes="0" containsNonDate="0" containsDate="1" containsString="0" minDate="2023-01-03T00:00:00" maxDate="2023-11-23T00:00:00"/>
    </cacheField>
    <cacheField name="ANTIGÜEDAD" numFmtId="0">
      <sharedItems/>
    </cacheField>
    <cacheField name="FECHA INGRESO MUTUALIDAD" numFmtId="0">
      <sharedItems containsDate="1" containsMixedTypes="1" minDate="2023-01-04T00:00:00" maxDate="2023-11-24T00:00:00"/>
    </cacheField>
    <cacheField name="FECHA ALTA" numFmtId="0">
      <sharedItems containsDate="1" containsBlank="1" containsMixedTypes="1" minDate="2023-01-12T00:00:00" maxDate="2023-11-11T00:00:00"/>
    </cacheField>
    <cacheField name="REINGRESO" numFmtId="0">
      <sharedItems containsDate="1" containsMixedTypes="1" minDate="2023-01-10T00:00:00" maxDate="2023-11-24T00:00:00"/>
    </cacheField>
    <cacheField name="DP" numFmtId="0">
      <sharedItems containsMixedTypes="1" containsNumber="1" containsInteger="1" minValue="0" maxValue="163"/>
    </cacheField>
    <cacheField name="CLASIF ACC" numFmtId="0">
      <sharedItems/>
    </cacheField>
    <cacheField name="POTENCIAL_x000a_GRAVE - FATAL" numFmtId="0">
      <sharedItems/>
    </cacheField>
    <cacheField name="CLASIFICACION LGF" numFmtId="0">
      <sharedItems/>
    </cacheField>
    <cacheField name="AREA" numFmtId="0">
      <sharedItems/>
    </cacheField>
    <cacheField name="SECCION" numFmtId="0">
      <sharedItems containsBlank="1"/>
    </cacheField>
    <cacheField name="CARGO" numFmtId="0">
      <sharedItems/>
    </cacheField>
    <cacheField name="LUGAR ACC" numFmtId="0">
      <sharedItems containsBlank="1"/>
    </cacheField>
    <cacheField name="MAQUINA, EQUIPO Y HERRAMIENTAS" numFmtId="0">
      <sharedItems containsBlank="1"/>
    </cacheField>
    <cacheField name="TURNO" numFmtId="0">
      <sharedItems/>
    </cacheField>
    <cacheField name="HORA" numFmtId="0">
      <sharedItems containsNonDate="0" containsDate="1" containsString="0" containsBlank="1" minDate="1899-12-30T00:00:00" maxDate="1902-07-19T00:00:00"/>
    </cacheField>
    <cacheField name="DIA" numFmtId="0">
      <sharedItems/>
    </cacheField>
    <cacheField name="SEMANA" numFmtId="0">
      <sharedItems/>
    </cacheField>
    <cacheField name="ADEXUS" numFmtId="0">
      <sharedItems containsBlank="1" containsMixedTypes="1" containsNumber="1" containsInteger="1" minValue="15412" maxValue="155661"/>
    </cacheField>
    <cacheField name="NC" numFmtId="0">
      <sharedItems containsBlank="1"/>
    </cacheField>
    <cacheField name="JEFE AREA" numFmtId="0">
      <sharedItems/>
    </cacheField>
    <cacheField name="SUPERVISOR" numFmtId="0">
      <sharedItems containsBlank="1"/>
    </cacheField>
    <cacheField name="EDAD" numFmtId="0">
      <sharedItems containsString="0" containsBlank="1" containsNumber="1" containsInteger="1" minValue="18" maxValue="70"/>
    </cacheField>
    <cacheField name="AGENTE ACC" numFmtId="0">
      <sharedItems/>
    </cacheField>
    <cacheField name="PARTE AFECTADA" numFmtId="0">
      <sharedItems/>
    </cacheField>
    <cacheField name="NATURALEZA DE LA LESION " numFmtId="0">
      <sharedItems/>
    </cacheField>
    <cacheField name="TIPO ACCIDENTE" numFmtId="0">
      <sharedItems/>
    </cacheField>
    <cacheField name="DESCRIPCION DEL EVENTO (Ejemplo: colaboradora de TPO sufrió contusión (lesión) en el gluteo izquierdo (parte afectada) por caída mismo nivel (tipo de accidente), al resbalar en el piso (agente), en cámara 208 (lugar del accidente), mientras pegaba etiquetas (fuente)." numFmtId="0">
      <sharedItems longText="1"/>
    </cacheField>
    <cacheField name="ACCION - CONDICION" numFmtId="0">
      <sharedItems/>
    </cacheField>
    <cacheField name="TRABAJO HABITUAL" numFmtId="0">
      <sharedItems/>
    </cacheField>
    <cacheField name="DERIVACION ACHS" numFmtId="0">
      <sharedItems/>
    </cacheField>
    <cacheField name="EXPERTO DE TURNO" numFmtId="0">
      <sharedItems/>
    </cacheField>
    <cacheField name="Atencion SPA"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lissa Encina" refreshedDate="45303.445327546295" createdVersion="8" refreshedVersion="8" minRefreshableVersion="3" recordCount="75" xr:uid="{B641B1C8-ADE2-40D1-966D-32BB3DA1C551}">
  <cacheSource type="worksheet">
    <worksheetSource ref="A6:AQ81" sheet="Consolidado Accidentes"/>
  </cacheSource>
  <cacheFields count="43">
    <cacheField name="AÑO" numFmtId="0">
      <sharedItems containsSemiMixedTypes="0" containsString="0" containsNumber="1" containsInteger="1" minValue="2023" maxValue="2023"/>
    </cacheField>
    <cacheField name="MES" numFmtId="0">
      <sharedItems/>
    </cacheField>
    <cacheField name="PLANTA" numFmtId="0">
      <sharedItems/>
    </cacheField>
    <cacheField name="APELLIDOS" numFmtId="0">
      <sharedItems/>
    </cacheField>
    <cacheField name="NOMBRE" numFmtId="0">
      <sharedItems/>
    </cacheField>
    <cacheField name="GENERO" numFmtId="0">
      <sharedItems/>
    </cacheField>
    <cacheField name="RUT" numFmtId="0">
      <sharedItems/>
    </cacheField>
    <cacheField name="FECHA CONTRATO" numFmtId="14">
      <sharedItems containsSemiMixedTypes="0" containsNonDate="0" containsDate="1" containsString="0" minDate="1993-01-06T00:00:00" maxDate="2023-03-28T00:00:00"/>
    </cacheField>
    <cacheField name="MESES INTERNO" numFmtId="0">
      <sharedItems containsSemiMixedTypes="0" containsString="0" containsNumber="1" containsInteger="1" minValue="0" maxValue="363"/>
    </cacheField>
    <cacheField name="FECHA INCCIDENTE" numFmtId="14">
      <sharedItems containsSemiMixedTypes="0" containsNonDate="0" containsDate="1" containsString="0" minDate="2023-01-03T00:00:00" maxDate="2023-05-23T00:00:00"/>
    </cacheField>
    <cacheField name="ANTIGÜEDAD" numFmtId="0">
      <sharedItems/>
    </cacheField>
    <cacheField name="FECHA INGRESO MUTUALIDAD" numFmtId="0">
      <sharedItems containsDate="1" containsMixedTypes="1" minDate="2023-01-04T00:00:00" maxDate="2023-05-09T00:00:00"/>
    </cacheField>
    <cacheField name="FECHA ALTA" numFmtId="0">
      <sharedItems containsDate="1" containsMixedTypes="1" minDate="2023-01-12T00:00:00" maxDate="2023-09-25T00:00:00"/>
    </cacheField>
    <cacheField name="REINGRESO" numFmtId="0">
      <sharedItems containsDate="1" containsMixedTypes="1" minDate="2023-01-10T00:00:00" maxDate="2023-04-29T00:00:00"/>
    </cacheField>
    <cacheField name="DP" numFmtId="0">
      <sharedItems containsMixedTypes="1" containsNumber="1" containsInteger="1" minValue="0" maxValue="163"/>
    </cacheField>
    <cacheField name="CLASIF ACC" numFmtId="0">
      <sharedItems/>
    </cacheField>
    <cacheField name="POTENCIAL_x000a_GRAVE - FATAL" numFmtId="0">
      <sharedItems/>
    </cacheField>
    <cacheField name="CLASIFICACION LGF" numFmtId="0">
      <sharedItems/>
    </cacheField>
    <cacheField name="AREA" numFmtId="0">
      <sharedItems/>
    </cacheField>
    <cacheField name="SECCION" numFmtId="0">
      <sharedItems containsBlank="1"/>
    </cacheField>
    <cacheField name="CARGO" numFmtId="0">
      <sharedItems/>
    </cacheField>
    <cacheField name="LUGAR ACC" numFmtId="0">
      <sharedItems containsBlank="1"/>
    </cacheField>
    <cacheField name="MAQUINA, EQUIPO Y HERRAMIENTAS" numFmtId="0">
      <sharedItems containsBlank="1"/>
    </cacheField>
    <cacheField name="TURNO" numFmtId="0">
      <sharedItems containsBlank="1" count="4">
        <s v="MAÑANA"/>
        <s v="TARDE"/>
        <s v="NOCHE"/>
        <m u="1"/>
      </sharedItems>
    </cacheField>
    <cacheField name="HORA" numFmtId="0">
      <sharedItems containsNonDate="0" containsDate="1" containsString="0" containsBlank="1" minDate="1899-12-30T00:45:00" maxDate="1899-12-30T22:45:00"/>
    </cacheField>
    <cacheField name="DIA" numFmtId="0">
      <sharedItems/>
    </cacheField>
    <cacheField name="SEMANA" numFmtId="0">
      <sharedItems/>
    </cacheField>
    <cacheField name="ADEXUS" numFmtId="0">
      <sharedItems containsBlank="1" containsMixedTypes="1" containsNumber="1" containsInteger="1" minValue="15412" maxValue="15681"/>
    </cacheField>
    <cacheField name="NC" numFmtId="0">
      <sharedItems containsBlank="1"/>
    </cacheField>
    <cacheField name="JEFE AREA" numFmtId="0">
      <sharedItems/>
    </cacheField>
    <cacheField name="SUPERVISOR" numFmtId="0">
      <sharedItems containsBlank="1"/>
    </cacheField>
    <cacheField name="EDAD" numFmtId="0">
      <sharedItems containsSemiMixedTypes="0" containsString="0" containsNumber="1" containsInteger="1" minValue="19" maxValue="64"/>
    </cacheField>
    <cacheField name="AGENTE ACC" numFmtId="0">
      <sharedItems count="17">
        <s v="Materiales"/>
        <s v="Superficies de transito"/>
        <s v="Maquinarias"/>
        <s v="Infraestructura"/>
        <s v="Superficies de trabajo"/>
        <s v="Bins"/>
        <s v="Materia Prima"/>
        <s v="Equipos Transporte de carga"/>
        <s v="Pallet"/>
        <s v="Producto quimico"/>
        <s v="Elemento cortante"/>
        <s v="Animales - Insectos"/>
        <s v="Otros"/>
        <s v="Cuchillo"/>
        <s v="Cajas"/>
        <s v="Vehículos" u="1"/>
        <s v="Herramientas de mano" u="1"/>
      </sharedItems>
    </cacheField>
    <cacheField name="PARTE AFECTADA" numFmtId="0">
      <sharedItems count="10">
        <s v="Manos / dedos"/>
        <s v="Rostro"/>
        <s v="Multiples"/>
        <s v="Pie"/>
        <s v="Pierna"/>
        <s v="Ojos"/>
        <s v="Pelvis"/>
        <s v="Espalda"/>
        <s v="Brazo"/>
        <s v="Otro" u="1"/>
      </sharedItems>
    </cacheField>
    <cacheField name="NATURALEZA DE LA LESION " numFmtId="0">
      <sharedItems/>
    </cacheField>
    <cacheField name="TIPO ACCIDENTE" numFmtId="0">
      <sharedItems/>
    </cacheField>
    <cacheField name="DESCRIPCION DEL EVENTO (Ejemplo: colaboradora de TPO sufrió contusión (lesión) en el gluteo izquierdo (parte afectada) por caída mismo nivel (tipo de accidente), al resbalar en el piso (agente), en cámara 208 (lugar del accidente), mientras pegaba etiquetas (fuente)." numFmtId="0">
      <sharedItems longText="1"/>
    </cacheField>
    <cacheField name="ACCION - CONDICION" numFmtId="0">
      <sharedItems count="3">
        <s v="ACCION"/>
        <s v="CONDICION"/>
        <s v="CONDICION "/>
      </sharedItems>
    </cacheField>
    <cacheField name="TRABAJO HABITUAL" numFmtId="0">
      <sharedItems/>
    </cacheField>
    <cacheField name="DERIVACION ACHS" numFmtId="0">
      <sharedItems count="2">
        <s v="NO"/>
        <s v="SI"/>
      </sharedItems>
    </cacheField>
    <cacheField name="EXPERTO DE TURNO" numFmtId="0">
      <sharedItems/>
    </cacheField>
    <cacheField name="Atencion SPA" numFmtId="0">
      <sharedItems containsBlank="1"/>
    </cacheField>
    <cacheField name="FUENTES (TAREA)" numFmtId="0">
      <sharedItems containsBlank="1" count="25">
        <m/>
        <s v="TRANSPORTE DE CINTA"/>
        <s v="TRANSITO POR AREAS DE PROCESO"/>
        <s v="CAMBIO DE ROPA EN CAMARINES"/>
        <s v="TRANSITO POR AREAS COMUNES"/>
        <s v="LIMPIEZA DE SUPERFICIE SOBRE TARIMA/ESCALERA"/>
        <s v="REALIZANDO LABORES DE ASEO"/>
        <s v="MOVIMIENTO DE MATERIALES (BINS, PALLET, BANDEJAS)"/>
        <s v="LINEA DE ESPURGO TROZADO AUTOMATICO"/>
        <s v="MANIPULACION DE PRODUCTO QUIMICO"/>
        <s v="LABORES SOBRE TARIMA/ESCALERA"/>
        <s v="MANIPULACION DE MATERIA PRIMA"/>
        <s v="RETIRO DE PRODUCTO ATASCADO"/>
        <s v="MANIPULACIÓN DE CUCHILLO Y/O MANTENER FILO"/>
        <s v="ARMADO DE PALLET"/>
        <s v="COLGADO DE AVES VIVAS"/>
        <s v="OPERACIÓN DE MAQUINAS, EQUIPOS O HERRAMIENTAS MOTRICES"/>
        <s v="REALIZANDO LABORES DE CORTE "/>
        <s v="LABORES DE MANTENCIÓN"/>
        <s v="MANIPULACION DE MATERIALES DE TRABAJO"/>
        <s v="RETIRO DE PALLET" u="1"/>
        <s v="RETIRO DE BINS" u="1"/>
        <s v="MANIPULACION PRODUCTO QUIMICO" u="1"/>
        <s v="RETIRO DE AGUA EN SALA DE PROCESO" u="1"/>
        <s v="TRANSITO AREAS COMUNES" u="1"/>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lissa Encina" refreshedDate="45303.44532835648" createdVersion="8" refreshedVersion="8" minRefreshableVersion="3" recordCount="75" xr:uid="{29F705C5-FCE2-4274-B7A5-75F607419493}">
  <cacheSource type="worksheet">
    <worksheetSource ref="A6:AP81" sheet="Consolidado Accidentes"/>
  </cacheSource>
  <cacheFields count="42">
    <cacheField name="AÑO" numFmtId="0">
      <sharedItems containsSemiMixedTypes="0" containsString="0" containsNumber="1" containsInteger="1" minValue="2023" maxValue="2023"/>
    </cacheField>
    <cacheField name="MES" numFmtId="0">
      <sharedItems/>
    </cacheField>
    <cacheField name="PLANTA" numFmtId="0">
      <sharedItems/>
    </cacheField>
    <cacheField name="APELLIDOS" numFmtId="0">
      <sharedItems/>
    </cacheField>
    <cacheField name="NOMBRE" numFmtId="0">
      <sharedItems/>
    </cacheField>
    <cacheField name="GENERO" numFmtId="0">
      <sharedItems/>
    </cacheField>
    <cacheField name="RUT" numFmtId="0">
      <sharedItems/>
    </cacheField>
    <cacheField name="FECHA CONTRATO" numFmtId="14">
      <sharedItems containsSemiMixedTypes="0" containsNonDate="0" containsDate="1" containsString="0" minDate="1993-01-06T00:00:00" maxDate="2023-03-28T00:00:00"/>
    </cacheField>
    <cacheField name="MESES INTERNO" numFmtId="0">
      <sharedItems containsSemiMixedTypes="0" containsString="0" containsNumber="1" containsInteger="1" minValue="0" maxValue="363"/>
    </cacheField>
    <cacheField name="FECHA INCCIDENTE" numFmtId="14">
      <sharedItems containsSemiMixedTypes="0" containsNonDate="0" containsDate="1" containsString="0" minDate="2023-01-03T00:00:00" maxDate="2023-05-23T00:00:00"/>
    </cacheField>
    <cacheField name="ANTIGÜEDAD" numFmtId="0">
      <sharedItems count="3">
        <s v="ANTIGUO"/>
        <s v="NUEVO"/>
        <s v="INTERMEDIO"/>
      </sharedItems>
    </cacheField>
    <cacheField name="FECHA INGRESO MUTUALIDAD" numFmtId="0">
      <sharedItems containsDate="1" containsMixedTypes="1" minDate="2023-01-04T00:00:00" maxDate="2023-05-09T00:00:00"/>
    </cacheField>
    <cacheField name="FECHA ALTA" numFmtId="0">
      <sharedItems containsDate="1" containsMixedTypes="1" minDate="2023-01-12T00:00:00" maxDate="2023-09-25T00:00:00"/>
    </cacheField>
    <cacheField name="REINGRESO" numFmtId="0">
      <sharedItems containsDate="1" containsMixedTypes="1" minDate="2023-01-10T00:00:00" maxDate="2023-04-29T00:00:00"/>
    </cacheField>
    <cacheField name="DP" numFmtId="0">
      <sharedItems containsMixedTypes="1" containsNumber="1" containsInteger="1" minValue="0" maxValue="163"/>
    </cacheField>
    <cacheField name="CLASIF ACC" numFmtId="0">
      <sharedItems count="2">
        <s v="STP"/>
        <s v="CTP"/>
      </sharedItems>
    </cacheField>
    <cacheField name="POTENCIAL_x000a_GRAVE - FATAL" numFmtId="0">
      <sharedItems/>
    </cacheField>
    <cacheField name="CLASIFICACION LGF" numFmtId="0">
      <sharedItems/>
    </cacheField>
    <cacheField name="AREA" numFmtId="0">
      <sharedItems count="10">
        <s v="BODEGA"/>
        <s v="IQF Y CALIBRADO"/>
        <s v="FAENACION"/>
        <s v="CALIDAD"/>
        <s v="FRIGORIFICO"/>
        <s v="TROZADO DE POLLO"/>
        <s v="SSGG"/>
        <s v="P. POSTERIORES"/>
        <s v="MANTENCION"/>
        <s v="TROZADO DE PAVO"/>
      </sharedItems>
    </cacheField>
    <cacheField name="SECCION" numFmtId="0">
      <sharedItems containsBlank="1"/>
    </cacheField>
    <cacheField name="CARGO" numFmtId="0">
      <sharedItems/>
    </cacheField>
    <cacheField name="LUGAR ACC" numFmtId="0">
      <sharedItems containsBlank="1"/>
    </cacheField>
    <cacheField name="MAQUINA, EQUIPO Y HERRAMIENTAS" numFmtId="0">
      <sharedItems containsBlank="1"/>
    </cacheField>
    <cacheField name="TURNO" numFmtId="0">
      <sharedItems/>
    </cacheField>
    <cacheField name="HORA" numFmtId="0">
      <sharedItems containsNonDate="0" containsDate="1" containsString="0" containsBlank="1" minDate="1899-12-30T00:45:00" maxDate="1899-12-30T22:45:00"/>
    </cacheField>
    <cacheField name="DIA" numFmtId="0">
      <sharedItems count="7">
        <s v="MIERCOLES"/>
        <s v="JUEVES"/>
        <s v="SABADO"/>
        <s v="VIERNES"/>
        <s v="MARTES"/>
        <s v="LUNES"/>
        <s v="DOMINGO"/>
      </sharedItems>
    </cacheField>
    <cacheField name="SEMANA" numFmtId="0">
      <sharedItems/>
    </cacheField>
    <cacheField name="ADEXUS" numFmtId="0">
      <sharedItems containsBlank="1" containsMixedTypes="1" containsNumber="1" containsInteger="1" minValue="15412" maxValue="15681"/>
    </cacheField>
    <cacheField name="NC" numFmtId="0">
      <sharedItems containsBlank="1"/>
    </cacheField>
    <cacheField name="JEFE AREA" numFmtId="0">
      <sharedItems/>
    </cacheField>
    <cacheField name="SUPERVISOR" numFmtId="0">
      <sharedItems containsBlank="1"/>
    </cacheField>
    <cacheField name="EDAD" numFmtId="0">
      <sharedItems containsSemiMixedTypes="0" containsString="0" containsNumber="1" containsInteger="1" minValue="19" maxValue="64"/>
    </cacheField>
    <cacheField name="AGENTE ACC" numFmtId="0">
      <sharedItems/>
    </cacheField>
    <cacheField name="PARTE AFECTADA" numFmtId="0">
      <sharedItems/>
    </cacheField>
    <cacheField name="NATURALEZA DE LA LESION " numFmtId="0">
      <sharedItems count="8">
        <s v="Otros"/>
        <s v="Contusión"/>
        <s v="Atrición"/>
        <s v="Herida cortante"/>
        <s v="Torsión"/>
        <s v="Conjuntivitis"/>
        <s v="Quemadura"/>
        <s v="Fractura"/>
      </sharedItems>
    </cacheField>
    <cacheField name="TIPO ACCIDENTE" numFmtId="0">
      <sharedItems count="14">
        <s v="Sobreesfuerzo"/>
        <s v="Caida de mismo nivel"/>
        <s v="Atrapamiento"/>
        <s v="Contacto con cuerpo punzante"/>
        <s v="Golpeado por"/>
        <s v="Golpeado contra"/>
        <s v="Caida de distinto nivel"/>
        <s v="Proyeccion de particulas"/>
        <s v="Contacto con cuerpo cortante"/>
        <s v="Exposicion a humo y gases"/>
        <s v="Contacto con temperaturas extremas"/>
        <s v="Picadura"/>
        <s v="Contacto con sustancias toxicas"/>
        <s v="Otros"/>
      </sharedItems>
    </cacheField>
    <cacheField name="DESCRIPCION DEL EVENTO (Ejemplo: colaboradora de TPO sufrió contusión (lesión) en el gluteo izquierdo (parte afectada) por caída mismo nivel (tipo de accidente), al resbalar en el piso (agente), en cámara 208 (lugar del accidente), mientras pegaba etiquetas (fuente)." numFmtId="0">
      <sharedItems longText="1"/>
    </cacheField>
    <cacheField name="ACCION - CONDICION" numFmtId="0">
      <sharedItems/>
    </cacheField>
    <cacheField name="TRABAJO HABITUAL" numFmtId="0">
      <sharedItems/>
    </cacheField>
    <cacheField name="DERIVACION ACHS" numFmtId="0">
      <sharedItems count="2">
        <s v="NO"/>
        <s v="SI"/>
      </sharedItems>
    </cacheField>
    <cacheField name="EXPERTO DE TURNO" numFmtId="0">
      <sharedItems/>
    </cacheField>
    <cacheField name="Atencion SPA"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lissa Encina" refreshedDate="45303.445329050926" createdVersion="8" refreshedVersion="8" minRefreshableVersion="3" recordCount="171" xr:uid="{FBADF962-25FC-41E5-AB1B-958F7901AB2B}">
  <cacheSource type="worksheet">
    <worksheetSource ref="A6:AQ177" sheet="Consolidado Accidentes"/>
  </cacheSource>
  <cacheFields count="43">
    <cacheField name="AÑO" numFmtId="0">
      <sharedItems containsSemiMixedTypes="0" containsString="0" containsNumber="1" containsInteger="1" minValue="2023" maxValue="2023"/>
    </cacheField>
    <cacheField name="MES" numFmtId="0">
      <sharedItems containsBlank="1" count="10">
        <s v="ENERO"/>
        <s v="FEBRERO"/>
        <s v="MARZO"/>
        <s v="ABRIL"/>
        <s v="MAYO"/>
        <s v="JUNIO"/>
        <s v="JULIO"/>
        <s v="AGOSTO"/>
        <s v="SEPTIEMBRE"/>
        <m u="1"/>
      </sharedItems>
    </cacheField>
    <cacheField name="PLANTA" numFmtId="0">
      <sharedItems/>
    </cacheField>
    <cacheField name="APELLIDOS" numFmtId="0">
      <sharedItems/>
    </cacheField>
    <cacheField name="NOMBRE" numFmtId="0">
      <sharedItems/>
    </cacheField>
    <cacheField name="GENERO" numFmtId="0">
      <sharedItems/>
    </cacheField>
    <cacheField name="RUT" numFmtId="0">
      <sharedItems/>
    </cacheField>
    <cacheField name="FECHA CONTRATO" numFmtId="14">
      <sharedItems containsSemiMixedTypes="0" containsNonDate="0" containsDate="1" containsString="0" minDate="1993-01-06T00:00:00" maxDate="2023-08-02T00:00:00"/>
    </cacheField>
    <cacheField name="MESES INTERNO" numFmtId="0">
      <sharedItems containsSemiMixedTypes="0" containsString="0" containsNumber="1" containsInteger="1" minValue="0" maxValue="363"/>
    </cacheField>
    <cacheField name="FECHA INCCIDENTE" numFmtId="14">
      <sharedItems containsSemiMixedTypes="0" containsNonDate="0" containsDate="1" containsString="0" minDate="2023-01-03T00:00:00" maxDate="2023-09-15T00:00:00"/>
    </cacheField>
    <cacheField name="ANTIGÜEDAD" numFmtId="0">
      <sharedItems/>
    </cacheField>
    <cacheField name="FECHA INGRESO MUTUALIDAD" numFmtId="0">
      <sharedItems containsDate="1" containsMixedTypes="1" minDate="2023-01-04T00:00:00" maxDate="2023-09-14T00:00:00"/>
    </cacheField>
    <cacheField name="FECHA ALTA" numFmtId="0">
      <sharedItems containsDate="1" containsBlank="1" containsMixedTypes="1" minDate="2023-01-12T00:00:00" maxDate="2023-09-25T00:00:00"/>
    </cacheField>
    <cacheField name="REINGRESO" numFmtId="0">
      <sharedItems containsDate="1" containsMixedTypes="1" minDate="2023-01-10T00:00:00" maxDate="2023-08-24T00:00:00"/>
    </cacheField>
    <cacheField name="DP" numFmtId="0">
      <sharedItems containsMixedTypes="1" containsNumber="1" containsInteger="1" minValue="0" maxValue="163"/>
    </cacheField>
    <cacheField name="CLASIF ACC" numFmtId="0">
      <sharedItems/>
    </cacheField>
    <cacheField name="POTENCIAL_x000a_GRAVE - FATAL" numFmtId="0">
      <sharedItems/>
    </cacheField>
    <cacheField name="CLASIFICACION LGF" numFmtId="0">
      <sharedItems/>
    </cacheField>
    <cacheField name="AREA" numFmtId="0">
      <sharedItems containsBlank="1" count="12">
        <s v="BODEGA"/>
        <s v="IQF Y CALIBRADO"/>
        <s v="FAENACION"/>
        <s v="CALIDAD"/>
        <s v="FRIGORIFICO"/>
        <s v="TROZADO DE POLLO"/>
        <s v="SSGG"/>
        <s v="P. POSTERIORES"/>
        <s v="MANTENCION"/>
        <s v="TROZADO DE PAVO"/>
        <s v="CAMARA 208"/>
        <m u="1"/>
      </sharedItems>
    </cacheField>
    <cacheField name="SECCION" numFmtId="0">
      <sharedItems containsBlank="1"/>
    </cacheField>
    <cacheField name="CARGO" numFmtId="0">
      <sharedItems/>
    </cacheField>
    <cacheField name="LUGAR ACC" numFmtId="0">
      <sharedItems containsBlank="1"/>
    </cacheField>
    <cacheField name="MAQUINA, EQUIPO Y HERRAMIENTAS" numFmtId="0">
      <sharedItems containsBlank="1"/>
    </cacheField>
    <cacheField name="TURNO" numFmtId="0">
      <sharedItems/>
    </cacheField>
    <cacheField name="HORA" numFmtId="0">
      <sharedItems containsNonDate="0" containsDate="1" containsString="0" containsBlank="1" minDate="1899-12-30T00:00:00" maxDate="1902-07-19T00:00:00"/>
    </cacheField>
    <cacheField name="DIA" numFmtId="0">
      <sharedItems/>
    </cacheField>
    <cacheField name="SEMANA" numFmtId="0">
      <sharedItems/>
    </cacheField>
    <cacheField name="ADEXUS" numFmtId="0">
      <sharedItems containsBlank="1" containsMixedTypes="1" containsNumber="1" containsInteger="1" minValue="15412" maxValue="155661"/>
    </cacheField>
    <cacheField name="NC" numFmtId="0">
      <sharedItems containsBlank="1"/>
    </cacheField>
    <cacheField name="JEFE AREA" numFmtId="0">
      <sharedItems/>
    </cacheField>
    <cacheField name="SUPERVISOR" numFmtId="0">
      <sharedItems containsBlank="1" count="52">
        <s v="VICTORIA MILLANERS"/>
        <s v="FERNANDO FUENTEALBA"/>
        <s v="ERWIN GATICA"/>
        <s v="HECNIMAR URDANETA"/>
        <m/>
        <s v="JUAN VILLAVICENCIO"/>
        <s v="RAMIRO RAMIREZ"/>
        <s v="PATRICIO PALACIOS"/>
        <s v="LUIS BUSTAMANTE"/>
        <s v="LUIS URBINA"/>
        <s v="JOSE CARVALLO"/>
        <s v="CESAR CARTAGENA"/>
        <s v="ALEJANDRO SALAS"/>
        <s v="NICOLAS ROJAS"/>
        <s v="MARCOS QUINTANILLA"/>
        <s v="JAQUELIN PAVEZ"/>
        <s v="PATRICIO MACIEL "/>
        <s v="FRANCISCO SANCHEZ"/>
        <s v="MAURICIO HERNANDEZ"/>
        <s v="FRANCISCO ACEVEDO"/>
        <s v="MATIAS CASTRO"/>
        <s v="MAXIMO CAMPOS"/>
        <s v="JORDAN FARIAS"/>
        <s v="DANIEL GONZALEZ"/>
        <s v="JOSELINNE ALARCON"/>
        <s v="CRISTIAN MESA"/>
        <s v="ORLANDO FARIAS"/>
        <s v="NELSON PIZARRO"/>
        <s v="ARNALDO VERA"/>
        <s v="ALEJANDRO TORRES"/>
        <s v="JONATHAN VERA"/>
        <s v="JORGE MEZA"/>
        <s v="JOCELYN ALARCON"/>
        <s v="JEAQUELINE PAVEZ"/>
        <s v="PATRICIO PALACIOS "/>
        <s v="ROBERTO LOYOLA"/>
        <s v="EMANUEL MELLADO"/>
        <s v="FRANCISCO CASTRO"/>
        <s v="EDGAR HERNANDEZ"/>
        <s v="MATIAS PENROZ"/>
        <s v="CRISTIAN VELIZ"/>
        <s v="CLAUDIO CID"/>
        <s v="MIGUEL HENRRIQUEZ"/>
        <s v="DAVID ROMO"/>
        <s v="ALVARO ABARCA"/>
        <s v="IGNACIO MEZA"/>
        <s v="ROLANDO EMIHUEQUE"/>
        <s v="YESENIA VALDÉS"/>
        <s v="VICTOR GOMEZ"/>
        <s v="SERGIO AQUEVEQUE"/>
        <s v="ALBARO ABARCA" u="1"/>
        <s v="ALEJNADRO SALAS" u="1"/>
      </sharedItems>
    </cacheField>
    <cacheField name="EDAD" numFmtId="0">
      <sharedItems containsString="0" containsBlank="1" containsNumber="1" containsInteger="1" minValue="18" maxValue="70"/>
    </cacheField>
    <cacheField name="AGENTE ACC" numFmtId="0">
      <sharedItems containsBlank="1" count="20">
        <s v="Materiales"/>
        <s v="Superficies de transito"/>
        <s v="Maquinarias"/>
        <s v="Infraestructura"/>
        <s v="Superficies de trabajo"/>
        <s v="Bins"/>
        <s v="Materia Prima"/>
        <s v="Equipos Transporte de carga"/>
        <s v="Pallet"/>
        <s v="Producto quimico"/>
        <s v="Elemento cortante"/>
        <s v="Animales - Insectos"/>
        <s v="Otros"/>
        <s v="Cuchillo"/>
        <s v="Cajas"/>
        <s v="Vehículos"/>
        <s v="Bandejas"/>
        <s v="Gases - vapores"/>
        <s v="Equipo electricos"/>
        <m u="1"/>
      </sharedItems>
    </cacheField>
    <cacheField name="PARTE AFECTADA" numFmtId="0">
      <sharedItems containsBlank="1" count="14">
        <s v="Manos / dedos"/>
        <s v="Rostro"/>
        <s v="Multiples"/>
        <s v="Pie"/>
        <s v="Pierna"/>
        <s v="Ojos"/>
        <s v="Pelvis"/>
        <s v="Espalda"/>
        <s v="Brazo"/>
        <s v="Cabeza"/>
        <s v="Tronco"/>
        <s v="Lesion Interna"/>
        <s v="Otro" u="1"/>
        <m u="1"/>
      </sharedItems>
    </cacheField>
    <cacheField name="NATURALEZA DE LA LESION " numFmtId="0">
      <sharedItems/>
    </cacheField>
    <cacheField name="TIPO ACCIDENTE" numFmtId="0">
      <sharedItems containsBlank="1" count="16">
        <s v="Sobreesfuerzo"/>
        <s v="Caida de mismo nivel"/>
        <s v="Atrapamiento"/>
        <s v="Contacto con cuerpo punzante"/>
        <s v="Golpeado por"/>
        <s v="Golpeado contra"/>
        <s v="Caida de distinto nivel"/>
        <s v="Proyeccion de particulas"/>
        <s v="Contacto con cuerpo cortante"/>
        <s v="Exposicion a humo y gases"/>
        <s v="Contacto con temperaturas extremas"/>
        <s v="Picadura"/>
        <s v="Contacto con sustancias toxicas"/>
        <s v="Otros"/>
        <s v="Contacto con electricidad"/>
        <m u="1"/>
      </sharedItems>
    </cacheField>
    <cacheField name="DESCRIPCION DEL EVENTO (Ejemplo: colaboradora de TPO sufrió contusión (lesión) en el gluteo izquierdo (parte afectada) por caída mismo nivel (tipo de accidente), al resbalar en el piso (agente), en cámara 208 (lugar del accidente), mientras pegaba etiquetas (fuente)." numFmtId="0">
      <sharedItems longText="1"/>
    </cacheField>
    <cacheField name="ACCION - CONDICION" numFmtId="0">
      <sharedItems/>
    </cacheField>
    <cacheField name="TRABAJO HABITUAL" numFmtId="0">
      <sharedItems/>
    </cacheField>
    <cacheField name="DERIVACION ACHS" numFmtId="0">
      <sharedItems/>
    </cacheField>
    <cacheField name="EXPERTO DE TURNO" numFmtId="0">
      <sharedItems/>
    </cacheField>
    <cacheField name="Atencion SPA" numFmtId="0">
      <sharedItems containsBlank="1"/>
    </cacheField>
    <cacheField name="FUENTES (TAREA)" numFmtId="0">
      <sharedItems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lissa Encina" refreshedDate="45303.445331134259" createdVersion="8" refreshedVersion="8" minRefreshableVersion="3" recordCount="395" xr:uid="{96504CFA-CDAC-4175-9BC3-85F610DBFCB3}">
  <cacheSource type="worksheet">
    <worksheetSource ref="A6:AQ401" sheet="Consolidado Accidentes"/>
  </cacheSource>
  <cacheFields count="43">
    <cacheField name="AÑO" numFmtId="0">
      <sharedItems containsBlank="1" containsMixedTypes="1" containsNumber="1" containsInteger="1" minValue="2023" maxValue="2023"/>
    </cacheField>
    <cacheField name="MES" numFmtId="0">
      <sharedItems containsBlank="1"/>
    </cacheField>
    <cacheField name="PLANTA" numFmtId="0">
      <sharedItems containsBlank="1"/>
    </cacheField>
    <cacheField name="APELLIDOS" numFmtId="0">
      <sharedItems containsBlank="1"/>
    </cacheField>
    <cacheField name="NOMBRE" numFmtId="0">
      <sharedItems containsBlank="1"/>
    </cacheField>
    <cacheField name="GENERO" numFmtId="0">
      <sharedItems containsBlank="1"/>
    </cacheField>
    <cacheField name="RUT" numFmtId="0">
      <sharedItems containsBlank="1"/>
    </cacheField>
    <cacheField name="FECHA CONTRATO" numFmtId="0">
      <sharedItems containsDate="1" containsBlank="1" containsMixedTypes="1" minDate="1899-12-30T00:00:00" maxDate="2023-11-14T00:00:00"/>
    </cacheField>
    <cacheField name="MESES INTERNO" numFmtId="0">
      <sharedItems containsBlank="1" containsMixedTypes="1" containsNumber="1" containsInteger="1" minValue="0" maxValue="1486"/>
    </cacheField>
    <cacheField name="FECHA INCCIDENTE" numFmtId="0">
      <sharedItems containsNonDate="0" containsDate="1" containsString="0" containsBlank="1" minDate="2023-01-03T00:00:00" maxDate="2023-12-30T00:00:00"/>
    </cacheField>
    <cacheField name="ANTIGÜEDAD" numFmtId="0">
      <sharedItems containsBlank="1" count="5">
        <s v="ANTIGUO"/>
        <s v="NUEVO"/>
        <s v="INTERMEDIO"/>
        <e v="#VALUE!"/>
        <m/>
      </sharedItems>
    </cacheField>
    <cacheField name="FECHA INGRESO MUTUALIDAD" numFmtId="0">
      <sharedItems containsDate="1" containsBlank="1" containsMixedTypes="1" minDate="2023-01-04T00:00:00" maxDate="2023-12-30T00:00:00"/>
    </cacheField>
    <cacheField name="FECHA ALTA" numFmtId="0">
      <sharedItems containsDate="1" containsBlank="1" containsMixedTypes="1" minDate="2023-01-12T00:00:00" maxDate="2023-12-12T00:00:00"/>
    </cacheField>
    <cacheField name="REINGRESO" numFmtId="0">
      <sharedItems containsDate="1" containsBlank="1" containsMixedTypes="1" minDate="2023-01-10T00:00:00" maxDate="2023-12-30T00:00:00"/>
    </cacheField>
    <cacheField name="DP" numFmtId="0">
      <sharedItems containsBlank="1" containsMixedTypes="1" containsNumber="1" containsInteger="1" minValue="0" maxValue="163"/>
    </cacheField>
    <cacheField name="CLASIF ACC" numFmtId="0">
      <sharedItems containsBlank="1" count="3">
        <s v="STP"/>
        <s v="CTP"/>
        <m/>
      </sharedItems>
    </cacheField>
    <cacheField name="POTENCIAL_x000a_GRAVE - FATAL" numFmtId="0">
      <sharedItems containsBlank="1"/>
    </cacheField>
    <cacheField name="CLASIFICACION LGF" numFmtId="0">
      <sharedItems containsBlank="1"/>
    </cacheField>
    <cacheField name="AREA" numFmtId="0">
      <sharedItems containsBlank="1" count="12">
        <s v="BODEGA"/>
        <s v="IQF Y CALIBRADO"/>
        <s v="FAENACION"/>
        <s v="CALIDAD"/>
        <s v="FRIGORIFICO"/>
        <s v="TROZADO DE POLLO"/>
        <s v="SSGG"/>
        <s v="P. POSTERIORES"/>
        <s v="MANTENCION"/>
        <s v="TROZADO DE PAVO"/>
        <s v="CAMARA 208"/>
        <m/>
      </sharedItems>
    </cacheField>
    <cacheField name="SECCION" numFmtId="0">
      <sharedItems containsBlank="1"/>
    </cacheField>
    <cacheField name="CARGO" numFmtId="0">
      <sharedItems containsBlank="1"/>
    </cacheField>
    <cacheField name="LUGAR ACC" numFmtId="0">
      <sharedItems containsBlank="1"/>
    </cacheField>
    <cacheField name="MAQUINA, EQUIPO Y HERRAMIENTAS" numFmtId="0">
      <sharedItems containsBlank="1"/>
    </cacheField>
    <cacheField name="TURNO" numFmtId="0">
      <sharedItems containsBlank="1"/>
    </cacheField>
    <cacheField name="HORA" numFmtId="0">
      <sharedItems containsNonDate="0" containsDate="1" containsString="0" containsBlank="1" minDate="1899-12-30T00:00:00" maxDate="1902-07-19T00:00:00"/>
    </cacheField>
    <cacheField name="DIA" numFmtId="0">
      <sharedItems containsBlank="1" longText="1"/>
    </cacheField>
    <cacheField name="SEMANA" numFmtId="0">
      <sharedItems containsBlank="1"/>
    </cacheField>
    <cacheField name="ADEXUS" numFmtId="0">
      <sharedItems containsBlank="1" containsMixedTypes="1" containsNumber="1" containsInteger="1" minValue="15412" maxValue="155661"/>
    </cacheField>
    <cacheField name="NC" numFmtId="0">
      <sharedItems containsBlank="1"/>
    </cacheField>
    <cacheField name="JEFE AREA" numFmtId="0">
      <sharedItems containsBlank="1"/>
    </cacheField>
    <cacheField name="SUPERVISOR" numFmtId="0">
      <sharedItems containsBlank="1"/>
    </cacheField>
    <cacheField name="EDAD" numFmtId="0">
      <sharedItems containsString="0" containsBlank="1" containsNumber="1" containsInteger="1" minValue="18" maxValue="70"/>
    </cacheField>
    <cacheField name="AGENTE ACC" numFmtId="0">
      <sharedItems containsBlank="1" count="21">
        <s v="Materiales"/>
        <s v="Superficies de transito"/>
        <s v="Maquinarias"/>
        <s v="Infraestructura"/>
        <s v="Superficies de trabajo"/>
        <s v="Bins"/>
        <s v="Materia Prima"/>
        <s v="Equipos Transporte de carga"/>
        <s v="Pallet"/>
        <s v="Producto quimico"/>
        <s v="Elemento cortante"/>
        <s v="Animales - Insectos"/>
        <s v="Otros"/>
        <s v="Cuchillo"/>
        <s v="Cajas"/>
        <s v="Vehículos"/>
        <s v="Bandejas"/>
        <s v="Gases - vapores"/>
        <s v="Equipo electricos"/>
        <s v="Herramientas de mano"/>
        <m/>
      </sharedItems>
    </cacheField>
    <cacheField name="PARTE AFECTADA" numFmtId="0">
      <sharedItems containsBlank="1" count="13">
        <s v="Manos / dedos"/>
        <s v="Rostro"/>
        <s v="Multiples"/>
        <s v="Pie"/>
        <s v="Pierna"/>
        <s v="Ojos"/>
        <s v="Pelvis"/>
        <s v="Espalda"/>
        <s v="Brazo"/>
        <s v="Cabeza"/>
        <s v="Tronco"/>
        <s v="Lesion Interna"/>
        <m/>
      </sharedItems>
    </cacheField>
    <cacheField name="NATURALEZA DE LA LESION " numFmtId="0">
      <sharedItems containsBlank="1" count="9">
        <s v="Otros"/>
        <s v="Contusión"/>
        <s v="Atrición"/>
        <s v="Herida cortante"/>
        <s v="Torsión"/>
        <s v="Conjuntivitis"/>
        <s v="Quemadura"/>
        <s v="Fractura"/>
        <m/>
      </sharedItems>
    </cacheField>
    <cacheField name="TIPO ACCIDENTE" numFmtId="0">
      <sharedItems containsBlank="1" count="16">
        <s v="Sobreesfuerzo"/>
        <s v="Caida de mismo nivel"/>
        <s v="Atrapamiento"/>
        <s v="Contacto con cuerpo punzante"/>
        <s v="Golpeado por"/>
        <s v="Golpeado contra"/>
        <s v="Caida de distinto nivel"/>
        <s v="Proyeccion de particulas"/>
        <s v="Contacto con cuerpo cortante"/>
        <s v="Exposicion a humo y gases"/>
        <s v="Contacto con temperaturas extremas"/>
        <s v="Picadura"/>
        <s v="Contacto con sustancias toxicas"/>
        <s v="Otros"/>
        <s v="Contacto con electricidad"/>
        <m/>
      </sharedItems>
    </cacheField>
    <cacheField name="DESCRIPCION DEL EVENTO (Ejemplo: colaboradora de TPO sufrió contusión (lesión) en el gluteo izquierdo (parte afectada) por caída mismo nivel (tipo de accidente), al resbalar en el piso (agente), en cámara 208 (lugar del accidente), mientras pegaba etiquetas (fuente)." numFmtId="0">
      <sharedItems containsBlank="1" longText="1"/>
    </cacheField>
    <cacheField name="ACCION - CONDICION" numFmtId="0">
      <sharedItems containsBlank="1"/>
    </cacheField>
    <cacheField name="TRABAJO HABITUAL" numFmtId="0">
      <sharedItems containsBlank="1"/>
    </cacheField>
    <cacheField name="DERIVACION ACHS" numFmtId="0">
      <sharedItems containsBlank="1" count="4">
        <s v="NO"/>
        <s v="SI"/>
        <s v="NO "/>
        <m/>
      </sharedItems>
    </cacheField>
    <cacheField name="EXPERTO DE TURNO" numFmtId="0">
      <sharedItems containsBlank="1"/>
    </cacheField>
    <cacheField name="Atencion SPA" numFmtId="0">
      <sharedItems containsBlank="1"/>
    </cacheField>
    <cacheField name="FUENTES (TAREA)"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4">
  <r>
    <n v="2023"/>
    <x v="0"/>
    <s v="EL PAICO"/>
    <s v="PEÑA ASTORGA"/>
    <s v="GUSTAVO"/>
    <x v="0"/>
    <s v="17225054-8"/>
    <d v="2019-11-11T00:00:00"/>
    <n v="37"/>
    <d v="2023-01-03T00:00:00"/>
    <x v="0"/>
    <s v="N/A"/>
    <s v="N/A"/>
    <s v="N/A"/>
    <n v="0"/>
    <x v="0"/>
    <s v="N/A"/>
    <x v="0"/>
    <x v="0"/>
    <s v="EVISCERADO"/>
    <s v="OPERARIO"/>
    <s v="LINEA DESCOLGADO DE BANDEJAS"/>
    <s v="N/A"/>
    <x v="0"/>
    <d v="1899-12-30T13:45:00"/>
    <x v="0"/>
    <s v="SEMANA 1"/>
    <m/>
    <m/>
    <s v="NICOLAS MOYANO"/>
    <x v="0"/>
    <n v="33"/>
    <x v="0"/>
    <x v="0"/>
    <s v="Herida cortante"/>
    <x v="0"/>
    <s v="ESTABA BAJANDO BANDEJA DE LINEA DE DESCOLGADO AL MOMENTO DE RETIRAR UNA BANDEJA LA QUE VENIA GOLPEA PARPADO DERECHO"/>
    <x v="0"/>
    <x v="0"/>
    <x v="0"/>
    <s v="NICOLAS GOMEZ"/>
    <s v="CHRISTIAN JHONS"/>
  </r>
  <r>
    <n v="2023"/>
    <x v="0"/>
    <s v="EL PAICO"/>
    <s v="MENDEZ DEL CASTILLO"/>
    <s v="DANIELA"/>
    <x v="1"/>
    <s v="15822820-3"/>
    <d v="2021-01-25T00:00:00"/>
    <n v="23"/>
    <d v="2023-01-03T00:00:00"/>
    <x v="1"/>
    <d v="2023-01-04T00:00:00"/>
    <d v="2023-01-12T00:00:00"/>
    <s v="N/A"/>
    <n v="9"/>
    <x v="1"/>
    <s v="N/A"/>
    <x v="0"/>
    <x v="1"/>
    <s v="TROZADO AUTOMATICO"/>
    <s v="OPERARIO"/>
    <s v="ESCALERA PRINCIPAL"/>
    <s v="N/A"/>
    <x v="1"/>
    <d v="1899-12-30T19:50:00"/>
    <x v="0"/>
    <s v="SEMANA 1"/>
    <n v="15412"/>
    <s v="NC 04-23"/>
    <s v="DANIEL GARRIDO"/>
    <x v="1"/>
    <n v="37"/>
    <x v="1"/>
    <x v="1"/>
    <s v="Torsión"/>
    <x v="1"/>
    <s v="TRABAJADORA SUFRE CAIDA AL BAJAR ESCALERA PRINCIPAL, EN EL DESCANSO HABIA TIERRA , LA CUAL PISA RESBALANDOSE Y SUFRIENDO UNA HIPEREXTENSION DE RODILLA IZQUIERDA"/>
    <x v="1"/>
    <x v="1"/>
    <x v="1"/>
    <s v="NICOLAS GOMEZ"/>
    <s v="CHRISTIAN JHONS"/>
  </r>
  <r>
    <n v="2023"/>
    <x v="0"/>
    <s v="EL PAICO"/>
    <s v="HOSTIL"/>
    <s v="SMITH"/>
    <x v="0"/>
    <s v="26204649-4"/>
    <d v="2022-11-14T00:00:00"/>
    <n v="1"/>
    <d v="2023-01-04T00:00:00"/>
    <x v="2"/>
    <s v="N/A"/>
    <s v="N/A"/>
    <s v="N/A"/>
    <n v="0"/>
    <x v="0"/>
    <s v="N/A"/>
    <x v="0"/>
    <x v="2"/>
    <s v="ASEO PREOPERACIONAL"/>
    <s v="OPERARIO"/>
    <s v="TROZADO DE POLLO"/>
    <s v="N/A"/>
    <x v="2"/>
    <d v="1899-12-30T02:00:00"/>
    <x v="1"/>
    <s v="SEMANA 1"/>
    <m/>
    <m/>
    <s v="CARLOS JIMENEZ"/>
    <x v="2"/>
    <n v="34"/>
    <x v="2"/>
    <x v="1"/>
    <s v="Contusión"/>
    <x v="2"/>
    <s v="TRABAJADOR SUFRE CAIDA DE DISTINTO NIVEL AL BAJAR UNA ESCALERA EN TROZADO DE POLLO LUEGO DE FINALIZAR LA LIMPIEZA DE UN EQUIPO"/>
    <x v="0"/>
    <x v="0"/>
    <x v="0"/>
    <s v="NICOLAS GOMEZ"/>
    <s v="CHRISTIAN JHONS"/>
  </r>
  <r>
    <n v="2023"/>
    <x v="0"/>
    <s v="EL PAICO"/>
    <s v="INFANTE GUTIERREZ"/>
    <s v="TERESA"/>
    <x v="1"/>
    <s v="16795621-1"/>
    <d v="2014-10-06T00:00:00"/>
    <n v="99"/>
    <d v="2023-01-07T00:00:00"/>
    <x v="0"/>
    <d v="2023-01-10T00:00:00"/>
    <d v="2023-01-17T00:00:00"/>
    <d v="2023-01-10T00:00:00"/>
    <n v="8"/>
    <x v="1"/>
    <s v="N/A"/>
    <x v="0"/>
    <x v="2"/>
    <s v="SALA DE SALMUERA"/>
    <s v="OPERARIO"/>
    <s v="SALA DE SALMUERA "/>
    <s v="N/A"/>
    <x v="2"/>
    <d v="1899-12-30T22:40:00"/>
    <x v="2"/>
    <s v="SEMANA 1"/>
    <n v="15413"/>
    <s v="NC 03-23"/>
    <s v="CARLOS JIMENEZ"/>
    <x v="2"/>
    <n v="35"/>
    <x v="2"/>
    <x v="1"/>
    <s v="Contusión"/>
    <x v="2"/>
    <s v="TRABAJADOR CUANDO LIMPIABA EN SALA SALMUERA SE CAE DE TARIMA GOLPEANDOSE LA RODILLA IZQUIERDA"/>
    <x v="1"/>
    <x v="0"/>
    <x v="1"/>
    <s v="CARLOS ORELLANA"/>
    <s v="CHRISTIAN JHONS"/>
  </r>
  <r>
    <n v="2023"/>
    <x v="0"/>
    <s v="EL PAICO"/>
    <s v="PEREZ CAMPOS"/>
    <s v="CARMEN"/>
    <x v="1"/>
    <s v="11608562-3"/>
    <d v="1998-04-01T00:00:00"/>
    <n v="297"/>
    <d v="2023-01-13T00:00:00"/>
    <x v="0"/>
    <s v="N/A"/>
    <s v="N/A"/>
    <s v="N/A"/>
    <n v="0"/>
    <x v="0"/>
    <s v="N/A"/>
    <x v="0"/>
    <x v="3"/>
    <s v="SANGRADO DE POLLOS"/>
    <s v="OPERARIO"/>
    <s v="SALA DE SANGRADO"/>
    <s v="N/A"/>
    <x v="0"/>
    <d v="1899-12-30T04:00:00"/>
    <x v="3"/>
    <s v="SEMANA 2"/>
    <m/>
    <m/>
    <s v="JAIME JORQUERA"/>
    <x v="3"/>
    <n v="52"/>
    <x v="2"/>
    <x v="2"/>
    <s v="Otros"/>
    <x v="3"/>
    <s v="TRABAJADORA SE ENCONTRABA REALIZANDO INSPECCION DE ASEO PREOPERACIONAL EN SALA DE SANGRADO, AL MOMENTO DE PASAR MANO POR GUIAS SE ENTIERRA UNA ESCIRLA DE METAL EN DEDO ANULAR EL CUAL FUE RETIRADO AL MOMENTO"/>
    <x v="1"/>
    <x v="0"/>
    <x v="0"/>
    <s v="CARLOS ORELLANA"/>
    <s v="CARLOS CARTAGENA"/>
  </r>
  <r>
    <n v="2023"/>
    <x v="0"/>
    <s v="EL PAICO"/>
    <s v="VERA CATALAN"/>
    <s v="IVAN "/>
    <x v="0"/>
    <s v="18488665-0 "/>
    <d v="2019-04-08T00:00:00"/>
    <n v="45"/>
    <d v="2023-01-18T00:00:00"/>
    <x v="0"/>
    <d v="2023-01-18T00:00:00"/>
    <s v="N/A"/>
    <s v="N/A"/>
    <n v="0"/>
    <x v="0"/>
    <s v="N/A"/>
    <x v="0"/>
    <x v="4"/>
    <s v="BODEGA"/>
    <s v="OPERARIO"/>
    <s v="BODEGA"/>
    <s v="N/A"/>
    <x v="0"/>
    <d v="1899-12-30T13:30:00"/>
    <x v="1"/>
    <s v="SEMANA 3"/>
    <m/>
    <m/>
    <s v="BORIS PONCE"/>
    <x v="4"/>
    <n v="28"/>
    <x v="3"/>
    <x v="2"/>
    <s v="Otros"/>
    <x v="4"/>
    <s v="TRABAJADOR SUBRE TIRON AL ESTAR CORTANDO LAS AMARRAS (VARIAS) DEL PALLET Y AL MOVERLAS SIENTE DOLOR QUE VA DESDE LA MITAD DE LA PALMA HASTA EL CODO, EL CUAL VA EN AUMENTO Y AVISA A SU SUPERVISOR "/>
    <x v="0"/>
    <x v="0"/>
    <x v="0"/>
    <s v="ALAN CARRASCO"/>
    <s v="GABRIELA CABEZAS "/>
  </r>
  <r>
    <n v="2023"/>
    <x v="0"/>
    <s v="EL PAICO"/>
    <s v="GALVEZ MANZO"/>
    <s v="DAVID"/>
    <x v="2"/>
    <s v="18029574-7"/>
    <d v="2021-12-13T00:00:00"/>
    <n v="13"/>
    <d v="2023-01-18T00:00:00"/>
    <x v="2"/>
    <s v="N/A"/>
    <s v="N/A"/>
    <s v="N/A"/>
    <s v="O"/>
    <x v="0"/>
    <s v="N/A"/>
    <x v="0"/>
    <x v="2"/>
    <s v="FAENA"/>
    <s v="OPERARIO"/>
    <s v="DESPLUMADO"/>
    <s v="N/A"/>
    <x v="2"/>
    <d v="1899-12-30T22:25:00"/>
    <x v="1"/>
    <s v="SEMANA 3"/>
    <m/>
    <m/>
    <s v="CARLOS JIMENEZ"/>
    <x v="5"/>
    <n v="31"/>
    <x v="3"/>
    <x v="3"/>
    <s v="Contusión"/>
    <x v="2"/>
    <s v="TRABAJDOR AL ESTAR REALIZANDO LABORES EN LA SALA DE DESPLUMADO ENTRE DOS MAQUINAS EN LA SALA, PROPBOCANDOLE LESIONES EN COSTILLAS Y RODILLA IZQUERDA."/>
    <x v="0"/>
    <x v="0"/>
    <x v="0"/>
    <s v="ALAN CARRASCO"/>
    <s v="GABRIELA CABEZAS "/>
  </r>
  <r>
    <n v="2023"/>
    <x v="0"/>
    <s v="EL PAICO"/>
    <s v="HIDALGO"/>
    <s v="ARISLEYDA"/>
    <x v="1"/>
    <s v="26622517-2"/>
    <d v="2020-02-03T00:00:00"/>
    <n v="35"/>
    <d v="2023-01-19T00:00:00"/>
    <x v="1"/>
    <s v="N/A"/>
    <s v="N/A"/>
    <s v="N/A"/>
    <n v="0"/>
    <x v="0"/>
    <s v="N/A"/>
    <x v="0"/>
    <x v="1"/>
    <s v="DESHUESADO"/>
    <s v="OPERARIO"/>
    <s v="DESPLUMADO"/>
    <s v="N/A"/>
    <x v="0"/>
    <d v="1899-12-30T05:30:00"/>
    <x v="4"/>
    <s v="SEMANA 3"/>
    <m/>
    <m/>
    <s v="DANIEL GARRIDO"/>
    <x v="6"/>
    <n v="32"/>
    <x v="3"/>
    <x v="2"/>
    <s v="Contusión"/>
    <x v="0"/>
    <s v="TRABAJADORA AL COMENZAR SU TURNO, ORDENABA SU PUESTO DE TRABAJO CUANDO LE CAE UNA TABLA GOLPANDOLA EN DEDOS MEDIO Y ANULAR DE LA MANO IZQUERDA"/>
    <x v="0"/>
    <x v="0"/>
    <x v="0"/>
    <s v="NICOLAS GOMEZ"/>
    <s v="CHRISTIAN JHONS"/>
  </r>
  <r>
    <n v="2023"/>
    <x v="0"/>
    <s v="EL PAICO"/>
    <s v="ROCHA VARELA"/>
    <s v="MARIANA"/>
    <x v="1"/>
    <s v="15596634-3"/>
    <d v="2021-02-09T00:00:00"/>
    <n v="23"/>
    <d v="2023-01-19T00:00:00"/>
    <x v="1"/>
    <s v="N/A"/>
    <s v="N/A"/>
    <s v="N/A"/>
    <n v="0"/>
    <x v="0"/>
    <s v="N/A"/>
    <x v="0"/>
    <x v="5"/>
    <s v="CALIBRADO"/>
    <s v="OPERARIO"/>
    <s v="BAÑO MUJERES"/>
    <s v="N/A"/>
    <x v="0"/>
    <d v="1899-12-30T11:20:00"/>
    <x v="4"/>
    <s v="SEMANA 3"/>
    <m/>
    <m/>
    <s v="GUILLERMO NARVAEZ"/>
    <x v="7"/>
    <n v="39"/>
    <x v="3"/>
    <x v="2"/>
    <s v="Contusión"/>
    <x v="1"/>
    <s v="TRABAJADORA AL ESTAR DESPLAZANDOSE AL INTERIOR DEL BAÑO DE MUJERES, RESBALA PROBOCANDOLE UNA CONTUSION EN LA MUQUEÑA IZQUIERDA."/>
    <x v="0"/>
    <x v="0"/>
    <x v="0"/>
    <s v="NICOLAS GOMEZ"/>
    <s v="CHRISTIAN JHONS"/>
  </r>
  <r>
    <n v="2023"/>
    <x v="0"/>
    <s v="EL PAICO"/>
    <s v="GALVEZ MANZO"/>
    <s v="DAVID"/>
    <x v="0"/>
    <s v="18029574-7"/>
    <d v="2021-12-13T00:00:00"/>
    <n v="13"/>
    <d v="2023-01-18T00:00:00"/>
    <x v="2"/>
    <d v="2023-01-20T00:00:00"/>
    <d v="2023-02-04T00:00:00"/>
    <s v="N/A"/>
    <n v="12"/>
    <x v="1"/>
    <s v="N/A"/>
    <x v="0"/>
    <x v="2"/>
    <s v="ASEO PREOPERACIONAL"/>
    <s v="OPERARIO"/>
    <s v="SALA DE DESPLUMADO"/>
    <s v="N/A"/>
    <x v="1"/>
    <d v="1899-12-30T22:25:00"/>
    <x v="1"/>
    <s v="SEMANA 3"/>
    <n v="15426"/>
    <s v="NC 08-23"/>
    <s v="CARLOS JIMENEZ"/>
    <x v="5"/>
    <n v="31"/>
    <x v="2"/>
    <x v="3"/>
    <s v="Contusión"/>
    <x v="2"/>
    <s v="TRABAJADOR AL ESTAR REALIZANDO LIMPIEZA EN SALA DE DESPLUMADO CAE DESDE UNA TARIMA GOLPEANDOSE PARILLA COSTAL DERECHA Y RODILLA IZQUERDA"/>
    <x v="0"/>
    <x v="0"/>
    <x v="1"/>
    <s v="NICOLAS GOMEZ"/>
    <s v="GABRIELA CABEZAS "/>
  </r>
  <r>
    <n v="2023"/>
    <x v="0"/>
    <s v="EL PAICO"/>
    <s v="QUIROZ SAAVEDRA"/>
    <s v="JORGE"/>
    <x v="0"/>
    <s v="10261648-0"/>
    <d v="2002-08-23T00:00:00"/>
    <n v="244"/>
    <d v="2023-01-21T00:00:00"/>
    <x v="0"/>
    <d v="2023-01-23T00:00:00"/>
    <d v="2023-02-04T00:00:00"/>
    <s v="N/A"/>
    <n v="9"/>
    <x v="1"/>
    <s v="LGF"/>
    <x v="1"/>
    <x v="0"/>
    <s v="CHILLER DE AGUA"/>
    <s v="OPERARIO"/>
    <s v="CHILLER DE AGUA "/>
    <s v="CINTA DE TRANSPORTE"/>
    <x v="0"/>
    <d v="1899-12-30T12:10:00"/>
    <x v="2"/>
    <s v="SEMANA 3"/>
    <n v="15430"/>
    <s v="NC 11-23"/>
    <s v="NICOLAS MOYANO"/>
    <x v="8"/>
    <n v="58"/>
    <x v="4"/>
    <x v="2"/>
    <s v="Atrición"/>
    <x v="5"/>
    <s v="TRABAJADOR EL CUAL SE ENCONTRABA TRANSLANDO LA CINTA TRANSPORTADORA PARA TRABAJAR EN LA HEMBRA SE APRETA EL DEDO  PULGAR DE MANO DERECHA"/>
    <x v="0"/>
    <x v="0"/>
    <x v="1"/>
    <s v="NICOLAS GOMEZ"/>
    <s v="CARLOS CARTAGENA"/>
  </r>
  <r>
    <n v="2023"/>
    <x v="0"/>
    <s v="EL PAICO"/>
    <s v="MORENO LORCA"/>
    <s v="OSCAR"/>
    <x v="0"/>
    <s v="10874086-8"/>
    <d v="2023-01-17T00:00:00"/>
    <n v="0"/>
    <d v="2023-01-23T00:00:00"/>
    <x v="2"/>
    <d v="2023-01-23T00:00:00"/>
    <d v="2023-03-25T00:00:00"/>
    <s v="N/A"/>
    <n v="2"/>
    <x v="1"/>
    <s v="N/A"/>
    <x v="0"/>
    <x v="4"/>
    <s v="EMPAQUE"/>
    <s v="OPERARIO"/>
    <s v="CAMARA 201 ORIENTE"/>
    <s v="N/A"/>
    <x v="0"/>
    <d v="1899-12-30T11:30:00"/>
    <x v="5"/>
    <s v="SEMANA 4"/>
    <n v="15435"/>
    <s v="NC 09-23"/>
    <s v="FRANCISCO QUEZADA"/>
    <x v="9"/>
    <n v="52"/>
    <x v="5"/>
    <x v="3"/>
    <s v="Contusión"/>
    <x v="1"/>
    <s v="TRABAJADOR CUANDO SE TRANSLADABA A DEJAR INSUMOS DE TRABAJO (PISO DE ENCONTRABA CAPA DE HIELO) ESTE RESBALA CAYENDO DE ESPALDA GOLPEANDOSE LADO DERECHO A NIVEL DE LA CINTURA Y SU CODO IZQUERDO "/>
    <x v="1"/>
    <x v="0"/>
    <x v="1"/>
    <s v="ALAN CARRASCO"/>
    <s v="CHRISTIAN JHONS"/>
  </r>
  <r>
    <n v="2023"/>
    <x v="0"/>
    <s v="EL PAICO"/>
    <s v="MIRANDA GOMEZ"/>
    <s v="JOSELYN"/>
    <x v="1"/>
    <s v="18487450-4"/>
    <d v="2022-05-09T00:00:00"/>
    <n v="8"/>
    <d v="2023-01-23T00:00:00"/>
    <x v="2"/>
    <d v="2023-01-24T00:00:00"/>
    <d v="2023-01-28T00:00:00"/>
    <s v="N/A"/>
    <n v="5"/>
    <x v="1"/>
    <s v="N/A"/>
    <x v="0"/>
    <x v="4"/>
    <s v="EMPAQUE"/>
    <s v="OPERARIO"/>
    <s v="CAMARINES DE MUJER"/>
    <s v="N/A"/>
    <x v="1"/>
    <d v="1899-12-30T14:15:00"/>
    <x v="5"/>
    <s v="SEMANA 4"/>
    <n v="15436"/>
    <s v="NC 10-23"/>
    <s v="FRANCISCO QUEZADA"/>
    <x v="9"/>
    <n v="29"/>
    <x v="2"/>
    <x v="4"/>
    <s v="Contusión"/>
    <x v="6"/>
    <s v="TRABAJADORA QUE SE ENCONTRABA CAMBIANDO SU VESTIMENTA EN CAMARINES DE MUJER SE GOLPEA DEDO MEÑIQUE DEL PIE DERECHO CON UNA SILLA DE FIERRO PRESENTE EN EL LUGAR"/>
    <x v="0"/>
    <x v="0"/>
    <x v="1"/>
    <s v="ALAN CARRASCO"/>
    <s v="CHRISTIAN JHONS"/>
  </r>
  <r>
    <n v="2023"/>
    <x v="0"/>
    <s v="EL PAICO"/>
    <s v="TRONCOSO PINTO"/>
    <s v="CARLOS"/>
    <x v="0"/>
    <s v="18961020-3"/>
    <d v="2022-08-09T00:00:00"/>
    <n v="5"/>
    <d v="2023-01-31T00:00:00"/>
    <x v="2"/>
    <d v="2023-02-03T00:00:00"/>
    <d v="2023-02-03T00:00:00"/>
    <s v="N/A"/>
    <n v="0"/>
    <x v="0"/>
    <s v="N/A"/>
    <x v="0"/>
    <x v="6"/>
    <m/>
    <s v="OPERARIO"/>
    <m/>
    <m/>
    <x v="3"/>
    <m/>
    <x v="3"/>
    <s v="SEMANA 10"/>
    <n v="15475"/>
    <m/>
    <m/>
    <x v="0"/>
    <m/>
    <x v="0"/>
    <x v="5"/>
    <s v="Contusión"/>
    <x v="4"/>
    <m/>
    <x v="0"/>
    <x v="0"/>
    <x v="0"/>
    <m/>
    <m/>
  </r>
  <r>
    <n v="2023"/>
    <x v="1"/>
    <s v="EL PAICO"/>
    <s v="GUAJARDO VERA"/>
    <s v="SEBASTIAN"/>
    <x v="0"/>
    <s v="19211824-7"/>
    <d v="2021-05-03T00:00:00"/>
    <n v="21"/>
    <d v="2023-02-03T00:00:00"/>
    <x v="1"/>
    <s v="N/A"/>
    <s v="N/A"/>
    <s v="N/A"/>
    <n v="0"/>
    <x v="0"/>
    <s v="LGF"/>
    <x v="2"/>
    <x v="7"/>
    <s v="REPORTE DE CAJAS"/>
    <s v="MECANICO"/>
    <s v="REPORTE DE CAJAS"/>
    <s v="EQUIPO PARA MOVIMIENTO DE CARGA (GRUAS O TRANSPALETAS)"/>
    <x v="0"/>
    <d v="1899-12-30T10:26:00"/>
    <x v="3"/>
    <s v="SEMANA 5"/>
    <m/>
    <m/>
    <s v="VICTOR GOMEZ"/>
    <x v="10"/>
    <n v="27"/>
    <x v="6"/>
    <x v="4"/>
    <s v="Contusión"/>
    <x v="0"/>
    <s v="TRABAJADOR ESTEBA REPARANDO UNA MAQUINA AL COSTADO DE LA LINEA DE CONGELADO (PP) REVISANDO UNA MAQUINA CUANDO EL OPERADOR DE TRANPALETA RETROCEDE Y GOLPEA SU TOBILLO DERECHO"/>
    <x v="0"/>
    <x v="0"/>
    <x v="0"/>
    <s v="NICOLAS GOMEZ"/>
    <s v="CARLOS CARTAGENA"/>
  </r>
  <r>
    <n v="2023"/>
    <x v="1"/>
    <s v="EL PAICO"/>
    <s v="ZARATE BALLESTEROS"/>
    <s v="MANUEL"/>
    <x v="0"/>
    <s v="20123390-9"/>
    <d v="2021-11-22T00:00:00"/>
    <n v="14"/>
    <d v="2023-02-07T00:00:00"/>
    <x v="2"/>
    <s v="N/A"/>
    <s v="N/A"/>
    <s v="N/A"/>
    <n v="0"/>
    <x v="0"/>
    <s v="N/A"/>
    <x v="0"/>
    <x v="0"/>
    <s v="CHILLER DE PANAS"/>
    <s v="OPERARIO"/>
    <s v="CHILLER DE PANAS"/>
    <s v="N/A"/>
    <x v="1"/>
    <d v="1899-12-30T22:30:00"/>
    <x v="0"/>
    <s v="SEMANA 6"/>
    <m/>
    <m/>
    <s v="NICOLAS MOYANO"/>
    <x v="11"/>
    <n v="24"/>
    <x v="7"/>
    <x v="6"/>
    <s v="Conjuntivitis"/>
    <x v="7"/>
    <s v="TRABAJADOR SE ENCONTRABA LIMPIANDO PANAS DE POLLO EN SALA DE CHILLER DE PANAS EN ESE MOMENTO SE PROYECTADA BILIS AL OJO DERECHO"/>
    <x v="0"/>
    <x v="0"/>
    <x v="0"/>
    <s v="NICOLAS GOMEZ"/>
    <s v="CHRISTIAN JHONS"/>
  </r>
  <r>
    <n v="2023"/>
    <x v="1"/>
    <s v="EL PAICO"/>
    <s v=" REYES FUENTES"/>
    <s v="JONHFER"/>
    <x v="0"/>
    <s v="26466499-3"/>
    <d v="2020-02-24T00:00:00"/>
    <n v="35"/>
    <d v="2023-02-11T00:00:00"/>
    <x v="1"/>
    <s v="N/A"/>
    <s v="N/A"/>
    <s v="N/A"/>
    <n v="0"/>
    <x v="0"/>
    <s v="N/A"/>
    <x v="0"/>
    <x v="2"/>
    <s v="TRAZADO DE PAVO"/>
    <s v="OPERARIO"/>
    <s v="SALA JAPON "/>
    <s v="N/A"/>
    <x v="2"/>
    <d v="1899-12-30T03:30:00"/>
    <x v="2"/>
    <s v="SEMANA 6"/>
    <m/>
    <m/>
    <s v="CARLOS JIMENEZ"/>
    <x v="12"/>
    <n v="39"/>
    <x v="8"/>
    <x v="6"/>
    <s v="Quemadura"/>
    <x v="8"/>
    <s v="COLABORADOR SUFRE INHALACION DE VAPOR DEL CLORO AL MEZACLAR AGUA CALIENTE, EN SALA JAPON "/>
    <x v="0"/>
    <x v="0"/>
    <x v="0"/>
    <s v="ALAN CARRASCO "/>
    <s v="CHRISTIAN JHONS"/>
  </r>
  <r>
    <n v="2023"/>
    <x v="1"/>
    <s v="EL PAICO"/>
    <s v="ORTIZ GONZALEZ"/>
    <s v="AUGUSTO"/>
    <x v="0"/>
    <s v="15532741-3"/>
    <d v="2022-07-25T00:00:00"/>
    <n v="6"/>
    <d v="2023-02-14T00:00:00"/>
    <x v="2"/>
    <s v="N/A"/>
    <s v="N/A"/>
    <s v="N/A"/>
    <n v="0"/>
    <x v="0"/>
    <s v="N/A"/>
    <x v="0"/>
    <x v="6"/>
    <s v="PULPA"/>
    <s v="OPERARIO"/>
    <s v="PULPA"/>
    <s v="N/A"/>
    <x v="0"/>
    <d v="1899-12-30T08:30:00"/>
    <x v="0"/>
    <s v="SEMANA 7"/>
    <m/>
    <m/>
    <s v="OCTAVIO MUÑOZ"/>
    <x v="13"/>
    <n v="41"/>
    <x v="3"/>
    <x v="7"/>
    <s v="Contusión"/>
    <x v="6"/>
    <s v="COLABORADOR SUFRE GOLPE EN TESTICULO, AL ESTAR VACIANDO BANDEJAS ESTE REVALA Y SE PRODUCE EL GOLPE "/>
    <x v="0"/>
    <x v="0"/>
    <x v="0"/>
    <s v="ALAN CARRASCO "/>
    <s v="WLADIMIR CALDERON "/>
  </r>
  <r>
    <n v="2023"/>
    <x v="1"/>
    <s v="EL PAICO"/>
    <s v="HERRERA PINTO"/>
    <s v="JHONY"/>
    <x v="0"/>
    <s v="20789495-8"/>
    <d v="2022-11-29T00:00:00"/>
    <n v="2"/>
    <d v="2023-02-15T00:00:00"/>
    <x v="2"/>
    <s v="N/A"/>
    <s v="N/A"/>
    <s v="N/A"/>
    <n v="0"/>
    <x v="0"/>
    <s v="N/A"/>
    <x v="0"/>
    <x v="1"/>
    <s v="TROZADO DE POLLO"/>
    <s v="OPERARIO"/>
    <s v="TROZADO DE POLLO AUTOMATICO"/>
    <m/>
    <x v="0"/>
    <d v="1899-12-30T14:50:00"/>
    <x v="1"/>
    <s v="SEMANA 7"/>
    <m/>
    <m/>
    <s v="DANIEL GARRIDO"/>
    <x v="14"/>
    <n v="22"/>
    <x v="2"/>
    <x v="8"/>
    <s v="Contusión"/>
    <x v="0"/>
    <s v="TRABAJADOR QUE SE ENCONTRABA DE REGRESO DE SU HORARIO DE COLACION SE ENCONTRABA ALISTANDO SU PECHERA DE TRABAJO, CUANDO CAE SOBRE SU ESPALDA UN GANCHO METALICO. "/>
    <x v="2"/>
    <x v="0"/>
    <x v="0"/>
    <s v="ALAN CARRASCO"/>
    <s v="CARLOS CARTAGENA"/>
  </r>
  <r>
    <n v="2023"/>
    <x v="1"/>
    <s v="EL PAICO"/>
    <s v="ZUAZO GARAY"/>
    <s v="ALEJANDRO "/>
    <x v="0"/>
    <s v="20403022-7"/>
    <d v="2022-08-18T00:00:00"/>
    <n v="5"/>
    <d v="2023-02-15T00:00:00"/>
    <x v="2"/>
    <d v="2023-02-15T00:00:00"/>
    <d v="2023-02-15T00:00:00"/>
    <s v="N/A"/>
    <n v="0"/>
    <x v="0"/>
    <s v="N/A"/>
    <x v="0"/>
    <x v="1"/>
    <s v="T. AUTOMATICO"/>
    <s v="OPERARIO"/>
    <s v="BISN DE CARCASA"/>
    <s v="N/A"/>
    <x v="0"/>
    <d v="1899-12-30T07:05:00"/>
    <x v="1"/>
    <s v="SEMANA 7"/>
    <n v="15478"/>
    <m/>
    <s v="DANIEL GARRIDO"/>
    <x v="14"/>
    <n v="22"/>
    <x v="9"/>
    <x v="2"/>
    <s v="Contusión"/>
    <x v="6"/>
    <s v="COLABORADOR AL RETIRAR BINS DE CARCASAS PARA SACARA BADEJAS, EL BINS SE DEVUELVE Y PROBOCA EL APICIONAMIENTO CONTRA LA ESTRUCTURA DE LA CINTA, PROBOCANDO UNA CONTUSION EN MANO DERECHA"/>
    <x v="0"/>
    <x v="0"/>
    <x v="1"/>
    <s v="ALAN CARRASCO "/>
    <s v="CHRISTIAN JHONS"/>
  </r>
  <r>
    <n v="2023"/>
    <x v="1"/>
    <s v="EL PAICO"/>
    <s v="FIGUEROA RECABARREN"/>
    <s v="JASON "/>
    <x v="0"/>
    <s v="21242262-2"/>
    <d v="2022-11-07T00:00:00"/>
    <n v="3"/>
    <d v="2023-02-16T00:00:00"/>
    <x v="2"/>
    <s v="N/A"/>
    <s v="N/A"/>
    <s v="N/A"/>
    <n v="0"/>
    <x v="0"/>
    <s v="N/A"/>
    <x v="0"/>
    <x v="6"/>
    <s v="REPORTE DE CAJAS"/>
    <s v="OPERARIO"/>
    <s v="REPORTE DE CAJAS"/>
    <s v="N/A"/>
    <x v="0"/>
    <d v="1899-12-30T08:28:00"/>
    <x v="4"/>
    <s v="SEMANA 7"/>
    <m/>
    <m/>
    <s v="OCTAVIO MUÑOZ"/>
    <x v="15"/>
    <n v="20"/>
    <x v="10"/>
    <x v="2"/>
    <s v="Herida cortante"/>
    <x v="3"/>
    <s v="COLABORADOR AL BAJAR UN PALLET SE CORTA EL DEDO ANULAR IZQUIERDO , AL ESTAR BAJANDO CAJAS "/>
    <x v="1"/>
    <x v="0"/>
    <x v="0"/>
    <s v="ALAN CARRASCO "/>
    <s v="CHRISTIAN JHONS"/>
  </r>
  <r>
    <n v="2023"/>
    <x v="1"/>
    <s v="EL PAICO"/>
    <s v="MENDEZ DEL CASTILLO"/>
    <s v="DANIELA "/>
    <x v="1"/>
    <s v="15822820-3"/>
    <d v="2021-01-25T00:00:00"/>
    <n v="24"/>
    <d v="2023-02-18T00:00:00"/>
    <x v="1"/>
    <d v="2023-02-20T00:00:00"/>
    <d v="2023-02-25T00:00:00"/>
    <s v="N/A"/>
    <n v="6"/>
    <x v="1"/>
    <s v="N/A"/>
    <x v="0"/>
    <x v="1"/>
    <s v="T. AUTOMATICO"/>
    <s v="OPERARIO"/>
    <s v="DEHUESADO"/>
    <s v="N/A"/>
    <x v="1"/>
    <d v="1899-12-30T22:45:00"/>
    <x v="3"/>
    <s v="SEMANA 7"/>
    <n v="15494"/>
    <s v="N° 16-2023"/>
    <s v="DANIEL GARRIDO"/>
    <x v="1"/>
    <n v="38"/>
    <x v="7"/>
    <x v="1"/>
    <s v="Contusión"/>
    <x v="1"/>
    <s v="COLABORADORA  SUFRE CAIDA A NIVEL MAS CONTUSION EN RODILLA IZQUIERDA Y SENO DERECHO, AL PISAR MATERIA PRIMA CUANDO SE DIRIGIA A LOS CAMARINES EN T. AUTOMATICO"/>
    <x v="1"/>
    <x v="0"/>
    <x v="1"/>
    <s v="ALAN CARRASCO "/>
    <s v="MICHELLE SANCHEZ"/>
  </r>
  <r>
    <n v="2023"/>
    <x v="1"/>
    <s v="EL PAICO"/>
    <s v="OLATE CASTILLO"/>
    <s v="KATHERINE"/>
    <x v="1"/>
    <s v="16181592-6"/>
    <d v="2012-05-07T00:00:00"/>
    <n v="129"/>
    <d v="2023-02-18T00:00:00"/>
    <x v="0"/>
    <s v="N/A"/>
    <s v="N/A"/>
    <s v="N/A"/>
    <n v="0"/>
    <x v="0"/>
    <s v="N/A"/>
    <x v="0"/>
    <x v="1"/>
    <s v="PORTERIA"/>
    <s v="OPERARIO"/>
    <s v="PORTERIA "/>
    <s v="N/A"/>
    <x v="0"/>
    <d v="1899-12-30T06:15:00"/>
    <x v="2"/>
    <s v="SEMANA 7"/>
    <m/>
    <m/>
    <s v="DANIEL GARRIDO"/>
    <x v="14"/>
    <n v="38"/>
    <x v="3"/>
    <x v="2"/>
    <s v="Contusión"/>
    <x v="1"/>
    <s v="COLABORADORA SUFRE CAIDA A NIVEL  APOYANDO AMBAS MANOS EN EL PISO, AL INGRESAR A LA PLANTA, ESTA TRPIEZA Y CAE "/>
    <x v="0"/>
    <x v="0"/>
    <x v="0"/>
    <s v="ALAN CARRASCO "/>
    <s v="WLADIMIR CALDERON "/>
  </r>
  <r>
    <n v="2023"/>
    <x v="1"/>
    <s v="EL PAICO"/>
    <s v="ARMIJO CORDERO"/>
    <s v="FRANCISCO"/>
    <x v="0"/>
    <s v="7.885.635-1"/>
    <d v="2004-09-22T00:00:00"/>
    <n v="221"/>
    <d v="2023-02-25T00:00:00"/>
    <x v="0"/>
    <s v="N/A"/>
    <s v="N/A"/>
    <s v="N/A"/>
    <n v="0"/>
    <x v="0"/>
    <s v="N/A"/>
    <x v="0"/>
    <x v="8"/>
    <s v="BAÑOS FAENA"/>
    <s v="OPERARIO"/>
    <s v="BAÑO EVISERADO"/>
    <s v="N/A"/>
    <x v="0"/>
    <d v="1899-12-30T05:15:00"/>
    <x v="2"/>
    <s v="SEMANA 8"/>
    <m/>
    <m/>
    <s v="DANIEL GARRIDO"/>
    <x v="16"/>
    <n v="64"/>
    <x v="2"/>
    <x v="2"/>
    <s v="Herida cortante"/>
    <x v="9"/>
    <s v="COLABORADOR SUFRE CORTE EN DEDO INDICE DE MANO DERECHA AL APOYARSE EN PUERTA DE BAÑO DE EVISERADO"/>
    <x v="1"/>
    <x v="0"/>
    <x v="0"/>
    <s v="ALAN CARRASCO "/>
    <s v="CHRISTIAN JHONS"/>
  </r>
  <r>
    <n v="2023"/>
    <x v="1"/>
    <s v="EL PAICO"/>
    <s v="BAHAMONDEZ ABARCA"/>
    <s v="MARIA TERESA"/>
    <x v="1"/>
    <s v="11527148-2"/>
    <d v="1998-03-17T00:00:00"/>
    <n v="299"/>
    <d v="2023-02-28T00:00:00"/>
    <x v="0"/>
    <s v="N/A"/>
    <s v="N/A"/>
    <s v="N/A"/>
    <n v="0"/>
    <x v="0"/>
    <s v="N/A"/>
    <x v="0"/>
    <x v="6"/>
    <s v="REPORTE DE CAJAS"/>
    <s v="OPERARIO"/>
    <s v="REPORTE DE CAJAS"/>
    <s v="N/A"/>
    <x v="0"/>
    <d v="1899-12-30T05:30:00"/>
    <x v="0"/>
    <s v="SEMANA 9"/>
    <m/>
    <m/>
    <s v="OCTAVIO MUÑOZ"/>
    <x v="15"/>
    <n v="52"/>
    <x v="0"/>
    <x v="2"/>
    <s v="Contusión"/>
    <x v="6"/>
    <s v="COLABORA SUFRE CONTUSION EN MANO DERECHA CUANDO SE ENCONTRABA CAMBIANDO ROLLO DE LAMINA EN MAQUINA ISHIDA"/>
    <x v="1"/>
    <x v="0"/>
    <x v="0"/>
    <s v="NICOLAS GOMEZ"/>
    <s v="CHISTIAN JHONS"/>
  </r>
  <r>
    <n v="2023"/>
    <x v="2"/>
    <s v="EL PAICO"/>
    <s v="ESPINOZA MALDONADO"/>
    <s v="ROMINA"/>
    <x v="1"/>
    <s v="17986193-3"/>
    <d v="2017-08-16T00:00:00"/>
    <n v="66"/>
    <d v="2023-03-01T00:00:00"/>
    <x v="0"/>
    <d v="2023-03-01T00:00:00"/>
    <d v="2023-03-02T00:00:00"/>
    <s v="N/A"/>
    <n v="2"/>
    <x v="1"/>
    <s v="LGF"/>
    <x v="3"/>
    <x v="2"/>
    <s v="SALA DE TAMBLE"/>
    <s v="OPERARIO"/>
    <s v="SALA DE TAMBLE"/>
    <s v="N/A"/>
    <x v="2"/>
    <d v="1899-12-30T04:00:00"/>
    <x v="1"/>
    <s v="SEMANA 9"/>
    <n v="15530"/>
    <s v="N° 19-2023"/>
    <s v="CARLOS JIMENEZ"/>
    <x v="2"/>
    <n v="31"/>
    <x v="8"/>
    <x v="1"/>
    <s v="Quemadura"/>
    <x v="10"/>
    <s v="COLABORADORA QUE SE ENCONTRABA ESPONJANDO TAMBLED, AL MOMENTO DEL ENJUAGE DERRAMA DETERGENTE BIO REMOVE EN PIERNA DERECHA."/>
    <x v="0"/>
    <x v="0"/>
    <x v="1"/>
    <s v="ALAN CARRASCO "/>
    <s v="CHISTIAN JHONS"/>
  </r>
  <r>
    <n v="2023"/>
    <x v="2"/>
    <s v="EL PAICO"/>
    <s v="SANTIBAÑEZ MARIN"/>
    <s v="KARLA"/>
    <x v="1"/>
    <s v="17802999-1"/>
    <d v="2020-05-29T00:00:00"/>
    <n v="33"/>
    <d v="2023-03-01T00:00:00"/>
    <x v="1"/>
    <s v="N/A"/>
    <s v="N/A"/>
    <s v="N/A"/>
    <n v="0"/>
    <x v="0"/>
    <s v="N/A"/>
    <x v="0"/>
    <x v="5"/>
    <s v="METALQUIMIA"/>
    <s v="OPERARIO"/>
    <s v="METALQUIMIA"/>
    <s v="N/A"/>
    <x v="2"/>
    <d v="1899-12-30T01:20:00"/>
    <x v="1"/>
    <s v="SEMANA 9"/>
    <m/>
    <m/>
    <s v="GUILLERMO NARVAEZ"/>
    <x v="17"/>
    <n v="32"/>
    <x v="8"/>
    <x v="6"/>
    <s v="Otros"/>
    <x v="7"/>
    <s v="COLABORADORA QUE SE ENCONTRABAN ASEANDO MAQUINA METALQUIMIA, AL APLICAR  BIO REMOVE SUFRE SALPICADURA DE ESTE EN SU OJO DERECHO."/>
    <x v="0"/>
    <x v="0"/>
    <x v="0"/>
    <s v="ALAN CARRASCO "/>
    <s v="CHISTIAN JHONS"/>
  </r>
  <r>
    <n v="2023"/>
    <x v="2"/>
    <s v="EL PAICO"/>
    <s v="AGUILAR CORTES"/>
    <s v="LUIS"/>
    <x v="0"/>
    <s v="9886055-K"/>
    <d v="2019-06-17T00:00:00"/>
    <n v="44"/>
    <d v="2023-03-01T00:00:00"/>
    <x v="0"/>
    <s v="N/A"/>
    <s v="N/A"/>
    <s v="N/A"/>
    <n v="0"/>
    <x v="0"/>
    <s v="N/A"/>
    <x v="0"/>
    <x v="2"/>
    <s v="EVISCERADO"/>
    <s v="OPERARIO"/>
    <s v="EVICERADO"/>
    <s v="N/A"/>
    <x v="2"/>
    <d v="1899-12-30T22:05:00"/>
    <x v="1"/>
    <s v="SEMANA 9"/>
    <m/>
    <m/>
    <s v="CARLOS JIMENEZ"/>
    <x v="5"/>
    <n v="59"/>
    <x v="8"/>
    <x v="6"/>
    <s v="Otros"/>
    <x v="7"/>
    <s v="COLABORADOR QUE SE ENCONTRABA TRANVASIJANDO DETERGENTE, SUFRE SALPICADURA EN SU OJO IZQUERDO"/>
    <x v="0"/>
    <x v="0"/>
    <x v="0"/>
    <s v="ALAN CARRASCO "/>
    <s v="WLADIMIR CALDERON "/>
  </r>
  <r>
    <n v="2023"/>
    <x v="2"/>
    <s v="EL PAICO"/>
    <s v="PAVEZ CARMONA"/>
    <s v="CAMILA "/>
    <x v="1"/>
    <s v="19382606-7"/>
    <d v="2022-07-25T00:00:00"/>
    <n v="7"/>
    <d v="2023-03-02T00:00:00"/>
    <x v="2"/>
    <d v="2023-03-09T00:00:00"/>
    <d v="2023-03-15T00:00:00"/>
    <s v="N/A"/>
    <n v="7"/>
    <x v="1"/>
    <s v="N/A"/>
    <x v="0"/>
    <x v="7"/>
    <s v="SALA DE PINTURA"/>
    <s v="TECNICO"/>
    <s v="GALPON DE PINTURA"/>
    <s v="N/A"/>
    <x v="1"/>
    <d v="1899-12-30T16:35:00"/>
    <x v="4"/>
    <s v="SEMANA 9"/>
    <n v="15554"/>
    <s v="NC18-2023"/>
    <s v="VICTOR GOMEZ"/>
    <x v="18"/>
    <n v="27"/>
    <x v="1"/>
    <x v="4"/>
    <s v="Contusión"/>
    <x v="6"/>
    <s v="COLABORADORA SE DIRIGIA A SALA DE PINTURAS Y NO VE GRUA ESTACIONADA EN EL PATIO, CON LA CUAL SE PORBOCA UN ATRAPAMIENTO CON SU PIE DERECHO, PROBOCANDO UNA CONTUSION "/>
    <x v="0"/>
    <x v="0"/>
    <x v="1"/>
    <s v="ALAN CARRASCO"/>
    <s v="CARLOS CARTAGENA"/>
  </r>
  <r>
    <n v="2023"/>
    <x v="2"/>
    <s v="EL PAICO"/>
    <s v="CASTRO CABRERA"/>
    <s v="ALEJANDRA"/>
    <x v="1"/>
    <s v="13771008-0"/>
    <d v="2022-12-20T00:00:00"/>
    <n v="2"/>
    <d v="2023-03-04T00:00:00"/>
    <x v="2"/>
    <s v="N/A"/>
    <s v="N/A"/>
    <s v="N/A"/>
    <n v="0"/>
    <x v="0"/>
    <s v="N/A"/>
    <x v="0"/>
    <x v="1"/>
    <s v="SELECCIÓN PECHUGA"/>
    <s v="OPERARIO"/>
    <s v="ESCALERAS COSTADO DE INGRESO PRINCIPAL"/>
    <s v="N/A"/>
    <x v="0"/>
    <d v="1899-12-30T11:10:00"/>
    <x v="2"/>
    <s v="SEMANA 9"/>
    <m/>
    <m/>
    <s v="DANIEL GARRIDO"/>
    <x v="14"/>
    <n v="43"/>
    <x v="3"/>
    <x v="8"/>
    <s v="Contusión"/>
    <x v="2"/>
    <s v="COLABORADORA SE ENCONTRABA BAJANDO POR LAS ESCALERAS UBICADAS AL COSTADO DE ENTRADA PRINCIPAL, SE RESBALA PROBONCANDO UNA CONTUCION EN COXIS."/>
    <x v="0"/>
    <x v="0"/>
    <x v="0"/>
    <s v="NICOLAS GOMEZ"/>
    <s v="CHISTIAN JHONS"/>
  </r>
  <r>
    <n v="2023"/>
    <x v="2"/>
    <s v="EL PAICO"/>
    <s v="CARREÑO CERDA"/>
    <s v="FRANCISCO"/>
    <x v="0"/>
    <s v="16340355-2"/>
    <d v="2022-10-17T00:00:00"/>
    <n v="4"/>
    <d v="2023-03-03T00:00:00"/>
    <x v="2"/>
    <d v="2023-03-03T00:00:00"/>
    <d v="2023-03-03T00:00:00"/>
    <s v="N/A"/>
    <n v="0"/>
    <x v="0"/>
    <s v="N/A"/>
    <x v="0"/>
    <x v="0"/>
    <s v="COLGADO DE AVES"/>
    <s v="OPERARIO"/>
    <s v="COLGADO DE AVES"/>
    <s v="N/A"/>
    <x v="0"/>
    <d v="1899-12-30T07:00:00"/>
    <x v="3"/>
    <s v="SEMANA 9"/>
    <n v="15542"/>
    <s v="N° 23-2023"/>
    <s v="NICOLAS MOYANO"/>
    <x v="19"/>
    <n v="37"/>
    <x v="11"/>
    <x v="6"/>
    <s v="Conjuntivitis"/>
    <x v="7"/>
    <s v="COLABORADOR SE ENCONTRABA EN LINEA COLGADO DE AVES, CUANDO SUFRE UNA PROYECCION DE PARTICULA EN OJO DERECHO PROVOCANDO INFLAMACION EN LA PARTE AFECTADA"/>
    <x v="1"/>
    <x v="0"/>
    <x v="1"/>
    <s v="NICOLAS GOMEZ"/>
    <s v="CARLOS CARTAGENA"/>
  </r>
  <r>
    <n v="2023"/>
    <x v="2"/>
    <s v="EL PAICO"/>
    <s v="HUINAO CARTAGENA"/>
    <s v="MANUEL"/>
    <x v="0"/>
    <s v="15403657-1"/>
    <d v="2022-11-04T00:00:00"/>
    <n v="4"/>
    <d v="2023-03-08T00:00:00"/>
    <x v="2"/>
    <d v="2023-03-10T00:00:00"/>
    <d v="2023-03-10T00:00:00"/>
    <s v="N/A"/>
    <n v="0"/>
    <x v="0"/>
    <s v="N/A"/>
    <x v="0"/>
    <x v="5"/>
    <s v="IQF 1"/>
    <s v="OPERARIO"/>
    <s v="IQF1"/>
    <s v="N/A"/>
    <x v="1"/>
    <d v="1899-12-30T18:35:00"/>
    <x v="1"/>
    <s v="SEMANA 10"/>
    <n v="15564"/>
    <s v="N° 21-2023"/>
    <s v="GUILLERMO NARVAEZ"/>
    <x v="0"/>
    <n v="39"/>
    <x v="0"/>
    <x v="2"/>
    <s v="Contusión"/>
    <x v="0"/>
    <s v="COLABORADOR SUFRE CONTUSION EN MUÑECA IZQUERDA CUANDO SE ENCONTRABA ARMANDO PALLET CON BANDEJAS DE FILETILLO DE POLLO "/>
    <x v="0"/>
    <x v="0"/>
    <x v="1"/>
    <s v="NICOLAS GOMEZ"/>
    <s v="CHISTIAN JHONS"/>
  </r>
  <r>
    <n v="2023"/>
    <x v="2"/>
    <s v="EL PAICO"/>
    <s v="CHAVANNES"/>
    <s v="ESTILUS"/>
    <x v="0"/>
    <s v="26172618-1"/>
    <d v="2019-10-14T00:00:00"/>
    <n v="40"/>
    <d v="2023-03-08T00:00:00"/>
    <x v="0"/>
    <s v="N/A"/>
    <s v="N/A"/>
    <s v="N/A"/>
    <n v="0"/>
    <x v="0"/>
    <s v="N/A"/>
    <x v="0"/>
    <x v="0"/>
    <s v="EVISCERADO"/>
    <s v="OPERARIO"/>
    <s v="EVICERADO"/>
    <s v="N/A"/>
    <x v="1"/>
    <d v="1899-12-30T18:20:00"/>
    <x v="1"/>
    <s v="SEMANA 10"/>
    <m/>
    <m/>
    <s v="NICOLAS MOYANO"/>
    <x v="8"/>
    <n v="34"/>
    <x v="12"/>
    <x v="4"/>
    <s v="Herida cortante"/>
    <x v="9"/>
    <s v="COLABORADOR SE ENCONTRABA SACANDO FILO A CUCHILLO, CUANDO ESTE CAE EN SU PIE DERECHO PRODUCIENDO UNA HERIDA CORTANTE"/>
    <x v="1"/>
    <x v="0"/>
    <x v="0"/>
    <s v="NICOLAS GOMEZ"/>
    <s v="CHRISTIAN JHONS"/>
  </r>
  <r>
    <n v="2023"/>
    <x v="2"/>
    <s v="EL PAICO"/>
    <s v="MIRANDA GOMEZ"/>
    <s v="ANA GABRIELA"/>
    <x v="1"/>
    <s v="18778202-3"/>
    <d v="2022-07-26T00:00:00"/>
    <n v="7"/>
    <d v="2023-03-09T00:00:00"/>
    <x v="2"/>
    <s v="N/A"/>
    <s v="N/A"/>
    <s v="N/A"/>
    <n v="0"/>
    <x v="0"/>
    <s v="N/A"/>
    <x v="0"/>
    <x v="5"/>
    <s v="CALIBRADO"/>
    <s v="OPERARIO"/>
    <s v="CALIBRADO"/>
    <s v="N/A"/>
    <x v="1"/>
    <d v="1899-12-30T15:15:00"/>
    <x v="4"/>
    <s v="SEMANA 10"/>
    <m/>
    <m/>
    <s v="GUILLERMO NARVAEZ"/>
    <x v="20"/>
    <n v="29"/>
    <x v="2"/>
    <x v="1"/>
    <s v="Contusión"/>
    <x v="6"/>
    <s v="COLABORADORA SE ENCONTRABA BAJANDO ESCALERAS EN CALIBRADO CUANDO SE GOLPEA LA RODILLLA IZQUERDA CON PASAMANOS "/>
    <x v="0"/>
    <x v="0"/>
    <x v="0"/>
    <s v="ALAN CARRASCO"/>
    <s v="WLADIMIR CALDERON "/>
  </r>
  <r>
    <n v="2023"/>
    <x v="2"/>
    <s v="EL PAICO"/>
    <s v="RIQUELME JARA"/>
    <s v="LUIS FELIPE"/>
    <x v="0"/>
    <s v="20140706-0"/>
    <d v="2022-11-11T00:00:00"/>
    <n v="3"/>
    <d v="2023-03-10T00:00:00"/>
    <x v="2"/>
    <d v="2023-03-10T00:00:00"/>
    <d v="2023-03-10T00:00:00"/>
    <s v="N/A"/>
    <n v="0"/>
    <x v="0"/>
    <s v="N/A"/>
    <x v="0"/>
    <x v="5"/>
    <s v="IQF CALIBRADO A"/>
    <s v="OPERARIO"/>
    <s v="BICICLETERO"/>
    <s v="N/A"/>
    <x v="0"/>
    <d v="1899-12-30T06:00:00"/>
    <x v="3"/>
    <s v="SEMANA 10"/>
    <s v="N/A"/>
    <s v="N° 21-2023"/>
    <s v="GUILLERMO NARVAEZ"/>
    <x v="0"/>
    <n v="23"/>
    <x v="1"/>
    <x v="3"/>
    <s v="Contusión"/>
    <x v="1"/>
    <s v="COLABORADOR SUFRE CAIDA AL INGRESO DE LA PLANTA "/>
    <x v="1"/>
    <x v="0"/>
    <x v="1"/>
    <s v="ALAN CARRASCO"/>
    <s v="CARLOS CARTAGENA"/>
  </r>
  <r>
    <n v="2023"/>
    <x v="2"/>
    <s v="EL PAICO"/>
    <s v="HERRERA PINTO"/>
    <s v="JHONY"/>
    <x v="0"/>
    <s v="20789495-8"/>
    <d v="2022-11-29T00:00:00"/>
    <n v="3"/>
    <d v="2023-03-14T00:00:00"/>
    <x v="2"/>
    <s v="N/A"/>
    <s v="N/A"/>
    <s v="N/A"/>
    <n v="0"/>
    <x v="0"/>
    <s v="N/A"/>
    <x v="0"/>
    <x v="1"/>
    <s v="T. AUTOMATICO"/>
    <s v="OPERARIO"/>
    <s v="T. AUTOMATICO"/>
    <s v="N/A"/>
    <x v="0"/>
    <d v="1899-12-30T09:45:00"/>
    <x v="0"/>
    <s v="SEMANA 11"/>
    <m/>
    <m/>
    <s v="DANIEL GARRIDO"/>
    <x v="14"/>
    <n v="22"/>
    <x v="2"/>
    <x v="1"/>
    <s v="Contusión"/>
    <x v="0"/>
    <s v="COLABORADOR SUFRE GOLPE EN PIERNA DERECHA CON BASE METALICA DE GANCHO QUE SE DESPRENDE DE UNA CINTA "/>
    <x v="1"/>
    <x v="0"/>
    <x v="0"/>
    <s v="NICOLAS GOMEZ"/>
    <s v="WLADIMIR CALDERON "/>
  </r>
  <r>
    <n v="2023"/>
    <x v="2"/>
    <s v="EL PAICO"/>
    <s v="RODRIGUEZ ESPINOZA"/>
    <s v="LUIS MIGUEL"/>
    <x v="0"/>
    <s v="18461734-K"/>
    <d v="2022-09-22T00:00:00"/>
    <n v="5"/>
    <d v="2023-03-15T00:00:00"/>
    <x v="2"/>
    <s v="N/A"/>
    <s v="N/A"/>
    <s v="N/A"/>
    <n v="0"/>
    <x v="0"/>
    <s v="N/A"/>
    <x v="0"/>
    <x v="7"/>
    <m/>
    <s v="MECANICO"/>
    <s v="DESPLUMADO DE PAVO"/>
    <s v="N/A"/>
    <x v="0"/>
    <d v="1899-12-30T15:15:00"/>
    <x v="1"/>
    <s v="SEMANA 11"/>
    <m/>
    <m/>
    <s v="VICTOR GOMEZ"/>
    <x v="0"/>
    <n v="29"/>
    <x v="2"/>
    <x v="8"/>
    <s v="Quemadura"/>
    <x v="11"/>
    <s v="COLABORADOR SUFRE QUEMADURA EN CUELLO CUANDO CAMBIABA MANGUERA DE SOPLADORORES EN DESPLUMADO DE PAVO"/>
    <x v="1"/>
    <x v="0"/>
    <x v="0"/>
    <s v="ALAN CARRASCO"/>
    <s v="CHRISTIAN JHONS"/>
  </r>
  <r>
    <n v="2023"/>
    <x v="2"/>
    <s v="EL PAICO"/>
    <s v="PINTO VILLAGRA"/>
    <s v="XENDRIX"/>
    <x v="0"/>
    <s v="17715504-7"/>
    <d v="2019-05-06T00:00:00"/>
    <n v="46"/>
    <d v="2023-03-17T00:00:00"/>
    <x v="0"/>
    <s v="N/A"/>
    <s v="N/A"/>
    <s v="N/A"/>
    <n v="0"/>
    <x v="0"/>
    <s v="N/A"/>
    <x v="0"/>
    <x v="4"/>
    <s v="ROMANERO CAMARA"/>
    <s v="OPERARIO"/>
    <s v="TUNEL 234"/>
    <s v="N/A"/>
    <x v="0"/>
    <d v="1899-12-30T18:00:00"/>
    <x v="3"/>
    <s v="SEMANA 11"/>
    <m/>
    <m/>
    <s v="FRANCISCO QUEZADA"/>
    <x v="21"/>
    <n v="32"/>
    <x v="0"/>
    <x v="4"/>
    <s v="Contusión"/>
    <x v="6"/>
    <s v="COLABORADOR SUFRE CONTUSION EN PIE DERECHO AL APRETARSE CON PALLET CUANDO SE ENCONTRABA CARGANDO TUNEL 234"/>
    <x v="1"/>
    <x v="0"/>
    <x v="0"/>
    <s v="NICOLAS GOMEZ"/>
    <s v="CARLOS CARTAGENA"/>
  </r>
  <r>
    <n v="2023"/>
    <x v="2"/>
    <s v="EL PAICO"/>
    <s v="TRUJILLO ALARCON "/>
    <s v="ANGELA VERONICA"/>
    <x v="1"/>
    <s v="15401811-5"/>
    <d v="2014-10-06T00:00:00"/>
    <n v="101"/>
    <d v="2023-03-17T00:00:00"/>
    <x v="0"/>
    <s v="N/A"/>
    <s v="N/A"/>
    <s v="N/A"/>
    <n v="0"/>
    <x v="0"/>
    <s v="N/A"/>
    <x v="0"/>
    <x v="1"/>
    <s v="DESHUESADO"/>
    <s v="OPERARIO"/>
    <s v="DESHUESADO"/>
    <s v="N/A"/>
    <x v="0"/>
    <d v="1899-12-30T13:00:00"/>
    <x v="3"/>
    <s v="SEMANA 11"/>
    <m/>
    <m/>
    <s v="DANIEL GARRIDO"/>
    <x v="14"/>
    <n v="40"/>
    <x v="0"/>
    <x v="3"/>
    <s v="Contusión"/>
    <x v="6"/>
    <s v="COLABORA SUFRE CAIDA DESDE ESCALON DE TARIMA DE TRABAJO, GOLPEANDOSE EN BRAZO Y ESPALDA"/>
    <x v="0"/>
    <x v="0"/>
    <x v="0"/>
    <s v="NICOLAS GOMEZ"/>
    <s v="MICHELLE SANCHEZ"/>
  </r>
  <r>
    <n v="2023"/>
    <x v="2"/>
    <s v="EL PAICO"/>
    <s v="NUÑEZ ESCARATE"/>
    <s v="VICTOR"/>
    <x v="0"/>
    <s v="8649246-6"/>
    <d v="2006-03-10T00:00:00"/>
    <n v="204"/>
    <d v="2023-03-17T00:00:00"/>
    <x v="0"/>
    <s v="N/A"/>
    <s v="N/A"/>
    <s v="N/A"/>
    <n v="0"/>
    <x v="0"/>
    <s v="N/A"/>
    <x v="0"/>
    <x v="1"/>
    <s v="T. AUTOMATICO"/>
    <s v="OPERARIO"/>
    <s v="T. AUTOMATICO"/>
    <s v="N/A"/>
    <x v="1"/>
    <d v="1899-12-30T20:40:00"/>
    <x v="3"/>
    <s v="SEMANA 11"/>
    <m/>
    <m/>
    <s v="DANIEL GARRIDO"/>
    <x v="1"/>
    <n v="63"/>
    <x v="8"/>
    <x v="6"/>
    <s v="Conjuntivitis"/>
    <x v="7"/>
    <s v="COLABORADOR SUFRE CAIDA DE LIQUIDO (ACIDO PERACETICO) EN OJO, ESTO OCURRE AL SACAR MATERIA PRIMA QUE SE ENCONTRABA ATASCADA EN LA LINEA"/>
    <x v="0"/>
    <x v="1"/>
    <x v="0"/>
    <s v="ALAN CARRASCO"/>
    <s v="MICHELLE SANCHEZ"/>
  </r>
  <r>
    <n v="2023"/>
    <x v="2"/>
    <s v="EL PAICO"/>
    <s v="HENRIQUEZ VARGAS"/>
    <s v="FERNANDO"/>
    <x v="0"/>
    <s v="18538961-8"/>
    <d v="2022-11-04T00:00:00"/>
    <n v="4"/>
    <d v="2023-03-19T00:00:00"/>
    <x v="2"/>
    <s v="N/A"/>
    <s v="N/A"/>
    <s v="N/A"/>
    <n v="0"/>
    <x v="0"/>
    <s v="N/A"/>
    <x v="0"/>
    <x v="7"/>
    <s v="MANTENCION"/>
    <s v="COORDINADOR"/>
    <s v="T. AUTOMATICO"/>
    <s v="N/A"/>
    <x v="0"/>
    <d v="1899-12-30T15:30:00"/>
    <x v="6"/>
    <s v="SEMANA 11"/>
    <m/>
    <m/>
    <s v="VICTOR GOMEZ"/>
    <x v="22"/>
    <n v="29"/>
    <x v="0"/>
    <x v="6"/>
    <s v="Contusión"/>
    <x v="0"/>
    <s v="COLABORADOR SUFRE GOLPE EN OJO DERECHO CONLLAVE CUANDO SE ENCONTRABA APRETANDO LOS PERNOS DE ESTACION DE GIRO EN LINEA 2 DE TROZADO DE POLLO AUTOMATICO"/>
    <x v="0"/>
    <x v="0"/>
    <x v="0"/>
    <s v="ALAN CARRASCO"/>
    <s v="CARLOS CARTAGENA"/>
  </r>
  <r>
    <n v="2023"/>
    <x v="2"/>
    <s v="EL PAICO"/>
    <s v="BARRAZA PERALTA"/>
    <s v="ISABEL"/>
    <x v="1"/>
    <s v="9683999-5"/>
    <d v="2013-11-18T00:00:00"/>
    <n v="112"/>
    <d v="2023-03-22T00:00:00"/>
    <x v="0"/>
    <d v="2023-03-10T00:00:00"/>
    <d v="2023-03-10T00:00:00"/>
    <s v="N/A"/>
    <n v="0"/>
    <x v="0"/>
    <s v="N/A"/>
    <x v="0"/>
    <x v="2"/>
    <s v="ASEO OPERACIONAL"/>
    <s v="OPERARIO"/>
    <s v="IQF4"/>
    <s v="N/A"/>
    <x v="0"/>
    <d v="1899-12-30T11:40:00"/>
    <x v="1"/>
    <s v="SEMANA 12"/>
    <n v="15582"/>
    <s v="N° 20-2023"/>
    <s v="CARLOS JIMENES"/>
    <x v="23"/>
    <n v="58"/>
    <x v="5"/>
    <x v="5"/>
    <s v="Contusión"/>
    <x v="1"/>
    <s v="COLABORADORA SUFRE CAIDA MISMO NIVEL CUANDO SE ENCONTRABA SECANDO AGUA EN PISO DE IQF4"/>
    <x v="1"/>
    <x v="0"/>
    <x v="1"/>
    <s v="ALAN CARRASCO"/>
    <s v="WLADIMIR CALDERON "/>
  </r>
  <r>
    <n v="2023"/>
    <x v="2"/>
    <s v="EL PAICO"/>
    <s v="LARA SOTO"/>
    <s v="EDITH "/>
    <x v="1"/>
    <s v="16670482-0"/>
    <d v="2020-01-13T00:00:00"/>
    <n v="38"/>
    <d v="2023-03-23T00:00:00"/>
    <x v="0"/>
    <s v="N/A"/>
    <s v="N/A"/>
    <s v="N/A"/>
    <n v="0"/>
    <x v="0"/>
    <s v="N/A"/>
    <x v="0"/>
    <x v="2"/>
    <s v="ASEO OPERACIONAL"/>
    <s v="OPERARIO"/>
    <s v="DESPLUMADO"/>
    <s v="N/A"/>
    <x v="1"/>
    <d v="1899-12-30T04:30:00"/>
    <x v="4"/>
    <s v="SEMANA 12"/>
    <m/>
    <m/>
    <s v="CARLOS JIMENES"/>
    <x v="24"/>
    <n v="35"/>
    <x v="2"/>
    <x v="2"/>
    <s v="Contusión"/>
    <x v="0"/>
    <s v="COLABORADORA QUE SE ENCONTRABA REALIZANDO ASEO EN PISOS SUFRE GOLPE EN MANO DERECHA CON PUERTA DE VAIVEN AL INGRESO DE DESPLUMADO "/>
    <x v="1"/>
    <x v="0"/>
    <x v="0"/>
    <s v="NICOLAS GOMEZ"/>
    <s v="WLADIMIR CALDERON "/>
  </r>
  <r>
    <n v="2023"/>
    <x v="2"/>
    <s v="EL PAICO"/>
    <s v="TRUJILLO ELGUETA "/>
    <s v="KEVIN"/>
    <x v="0"/>
    <s v="18346564-6"/>
    <d v="2021-10-12T00:00:00"/>
    <n v="17"/>
    <d v="2023-03-24T00:00:00"/>
    <x v="2"/>
    <s v="N/A"/>
    <s v="N/A"/>
    <s v="N/A"/>
    <n v="0"/>
    <x v="0"/>
    <s v="N/A"/>
    <x v="0"/>
    <x v="7"/>
    <s v="MANTENCION"/>
    <s v="COORDINADOR"/>
    <s v="CALIBRADO"/>
    <s v="N/A"/>
    <x v="0"/>
    <d v="1899-12-30T09:50:00"/>
    <x v="3"/>
    <s v="SEMANA 12"/>
    <m/>
    <m/>
    <s v="VICTOR GOMEZ"/>
    <x v="10"/>
    <n v="31"/>
    <x v="0"/>
    <x v="2"/>
    <s v="Herida cortante"/>
    <x v="9"/>
    <s v="COLABORADOR QUE SE ENCONTRABA REALIZANDO CAMBIO DE CINTA EN EL AREA DE CALIBRADO DE PECHUGAS SUFRE CORTE CON BORDE DE ESCALERA EN DEDO MEÑIQUE IZQUERDO"/>
    <x v="1"/>
    <x v="0"/>
    <x v="0"/>
    <s v="ALAN CARRASCO"/>
    <s v="CHISTIAN JHONS"/>
  </r>
  <r>
    <n v="2023"/>
    <x v="2"/>
    <s v="EL PAICO"/>
    <s v="CARANCIO ALEGRIA"/>
    <s v="MARCELO"/>
    <x v="0"/>
    <s v="14439094-6"/>
    <d v="2018-11-19T00:00:00"/>
    <n v="52"/>
    <d v="2023-03-23T00:00:00"/>
    <x v="0"/>
    <s v="N/A"/>
    <s v="N/A"/>
    <s v="N/A"/>
    <n v="0"/>
    <x v="0"/>
    <s v="N/A"/>
    <x v="0"/>
    <x v="1"/>
    <s v="DESHUESADO"/>
    <s v="OPERARIO"/>
    <m/>
    <s v="N/A"/>
    <x v="3"/>
    <m/>
    <x v="4"/>
    <s v="SEMANA 12"/>
    <m/>
    <m/>
    <s v="DANIEL GARRIDO"/>
    <x v="0"/>
    <n v="49"/>
    <x v="0"/>
    <x v="8"/>
    <s v="Otros"/>
    <x v="4"/>
    <s v="COLABORADOR SE ENCONTRABA LEVANTANDO BANDEJAS CON POLLO, SIENTE DOLOR EN ESPALDA AL EJERCER FUERZA"/>
    <x v="0"/>
    <x v="0"/>
    <x v="0"/>
    <s v="NICOLAS GOMEZ"/>
    <s v="CARLOS CARTAGENA"/>
  </r>
  <r>
    <n v="2023"/>
    <x v="2"/>
    <s v="EL PAICO"/>
    <s v="CONTRERAS GARATE"/>
    <s v="SALVADOR"/>
    <x v="0"/>
    <s v="14436436-8"/>
    <d v="2021-03-08T00:00:00"/>
    <n v="24"/>
    <d v="2023-03-27T00:00:00"/>
    <x v="1"/>
    <s v="N/A"/>
    <s v="N/A"/>
    <s v="N/A"/>
    <n v="0"/>
    <x v="0"/>
    <s v="N/A"/>
    <x v="0"/>
    <x v="2"/>
    <s v="ASEO OPERACIONAL"/>
    <s v="OPERARIO"/>
    <s v="VESTIDORES "/>
    <s v="N/A"/>
    <x v="1"/>
    <d v="1899-12-30T14:30:00"/>
    <x v="5"/>
    <s v="SEMANA 13"/>
    <m/>
    <m/>
    <s v="CARLOS JIMENES"/>
    <x v="25"/>
    <n v="32"/>
    <x v="3"/>
    <x v="8"/>
    <s v="Otros"/>
    <x v="12"/>
    <s v="COLABORADOR SIENTE FUERTE DOLOR EN LA CINTURA CUANDO SE VESTIA CON SU ROPA DE TRABAJO EN CAMARINES DE LA PLANTA "/>
    <x v="0"/>
    <x v="0"/>
    <x v="0"/>
    <s v="ALAN CARRASCO"/>
    <s v="CARLOS CARTAGENA"/>
  </r>
  <r>
    <n v="2023"/>
    <x v="2"/>
    <s v="EL PAICO"/>
    <s v="OLY"/>
    <s v="CHARLES"/>
    <x v="0"/>
    <s v="25968215-0"/>
    <d v="2021-08-11T00:00:00"/>
    <n v="19"/>
    <d v="2023-03-31T00:00:00"/>
    <x v="1"/>
    <s v="N/A"/>
    <s v="N/A"/>
    <s v="N/A"/>
    <n v="0"/>
    <x v="0"/>
    <s v="N/A"/>
    <x v="0"/>
    <x v="1"/>
    <s v="T. AUTOMATICO"/>
    <s v="OPERARIO"/>
    <s v="T. AUTOMATICO"/>
    <s v="N/A"/>
    <x v="0"/>
    <d v="1899-12-30T08:45:00"/>
    <x v="3"/>
    <s v="SEMANA 13"/>
    <m/>
    <m/>
    <s v="DANIEL GARRIDO"/>
    <x v="26"/>
    <n v="51"/>
    <x v="7"/>
    <x v="6"/>
    <s v="Otros"/>
    <x v="7"/>
    <s v="COLABORADOR SE ENCONTRABA EXPURGANDO PRODUCTO EN SU PUESTO DE TRABAJO SALPICANDO LIQUIDO EN AMBOS OJOS"/>
    <x v="0"/>
    <x v="0"/>
    <x v="0"/>
    <s v="ALAN CARRASCO"/>
    <s v="CARLOS CARTAGENA"/>
  </r>
  <r>
    <n v="2023"/>
    <x v="2"/>
    <s v="EL PAICO"/>
    <s v="MUÑOZ ISLA"/>
    <s v="JESSICA"/>
    <x v="1"/>
    <s v="16669807-3"/>
    <d v="2020-01-20T00:00:00"/>
    <n v="38"/>
    <d v="2023-03-31T00:00:00"/>
    <x v="0"/>
    <d v="2023-03-31T00:00:00"/>
    <s v="06-042023"/>
    <s v="N/A"/>
    <n v="7"/>
    <x v="1"/>
    <s v="N/A"/>
    <x v="0"/>
    <x v="1"/>
    <s v="SALA DE PROCESO"/>
    <s v="OPERARIO"/>
    <s v="SALA DE PROCESO"/>
    <s v="N/A"/>
    <x v="0"/>
    <d v="1899-12-30T12:55:00"/>
    <x v="3"/>
    <s v="SEMANA 13"/>
    <n v="15596"/>
    <m/>
    <s v="DANIEL GARRIDO"/>
    <x v="14"/>
    <n v="36"/>
    <x v="13"/>
    <x v="2"/>
    <s v="Herida cortante"/>
    <x v="9"/>
    <s v="COLABORADORA SUFRE CORTE EN MANO DERECHA CUANDO SE ENCONTRABA SACANDO FILO A SU CUCHILLO JUNTO A COMPAÑERA DE TRABAJO."/>
    <x v="0"/>
    <x v="0"/>
    <x v="1"/>
    <s v="ALAN CARRASCO"/>
    <s v="CARLOS CARTAGENA"/>
  </r>
  <r>
    <n v="2023"/>
    <x v="2"/>
    <s v="EL PAICO"/>
    <s v="MARIN VARGAS"/>
    <s v="CAROLINA"/>
    <x v="1"/>
    <s v="19212976-1"/>
    <d v="2021-09-13T00:00:00"/>
    <n v="18"/>
    <d v="2023-03-31T00:00:00"/>
    <x v="2"/>
    <s v="N/A"/>
    <s v="N/A"/>
    <s v="N/A"/>
    <n v="0"/>
    <x v="0"/>
    <s v="N/A"/>
    <x v="0"/>
    <x v="0"/>
    <s v="EVISCERADO"/>
    <s v="OPERARIO"/>
    <s v="CAMARINES DE MUJER"/>
    <s v="N/A"/>
    <x v="0"/>
    <d v="1899-12-30T11:30:00"/>
    <x v="3"/>
    <s v="SEMANA 13"/>
    <m/>
    <m/>
    <s v="NICOLAS MOYANO"/>
    <x v="11"/>
    <n v="26"/>
    <x v="11"/>
    <x v="1"/>
    <s v="Otros"/>
    <x v="13"/>
    <s v="COLABORADORA SUFRE PICADURA DE INSECTO EN PIERNA DERECHA, CUANDO ESTABA COLOCANDO SU ROPA DE TRABAJO"/>
    <x v="1"/>
    <x v="0"/>
    <x v="0"/>
    <s v="ALAN CARRASCO"/>
    <s v="CARLOS CARTAGENA"/>
  </r>
  <r>
    <n v="2023"/>
    <x v="3"/>
    <s v="EL PAICO"/>
    <s v="BERNARD "/>
    <s v="ROSE-CARINE"/>
    <x v="1"/>
    <s v="26225281-7"/>
    <d v="2021-12-29T00:00:00"/>
    <n v="15"/>
    <d v="2023-04-04T00:00:00"/>
    <x v="2"/>
    <s v="N/A"/>
    <s v="N/A"/>
    <s v="N/A"/>
    <n v="0"/>
    <x v="0"/>
    <s v="N/A"/>
    <x v="0"/>
    <x v="2"/>
    <s v="ASEO OPERACIONAL"/>
    <s v="OPERARIO"/>
    <s v="DESHUESADO"/>
    <s v="N/A"/>
    <x v="1"/>
    <d v="1899-12-30T08:45:00"/>
    <x v="0"/>
    <s v="SEMANA 14"/>
    <n v="15606"/>
    <m/>
    <s v="CARLOS JIMENES"/>
    <x v="24"/>
    <n v="28"/>
    <x v="5"/>
    <x v="5"/>
    <s v="Contusión"/>
    <x v="1"/>
    <s v="COLABORADORA SUFRE CAIDA EN SALA DE PROCESO GOLPEANDOSE EN HOMBRO IZQUERDO"/>
    <x v="1"/>
    <x v="0"/>
    <x v="1"/>
    <s v="ALAN CARRASCO"/>
    <s v="CARLOS CARTAGENA"/>
  </r>
  <r>
    <n v="2023"/>
    <x v="3"/>
    <s v="EL PAICO"/>
    <s v="CAMACHO CASTELLANOS"/>
    <s v="JESUS"/>
    <x v="0"/>
    <s v="27001301-5"/>
    <d v="2021-04-26T00:00:00"/>
    <n v="23"/>
    <d v="2023-04-04T00:00:00"/>
    <x v="1"/>
    <d v="2023-04-05T00:00:00"/>
    <d v="2023-04-21T00:00:00"/>
    <s v="N/A"/>
    <n v="17"/>
    <x v="1"/>
    <s v="N/A"/>
    <x v="0"/>
    <x v="1"/>
    <s v="DESHUESADO"/>
    <s v="OPERARIO"/>
    <s v="DESHUESADO"/>
    <s v="N/A"/>
    <x v="1"/>
    <d v="1899-12-30T16:20:00"/>
    <x v="0"/>
    <s v="SEMANA 14"/>
    <n v="15605"/>
    <m/>
    <s v="DANIEL GARRIDO"/>
    <x v="14"/>
    <n v="24"/>
    <x v="4"/>
    <x v="2"/>
    <s v="Herida cortante"/>
    <x v="3"/>
    <s v="COLABORADOR SUFRE HERIDA PENETRANTE EN PALMA DE MANO IZQUERDA AL ESTAR COLGANDO PECHUGAS DE POLLO ENTERAS"/>
    <x v="0"/>
    <x v="0"/>
    <x v="1"/>
    <s v="ALAN CARRASCO "/>
    <s v="CARLOS CARTAGENA"/>
  </r>
  <r>
    <n v="2023"/>
    <x v="3"/>
    <s v="EL PAICO"/>
    <s v="VILLALOBOS VALENZUELA"/>
    <s v="PABLO"/>
    <x v="0"/>
    <s v="19382613-K"/>
    <d v="2022-08-18T00:00:00"/>
    <n v="7"/>
    <d v="2023-04-04T00:00:00"/>
    <x v="2"/>
    <s v="N/A"/>
    <s v="N/A"/>
    <s v="N/A"/>
    <n v="0"/>
    <x v="0"/>
    <s v="N/A"/>
    <x v="0"/>
    <x v="1"/>
    <s v="DESHUESADO"/>
    <s v="OPERARIO"/>
    <s v="PASILLO CAMARA 206"/>
    <s v="N/A"/>
    <x v="1"/>
    <d v="1899-12-30T00:45:00"/>
    <x v="1"/>
    <s v="SEMANA 14"/>
    <m/>
    <m/>
    <s v="DANIEL GARRIDO"/>
    <x v="14"/>
    <n v="27"/>
    <x v="6"/>
    <x v="8"/>
    <s v="Otros"/>
    <x v="4"/>
    <s v="COLABORADOR SUFRE TIRON EN ESPALDA Y CUELLO CUANDO SE ENCONTRABA MOVILIZANDO BINS CON PRODUCTO EN TRANSPALETA MANUAL "/>
    <x v="0"/>
    <x v="0"/>
    <x v="0"/>
    <s v="NICOLAS GOMEZ"/>
    <s v="CHISTIAN JHONS"/>
  </r>
  <r>
    <n v="2023"/>
    <x v="3"/>
    <s v="EL PAICO"/>
    <s v="ARAYA MOYANO"/>
    <s v="MARIA INES"/>
    <x v="1"/>
    <s v="10999607-6"/>
    <d v="2014-11-10T00:00:00"/>
    <n v="100"/>
    <d v="2023-04-06T00:00:00"/>
    <x v="0"/>
    <d v="2023-04-08T00:00:00"/>
    <d v="2023-04-15T00:00:00"/>
    <s v="N/A"/>
    <n v="8"/>
    <x v="1"/>
    <s v="LGF"/>
    <x v="3"/>
    <x v="2"/>
    <s v="ASEO OPERACIONAL"/>
    <s v="OPERARIO"/>
    <s v="FAENA"/>
    <s v="N/A"/>
    <x v="2"/>
    <d v="1899-12-30T19:30:00"/>
    <x v="4"/>
    <s v="SEMANA 14"/>
    <n v="15615"/>
    <m/>
    <s v="CARLOS JIMENES"/>
    <x v="5"/>
    <n v="56"/>
    <x v="8"/>
    <x v="2"/>
    <s v="Quemadura"/>
    <x v="10"/>
    <s v="COLABORA SUFRE QUEMADURA EN EN DEDO INDICE Y PULGAR DE MANO DERECHA Y DEDO PULGAR DE MANO IZQUERDA POR CONTACTO CON PRODUCTO QUIMICO AL ESTAR LAVANDO CORTINAS PLASTICAS EN EL PASILLO DE FAENA"/>
    <x v="0"/>
    <x v="0"/>
    <x v="1"/>
    <s v="NICOLAS GOMEZ"/>
    <m/>
  </r>
  <r>
    <n v="2023"/>
    <x v="3"/>
    <s v="EL PAICO"/>
    <s v="GONALEZ NIDA"/>
    <s v="MAURICIO"/>
    <x v="0"/>
    <s v="20122752-6"/>
    <d v="2023-03-14T00:00:00"/>
    <n v="0"/>
    <d v="2023-04-10T00:00:00"/>
    <x v="2"/>
    <d v="2023-04-11T00:00:00"/>
    <d v="2023-04-12T00:00:00"/>
    <s v="N/A"/>
    <n v="1"/>
    <x v="1"/>
    <s v="N/A"/>
    <x v="0"/>
    <x v="1"/>
    <s v="DESHUESADO"/>
    <s v="OPERARIO"/>
    <s v="DESHUESADO"/>
    <s v="N/A"/>
    <x v="0"/>
    <d v="1899-12-30T08:30:00"/>
    <x v="5"/>
    <s v="SEMANA 15"/>
    <n v="15618"/>
    <m/>
    <s v="DANIEL GARRIDO"/>
    <x v="14"/>
    <n v="24"/>
    <x v="7"/>
    <x v="6"/>
    <s v="Conjuntivitis"/>
    <x v="7"/>
    <s v="COLABORADOR SUFRE INFLAMACION EN OJO IZQUIERDO POR SALPICADURA DE PRODUCTO AL ESTAR LIMPIANDO PECHUGAS EN LINEA DE PROLIJADO"/>
    <x v="0"/>
    <x v="0"/>
    <x v="1"/>
    <s v="NICOLAS GOMEZ"/>
    <s v="CARLOS CARTAGENA"/>
  </r>
  <r>
    <n v="2023"/>
    <x v="3"/>
    <s v="EL PAICO"/>
    <s v="SANTIS RAMIREZ"/>
    <s v="JANIS"/>
    <x v="1"/>
    <s v="19858836-9"/>
    <d v="2021-05-10T00:00:00"/>
    <n v="23"/>
    <d v="2023-04-11T00:00:00"/>
    <x v="1"/>
    <s v="N/A"/>
    <s v="N/A"/>
    <s v="N/A"/>
    <n v="0"/>
    <x v="0"/>
    <s v="N/A"/>
    <x v="0"/>
    <x v="1"/>
    <s v="DESHUESADO"/>
    <s v="OPERARIO"/>
    <s v="CAMARA 208"/>
    <s v="N/A"/>
    <x v="0"/>
    <d v="1899-12-30T08:55:00"/>
    <x v="0"/>
    <s v="SEMANA 15"/>
    <m/>
    <m/>
    <s v="DANIEL GARRIDO"/>
    <x v="27"/>
    <n v="25"/>
    <x v="5"/>
    <x v="3"/>
    <s v="Contusión"/>
    <x v="1"/>
    <s v="COLABORADORA SUFRE CONTUSION EN ESPALDA Y CABEZA POR CAIDA MISMO NIVEL AL PISAR HIELO QUE SE ENCONTRABA EN PISO DE CAMARA 208 ROTULANDO BINS"/>
    <x v="1"/>
    <x v="0"/>
    <x v="0"/>
    <s v="NICOLAS GOMEZ"/>
    <s v="CARLOS CARTAGENA"/>
  </r>
  <r>
    <n v="2023"/>
    <x v="3"/>
    <s v="EL PAICO"/>
    <s v="CARRASCO CACERES"/>
    <s v="VICTOR"/>
    <x v="0"/>
    <s v="16985231-6"/>
    <d v="2008-07-18T00:00:00"/>
    <n v="176"/>
    <d v="2023-04-12T00:00:00"/>
    <x v="0"/>
    <s v="N/A"/>
    <s v="N/A"/>
    <s v="N/A"/>
    <n v="0"/>
    <x v="0"/>
    <s v="N/A"/>
    <x v="0"/>
    <x v="1"/>
    <s v="TROZADO AUTOMATICO"/>
    <s v="OPERARIO"/>
    <s v="ANDENES"/>
    <s v="N/A"/>
    <x v="1"/>
    <d v="1899-12-30T15:10:00"/>
    <x v="1"/>
    <s v="SEMANA 15"/>
    <m/>
    <m/>
    <s v="DANIEL GARRIDO"/>
    <x v="28"/>
    <n v="34"/>
    <x v="9"/>
    <x v="8"/>
    <s v="Otros"/>
    <x v="4"/>
    <s v="COLABORADOR SUFRE DOLOR EN ESPALDA POR SOBREESFUERZOAL ESTAR MOVIENDO BINS QUE SE ENCONTRABAN APRETADOS EN SECTOR DE ANDENES."/>
    <x v="0"/>
    <x v="0"/>
    <x v="0"/>
    <s v="NICOLAS GOMEZ"/>
    <s v="CARLOS CARTAGENA"/>
  </r>
  <r>
    <n v="2023"/>
    <x v="3"/>
    <s v="EL PAICO"/>
    <s v="VIDAL ZAMBRANO"/>
    <s v="JAVIER"/>
    <x v="0"/>
    <s v="21169027-5"/>
    <d v="2022-08-01T00:00:00"/>
    <n v="8"/>
    <d v="2023-04-12T00:00:00"/>
    <x v="2"/>
    <s v="N/A"/>
    <s v="N/A"/>
    <s v="N/A"/>
    <n v="0"/>
    <x v="0"/>
    <s v="LGF"/>
    <x v="2"/>
    <x v="4"/>
    <s v="FRIGORIFICO"/>
    <s v="OPERARIO"/>
    <s v="TUNEL 4"/>
    <s v="EQUIPO PARA MOVIMIENTO DE CARGA (GRUAS O TRANSPALETAS)"/>
    <x v="0"/>
    <d v="1899-12-30T09:45:00"/>
    <x v="1"/>
    <s v="SEMANA 15"/>
    <m/>
    <m/>
    <s v="FRANCISCO QUEZADA"/>
    <x v="29"/>
    <n v="20"/>
    <x v="4"/>
    <x v="4"/>
    <s v="Contusión"/>
    <x v="0"/>
    <s v="COLABORADOR SUFRE CONTUSION EN PIE IZQUIERDO POR COLICION ENTRE DOS TRANSPALETAS EN TUNEL 4 "/>
    <x v="0"/>
    <x v="0"/>
    <x v="0"/>
    <s v="NICOLAS GOMEZ"/>
    <s v="CARLOS CARTAGENA"/>
  </r>
  <r>
    <n v="2023"/>
    <x v="3"/>
    <s v="EL PAICO"/>
    <s v="NORAMBUENA CARVAJAL"/>
    <s v="RODRIGO"/>
    <x v="0"/>
    <s v="16788251-K"/>
    <d v="2012-02-01T00:00:00"/>
    <n v="134"/>
    <d v="2023-04-15T00:00:00"/>
    <x v="0"/>
    <d v="2023-04-15T00:00:00"/>
    <m/>
    <s v="N/A"/>
    <m/>
    <x v="1"/>
    <s v="LGF"/>
    <x v="1"/>
    <x v="6"/>
    <s v="SALA DE PULPA"/>
    <s v="OPERARIO"/>
    <s v="SALA DE PULPA"/>
    <s v="MAQUINA BAADER"/>
    <x v="0"/>
    <d v="1899-12-30T11:40:00"/>
    <x v="2"/>
    <s v="SEMANA 15"/>
    <n v="15621"/>
    <m/>
    <s v="OCTAVIO MUÑOZ"/>
    <x v="15"/>
    <n v="35"/>
    <x v="4"/>
    <x v="2"/>
    <s v="Fractura"/>
    <x v="5"/>
    <s v="COLABORADOR SUFRE DESPRENDIMIENTO EN DEDO ANULAR SUPERIOR DERECHO, POR ATRAPAMIENTO MIENTRAS OPERABA MAQUINA BAADER EN SALA DE PULPA."/>
    <x v="0"/>
    <x v="0"/>
    <x v="1"/>
    <s v="ALAN CARRASCO"/>
    <s v="WLADIMIR CALDERON "/>
  </r>
  <r>
    <n v="2023"/>
    <x v="3"/>
    <s v="EL PAICO"/>
    <s v="VALDIVIA PEÑALOZA"/>
    <s v="JAIME"/>
    <x v="0"/>
    <s v="14140942-5"/>
    <d v="2021-06-01T00:00:00"/>
    <n v="22"/>
    <d v="2023-04-17T00:00:00"/>
    <x v="1"/>
    <s v="N/A"/>
    <s v="N/A"/>
    <s v="N/A"/>
    <n v="0"/>
    <x v="0"/>
    <s v="LGF"/>
    <x v="2"/>
    <x v="5"/>
    <s v="IQF Y CALIBRADO"/>
    <s v="OPERARIO"/>
    <s v="CAMARA 208"/>
    <s v="EQUIPO PARA MOVIMIENTO DE CARGA (GRUAS O TRANSPALETAS)"/>
    <x v="0"/>
    <d v="1899-12-30T10:06:00"/>
    <x v="5"/>
    <s v="SEMANA 16"/>
    <m/>
    <m/>
    <s v="GUILLERMO NARVAEZ"/>
    <x v="17"/>
    <n v="42"/>
    <x v="6"/>
    <x v="2"/>
    <s v="Contusión"/>
    <x v="0"/>
    <s v="COLABORADOR SUFRE GOLPE EN MUÑECA IZQUERDA AL SER COLICIONADO POR OPERADOR DE TRANSPALETA ELECTRICA CUANDO ESTABA ENTRANDO A CAMARA 208"/>
    <x v="0"/>
    <x v="0"/>
    <x v="0"/>
    <s v="ALAN CARRASCO"/>
    <s v="CHISTIAN JHONS"/>
  </r>
  <r>
    <n v="2023"/>
    <x v="3"/>
    <s v="EL PAICO"/>
    <s v="VASQUEZ CORRAL"/>
    <s v="JOSE"/>
    <x v="0"/>
    <s v="9029022-3"/>
    <d v="2004-06-15T00:00:00"/>
    <n v="226"/>
    <d v="2023-04-18T00:00:00"/>
    <x v="0"/>
    <s v="N/A"/>
    <s v="N/A"/>
    <s v="N/A"/>
    <n v="0"/>
    <x v="0"/>
    <s v="N/A"/>
    <x v="0"/>
    <x v="5"/>
    <s v="IQF"/>
    <s v="OPERARIO"/>
    <s v="IQF"/>
    <s v="N/A"/>
    <x v="1"/>
    <d v="1899-12-30T15:30:00"/>
    <x v="0"/>
    <s v="SEMANA 16"/>
    <m/>
    <m/>
    <s v="GUILLERMO NARVAEZ"/>
    <x v="20"/>
    <n v="63"/>
    <x v="14"/>
    <x v="2"/>
    <s v="Contusión"/>
    <x v="4"/>
    <s v="COLABORADOR SUFRE DOLOR EN MUÑECA IZQUERDA AL TOMAR CAJA EN LINEA DE IQF"/>
    <x v="0"/>
    <x v="0"/>
    <x v="0"/>
    <s v="ALAN CARRASCO"/>
    <s v="MICHELLE SANCHEZ"/>
  </r>
  <r>
    <n v="2023"/>
    <x v="3"/>
    <s v="EL PAICO"/>
    <s v="CASTILLO TRIVIÑO"/>
    <s v="PABLO"/>
    <x v="0"/>
    <s v="19409089-7"/>
    <d v="2020-03-16T00:00:00"/>
    <n v="37"/>
    <d v="2023-04-18T00:00:00"/>
    <x v="0"/>
    <d v="2023-04-19T00:00:00"/>
    <d v="2023-04-24T00:00:00"/>
    <s v="N/A"/>
    <n v="6"/>
    <x v="1"/>
    <s v="N/A"/>
    <x v="0"/>
    <x v="7"/>
    <s v="MANTENCION"/>
    <s v="OPERARIO"/>
    <s v="POZO DE PLUMAS"/>
    <s v="N/A"/>
    <x v="1"/>
    <d v="1899-12-30T18:00:00"/>
    <x v="0"/>
    <s v="SEMANA 16"/>
    <n v="15632"/>
    <m/>
    <s v="VICTOR GOMEZ"/>
    <x v="22"/>
    <n v="27"/>
    <x v="3"/>
    <x v="4"/>
    <s v="Otros"/>
    <x v="12"/>
    <s v="COLABORADOR AL REALIZAR SUS LABORES EN POZO DE PLUMAS SE LE PRODUCE ROCE CON ZAPATO DE SEGURIDAD EN PIE IZQUERDO, PRODICIENDOLE LESION POR FRICCION EN 1ER METATARSIANO"/>
    <x v="0"/>
    <x v="0"/>
    <x v="1"/>
    <s v="ALAN CARRASCO "/>
    <s v="MICHELLE SANCHEZ"/>
  </r>
  <r>
    <n v="2023"/>
    <x v="3"/>
    <s v="EL PAICO"/>
    <s v="RAGA VAZQUEZ"/>
    <s v="ELIZABETH"/>
    <x v="1"/>
    <s v="26199492-5"/>
    <d v="2022-11-22T00:00:00"/>
    <n v="4"/>
    <d v="2023-04-19T00:00:00"/>
    <x v="2"/>
    <s v="N/A"/>
    <s v="N/A"/>
    <s v="N/A"/>
    <n v="0"/>
    <x v="0"/>
    <s v="N/A"/>
    <x v="0"/>
    <x v="5"/>
    <s v="IQF"/>
    <s v="OPERARIO"/>
    <s v="IQF"/>
    <s v="N/A"/>
    <x v="1"/>
    <d v="1899-12-30T19:00:00"/>
    <x v="1"/>
    <s v="SEMANA 16"/>
    <m/>
    <m/>
    <s v="GUILLERMO NARVAEZ"/>
    <x v="20"/>
    <n v="35"/>
    <x v="7"/>
    <x v="6"/>
    <s v="Conjuntivitis"/>
    <x v="7"/>
    <s v="COLABORADORA SUFRE IRRITACION OCULAR EN OJO IZQUIERDO POR PROYECCION DE PARTICULAS CUANDO SE ENCONTRABA MANIPULANDO PRODUCTOS EN BANDEJAS EN LINEA IQF"/>
    <x v="0"/>
    <x v="0"/>
    <x v="0"/>
    <s v="NICOLAS GOMEZ"/>
    <s v="WLADIMIR CALDERON "/>
  </r>
  <r>
    <n v="2023"/>
    <x v="3"/>
    <s v="EL PAICO"/>
    <s v="CAELHO DE SAUCE"/>
    <s v="SILVIO"/>
    <x v="0"/>
    <s v="27133909-7"/>
    <d v="2021-09-13T00:00:00"/>
    <n v="19"/>
    <d v="2023-04-21T00:00:00"/>
    <x v="1"/>
    <s v="N/A"/>
    <s v="N/A"/>
    <s v="N/A"/>
    <n v="0"/>
    <x v="0"/>
    <s v="LGF"/>
    <x v="2"/>
    <x v="4"/>
    <s v="FRIGORIFICO"/>
    <s v="OPERARIO"/>
    <s v="SALA PALLETIZADO"/>
    <s v="EQUIPO PARA MOVIMIENTO DE CARGA (GRUAS O TRANSPALETAS)"/>
    <x v="1"/>
    <d v="1899-12-30T14:30:00"/>
    <x v="3"/>
    <s v="SEMANA 16"/>
    <m/>
    <m/>
    <s v="FRANCISCO QUEZADA"/>
    <x v="30"/>
    <n v="40"/>
    <x v="6"/>
    <x v="3"/>
    <s v="Contusión"/>
    <x v="0"/>
    <s v="COLABORADOR SUFRE GOLPE EN BRAZO Y PIERNA POR ATRAPAMIENTO ENTRE DOS PALLET CON CAJAS EN SALA DE PALLETIZADO EN EL AREA DE FRIGORIFICO "/>
    <x v="0"/>
    <x v="0"/>
    <x v="1"/>
    <s v="NICOLAS GOMEZ"/>
    <s v="CHISTIAN JHONS"/>
  </r>
  <r>
    <n v="2023"/>
    <x v="3"/>
    <s v="EL PAICO"/>
    <s v="MELLADO BARRIENTOS"/>
    <s v="POLONIA "/>
    <x v="1"/>
    <s v="17422963-5"/>
    <d v="2021-02-22T00:00:00"/>
    <n v="25"/>
    <d v="2023-04-21T00:00:00"/>
    <x v="1"/>
    <d v="2023-04-24T00:00:00"/>
    <d v="2023-04-26T00:00:00"/>
    <s v="N/A"/>
    <n v="3"/>
    <x v="1"/>
    <s v="N/A"/>
    <x v="0"/>
    <x v="1"/>
    <s v="SALA DE PROCESO"/>
    <s v="OPERARIO"/>
    <s v="SALA DE PROCESO"/>
    <s v="N/A"/>
    <x v="1"/>
    <m/>
    <x v="3"/>
    <s v="SEMANA 16"/>
    <m/>
    <m/>
    <s v="DANIEL GARRIDO"/>
    <x v="14"/>
    <n v="32"/>
    <x v="9"/>
    <x v="2"/>
    <s v="Contusión"/>
    <x v="6"/>
    <s v="COLABORADORA DE TPO SUFRIO CONTUSION EN MANO DERECHA GOLPEADA POR UN BINS, LA TRABAJADORA TENIA LA MANO APOYADA EN UN BINS EN ESE MOMENTO UN MOVILIZADOR ARRASTRA UN BINS CERCANO PARA POSICIONARLO A UN LADO DEL OTRO, EN ESTE MOMENTO NO SE PERCATA DE LA TRABAJADORA Y GOLPEADA SU MANO DEJANDOLA ENTRE AMBOS BINS, EL ACC OCURRIO EN SALA DE PROCESO. "/>
    <x v="0"/>
    <x v="0"/>
    <x v="1"/>
    <s v="NICOLAS GOMEZ"/>
    <m/>
  </r>
  <r>
    <n v="2023"/>
    <x v="3"/>
    <s v="EL PAICO"/>
    <s v="GUIÑEZ GARRIDO"/>
    <s v="PATRICIO"/>
    <x v="0"/>
    <s v="14008724-6"/>
    <d v="2022-11-15T00:00:00"/>
    <n v="5"/>
    <d v="2023-04-24T00:00:00"/>
    <x v="2"/>
    <s v="N/A"/>
    <s v="N/A"/>
    <s v="N/A"/>
    <n v="0"/>
    <x v="0"/>
    <s v="N/A"/>
    <x v="0"/>
    <x v="5"/>
    <s v="CALIBRADO"/>
    <s v="OPERARIO"/>
    <s v="EMPAQUE"/>
    <s v="N/A"/>
    <x v="0"/>
    <d v="1899-12-30T08:00:00"/>
    <x v="5"/>
    <s v="SEMANA 17"/>
    <m/>
    <m/>
    <s v="GUILLERMO NARVAEZ"/>
    <x v="7"/>
    <n v="41"/>
    <x v="0"/>
    <x v="0"/>
    <s v="Contusión"/>
    <x v="0"/>
    <s v="COLABORADOR SUFRE GOLPE EN POMULO IZQUIERDO POR TAPA DE CAJA CUANDO SE ENCONTRABA SACANDO ZUNCHOS EN EL AREA DE EMPAQUE"/>
    <x v="0"/>
    <x v="0"/>
    <x v="0"/>
    <s v="NICOLAS GOMEZ"/>
    <s v="CARLOS CARTAGENA"/>
  </r>
  <r>
    <n v="2023"/>
    <x v="3"/>
    <s v="EL PAICO"/>
    <s v="ALLENDE FROST"/>
    <s v="ANA "/>
    <x v="1"/>
    <s v="14246215-K"/>
    <d v="2019-09-09T00:00:00"/>
    <n v="43"/>
    <d v="2023-04-24T00:00:00"/>
    <x v="0"/>
    <s v="N/A"/>
    <s v="N/A"/>
    <s v="N/A"/>
    <n v="0"/>
    <x v="0"/>
    <s v="N/A"/>
    <x v="0"/>
    <x v="1"/>
    <s v="DESHUESADO"/>
    <s v="OPERARIO"/>
    <s v="DESHUESADO"/>
    <s v="N/A"/>
    <x v="1"/>
    <d v="1899-12-30T14:50:00"/>
    <x v="5"/>
    <s v="SEMANA 17"/>
    <m/>
    <m/>
    <s v="DANIEL GARRIDO"/>
    <x v="31"/>
    <n v="48"/>
    <x v="0"/>
    <x v="2"/>
    <s v="Contusión"/>
    <x v="6"/>
    <s v="COLABORADORA SUFRE CONTUSION EN DEDO MEDIUM DE MANO IZQUIERDA AL DEJAR ROLLO DE LAMINA SOBRE MESA DE FILETILLO EN DESHUESADO DE PECHUGA"/>
    <x v="0"/>
    <x v="0"/>
    <x v="0"/>
    <s v="NICOLAS GOMEZ"/>
    <s v="CARLOS CARTAGENA"/>
  </r>
  <r>
    <n v="2023"/>
    <x v="3"/>
    <s v="EL PAICO"/>
    <s v="MENA MATTA"/>
    <s v="NINOSHKA"/>
    <x v="1"/>
    <s v="18528198-1"/>
    <d v="2023-03-27T00:00:00"/>
    <n v="0"/>
    <d v="2023-04-22T00:00:00"/>
    <x v="2"/>
    <s v="N/A"/>
    <s v="N/A"/>
    <s v="N/A"/>
    <n v="2"/>
    <x v="1"/>
    <s v="N/A"/>
    <x v="0"/>
    <x v="4"/>
    <s v="FRIGORIFICO"/>
    <s v="OPERARIO"/>
    <s v="PASILLO B CAMARA "/>
    <s v="N/A"/>
    <x v="0"/>
    <d v="1899-12-30T06:35:00"/>
    <x v="2"/>
    <s v="SEMANA 16"/>
    <n v="15645"/>
    <m/>
    <s v="FRANCISCO QUEZADA"/>
    <x v="30"/>
    <n v="30"/>
    <x v="5"/>
    <x v="1"/>
    <s v="Contusión"/>
    <x v="1"/>
    <s v="COLABORADORA SUFRE CONTUSION EN RODILLA DERECHA POR CAIDA DE MISMO EN PASILLO DE CAMARA EN EL AREA DE FRIGORIFICO"/>
    <x v="1"/>
    <x v="0"/>
    <x v="1"/>
    <s v="ALAN CARRASCO"/>
    <s v="MICHELLE SANCHEZ"/>
  </r>
  <r>
    <n v="2023"/>
    <x v="3"/>
    <s v="EL PAICO"/>
    <s v="PAVEZ AGUILA"/>
    <s v="PAULA"/>
    <x v="1"/>
    <s v="20424217-8"/>
    <d v="2023-01-09T00:00:00"/>
    <n v="3"/>
    <d v="2023-04-24T00:00:00"/>
    <x v="2"/>
    <s v="N/A"/>
    <s v="N/A"/>
    <s v="N/A"/>
    <n v="0"/>
    <x v="0"/>
    <s v="N/A"/>
    <x v="0"/>
    <x v="5"/>
    <s v="IQF"/>
    <s v="OPERARIO"/>
    <s v="IQF"/>
    <s v="N/A"/>
    <x v="1"/>
    <d v="1899-12-30T22:30:00"/>
    <x v="5"/>
    <s v="SEMANA 17"/>
    <m/>
    <m/>
    <s v="GUILLERMO NARVAEZ"/>
    <x v="17"/>
    <n v="23"/>
    <x v="5"/>
    <x v="1"/>
    <s v="Contusión"/>
    <x v="2"/>
    <s v="COLABORADOR SUFRE GOLPE EN RODILLA IZQUIERDA POR CAIDA DE DISTINTO NIVEL CUANDO SE ENCONTRABA MOVILIZANDO BANDEJAS EN LINEA DE IQF."/>
    <x v="1"/>
    <x v="0"/>
    <x v="0"/>
    <s v="ALAN CARRASCO"/>
    <s v="CARLOS CARTAGENA"/>
  </r>
  <r>
    <n v="2023"/>
    <x v="3"/>
    <s v="EL PAICO"/>
    <s v="ESPINOZA PINTO"/>
    <s v="JORGE"/>
    <x v="0"/>
    <s v="19849137-3"/>
    <d v="2022-11-14T00:00:00"/>
    <n v="5"/>
    <d v="2023-04-24T00:00:00"/>
    <x v="2"/>
    <d v="2023-04-24T00:00:00"/>
    <d v="2023-04-24T00:00:00"/>
    <s v="N/A"/>
    <n v="0"/>
    <x v="0"/>
    <s v="N/A"/>
    <x v="0"/>
    <x v="1"/>
    <s v="TROZADO AUTOMATICO"/>
    <s v="OPERARIO"/>
    <s v="TROZADO AUTOMATICO"/>
    <s v="N/A"/>
    <x v="1"/>
    <d v="1899-12-30T16:00:00"/>
    <x v="5"/>
    <s v="SEMANA 17"/>
    <n v="15646"/>
    <m/>
    <s v="DANIEL GARRIDO"/>
    <x v="1"/>
    <n v="24"/>
    <x v="0"/>
    <x v="4"/>
    <s v="Herida cortante"/>
    <x v="3"/>
    <s v="COLABORADOR SUFRE HERIDA PUNZANTE AL PISAR TABLA CON CLAVO QUE SE ENCONTRABA EN SUELO DE PASILLO C "/>
    <x v="1"/>
    <x v="0"/>
    <x v="1"/>
    <s v="ALAN CARRASCO"/>
    <s v="CARLOS CARTAGENA"/>
  </r>
  <r>
    <n v="2023"/>
    <x v="3"/>
    <s v="EL PAICO"/>
    <s v="GONZALEZ MEDINA"/>
    <s v="ERIKA"/>
    <x v="1"/>
    <s v="15624346-9"/>
    <d v="1993-01-06T00:00:00"/>
    <n v="363"/>
    <d v="2023-04-27T00:00:00"/>
    <x v="0"/>
    <s v="N/A"/>
    <s v="N/A"/>
    <s v="N/A"/>
    <n v="0"/>
    <x v="0"/>
    <s v="N/A"/>
    <x v="0"/>
    <x v="1"/>
    <s v="PROLIJADO"/>
    <s v="OPERARIO"/>
    <s v="LINEA PROLIJADO"/>
    <s v="N/A"/>
    <x v="0"/>
    <d v="1899-12-30T12:30:00"/>
    <x v="3"/>
    <s v="SEMANA 17"/>
    <m/>
    <m/>
    <s v="DANIEL GARRIDO"/>
    <x v="14"/>
    <n v="55"/>
    <x v="0"/>
    <x v="2"/>
    <s v="Herida cortante"/>
    <x v="3"/>
    <s v="COLABORADORA SUFRE CORTE EN DEDO ANULAR DE MANO DERECHA CON CUCHILLO, EN LINEA PROLIJADO DE PECHUGAS"/>
    <x v="0"/>
    <x v="0"/>
    <x v="0"/>
    <s v="ALAN CARRASCO"/>
    <s v="CARLOS CARTAGENA"/>
  </r>
  <r>
    <n v="2023"/>
    <x v="3"/>
    <s v="EL PAICO"/>
    <s v="HUINAO CARTAGENA"/>
    <s v="MANUEL"/>
    <x v="0"/>
    <s v="15403657-1"/>
    <d v="2022-11-04T00:00:00"/>
    <n v="5"/>
    <d v="2023-04-27T00:00:00"/>
    <x v="2"/>
    <s v="N/A"/>
    <s v="N/A"/>
    <d v="2023-04-28T00:00:00"/>
    <n v="0"/>
    <x v="0"/>
    <s v="N/A"/>
    <x v="0"/>
    <x v="5"/>
    <s v="CALIBRADO"/>
    <s v="OPERARIO"/>
    <s v="TROZADO DE POLLO"/>
    <s v="N/A"/>
    <x v="0"/>
    <d v="1899-12-30T08:10:00"/>
    <x v="4"/>
    <s v="SEMANA 17"/>
    <m/>
    <m/>
    <s v="GUILLERMO NARVAEZ"/>
    <x v="20"/>
    <n v="40"/>
    <x v="9"/>
    <x v="4"/>
    <s v="Contusión"/>
    <x v="0"/>
    <s v="COLABORADOR SUFRE CONTUSION EN PIE DERECHO AL SE GOLPEADO POR COMPAÑERO QUE TRASLABA BINS CON PRODUCTO EN PASILLO DE TROZADO DE POLLO"/>
    <x v="0"/>
    <x v="0"/>
    <x v="0"/>
    <s v="NICOLAS GOMEZ"/>
    <s v="WLADIMIR CALDERON "/>
  </r>
  <r>
    <n v="2023"/>
    <x v="3"/>
    <s v="EL PAICO"/>
    <s v="DURAN OYANEDEL"/>
    <s v="CRISTIAN"/>
    <x v="0"/>
    <s v="13.334407-1"/>
    <d v="2005-12-01T00:00:00"/>
    <n v="208"/>
    <d v="2023-04-29T00:00:00"/>
    <x v="0"/>
    <d v="2023-04-29T00:00:00"/>
    <d v="2023-05-05T00:00:00"/>
    <s v="N/A"/>
    <n v="6"/>
    <x v="1"/>
    <s v="N/A"/>
    <x v="0"/>
    <x v="2"/>
    <s v="ASEO OPERACIONAL"/>
    <s v="ENCARGADO DE LINEA"/>
    <s v="PASILLO SALA DE JUEGOS"/>
    <s v="N/A"/>
    <x v="0"/>
    <d v="1899-12-30T10:40:00"/>
    <x v="2"/>
    <s v="SEMANA 17"/>
    <n v="15654"/>
    <m/>
    <s v="CARLOS JIMENEZ"/>
    <x v="24"/>
    <n v="47"/>
    <x v="2"/>
    <x v="4"/>
    <s v="Torsión"/>
    <x v="1"/>
    <s v="COLABORADOR DE SSGG SUFRE TORSION DE SU PIERNA IZQUIERDA POR CAIDA A MISMO NIVEL AL REBALAR FUERA DE SALA DE CAPACITACION POR EL PASILLO DE LA SALA DE JUEGOS PRODUCTO DE AGUA EN EL PISO A RAIZ DE UNA GOTERA, ESTO MIENTRAS SE DIRIGIA AL PROCESO POR EL LLAMADO DE UNA CONTINGENCIA."/>
    <x v="1"/>
    <x v="0"/>
    <x v="1"/>
    <s v="NICOLAS GOMEZ"/>
    <s v="CHISTIAN JHONS"/>
  </r>
  <r>
    <n v="2023"/>
    <x v="4"/>
    <s v="EL PAICO"/>
    <s v="MONTOYA MONSALVE"/>
    <s v="LONDY"/>
    <x v="0"/>
    <s v="26201884-9"/>
    <d v="2020-09-22T00:00:00"/>
    <n v="31"/>
    <d v="2023-05-02T00:00:00"/>
    <x v="1"/>
    <d v="2023-05-03T00:00:00"/>
    <s v="N/A"/>
    <s v="N/A"/>
    <n v="0"/>
    <x v="0"/>
    <s v="N/A"/>
    <x v="0"/>
    <x v="2"/>
    <s v="ASEO OPERACIONAL"/>
    <s v="OPERARIO"/>
    <s v="DESPLUMADO"/>
    <s v="N/A"/>
    <x v="2"/>
    <d v="1899-12-30T03:10:00"/>
    <x v="0"/>
    <s v="SEMANA 18"/>
    <n v="15673"/>
    <m/>
    <s v="CARLOS JIMENEZ"/>
    <x v="5"/>
    <n v="34"/>
    <x v="8"/>
    <x v="6"/>
    <s v="Conjuntivitis"/>
    <x v="7"/>
    <s v="COLABORADORA SUFRE MOLESTIA OCULAR POR PROYECCION DE PARTICULAS LIQUIDAS AL ROPERSE LLAVE QUE SE ENCONTRABA SANITIZANDO EN SALA DE DESPLUMADO"/>
    <x v="1"/>
    <x v="0"/>
    <x v="1"/>
    <s v="NICOLAS GOMEZ"/>
    <s v="WLADIMIR CALDERON "/>
  </r>
  <r>
    <n v="2023"/>
    <x v="4"/>
    <s v="EL PAICO"/>
    <s v="TAPIA GUERRA"/>
    <s v="MARIA"/>
    <x v="1"/>
    <s v="15404921-5"/>
    <d v="2018-11-12T00:00:00"/>
    <n v="53"/>
    <d v="2023-05-02T00:00:00"/>
    <x v="0"/>
    <s v="N/A"/>
    <s v="N/A"/>
    <s v="N/A"/>
    <n v="0"/>
    <x v="0"/>
    <s v="N/A"/>
    <x v="0"/>
    <x v="5"/>
    <s v="CALIBRADO"/>
    <s v="OPERARIO"/>
    <s v="IQF 4"/>
    <s v="N/A"/>
    <x v="0"/>
    <d v="1899-12-30T05:35:00"/>
    <x v="0"/>
    <s v="SEMANA 18"/>
    <m/>
    <m/>
    <s v="GUILLERMO NARVAEZ"/>
    <x v="17"/>
    <n v="41"/>
    <x v="8"/>
    <x v="3"/>
    <s v="Otros"/>
    <x v="10"/>
    <s v="COLABORADORA SUFRE MOLESTIAS, EN OJOS, NARIZ Y BOCA, POR EXPOSICION A ACIDO PERACETICO EN IQF 4"/>
    <x v="1"/>
    <x v="0"/>
    <x v="0"/>
    <s v="ALAN CARRASCO"/>
    <s v="CARLOS CARTAGENA"/>
  </r>
  <r>
    <n v="2023"/>
    <x v="4"/>
    <s v="EL PAICO"/>
    <s v="ORTUBIA PAVEZ"/>
    <s v="MARIA ISABEL"/>
    <x v="1"/>
    <s v="18960205-7"/>
    <d v="2017-04-10T00:00:00"/>
    <n v="72"/>
    <d v="2023-05-02T00:00:00"/>
    <x v="0"/>
    <d v="2023-05-02T00:00:00"/>
    <d v="2023-05-02T00:00:00"/>
    <s v="N/A"/>
    <n v="0"/>
    <x v="0"/>
    <s v="N/A"/>
    <x v="0"/>
    <x v="1"/>
    <s v="DESHUESADO"/>
    <s v="OPERARIO"/>
    <s v="ESTACIONAMIENTO PLANTA"/>
    <s v="N/A"/>
    <x v="0"/>
    <d v="1899-12-30T06:15:00"/>
    <x v="0"/>
    <s v="SEMANA 18"/>
    <n v="155661"/>
    <m/>
    <s v="DANIEL GARRIDO"/>
    <x v="32"/>
    <n v="28"/>
    <x v="15"/>
    <x v="4"/>
    <s v="Contusión"/>
    <x v="6"/>
    <s v="COLABORADORA SUFRE CONTUSION EN PIE IZQUIERDO AL GOLPEARSE CON SOPORTE DE ASIENTO CUANDO SE ENCONTRABA BAJANDO DE VANS DE TRANSPORTE EN ESTACIONAMIENTO DE PLANTA"/>
    <x v="0"/>
    <x v="1"/>
    <x v="1"/>
    <s v="ALAN CARRASCO"/>
    <s v="CARLOS CARTAGENA"/>
  </r>
  <r>
    <n v="2023"/>
    <x v="4"/>
    <s v="EL PAICO"/>
    <s v="ARAVENA NUÑEZ"/>
    <s v="ROCIO"/>
    <x v="1"/>
    <s v="20060554-3"/>
    <d v="1999-07-18T00:00:00"/>
    <n v="285"/>
    <d v="2023-05-02T00:00:00"/>
    <x v="0"/>
    <s v="N/A"/>
    <s v="N/A"/>
    <s v="N/A"/>
    <n v="0"/>
    <x v="0"/>
    <s v="N/A"/>
    <x v="0"/>
    <x v="4"/>
    <s v="CAMARA"/>
    <s v="OPERARIO"/>
    <s v="DESPACHO"/>
    <s v="N/A"/>
    <x v="2"/>
    <d v="1899-12-30T22:10:00"/>
    <x v="0"/>
    <s v="SEMANA 18"/>
    <m/>
    <m/>
    <s v="FRANCISCO QUEZADA"/>
    <x v="33"/>
    <n v="23"/>
    <x v="14"/>
    <x v="5"/>
    <s v="Contusión"/>
    <x v="6"/>
    <s v="COLABORADORA SUFRE CONTUSION EN BRAZO IZQUIERDO AL SER GOLPEADA POR EL CONTRARIO CAJA DE PRODUCTO (12KILOS) EN SECTOR DESPACHO DEL AREA DE FRIGORIFICO"/>
    <x v="0"/>
    <x v="0"/>
    <x v="0"/>
    <s v="NICOLAS GOMEZ"/>
    <s v="CARLOS CARTAGENA"/>
  </r>
  <r>
    <n v="2023"/>
    <x v="4"/>
    <s v="EL PAICO"/>
    <s v="CASTILLO GUICO"/>
    <s v="JOSE"/>
    <x v="0"/>
    <s v="19213143-K"/>
    <d v="2022-08-18T00:00:00"/>
    <n v="8"/>
    <d v="2023-05-03T00:00:00"/>
    <x v="2"/>
    <s v="N/A"/>
    <s v="N/A"/>
    <s v="N/A"/>
    <n v="0"/>
    <x v="0"/>
    <s v="N/A"/>
    <x v="0"/>
    <x v="0"/>
    <s v="EVICERADO"/>
    <s v="OPERARIO"/>
    <s v="EVICERADO"/>
    <s v="N/A"/>
    <x v="0"/>
    <d v="1899-12-30T15:55:00"/>
    <x v="1"/>
    <s v="SEMANA 18"/>
    <m/>
    <m/>
    <s v="NICOLAS MOYANO"/>
    <x v="0"/>
    <n v="26"/>
    <x v="7"/>
    <x v="6"/>
    <s v="Conjuntivitis"/>
    <x v="7"/>
    <s v="COLABORADOR SUFRE PROYECCION DE BILIS EN OJO IZQUIERDO CUANDO SE ENCONTRABA  COLGANDO PANAS EN EL AREA DE EVICERADO"/>
    <x v="0"/>
    <x v="0"/>
    <x v="0"/>
    <s v="NICOLAS GOMEZ"/>
    <s v="CHISTIAN JHONS"/>
  </r>
  <r>
    <n v="2023"/>
    <x v="4"/>
    <s v="EL PAICO"/>
    <s v="SANTIBAÑEZ MARIN"/>
    <s v="KARLA"/>
    <x v="1"/>
    <s v="17802999-1"/>
    <d v="2020-05-29T00:00:00"/>
    <n v="35"/>
    <d v="2023-05-03T00:00:00"/>
    <x v="1"/>
    <s v="N/A"/>
    <s v="N/A"/>
    <s v="N/A"/>
    <n v="0"/>
    <x v="0"/>
    <s v="N/A"/>
    <x v="0"/>
    <x v="5"/>
    <s v="IQF 2"/>
    <s v="OPERARIO"/>
    <s v="IQF 2"/>
    <s v="TAPA DE CABEZAL DE INYECTORA IQF 2"/>
    <x v="0"/>
    <d v="1899-12-30T05:39:00"/>
    <x v="1"/>
    <s v="SEMANA 18"/>
    <m/>
    <m/>
    <s v="GUILLERMO NARVAEZ"/>
    <x v="17"/>
    <n v="32"/>
    <x v="4"/>
    <x v="2"/>
    <s v="Contusión"/>
    <x v="0"/>
    <s v="COLABORADORA DE IQF-CALIBRADO SUFRE CONTUSION EN MANO DERECHA POR APLASTAMIENTO DE TAPA AL MOMENTO SE REALIZAR LIMPIENZA DE MAQUINA INYECTORA IQF-4 SE BAJA LA TAPA DEL CABEZAL GOLPEANDO SU MANO."/>
    <x v="0"/>
    <x v="0"/>
    <x v="0"/>
    <s v="CARLOS ORELLANA"/>
    <s v="CHISTIAN JHONS"/>
  </r>
  <r>
    <n v="2023"/>
    <x v="4"/>
    <s v="EL PAICO"/>
    <s v="DIAZ ROJAS"/>
    <s v="KATIUSKA "/>
    <x v="1"/>
    <s v="16817017-3"/>
    <d v="2023-01-17T00:00:00"/>
    <n v="3"/>
    <d v="2023-05-03T00:00:00"/>
    <x v="2"/>
    <s v="N/A"/>
    <s v="N/A"/>
    <s v="N/A"/>
    <n v="0"/>
    <x v="0"/>
    <s v="N/A"/>
    <x v="0"/>
    <x v="1"/>
    <s v="DESHUESADO"/>
    <s v="OPERARIO"/>
    <s v="DESHUESADO"/>
    <s v="N/A"/>
    <x v="1"/>
    <d v="1899-12-30T18:30:00"/>
    <x v="1"/>
    <s v="SEMANA 18"/>
    <m/>
    <m/>
    <s v="DANIEL GARRIDO"/>
    <x v="14"/>
    <n v="35"/>
    <x v="16"/>
    <x v="2"/>
    <s v="Contusión"/>
    <x v="4"/>
    <s v="COLABORADORA DE TPO SUFRE CONTUSION E INFLAMACION EN MANO DERECHA AL MOMENTO DE LEVANTAR BANDEJA EN SALA DE DESHUEZADO MIENTRAS REALIZABA LABORES DE PROLIJADO"/>
    <x v="0"/>
    <x v="0"/>
    <x v="0"/>
    <s v="NICOLAS GOMEZ"/>
    <s v="CHISTIAN JHONS"/>
  </r>
  <r>
    <n v="2023"/>
    <x v="4"/>
    <s v="EL PAICO"/>
    <s v="ESPINOZA PADILLA"/>
    <s v="PAULINA"/>
    <x v="1"/>
    <s v="17133880-8"/>
    <d v="2022-06-14T00:00:00"/>
    <n v="10"/>
    <d v="2023-05-03T00:00:00"/>
    <x v="2"/>
    <s v="N/A"/>
    <s v="N/A"/>
    <s v="N/A"/>
    <n v="0"/>
    <x v="0"/>
    <s v="N/A"/>
    <x v="0"/>
    <x v="5"/>
    <s v="CALIBRADO"/>
    <s v="OPERARIO"/>
    <s v="CALIBRADO"/>
    <s v="N/A"/>
    <x v="1"/>
    <d v="1899-12-30T22:30:00"/>
    <x v="1"/>
    <s v="SEMANA 18"/>
    <m/>
    <m/>
    <s v="GUILLERMO NARVAEZ"/>
    <x v="7"/>
    <n v="34"/>
    <x v="14"/>
    <x v="9"/>
    <s v="Contusión"/>
    <x v="0"/>
    <s v="COLABORADORA DE IQF-CALIBRADO SUFRE CONTUSION EN ZONA TORAXICA AL MOMENTO DE RETIRAR UNA CAJA DE LA LINEA DE TRABAJO"/>
    <x v="0"/>
    <x v="0"/>
    <x v="0"/>
    <s v="NICOLAS GOMEZ"/>
    <s v="CHISTIAN JHONS"/>
  </r>
  <r>
    <n v="2023"/>
    <x v="4"/>
    <s v="EL PAICO"/>
    <s v="AHUMADA CASTILLO"/>
    <s v="JUAN "/>
    <x v="0"/>
    <s v="18096461-4"/>
    <d v="2022-07-12T00:00:00"/>
    <n v="10"/>
    <d v="2023-05-16T00:00:00"/>
    <x v="2"/>
    <s v="N/A"/>
    <s v="N/A"/>
    <s v="N/A"/>
    <n v="0"/>
    <x v="0"/>
    <s v="N/A"/>
    <x v="0"/>
    <x v="7"/>
    <s v="MANTENCION"/>
    <s v="OPERARIO"/>
    <s v="MONTESA"/>
    <s v="EQUIPO PARA MOVIMIENTO DE CARGA (GRUAS O TRANSPALETAS)"/>
    <x v="0"/>
    <d v="1899-12-30T11:30:00"/>
    <x v="2"/>
    <s v="SEMANA 18"/>
    <m/>
    <m/>
    <s v="VICTOR GOMEZ"/>
    <x v="34"/>
    <n v="31"/>
    <x v="6"/>
    <x v="4"/>
    <s v="Contusión"/>
    <x v="0"/>
    <s v="COLABORADOR SUFRE CONTUSION EN PIE DERECHO AL SER GOLPEADO POR TRANSPALETA MANUAL, CUANDO SE DIRIGIA HA MAQUINA ESMIPACK "/>
    <x v="0"/>
    <x v="0"/>
    <x v="0"/>
    <s v="ALAN CARRASCO"/>
    <s v="CARLOS CARTAGENA"/>
  </r>
  <r>
    <n v="2023"/>
    <x v="4"/>
    <s v="EL PAICO"/>
    <s v="VICENCIO ARAYA"/>
    <s v="MARIANEL"/>
    <x v="1"/>
    <s v="20424728-5"/>
    <d v="2022-01-19T00:00:00"/>
    <n v="15"/>
    <d v="2023-05-08T00:00:00"/>
    <x v="2"/>
    <d v="2023-05-08T00:00:00"/>
    <d v="2023-05-15T00:00:00"/>
    <s v="N/A"/>
    <n v="8"/>
    <x v="1"/>
    <s v="LGF"/>
    <x v="1"/>
    <x v="2"/>
    <s v="ASEO OPERACIONAL"/>
    <s v="OPERARIO"/>
    <s v="CINTA TRIMIN"/>
    <s v="CINTA TRIMIN"/>
    <x v="2"/>
    <d v="1899-12-30T01:05:00"/>
    <x v="5"/>
    <s v="SEMANA 19"/>
    <n v="15681"/>
    <s v="N° 57-23."/>
    <s v="CARLOS JIMENES"/>
    <x v="2"/>
    <n v="22"/>
    <x v="4"/>
    <x v="2"/>
    <s v="Contusión"/>
    <x v="5"/>
    <s v="COLABORADORA SUFRE CONTUSION EN MANO IZQUIERDA,  POR ATRAPAMIENTO CUANDO SE ENCONTRABA LIMPIANDO CINTA TRIMIN EN EL AREA DESHUESADO "/>
    <x v="0"/>
    <x v="0"/>
    <x v="1"/>
    <s v="NICOLAS GOMEZ"/>
    <s v="CHISTIAN JHONS"/>
  </r>
  <r>
    <n v="2023"/>
    <x v="4"/>
    <s v="EL PAICO"/>
    <s v="CHACON "/>
    <s v="SOLEDAD"/>
    <x v="1"/>
    <s v="15325840-6"/>
    <d v="2014-05-02T00:00:00"/>
    <n v="108"/>
    <d v="2023-05-08T00:00:00"/>
    <x v="0"/>
    <d v="2023-05-08T00:00:00"/>
    <d v="2023-05-08T00:00:00"/>
    <s v="N/A"/>
    <n v="0"/>
    <x v="0"/>
    <s v="N/A"/>
    <x v="0"/>
    <x v="1"/>
    <s v="AUTOMATICO"/>
    <s v="OPERARIO"/>
    <s v="LÍNEA ALA MEDIA"/>
    <s v="N/A"/>
    <x v="0"/>
    <d v="1899-12-30T09:30:00"/>
    <x v="5"/>
    <s v="SEMANA 19"/>
    <m/>
    <m/>
    <s v="DANIEL GARRIDO"/>
    <x v="27"/>
    <n v="41"/>
    <x v="14"/>
    <x v="8"/>
    <s v="Otros"/>
    <x v="4"/>
    <s v="COLABORADORA SUFRE DOLOR EN ZONA DORSAL DERECHA CUANDO SE ENCONTRABA MOVIENDO BANDEJAS CON PRODUCTO EN LÍNEA DE ALA MEDIA "/>
    <x v="0"/>
    <x v="0"/>
    <x v="0"/>
    <s v="NICOLAS GOMEZ"/>
    <s v="MICHELLE SANCHEZ"/>
  </r>
  <r>
    <n v="2023"/>
    <x v="4"/>
    <s v="EL PAICO"/>
    <s v="VAZQUEZ RIVEROS"/>
    <s v="PAMELA"/>
    <x v="1"/>
    <s v="16985189-1"/>
    <d v="2022-12-13T00:00:00"/>
    <n v="4"/>
    <d v="2023-05-09T00:00:00"/>
    <x v="2"/>
    <s v="N/A"/>
    <s v="N/A"/>
    <s v="N/A"/>
    <n v="0"/>
    <x v="0"/>
    <s v="N/A"/>
    <x v="0"/>
    <x v="1"/>
    <s v="DESHUESADO"/>
    <s v="OPERARIO"/>
    <s v="TROZADO DE PAVO"/>
    <s v="N/A"/>
    <x v="0"/>
    <d v="1899-12-30T13:40:00"/>
    <x v="0"/>
    <s v="SEMANA 19"/>
    <m/>
    <m/>
    <s v="DANIEL GARRIDO"/>
    <x v="14"/>
    <n v="37"/>
    <x v="7"/>
    <x v="3"/>
    <s v="Contusión"/>
    <x v="1"/>
    <s v="COLABORADORA SUFRE CAIDA A NIVEL AL PISAR RESTOS DE PRODUCTOS QUE SE ENCONTRABAN EN EL PISO, CUANDO PASABA POR EL AREA DE TROZADO DE PAVO"/>
    <x v="1"/>
    <x v="0"/>
    <x v="0"/>
    <s v="NICOLAS GOMEZ"/>
    <s v="WLADIMIR CALDERON "/>
  </r>
  <r>
    <n v="2023"/>
    <x v="4"/>
    <s v="EL PAICO"/>
    <s v="REYES BUSTOS"/>
    <s v="ALEXIS"/>
    <x v="0"/>
    <s v="20345227-6"/>
    <d v="2023-05-08T00:00:00"/>
    <n v="0"/>
    <d v="2023-05-11T00:00:00"/>
    <x v="2"/>
    <s v="N/A"/>
    <s v="N/A"/>
    <s v="N/A"/>
    <n v="0"/>
    <x v="0"/>
    <s v="N/A"/>
    <x v="0"/>
    <x v="6"/>
    <s v="REPORTE DE CAJAS"/>
    <s v="OPERARIO"/>
    <s v="REPORTE DE CAJAS"/>
    <s v="CINTA DE TRANSPORTE"/>
    <x v="0"/>
    <d v="1900-01-04T03:25:00"/>
    <x v="4"/>
    <s v="SEMANA 19"/>
    <m/>
    <m/>
    <s v="OCTAVIO MUÑOZ"/>
    <x v="13"/>
    <m/>
    <x v="2"/>
    <x v="2"/>
    <s v="Contusión"/>
    <x v="6"/>
    <s v="COLABORADOR SUFRE CONTUSION EN DEDO ANULAR DE MANO DERECHA CUANDO SE ENCONTRABA SACANDO CAJAS DE CINTA DE TRANS`PORTE EN AREA DE REPORTE DE CAJAS "/>
    <x v="0"/>
    <x v="0"/>
    <x v="0"/>
    <s v="NICOLAS GOMEZ"/>
    <s v="CARLOS CARTAGENA"/>
  </r>
  <r>
    <n v="2023"/>
    <x v="4"/>
    <s v="EL PAICO"/>
    <s v="SILVA CATALAN "/>
    <s v="SEBASTIAN "/>
    <x v="0"/>
    <s v="16291172-4"/>
    <d v="2022-12-19T00:00:00"/>
    <n v="4"/>
    <d v="2023-05-11T00:00:00"/>
    <x v="2"/>
    <d v="2023-05-11T00:00:00"/>
    <d v="2023-05-17T00:00:00"/>
    <s v="N/A"/>
    <n v="7"/>
    <x v="1"/>
    <s v="N/A"/>
    <x v="0"/>
    <x v="2"/>
    <s v="ASEO OPERACIONAL"/>
    <s v="OPERARIO"/>
    <s v="SALA ACOPIO DE BINS"/>
    <s v="BINS"/>
    <x v="1"/>
    <d v="1899-12-30T18:25:00"/>
    <x v="4"/>
    <s v="SEMANA 19"/>
    <n v="15692"/>
    <m/>
    <s v="CARLOS JIMENES"/>
    <x v="35"/>
    <n v="37"/>
    <x v="9"/>
    <x v="2"/>
    <s v="Contusión"/>
    <x v="6"/>
    <s v="COLABORADOR SUFRE GOLPE EN DEDO PULGAR DE MANO DE MANO DERECHA AL ESTAR MOVILIZANDO BINS VACIOS CON TRANSPALETA MANUAL A SAL DE ACOPIO DE BINS SALA LIMPIA"/>
    <x v="0"/>
    <x v="0"/>
    <x v="1"/>
    <s v="ALAN CARRASCO"/>
    <s v="CARLOS CARTAGENA"/>
  </r>
  <r>
    <n v="2023"/>
    <x v="4"/>
    <s v="EL PAICO"/>
    <s v="OROZCO MENDIBURRE"/>
    <s v="KAREN"/>
    <x v="1"/>
    <s v="15327303-0"/>
    <d v="2022-12-13T00:00:00"/>
    <n v="4"/>
    <d v="2023-05-12T00:00:00"/>
    <x v="2"/>
    <s v="N/A"/>
    <s v="N/A"/>
    <s v="N/A"/>
    <n v="0"/>
    <x v="0"/>
    <s v="N/A"/>
    <x v="0"/>
    <x v="1"/>
    <s v="DESHUESADO"/>
    <s v="OPERARIO"/>
    <s v="IQF 2"/>
    <s v="N/A"/>
    <x v="1"/>
    <d v="1899-12-30T20:05:00"/>
    <x v="3"/>
    <s v="SEMANA 19"/>
    <m/>
    <m/>
    <s v="DANIEL GARRIDO"/>
    <x v="32"/>
    <n v="41"/>
    <x v="1"/>
    <x v="3"/>
    <s v="Contusión"/>
    <x v="1"/>
    <s v="COLABORADORA SUFRE CONTUSIÓN EN ZONA ESCAPULAR, CODO Y MUÑECA DERECHA AL TRANSITITAR POR IQF 2 YA QUE SE ENCONTRABA ESCARCHA EN EL PISO. "/>
    <x v="1"/>
    <x v="0"/>
    <x v="0"/>
    <s v="ALAN CARRASCO"/>
    <s v="MICHELLE SANCHEZ"/>
  </r>
  <r>
    <n v="2023"/>
    <x v="4"/>
    <s v="EL PAICO"/>
    <s v="GONZALEZ ESCARATE"/>
    <s v="PABLO"/>
    <x v="0"/>
    <s v="20880331-K"/>
    <d v="2023-03-13T00:00:00"/>
    <n v="2"/>
    <d v="2023-05-13T00:00:00"/>
    <x v="2"/>
    <s v="N/A"/>
    <s v="N/A"/>
    <s v="N/A"/>
    <n v="0"/>
    <x v="0"/>
    <s v="N/A"/>
    <x v="0"/>
    <x v="0"/>
    <s v="CHILLER"/>
    <s v="OPERARIO"/>
    <s v="CHILLER CORAZON"/>
    <s v="N/A"/>
    <x v="0"/>
    <d v="1899-12-30T08:25:00"/>
    <x v="2"/>
    <s v="SEMANA 19"/>
    <m/>
    <m/>
    <s v="NICOLAS MOYANO"/>
    <x v="8"/>
    <n v="21"/>
    <x v="7"/>
    <x v="6"/>
    <s v="Conjuntivitis"/>
    <x v="7"/>
    <s v="COLABIORADOR SUFRE MOLESTIA OCULAR POR PROYECCION DE PARTICULAS LIQUIDAS, MIENTRAS SE ENCONTRABA SEPARANDO PRODUCTO EN CHILLER DE CORAZON"/>
    <x v="0"/>
    <x v="0"/>
    <x v="0"/>
    <s v="ALAN CARRASCO"/>
    <s v="WLADIMIR CALDERON "/>
  </r>
  <r>
    <n v="2023"/>
    <x v="4"/>
    <s v="EL PAICO"/>
    <s v="VILLALOBOS VALENZUELA"/>
    <s v="PABLO"/>
    <x v="0"/>
    <s v="19382613-K"/>
    <d v="2022-08-18T00:00:00"/>
    <n v="8"/>
    <d v="2023-05-13T00:00:00"/>
    <x v="2"/>
    <s v="N/A"/>
    <s v="N/A"/>
    <s v="N/A"/>
    <n v="0"/>
    <x v="0"/>
    <s v="N/A"/>
    <x v="0"/>
    <x v="1"/>
    <s v="DESHUESADO"/>
    <s v="OPERARIO"/>
    <s v="DESHUESADO"/>
    <s v="N/A"/>
    <x v="0"/>
    <d v="1899-12-30T10:00:00"/>
    <x v="2"/>
    <s v="SEMANA 19"/>
    <m/>
    <m/>
    <s v="DANIEL GARRIDO"/>
    <x v="14"/>
    <n v="27"/>
    <x v="14"/>
    <x v="5"/>
    <s v="Torsión"/>
    <x v="12"/>
    <s v="COLABORADOR SUFRE DOLENCIA EN MUÑECA DERECHA POR TORSION AL AFIRMAR CAJA CON PRODUCTO EN DESHUESADO"/>
    <x v="0"/>
    <x v="0"/>
    <x v="0"/>
    <s v="ALAN CARRASCO"/>
    <s v="WLADIMIR CALDERON "/>
  </r>
  <r>
    <n v="2023"/>
    <x v="4"/>
    <s v="EL PAICO"/>
    <s v="SANTIS GONZÁLEZ"/>
    <s v="MAURICIO"/>
    <x v="0"/>
    <s v="13771697-6"/>
    <d v="2005-06-01T00:00:00"/>
    <n v="215"/>
    <d v="2023-05-13T00:00:00"/>
    <x v="0"/>
    <s v="N/A"/>
    <s v="N/A"/>
    <s v="N/A"/>
    <n v="0"/>
    <x v="0"/>
    <s v="N/A"/>
    <x v="0"/>
    <x v="6"/>
    <s v="SALA DE PULPA"/>
    <s v="OPERARIO"/>
    <s v="SALA DE PULPA"/>
    <s v="N/A"/>
    <x v="1"/>
    <d v="1899-12-30T16:55:00"/>
    <x v="2"/>
    <s v="SEMANA 19"/>
    <m/>
    <m/>
    <s v="OCTAVIO MUÑOZ"/>
    <x v="15"/>
    <n v="43"/>
    <x v="17"/>
    <x v="2"/>
    <s v="Herida cortante"/>
    <x v="9"/>
    <s v="COLABORADOR SUFRE HERIDA CORTANTE EN DEDO INDICE SUPERIOR IZQUIERDO AL ESTAR SACANDO RINES EN SALA DE PULPA "/>
    <x v="0"/>
    <x v="0"/>
    <x v="0"/>
    <s v="ALAN CARRASCO"/>
    <s v="WLADIMIR CALDERON "/>
  </r>
  <r>
    <n v="2023"/>
    <x v="4"/>
    <s v="EL PAICO"/>
    <s v="LOYOLA CASTRO"/>
    <s v="MANUEL"/>
    <x v="0"/>
    <s v="12238115-2"/>
    <d v="2000-07-06T00:00:00"/>
    <n v="274"/>
    <d v="2023-05-16T00:00:00"/>
    <x v="0"/>
    <s v="N/A"/>
    <s v="N/A"/>
    <s v="N/A"/>
    <n v="0"/>
    <x v="0"/>
    <s v="N/A"/>
    <x v="0"/>
    <x v="8"/>
    <s v="LÍNEA DE CONOS"/>
    <s v="OPERARIO"/>
    <s v="LINEA DE CONOS"/>
    <s v="N/A"/>
    <x v="0"/>
    <d v="1899-12-30T05:10:00"/>
    <x v="0"/>
    <s v="SEMANA 20"/>
    <m/>
    <m/>
    <s v="GUILLERMO NARVAEZ"/>
    <x v="16"/>
    <n v="51"/>
    <x v="0"/>
    <x v="4"/>
    <s v="Contusión"/>
    <x v="0"/>
    <s v="COLABORADOR SUFRE CONTUSION EN PIE DERECHO AL CAER PISO METALICO SOBRE SU PIE CUANDO SE ENCONTRABA ORDENANDO SU 'PUESTO DE TRABAJO EN LÍNEA DE CONOS "/>
    <x v="0"/>
    <x v="0"/>
    <x v="0"/>
    <s v="ALAN CARRASCO"/>
    <s v="MICHELLE SANCHEZ"/>
  </r>
  <r>
    <n v="2023"/>
    <x v="4"/>
    <s v="EL PAICO"/>
    <s v="DIAZ ALABARCE"/>
    <s v="YERCO"/>
    <x v="0"/>
    <s v="16241507-7"/>
    <d v="2023-01-16T00:00:00"/>
    <n v="4"/>
    <d v="2023-05-16T00:00:00"/>
    <x v="2"/>
    <d v="2023-05-16T00:00:00"/>
    <s v="N/A"/>
    <s v="N/A"/>
    <n v="0"/>
    <x v="0"/>
    <s v="N/A"/>
    <x v="0"/>
    <x v="0"/>
    <s v="CALIBRADO DE PAVOS"/>
    <s v="OPERARIO"/>
    <s v="BAÑO"/>
    <s v="N/A"/>
    <x v="0"/>
    <d v="1899-12-30T12:10:00"/>
    <x v="0"/>
    <s v="SEMANA 20"/>
    <n v="15699"/>
    <m/>
    <s v="NICOLAS MOYANO"/>
    <x v="11"/>
    <n v="37"/>
    <x v="2"/>
    <x v="4"/>
    <s v="Herida cortante"/>
    <x v="1"/>
    <s v="COLABORADOR SUFRE HERIDA CORTANTE EN PIE DERECHO POR CERAMICA EN MALAS CONDICIONES AL CAER EN BAÑO DE LA PLANTA"/>
    <x v="1"/>
    <x v="1"/>
    <x v="1"/>
    <s v="ALAN CARRASCO"/>
    <s v="MICHELLE SANCHEZ"/>
  </r>
  <r>
    <n v="2023"/>
    <x v="4"/>
    <s v="EL PAICO"/>
    <s v="RIVEROS CONTRERAS"/>
    <s v="ROMANETT"/>
    <x v="1"/>
    <s v="19211635-K"/>
    <d v="2023-04-13T00:00:00"/>
    <n v="1"/>
    <d v="2023-05-16T00:00:00"/>
    <x v="2"/>
    <d v="2023-05-16T00:00:00"/>
    <s v="N/A"/>
    <s v="N/A"/>
    <n v="0"/>
    <x v="0"/>
    <s v="N/A"/>
    <x v="0"/>
    <x v="1"/>
    <s v="DESHUESADO"/>
    <s v="OPERARIO"/>
    <s v="BAÑO"/>
    <s v="N/A"/>
    <x v="1"/>
    <d v="1899-12-30T18:15:00"/>
    <x v="0"/>
    <s v="SEMANA 20"/>
    <m/>
    <m/>
    <s v="DANIEL GARRIDO"/>
    <x v="14"/>
    <n v="27"/>
    <x v="3"/>
    <x v="2"/>
    <s v="Herida cortante"/>
    <x v="9"/>
    <s v="COLABORADORA SUFRE CORTE EN MANO IZQUIERA POR CONTACTO CON TROZO DE LATA QUE SE ENCUENTRA AL INTERIOR DE ZIPER."/>
    <x v="1"/>
    <x v="1"/>
    <x v="1"/>
    <s v="NICOLAS GOMEZ"/>
    <s v="MICHELLE SANCHEZ"/>
  </r>
  <r>
    <n v="2023"/>
    <x v="4"/>
    <s v="EL PAICO"/>
    <s v="LLANTEN MELO"/>
    <s v="JONATHAN"/>
    <x v="0"/>
    <s v="16181057-6"/>
    <d v="2007-02-01T00:00:00"/>
    <n v="195"/>
    <d v="2023-05-17T00:00:00"/>
    <x v="0"/>
    <d v="2023-05-18T00:00:00"/>
    <d v="2023-05-24T00:00:00"/>
    <s v="N/A"/>
    <n v="7"/>
    <x v="1"/>
    <s v="LGF"/>
    <x v="1"/>
    <x v="1"/>
    <s v="DESHUESADO"/>
    <s v="OPERARADOR TECNICO "/>
    <s v="Carrusel HQ sur"/>
    <s v="HQ sur"/>
    <x v="1"/>
    <d v="1899-12-30T22:55:00"/>
    <x v="4"/>
    <s v="SEMANA 20"/>
    <n v="15701"/>
    <m/>
    <s v="DANIEL GARRIDO"/>
    <x v="14"/>
    <n v="37"/>
    <x v="4"/>
    <x v="2"/>
    <s v="Atrición"/>
    <x v="5"/>
    <s v="COLABORADOR SUFRE ATRISION EN DEDO ANULAR DE MANO DERECHA POR ATRAPAMIENTO MIENTRAS SE ENCONTRABA REALIZABNDO GIRO EN CARRUSEL DE MAQUINA HQ DE MANERA MANUAL "/>
    <x v="0"/>
    <x v="0"/>
    <x v="1"/>
    <s v="NICOLAS GOMEZ"/>
    <s v="CARLOS CARTAGENA"/>
  </r>
  <r>
    <n v="2023"/>
    <x v="4"/>
    <s v="EL PAICO"/>
    <s v="RAMIRES SOTO"/>
    <s v="RAMIRO"/>
    <x v="0"/>
    <s v="12178535-8"/>
    <d v="1999-03-01T00:00:00"/>
    <n v="290"/>
    <d v="2023-05-19T00:00:00"/>
    <x v="0"/>
    <s v="N/A"/>
    <s v="N/A"/>
    <s v="N/A"/>
    <n v="0"/>
    <x v="0"/>
    <s v="N/A"/>
    <x v="0"/>
    <x v="1"/>
    <s v="TROZADO AUTOMATICO"/>
    <s v="SUPERVISOR"/>
    <s v="TROZADO AUTOMATICO"/>
    <s v="N/A"/>
    <x v="0"/>
    <d v="1899-12-30T11:00:00"/>
    <x v="3"/>
    <s v="SEMANA 20"/>
    <m/>
    <m/>
    <s v="DANIEL GARRIDO"/>
    <x v="1"/>
    <n v="51"/>
    <x v="7"/>
    <x v="10"/>
    <s v="Contusión"/>
    <x v="0"/>
    <s v="COLABORAOR SUFRE GOLP EN ZONA OCCIPITAL DEL CRANEO AL CAER PRODUCTO DESDE LINEA DEL PROCESO"/>
    <x v="1"/>
    <x v="0"/>
    <x v="0"/>
    <s v="NICOLAS GOMEZ"/>
    <s v="MICHELLE SANCHEZ"/>
  </r>
  <r>
    <n v="2023"/>
    <x v="4"/>
    <s v="EL PAICO"/>
    <s v="CACERES PALMA"/>
    <s v="CRISTOPHER"/>
    <x v="0"/>
    <s v="1921102-2"/>
    <d v="2016-11-21T00:00:00"/>
    <n v="77"/>
    <d v="2023-05-20T00:00:00"/>
    <x v="0"/>
    <d v="2023-05-22T00:00:00"/>
    <d v="2023-06-02T00:00:00"/>
    <s v="N/A"/>
    <n v="12"/>
    <x v="1"/>
    <s v="LGF"/>
    <x v="4"/>
    <x v="2"/>
    <s v="ASEO ZONA LIMPIA"/>
    <s v="OPERARIO"/>
    <s v="DESHUESADO"/>
    <s v="HQ "/>
    <x v="2"/>
    <d v="1899-12-30T05:00:00"/>
    <x v="2"/>
    <s v="SEMANA 20"/>
    <n v="15707"/>
    <m/>
    <s v="CARLOS JIMENES"/>
    <x v="2"/>
    <n v="27"/>
    <x v="18"/>
    <x v="1"/>
    <s v="Quemadura"/>
    <x v="12"/>
    <s v="COLABORADOR SUFRE QUEMADURA EN PIERNA DERECHA POR VAPOR, AL ESTAR CERRANDO LLAVE DE PASO DE DUCTO EN SALA DE DESHUESADO."/>
    <x v="0"/>
    <x v="0"/>
    <x v="1"/>
    <s v="ALAN CARRASCO"/>
    <s v="WLADIMIR CALDERON "/>
  </r>
  <r>
    <n v="2023"/>
    <x v="4"/>
    <s v="EL PAICO"/>
    <s v="VARGAS ROJAS"/>
    <s v="TOMAS"/>
    <x v="0"/>
    <s v="21171568-5"/>
    <d v="2023-03-14T00:00:00"/>
    <n v="2"/>
    <d v="2023-05-22T00:00:00"/>
    <x v="2"/>
    <s v="N/A"/>
    <s v="N/A"/>
    <s v="N/A"/>
    <n v="0"/>
    <x v="0"/>
    <s v="N/A"/>
    <x v="0"/>
    <x v="1"/>
    <s v="DESHUESADO"/>
    <s v="OPERARIO"/>
    <s v="DESHUESADO"/>
    <s v="EQUIPO PARA MOVIMIENTO DE CARGA (GRUAS O TRANSPALETAS)"/>
    <x v="0"/>
    <d v="1899-12-30T08:30:00"/>
    <x v="5"/>
    <s v="SEMANA 21"/>
    <m/>
    <m/>
    <s v="DANIEL GARRIDO"/>
    <x v="14"/>
    <n v="19"/>
    <x v="6"/>
    <x v="4"/>
    <s v="Contusión"/>
    <x v="0"/>
    <s v="COLABORADOR SUFRE CONTUSION EN PIE IZQUIERDO POR TRANSPALETA ELECTRICA MANEJADA POR COMPAÑERO, MIENTRAS ARREGLABA UNA CAJA EN EL AREA DE DESHUESADO"/>
    <x v="0"/>
    <x v="0"/>
    <x v="0"/>
    <s v="NICOLAS GOMEZ"/>
    <s v="CARLOS CARTAGENA"/>
  </r>
  <r>
    <n v="2023"/>
    <x v="4"/>
    <s v="EL PAICO"/>
    <s v="MORENO VERGARA"/>
    <s v="NICOLE"/>
    <x v="0"/>
    <s v="17781406-7"/>
    <d v="2023-01-24T00:00:00"/>
    <n v="3"/>
    <d v="2023-05-23T00:00:00"/>
    <x v="2"/>
    <d v="2023-05-29T00:00:00"/>
    <d v="2023-05-29T00:00:00"/>
    <s v="N/A"/>
    <n v="0"/>
    <x v="2"/>
    <s v="N/A"/>
    <x v="0"/>
    <x v="2"/>
    <s v="ASEO ZONA LIMPIA"/>
    <s v="OPERARIO"/>
    <s v="DRONT POINT"/>
    <s v="N/A"/>
    <x v="2"/>
    <d v="1899-12-30T04:10:00"/>
    <x v="0"/>
    <s v="SEMANA 21"/>
    <m/>
    <m/>
    <s v="CARLOS JIMENES"/>
    <x v="36"/>
    <n v="32"/>
    <x v="0"/>
    <x v="2"/>
    <s v="Contusión"/>
    <x v="0"/>
    <s v="COLABORADORA SUFRE CONTUSION EN MANO DERECHA AL SER GOLPEADA POR FIERRO CUANDO SE ENCONTRABA ENJUAGANDO ISHIDA"/>
    <x v="0"/>
    <x v="0"/>
    <x v="0"/>
    <s v="NICOLAS GOMEZ"/>
    <s v="CARLOS CARTAGENA"/>
  </r>
  <r>
    <n v="2023"/>
    <x v="4"/>
    <s v="EL PAICO"/>
    <s v="TORRES JARA"/>
    <s v="JOSE"/>
    <x v="0"/>
    <s v="16519060-2"/>
    <d v="2023-05-22T00:00:00"/>
    <n v="0"/>
    <d v="2023-05-24T00:00:00"/>
    <x v="2"/>
    <s v="N/A"/>
    <s v="N/A"/>
    <s v="N/A"/>
    <n v="0"/>
    <x v="0"/>
    <s v="N/A"/>
    <x v="0"/>
    <x v="0"/>
    <s v="COLGADO DE POLLO"/>
    <s v="OPERARIO"/>
    <s v="FAENA"/>
    <s v="N/A"/>
    <x v="0"/>
    <d v="1899-12-30T06:30:00"/>
    <x v="1"/>
    <s v="SEMANA 21"/>
    <m/>
    <m/>
    <s v="NICOLAS MOYANO"/>
    <x v="8"/>
    <n v="36"/>
    <x v="2"/>
    <x v="5"/>
    <s v="Contusión"/>
    <x v="0"/>
    <s v="COLABORADOR SUFRE CONTUSION EN ANTEBRAZO IZQUIERDO AL SER GOLPEADO POR LLAVE METALICA CUANDO SE ENCONTABA RECOGIENDO PRODUCTO PARA COLGARLO."/>
    <x v="0"/>
    <x v="0"/>
    <x v="0"/>
    <s v="NICOLAS GOMEZ"/>
    <s v="MICHELLE SANCHEZ"/>
  </r>
  <r>
    <n v="2023"/>
    <x v="4"/>
    <s v="EL PAICO"/>
    <s v="ROJAS PAVEZ"/>
    <s v="FERNANDO"/>
    <x v="0"/>
    <s v="19503953-4"/>
    <d v="2017-06-12T00:00:00"/>
    <n v="71"/>
    <d v="2023-05-26T00:00:00"/>
    <x v="0"/>
    <s v="N/A"/>
    <s v="N/A"/>
    <s v="N/A"/>
    <n v="0"/>
    <x v="0"/>
    <s v="N/A"/>
    <x v="0"/>
    <x v="8"/>
    <s v="TROZADO DE PAVOS"/>
    <s v="OPERARIO"/>
    <s v="PASILLO C "/>
    <s v="N/A"/>
    <x v="1"/>
    <d v="1899-12-30T15:30:00"/>
    <x v="3"/>
    <s v="SEMANA 21"/>
    <m/>
    <m/>
    <s v="GUILLERMO NARVAEZ"/>
    <x v="37"/>
    <n v="26"/>
    <x v="14"/>
    <x v="2"/>
    <s v="Contusión"/>
    <x v="0"/>
    <s v="COLABORADOR SUFRE CONTUSION EN DEDO MEÑIQUE DE MANO DERECHA CON CAJA CUANDO SE ENCONTRABA MOVILIZANDO "/>
    <x v="0"/>
    <x v="0"/>
    <x v="0"/>
    <s v="NICOLAS GOMEZ"/>
    <s v="CARLOS CARTAGENA"/>
  </r>
  <r>
    <n v="2023"/>
    <x v="4"/>
    <s v="EL PAICO"/>
    <s v="MUÑOZ MARQUEZ"/>
    <s v="RAIMUNDO"/>
    <x v="0"/>
    <s v="17008287-7"/>
    <d v="2022-11-14T00:00:00"/>
    <n v="6"/>
    <d v="2023-05-29T00:00:00"/>
    <x v="2"/>
    <s v="N/A"/>
    <s v="N/A"/>
    <s v="N/A"/>
    <n v="0"/>
    <x v="0"/>
    <s v="N/A"/>
    <x v="0"/>
    <x v="0"/>
    <s v="MENUDENCIAS"/>
    <s v="OPERARIO"/>
    <s v="FAENA"/>
    <s v="N/A"/>
    <x v="1"/>
    <d v="1899-12-30T16:45:00"/>
    <x v="5"/>
    <s v="SEMANA 22"/>
    <m/>
    <m/>
    <s v="NICOLAS MOYANO"/>
    <x v="8"/>
    <n v="34"/>
    <x v="7"/>
    <x v="6"/>
    <s v="Conjuntivitis"/>
    <x v="7"/>
    <s v="COLABORADOR SUFRE MOLESTIA OCULAR POR PROYECCION DE PARTICULAS (BILIS) EN OJO DERECHO AL LIMPIAR MENUDENCIAS EN EL AREA DE FAENA"/>
    <x v="0"/>
    <x v="0"/>
    <x v="0"/>
    <s v="ALAN CARRASCO"/>
    <s v="WLADIMIR CALDERON "/>
  </r>
  <r>
    <n v="2023"/>
    <x v="4"/>
    <s v="EL PAICO"/>
    <s v="HUINAO CARTAGENA"/>
    <s v="MANUEL"/>
    <x v="0"/>
    <s v="15403657-1"/>
    <d v="2022-11-04T00:00:00"/>
    <n v="6"/>
    <d v="2023-05-30T00:00:00"/>
    <x v="2"/>
    <s v="N/A"/>
    <s v="N/A"/>
    <s v="N/A"/>
    <n v="0"/>
    <x v="0"/>
    <s v="N/A"/>
    <x v="0"/>
    <x v="5"/>
    <s v="IQF"/>
    <s v="OPERARIO"/>
    <s v="IQF 1"/>
    <s v="N/A"/>
    <x v="1"/>
    <d v="1899-12-30T17:50:00"/>
    <x v="0"/>
    <s v="SEMANA 22"/>
    <m/>
    <m/>
    <s v="GUILLERMO NARVAEZ"/>
    <x v="20"/>
    <n v="40"/>
    <x v="11"/>
    <x v="5"/>
    <s v="Otros"/>
    <x v="13"/>
    <s v="COLABORADOR SUFRE PICADURA DE INSECTO EN BRAZO DERECHO CUANDO SE ENCONTRABA PASANDO BANDEJAS EN IQF 1"/>
    <x v="0"/>
    <x v="0"/>
    <x v="0"/>
    <s v="NICOLAS GOMEZ"/>
    <s v="CARLOS CARTAGENA"/>
  </r>
  <r>
    <n v="2023"/>
    <x v="5"/>
    <s v="EL PAICO"/>
    <s v="TORO OROSCO"/>
    <s v="GEANINA"/>
    <x v="1"/>
    <s v="17518601-8"/>
    <d v="2019-01-14T00:00:00"/>
    <n v="52"/>
    <d v="2023-06-01T00:00:00"/>
    <x v="0"/>
    <s v="N/A"/>
    <s v="N/A"/>
    <s v="N/A"/>
    <n v="0"/>
    <x v="0"/>
    <s v="N/A"/>
    <x v="0"/>
    <x v="2"/>
    <s v="ASEO"/>
    <s v="OPERARIO"/>
    <s v="DROP POINT"/>
    <s v="N/A"/>
    <x v="2"/>
    <d v="1899-12-30T02:50:00"/>
    <x v="4"/>
    <s v="SEMANA 22"/>
    <n v="15749"/>
    <m/>
    <s v="CARLOS JIMENEZ"/>
    <x v="2"/>
    <n v="34"/>
    <x v="5"/>
    <x v="2"/>
    <s v="Contusión"/>
    <x v="1"/>
    <s v="COLABORADORA SUFRE CONTUSIÓN EN MANO IZQUIERDA POR CAIDA MISMO NIVEL MIENTRAS TRASLADABA MANGUERA EN MAQUINA DROP POINT EN CALIBRADO AL ENCONTRASERSE REALIZANDO ASEO PRE-OPERACIONAL"/>
    <x v="0"/>
    <x v="0"/>
    <x v="0"/>
    <s v="ALAN CARRASCO"/>
    <s v="WLADIMIR CALDERON "/>
  </r>
  <r>
    <n v="2023"/>
    <x v="5"/>
    <s v="EL PAICO"/>
    <s v="RUBIO LOPEZ"/>
    <s v="CLAUDIA"/>
    <x v="1"/>
    <s v="12723602-K"/>
    <d v="2007-06-01T00:00:00"/>
    <n v="192"/>
    <d v="2023-06-02T00:00:00"/>
    <x v="0"/>
    <d v="2023-06-05T00:00:00"/>
    <d v="2023-06-05T00:00:00"/>
    <s v="N/A"/>
    <n v="0"/>
    <x v="0"/>
    <s v="N/A"/>
    <x v="0"/>
    <x v="6"/>
    <s v="REPORTE LINEA ISHIDA B"/>
    <s v="OPERARIO"/>
    <s v="REPORTE DE CAJAS"/>
    <s v="N/A"/>
    <x v="0"/>
    <d v="1899-12-30T07:40:00"/>
    <x v="3"/>
    <s v="SEMANA 22"/>
    <n v="15729"/>
    <m/>
    <s v="OCTAVIO MUÑOZ"/>
    <x v="38"/>
    <n v="48"/>
    <x v="0"/>
    <x v="2"/>
    <s v="Contusión"/>
    <x v="0"/>
    <s v="COLABORADORA SUFRE CONTUSIÓN EN DEDO INDICE DERECHO POR ROLLO DE LAMINAS CUANDO SE ENCONTRABA SACANDO ESTE DE MUEBLE CON EL OBJETIVO DE SER CAMBIADO"/>
    <x v="0"/>
    <x v="0"/>
    <x v="1"/>
    <s v="NICOLAS GOMEZ"/>
    <s v="WLADIMIR CALDERON "/>
  </r>
  <r>
    <n v="2023"/>
    <x v="5"/>
    <s v="EL PAICO"/>
    <s v="RODRIGUEZ MONJES"/>
    <s v="ANYBEL"/>
    <x v="1"/>
    <s v="27091787-9"/>
    <d v="2020-03-16T00:00:00"/>
    <n v="38"/>
    <d v="2023-06-02T00:00:00"/>
    <x v="0"/>
    <s v="N/A"/>
    <s v="N/A"/>
    <s v="N/A"/>
    <n v="0"/>
    <x v="0"/>
    <s v="N/A"/>
    <x v="0"/>
    <x v="1"/>
    <s v="DESHUESADO"/>
    <s v="OPERADOR"/>
    <s v="DESHUESADO"/>
    <s v="N/A"/>
    <x v="0"/>
    <d v="1899-12-30T07:45:00"/>
    <x v="3"/>
    <s v="SEMANA 22"/>
    <m/>
    <m/>
    <s v="DANIEL GARRIDO"/>
    <x v="31"/>
    <n v="32"/>
    <x v="7"/>
    <x v="6"/>
    <s v="Conjuntivitis"/>
    <x v="7"/>
    <s v="COLABORADOR SUFRE MOLESTIA OCULAR POR PROYECCION DE PARTICULAS AL ESTAR SELECCIONANDO PECHUGA EN LINEA DESHUESADO "/>
    <x v="0"/>
    <x v="0"/>
    <x v="0"/>
    <s v="NICOLAS GOMEZ"/>
    <s v="WLADIMIR CALDERON "/>
  </r>
  <r>
    <n v="2023"/>
    <x v="5"/>
    <s v="EL PAICO"/>
    <s v="ESCOBAR HUANCA"/>
    <s v="MIRIAM "/>
    <x v="1"/>
    <s v="27616460-0"/>
    <d v="2022-05-16T00:00:00"/>
    <n v="12"/>
    <d v="2023-06-06T00:00:00"/>
    <x v="2"/>
    <s v="NA"/>
    <s v="N/A"/>
    <s v="N/A"/>
    <n v="0"/>
    <x v="0"/>
    <s v="N/A"/>
    <x v="0"/>
    <x v="2"/>
    <s v="ASEO ZONA LIMPIA"/>
    <s v="OPERADOR"/>
    <s v="EMBALAJE Y ETIQUEDADO"/>
    <s v="N/A"/>
    <x v="2"/>
    <d v="1899-12-30T03:15:00"/>
    <x v="0"/>
    <s v="SEMANA 23"/>
    <m/>
    <m/>
    <s v="CARLOS JIMENEZ"/>
    <x v="2"/>
    <n v="25"/>
    <x v="8"/>
    <x v="7"/>
    <s v="Otros"/>
    <x v="8"/>
    <s v="COLABORADORA SUFRE DISNEA POR EXPOSICIÓN A PRODUCTO QUIMICO CUANDO SE ENCONTRABA REALIZANDO ASEO PRE-OPERACIONAL EN SALA."/>
    <x v="0"/>
    <x v="0"/>
    <x v="0"/>
    <s v="NICOLAS GOMEZ"/>
    <s v="MICHELLE SANCHEZ"/>
  </r>
  <r>
    <n v="2023"/>
    <x v="5"/>
    <s v="EL PAICO"/>
    <s v="CESPEDES SANZANA"/>
    <s v="DANIEL"/>
    <x v="0"/>
    <s v="20345018-4"/>
    <d v="2023-05-22T00:00:00"/>
    <n v="0"/>
    <d v="2023-06-07T00:00:00"/>
    <x v="2"/>
    <s v="N/A"/>
    <s v="N/A"/>
    <s v="N/A"/>
    <n v="0"/>
    <x v="0"/>
    <s v="N/A"/>
    <x v="0"/>
    <x v="0"/>
    <s v="EVISERADO"/>
    <s v="OPERADOR"/>
    <s v="MAQUINA DE CONTRES"/>
    <s v="MAQUINA DE CONTRES"/>
    <x v="1"/>
    <d v="1899-12-30T08:40:00"/>
    <x v="1"/>
    <s v="SEMANA 23"/>
    <m/>
    <m/>
    <s v="NICOLAS MOYANO"/>
    <x v="11"/>
    <n v="23"/>
    <x v="4"/>
    <x v="2"/>
    <s v="Herida cortante"/>
    <x v="12"/>
    <s v="COLABORADOR SUFRE HERIDA EN DEDO MEÑIQUE DE MANO DERECHA POR RODILLO DE CINTA CUANRO SE ENCONTRABA LIANDO CONTRES"/>
    <x v="0"/>
    <x v="0"/>
    <x v="0"/>
    <s v="ALAN CARRASCO"/>
    <s v="CARLOS CARTAGENA"/>
  </r>
  <r>
    <n v="2023"/>
    <x v="5"/>
    <s v="EL PAICO"/>
    <s v="BARRERA PEREZ"/>
    <s v="KATHERINE"/>
    <x v="1"/>
    <s v="18454833-K"/>
    <d v="2015-01-12T00:00:00"/>
    <n v="100"/>
    <d v="2023-05-31T00:00:00"/>
    <x v="0"/>
    <s v="N/A"/>
    <s v="N/A"/>
    <s v="N/A"/>
    <n v="0"/>
    <x v="0"/>
    <s v="N/A"/>
    <x v="0"/>
    <x v="1"/>
    <s v="DESHUESADO"/>
    <s v="OPERADOR"/>
    <s v="DESHUESADO DE POLLO"/>
    <s v="N/A"/>
    <x v="1"/>
    <d v="1899-12-30T00:20:00"/>
    <x v="4"/>
    <s v="SEMANA 23"/>
    <m/>
    <m/>
    <s v="DANIEL GARRIDO"/>
    <x v="14"/>
    <n v="30"/>
    <x v="1"/>
    <x v="1"/>
    <s v="Contusión"/>
    <x v="1"/>
    <s v="COLABORADORA SUFRE CONTUSION EN RODILLA POR CAIDA MISMO NIVEL POR PRESENCIA DE RESTOS CARNICOS EN SUPERFICIE DE TRABAJO"/>
    <x v="1"/>
    <x v="1"/>
    <x v="0"/>
    <s v="ALAN CARRASCO"/>
    <s v="CHISTIAN JHONS"/>
  </r>
  <r>
    <n v="2023"/>
    <x v="5"/>
    <s v="EL PAICO"/>
    <s v="TORRES ALVARADO"/>
    <s v="BRYAN"/>
    <x v="0"/>
    <s v="20722483-9"/>
    <d v="2021-04-12T00:00:00"/>
    <n v="25"/>
    <d v="2023-06-08T00:00:00"/>
    <x v="1"/>
    <s v="N/A"/>
    <s v="N/A"/>
    <s v="N/A"/>
    <n v="0"/>
    <x v="0"/>
    <s v="N/A"/>
    <x v="0"/>
    <x v="0"/>
    <s v="EVISCERADO POLLOS"/>
    <s v="OPERADOR"/>
    <s v="EVICERADO"/>
    <s v="N/A"/>
    <x v="0"/>
    <d v="1899-12-30T11:50:00"/>
    <x v="4"/>
    <s v="SEMANA 23"/>
    <m/>
    <m/>
    <s v="NICOLAS MOYANO"/>
    <x v="0"/>
    <n v="21"/>
    <x v="7"/>
    <x v="6"/>
    <s v="Conjuntivitis"/>
    <x v="7"/>
    <s v="COLABORADOR SUFRE MOLESTIA OCULAR POR PROYECCION DE PARTICULAS CUANDO ESTABA ASPIRANDO POLLO "/>
    <x v="0"/>
    <x v="0"/>
    <x v="0"/>
    <s v="NICOLAS GOMEZ"/>
    <s v="CHISTIAN JHONS"/>
  </r>
  <r>
    <n v="2023"/>
    <x v="5"/>
    <s v="EL PAICO"/>
    <s v="GONZALEZ MENDOZA"/>
    <s v="CINTIA"/>
    <x v="1"/>
    <s v="15778582-6"/>
    <d v="2017-04-03T00:00:00"/>
    <n v="74"/>
    <d v="2023-06-09T00:00:00"/>
    <x v="0"/>
    <d v="2023-06-09T00:00:00"/>
    <s v="N/A"/>
    <d v="2023-06-12T00:00:00"/>
    <n v="2"/>
    <x v="1"/>
    <s v="LGF"/>
    <x v="2"/>
    <x v="6"/>
    <s v="REPORTE DE CAJAS"/>
    <s v="OPERADOR"/>
    <s v="REPORTE DE CAJAS"/>
    <s v="EQUIPO PARA MOVIMIENTO DE CARGA (GRUAS O TRANSPALETAS)"/>
    <x v="0"/>
    <d v="1899-12-30T14:00:00"/>
    <x v="3"/>
    <s v="SEMANA 23"/>
    <n v="15745"/>
    <m/>
    <s v="OCTAVIO MUÑOZ"/>
    <x v="13"/>
    <n v="39"/>
    <x v="6"/>
    <x v="3"/>
    <s v="Contusión"/>
    <x v="0"/>
    <s v="TRABAJADORA DE P.POSTERIORES SUFRE CONTUSION EN COSTADO DERECHO DEL CUERPO POR APLASTAMIENTO OCACIONADO POR EQUIPO DE MOVIMIENTO DE CARGA, EL HECHO OCURRIO EN REPORTE DE CAJAS AL MOMENTO DE QUE LA TRABAJADORA SE ENCONTRARA VALIDANDO PALLETS FRENTE A ROMANA"/>
    <x v="0"/>
    <x v="0"/>
    <x v="1"/>
    <s v="ALAN CARRASCO"/>
    <s v="MICHELLE SANCHEZ"/>
  </r>
  <r>
    <n v="2023"/>
    <x v="5"/>
    <s v="EL PAICO"/>
    <s v="MONTENEGRO GALLARDO"/>
    <s v="RAUL"/>
    <x v="0"/>
    <s v="21623760-9"/>
    <d v="2022-11-29T00:00:00"/>
    <n v="6"/>
    <d v="2023-06-12T00:00:00"/>
    <x v="2"/>
    <d v="2023-06-12T00:00:00"/>
    <d v="2023-06-12T00:00:00"/>
    <s v="N/A"/>
    <n v="0"/>
    <x v="0"/>
    <s v="N/A"/>
    <x v="0"/>
    <x v="1"/>
    <s v="DESHUESADO"/>
    <s v="OPERADOR"/>
    <s v="CAMARA 208"/>
    <s v="N/A"/>
    <x v="0"/>
    <d v="1899-12-30T07:45:00"/>
    <x v="5"/>
    <s v="SEMANA 24"/>
    <n v="15748"/>
    <m/>
    <s v="DANIEL GARRIDO"/>
    <x v="31"/>
    <n v="19"/>
    <x v="1"/>
    <x v="3"/>
    <s v="Contusión"/>
    <x v="1"/>
    <s v="COLABORADOR SUFRE CONTUSION EN TOBILLO Y RODILLA DERECHA, POR CAIDA MISMO NIVEL PRODUTO DE PRESENCIA DE HIELO EN SUPERFICIE DE TRANSITO EN CAMARA 208"/>
    <x v="1"/>
    <x v="0"/>
    <x v="1"/>
    <s v="ALAN CARRASCO"/>
    <s v="CHISTIAN JHONS"/>
  </r>
  <r>
    <n v="2023"/>
    <x v="5"/>
    <s v="EL PAICO"/>
    <s v="ZURITA LEIVA"/>
    <s v="JORGE"/>
    <x v="0"/>
    <s v="13771226-1"/>
    <d v="2000-10-18T00:00:00"/>
    <n v="271"/>
    <d v="2023-06-13T00:00:00"/>
    <x v="0"/>
    <s v="N/A"/>
    <s v="N/A"/>
    <s v="N/A"/>
    <n v="0"/>
    <x v="0"/>
    <s v="N/A"/>
    <x v="0"/>
    <x v="4"/>
    <s v="CAMARA"/>
    <s v="OPERADOR DE MAQUINA"/>
    <s v="SALA BATERIAS"/>
    <s v="N/A"/>
    <x v="1"/>
    <d v="1899-12-30T17:50:00"/>
    <x v="0"/>
    <s v="SEMANA 24"/>
    <m/>
    <m/>
    <s v="FRANCISCO QUEZADA"/>
    <x v="30"/>
    <n v="43"/>
    <x v="3"/>
    <x v="6"/>
    <s v="Conjuntivitis"/>
    <x v="7"/>
    <s v="COLABORADOR SUFRE MOLESTIA OCULAR POR PROYECCION DE PARTICULAS LIQUIDAS CUANDO SE ENCONTRABA REALIZANDO CAMBIO DE BATERIA."/>
    <x v="0"/>
    <x v="0"/>
    <x v="0"/>
    <s v="ALAN CARRASCO"/>
    <s v="WLADIMIR CALDERON "/>
  </r>
  <r>
    <n v="2023"/>
    <x v="5"/>
    <s v="EL PAICO"/>
    <s v="CATALAN ALVARADO"/>
    <s v="ERIK "/>
    <x v="0"/>
    <s v="20871209-8"/>
    <d v="2022-10-24T00:00:00"/>
    <n v="7"/>
    <d v="2023-06-14T00:00:00"/>
    <x v="2"/>
    <s v="N/A"/>
    <s v="N/A"/>
    <s v="N/A"/>
    <n v="0"/>
    <x v="0"/>
    <s v="N/A"/>
    <x v="0"/>
    <x v="5"/>
    <s v="IQF CALIBRADO C"/>
    <s v="OPERARIO"/>
    <s v="IQF"/>
    <s v="N/A"/>
    <x v="2"/>
    <d v="1899-12-30T04:45:00"/>
    <x v="1"/>
    <s v="SEMANA 24"/>
    <m/>
    <m/>
    <s v="GUILLERMO NARVAEZ"/>
    <x v="20"/>
    <n v="21"/>
    <x v="0"/>
    <x v="2"/>
    <s v="Contusión"/>
    <x v="0"/>
    <s v="COLABORADOR SUFRE CONTUSION EN DEDO MEDIO SUPERIOR DERECHO CON OBJETO METALICO AL ESTAR REALIZANDO CAMBIO DE ROLLO EN MAQUINA SUPER CONTAC"/>
    <x v="0"/>
    <x v="0"/>
    <x v="0"/>
    <s v="NICOLAS GOMEZ"/>
    <s v="WLADIMIR CALDERON "/>
  </r>
  <r>
    <n v="2023"/>
    <x v="5"/>
    <s v="EL PAICO"/>
    <s v="HUINAO CARTAGENA"/>
    <s v="MANUEL"/>
    <x v="0"/>
    <s v="15403657-1"/>
    <d v="2022-11-04T00:00:00"/>
    <n v="7"/>
    <d v="2023-06-14T00:00:00"/>
    <x v="2"/>
    <s v="N/A"/>
    <s v="N/A"/>
    <s v="N/A"/>
    <n v="0"/>
    <x v="0"/>
    <s v="N/A"/>
    <x v="0"/>
    <x v="5"/>
    <s v="IQF CALIBRADO C"/>
    <s v="OPERARIO"/>
    <s v="PASILLO PRINCIPAL"/>
    <s v="N/A"/>
    <x v="1"/>
    <d v="1899-12-30T22:10:00"/>
    <x v="1"/>
    <s v="SEMANA 24"/>
    <m/>
    <m/>
    <s v="GUILLERMO NARVAEZ"/>
    <x v="20"/>
    <n v="40"/>
    <x v="1"/>
    <x v="1"/>
    <s v="Contusión"/>
    <x v="1"/>
    <s v="COLABORADOR SUFRE CONTUSION EN RODILLA DERECHA POR CAIDA MISMO EN PASILLO PRINCIPAL"/>
    <x v="1"/>
    <x v="1"/>
    <x v="0"/>
    <s v="NICOLAS GOMEZ"/>
    <s v="MICHELLE SANCHEZ"/>
  </r>
  <r>
    <n v="2023"/>
    <x v="5"/>
    <s v="EL PAICO"/>
    <s v="TORRES ALVARADO"/>
    <s v="BRYAN"/>
    <x v="0"/>
    <s v="20722483-9"/>
    <d v="2021-04-12T00:00:00"/>
    <n v="26"/>
    <d v="2023-06-14T00:00:00"/>
    <x v="1"/>
    <s v="N/A"/>
    <s v="N/A"/>
    <s v="N/A"/>
    <n v="0"/>
    <x v="0"/>
    <s v="N/A"/>
    <x v="0"/>
    <x v="0"/>
    <s v="EVISCERADO POLLOS"/>
    <s v="OPERARIO"/>
    <s v="EVICERADO"/>
    <s v="N/A"/>
    <x v="0"/>
    <m/>
    <x v="1"/>
    <s v="SEMANA 24"/>
    <m/>
    <m/>
    <s v="NICOLAS MOYANO"/>
    <x v="39"/>
    <n v="21"/>
    <x v="0"/>
    <x v="5"/>
    <s v="Herida cortante"/>
    <x v="9"/>
    <s v="COLABORADOR SUFRE HERIDA CORTANTE LEVE EN BRAZO IZQUIERDO POR CUCHILLO AL ESTAR CORTANDO PECHUGA DE POLLO "/>
    <x v="0"/>
    <x v="0"/>
    <x v="0"/>
    <s v="NICOLAS GOMEZ"/>
    <s v="CARLOS CARTAGENA"/>
  </r>
  <r>
    <n v="2023"/>
    <x v="5"/>
    <s v="EL PAICO"/>
    <s v="VARGAS HERNANDEZ"/>
    <s v="LUIS"/>
    <x v="0"/>
    <s v="9947369-K"/>
    <d v="2015-04-20T00:00:00"/>
    <n v="97"/>
    <d v="2023-06-17T00:00:00"/>
    <x v="0"/>
    <d v="2023-06-19T00:00:00"/>
    <m/>
    <m/>
    <m/>
    <x v="1"/>
    <s v="N/A"/>
    <x v="0"/>
    <x v="0"/>
    <s v="EVICERADO PAVOS"/>
    <s v="OPERARIO"/>
    <s v="CHILLER MENUDENCIA"/>
    <s v="N/A"/>
    <x v="0"/>
    <d v="1899-12-30T10:20:00"/>
    <x v="2"/>
    <s v="SEMANA 24"/>
    <n v="15761"/>
    <m/>
    <s v="NICOLAS MOYANO"/>
    <x v="11"/>
    <n v="58"/>
    <x v="1"/>
    <x v="8"/>
    <s v="Contusión"/>
    <x v="1"/>
    <s v="COLABORADOR SUFRE GOLPE EN ESPALDA POR CAIDA MISMO NIVEL CUANDO TRANSITABA POR PASILLO DE CHILLER MENUDENCIAS "/>
    <x v="1"/>
    <x v="0"/>
    <x v="1"/>
    <s v="ALAN CARRASCO"/>
    <s v="SANDRA LAYANA"/>
  </r>
  <r>
    <n v="2023"/>
    <x v="6"/>
    <s v="JUNIO"/>
    <s v="LOYOLA CARVAJAL"/>
    <s v="NATALIA"/>
    <x v="1"/>
    <s v="18623311-5"/>
    <d v="2022-05-24T00:00:00"/>
    <n v="12"/>
    <d v="2023-06-21T00:00:00"/>
    <x v="2"/>
    <s v="N/A"/>
    <s v="N/A"/>
    <s v="N/A"/>
    <n v="0"/>
    <x v="0"/>
    <s v="N/A"/>
    <x v="0"/>
    <x v="4"/>
    <s v="CAMARA"/>
    <s v="OPERADOR DE MAQUINA"/>
    <s v="CAMARA"/>
    <s v="N/A"/>
    <x v="0"/>
    <d v="1899-12-30T07:00:00"/>
    <x v="1"/>
    <s v="SEMANA 25"/>
    <m/>
    <m/>
    <s v="FRANCISCO QUEZADA"/>
    <x v="30"/>
    <n v="29"/>
    <x v="7"/>
    <x v="2"/>
    <s v="Contusión"/>
    <x v="0"/>
    <s v="COLABORADORA SUFRE CONTUSION EN DEDO ANULAR SUPERIOR IZQUIERDO AL SEL GOLPEADA POR BLOQUE EN TUNEL DE CAMARA "/>
    <x v="0"/>
    <x v="0"/>
    <x v="0"/>
    <s v="NICOLAS GOMEZ"/>
    <s v="WLADIMIR CALDERON "/>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s v=" "/>
    <x v="7"/>
    <s v=" "/>
    <s v=" "/>
    <s v=" "/>
    <x v="4"/>
    <s v=" "/>
    <s v=" "/>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r>
    <m/>
    <x v="6"/>
    <m/>
    <m/>
    <m/>
    <x v="3"/>
    <m/>
    <m/>
    <m/>
    <m/>
    <x v="3"/>
    <m/>
    <m/>
    <m/>
    <m/>
    <x v="3"/>
    <m/>
    <x v="5"/>
    <x v="9"/>
    <m/>
    <m/>
    <m/>
    <m/>
    <x v="3"/>
    <m/>
    <x v="7"/>
    <m/>
    <m/>
    <m/>
    <m/>
    <x v="0"/>
    <m/>
    <x v="17"/>
    <x v="11"/>
    <m/>
    <x v="14"/>
    <m/>
    <x v="3"/>
    <x v="2"/>
    <x v="2"/>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
  <r>
    <x v="0"/>
    <s v="ENERO"/>
    <s v="EL PAICO"/>
    <s v="PEÑA ASTORGA"/>
    <s v="GUSTAVO"/>
    <s v="MASCULINO"/>
    <s v="17225054-8"/>
    <d v="2019-11-11T00:00:00"/>
    <n v="37"/>
    <d v="2023-01-03T00:00:00"/>
    <s v="ANTIGUO"/>
    <s v="N/A"/>
    <s v="N/A"/>
    <s v="N/A"/>
    <n v="0"/>
    <s v="STP"/>
    <s v="N/A"/>
    <s v="N/A"/>
    <x v="0"/>
    <s v="EVISCERADO"/>
    <s v="OPERARIO"/>
    <s v="LINEA DESCOLGADO DE BANDEJAS"/>
    <s v="N/A"/>
    <s v="MAÑANA"/>
    <d v="1899-12-30T13:45:00"/>
    <s v="MARTES"/>
    <s v="SEMANA 1"/>
    <m/>
    <m/>
    <s v="NICOLAS MOYANO"/>
    <m/>
    <n v="33"/>
    <s v="Materiales"/>
    <x v="0"/>
    <s v="Herida cortante"/>
    <s v="Golpeado por"/>
    <s v="ESTABA BAJANDO BANDEJA DE LINEA DE DESCOLGADO AL MOMENTO DE RETIRAR UNA BANDEJA LA QUE VENIA GOLPEA PARPADO DERECHO"/>
    <s v="ACCION"/>
    <s v="SI"/>
    <s v="NO"/>
    <s v="NICOLAS GOMEZ"/>
    <s v="CHRISTIAN JHONS"/>
  </r>
  <r>
    <x v="0"/>
    <s v="ENERO"/>
    <s v="EL PAICO"/>
    <s v="MENDEZ DEL CASTILLO"/>
    <s v="DANIELA"/>
    <s v="FEMENINO"/>
    <s v="15822820-3"/>
    <d v="2021-01-25T00:00:00"/>
    <n v="23"/>
    <d v="2023-01-03T00:00:00"/>
    <s v="ANTIGUO"/>
    <d v="2023-01-04T00:00:00"/>
    <d v="2023-01-12T00:00:00"/>
    <s v="N/A"/>
    <n v="9"/>
    <s v="CTP"/>
    <s v="N/A"/>
    <s v="N/A"/>
    <x v="1"/>
    <s v="TROZADO AUTOMATICO"/>
    <s v="OPERARIO"/>
    <s v="ESCALERA PRINCIPAL"/>
    <s v="N/A"/>
    <s v="TARDE"/>
    <d v="1899-12-30T19:50:00"/>
    <s v="MARTES"/>
    <s v="SEMANA 1"/>
    <n v="15412"/>
    <s v="NC-04-23"/>
    <s v="DANIEL GARRIDO"/>
    <s v="RAMIRO RAMIREZ"/>
    <n v="37"/>
    <s v="Superficies de transito"/>
    <x v="1"/>
    <s v="Torsión"/>
    <s v="Caida de mismo nivel"/>
    <s v="TRABAJADORA SUFRE CAIDA AL BAJAR ESCALERA PRINCIPAL, EN EL DESCANSO HABIA TIERRA , LA CUAL PISA RESBALANDOSE Y SUFRIENDO UNA HIPEREXTENSION DE RODILLA IZQUIERDA"/>
    <s v="CONDICION"/>
    <s v="NO"/>
    <s v="SI"/>
    <s v="NICOLAS GOMEZ"/>
    <s v="CHRISTIAN JHONS"/>
  </r>
  <r>
    <x v="0"/>
    <s v="ENERO"/>
    <s v="EL PAICO"/>
    <s v="HOSTIL"/>
    <s v="SMITH"/>
    <s v="MASCULINO"/>
    <s v="26204649-4"/>
    <d v="2022-11-14T00:00:00"/>
    <n v="1"/>
    <d v="2023-01-04T00:00:00"/>
    <s v="NUEVO"/>
    <s v="N/A"/>
    <s v="N/A"/>
    <s v="N/A"/>
    <n v="0"/>
    <s v="STP"/>
    <s v="N/A"/>
    <s v="N/A"/>
    <x v="2"/>
    <s v="ASEO PREOPERACIONAL"/>
    <s v="OPERARIO"/>
    <s v="TROZADO DE POLLO"/>
    <s v="N/A"/>
    <s v="NOCHE"/>
    <d v="1899-12-30T02:00:00"/>
    <s v="MIERCOLES"/>
    <s v="SEMANA 1"/>
    <m/>
    <m/>
    <s v="CARLOS JIMENEZ"/>
    <s v="PATRICIO PALACIOS"/>
    <n v="34"/>
    <s v="Infraestructura"/>
    <x v="1"/>
    <s v="Contusión"/>
    <s v="Caida de distinto nivel"/>
    <s v="TRABAJADOR SUFRE CAIDA DE DISTINTO NIVEL AL BAJAR UNA ESCALERA EN TROZADO DE POLLO LUEGO DE FINALIZAR LA LIMPIEZA DE UN EQUIPO"/>
    <s v="ACCION"/>
    <s v="SI"/>
    <s v="NO"/>
    <s v="NICOLAS GOMEZ"/>
    <s v="CHRISTIAN JHONS"/>
  </r>
  <r>
    <x v="0"/>
    <s v="ENERO"/>
    <s v="EL PAICO"/>
    <s v="INFANTE GUTIERREZ"/>
    <s v="TERESA"/>
    <s v="FEMENINO"/>
    <s v="16795621-1"/>
    <d v="2014-10-06T00:00:00"/>
    <n v="99"/>
    <d v="2023-01-07T00:00:00"/>
    <s v="ANTIGUO"/>
    <d v="2023-01-10T00:00:00"/>
    <d v="2023-01-17T00:00:00"/>
    <d v="2023-01-10T00:00:00"/>
    <n v="8"/>
    <s v="CTP"/>
    <s v="N/A"/>
    <s v="N/A"/>
    <x v="2"/>
    <s v="SALA DE SALMUERA"/>
    <s v="OPERARIO"/>
    <s v="SALA DE SALMUERA "/>
    <s v="N/A"/>
    <s v="NOCHE"/>
    <d v="1899-12-30T22:40:00"/>
    <s v="SABADO"/>
    <s v="SEMANA 1"/>
    <n v="15413"/>
    <s v="NC-03-23"/>
    <s v="CARLOS JIMENEZ"/>
    <s v="PATRICIO PALACIOS"/>
    <n v="35"/>
    <s v="Infraestructura"/>
    <x v="1"/>
    <s v="Contusión"/>
    <s v="Caida de distinto nivel"/>
    <s v="TRABAJADOR CUANDO LIMPIABA EN SALA SALMUERA SE CAE DE TARIMA GOLPEANDOSE LA RODILLA IZQUIERDA"/>
    <s v="CONDICION"/>
    <s v="SI"/>
    <s v="SI"/>
    <s v="CARLOS ORELLANA"/>
    <s v="CHRISTIAN JHONS"/>
  </r>
  <r>
    <x v="0"/>
    <s v="ENERO"/>
    <s v="EL PAICO"/>
    <s v="PEREZ CAMPOS"/>
    <s v="CARMEN"/>
    <s v="FEMENINO"/>
    <s v="11608562-3"/>
    <d v="1998-04-01T00:00:00"/>
    <n v="297"/>
    <d v="2023-01-13T00:00:00"/>
    <s v="ANTIGUO"/>
    <s v="N/A"/>
    <s v="N/A"/>
    <s v="N/A"/>
    <n v="0"/>
    <s v="STP"/>
    <s v="N/A"/>
    <s v="N/A"/>
    <x v="3"/>
    <s v="SANGRADO DE POLLOS"/>
    <s v="OPERARIO"/>
    <s v="SALA DE SANGRADO"/>
    <s v="N/A"/>
    <s v="MAÑANA"/>
    <d v="1899-12-30T04:00:00"/>
    <s v="VIERNES"/>
    <s v="SEMANA 2"/>
    <m/>
    <m/>
    <s v="JAIME JORQUERA"/>
    <s v="HECNIMAR URDANETA"/>
    <n v="52"/>
    <s v="Infraestructura"/>
    <x v="2"/>
    <s v="Otros"/>
    <s v="Contacto con cuerpo punzante"/>
    <s v="TRABAJADORA SE ENCONTRABA REALIZANDO INSPECCION DE ASEO PREOPERACIONAL EN SALA DE SANGRADO, AL MOMENTO DE PASAR MANO POR GUIAS SE ENTIERRA UNA ESCIRLA DE METAL EN DEDO ANULAR EL CUAL FUE RETIRADO AL MOMENTO"/>
    <s v="CONDICION"/>
    <s v="SI"/>
    <s v="NO"/>
    <s v="CARLOS ORELLANA"/>
    <s v="CARLOS CARTAGENA"/>
  </r>
  <r>
    <x v="0"/>
    <s v="ENERO"/>
    <s v="EL PAICO"/>
    <s v="VERA CATALAN"/>
    <s v="IVAN "/>
    <s v="MASCULINO"/>
    <s v="18488665-0 "/>
    <d v="2019-04-08T00:00:00"/>
    <n v="45"/>
    <d v="2023-01-18T00:00:00"/>
    <s v="ANTIGUO"/>
    <d v="2023-01-18T00:00:00"/>
    <s v="N/A"/>
    <s v="N/A"/>
    <n v="0"/>
    <s v="STP"/>
    <s v="N/A"/>
    <s v="N/A"/>
    <x v="4"/>
    <s v="BODEGA"/>
    <s v="OPERARIO"/>
    <s v="BODEGA"/>
    <s v="N/A"/>
    <s v="MAÑANA"/>
    <d v="1899-12-30T13:30:00"/>
    <s v="MIERCOLES"/>
    <s v="SEMANA 3"/>
    <m/>
    <m/>
    <s v="BORIS PONCE"/>
    <s v="VICTORIA MILLANERS"/>
    <n v="28"/>
    <s v="Otros"/>
    <x v="2"/>
    <s v="Otros"/>
    <s v="Sobreesfuerzo"/>
    <s v="TRABAJADOR SUBRE TIRON AL ESTAR CORTANDO LAS AMARRAS (VARIAS) DEL PALLET Y AL MOVERLAS SIENTE DOLOR QUE VA DESDE LA MITAD DE LA PALMA HASTA EL CODO, EL CUAL VA EN AUMENTO Y AVISA A SU SUPERVISOR "/>
    <s v="ACCION"/>
    <s v="SI"/>
    <s v="NO"/>
    <s v="ALAN CARRASCO"/>
    <s v="GABRIELA CABEZAS "/>
  </r>
  <r>
    <x v="0"/>
    <s v="ENERO"/>
    <s v="EL PAICO"/>
    <s v="GALVEZ MANZO"/>
    <s v="DAVID"/>
    <s v="MASCULINO "/>
    <s v="18029574-7"/>
    <d v="2021-12-13T00:00:00"/>
    <n v="13"/>
    <d v="2023-01-18T00:00:00"/>
    <s v="INTERMEDIO"/>
    <s v="N/A"/>
    <s v="N/A"/>
    <s v="N/A"/>
    <s v="O"/>
    <s v="STP"/>
    <s v="N/A"/>
    <s v="N/A"/>
    <x v="2"/>
    <s v="FAENA"/>
    <s v="OPERARIO"/>
    <s v="DESPLUMADO"/>
    <s v="N/A"/>
    <s v="NOCHE"/>
    <d v="1899-12-30T22:25:00"/>
    <s v="MIERCOLES"/>
    <s v="SEMANA 3"/>
    <m/>
    <m/>
    <s v="CARLOS JIMENEZ"/>
    <s v="LUIS URBINA"/>
    <n v="31"/>
    <s v="Otros"/>
    <x v="3"/>
    <s v="Contusión"/>
    <s v="Caida de distinto nivel"/>
    <s v="TRABAJDOR AL ESTAR REALIZANDO LABORES EN LA SALA DE DESPLUMADO ENTRE DOS MAQUINAS EN LA SALA, PROPBOCANDOLE LESIONES EN COSTILLAS Y RODILLA IZQUERDA."/>
    <s v="ACCION"/>
    <s v="SI"/>
    <s v="NO"/>
    <s v="ALAN CARRASCO"/>
    <s v="GABRIELA CABEZAS "/>
  </r>
  <r>
    <x v="0"/>
    <s v="ENERO"/>
    <s v="EL PAICO"/>
    <s v="HIDALGO"/>
    <s v="ARISLEYDA"/>
    <s v="FEMENINO"/>
    <s v="26622517-2"/>
    <d v="2020-02-03T00:00:00"/>
    <n v="35"/>
    <d v="2023-01-19T00:00:00"/>
    <s v="ANTIGUO"/>
    <s v="N/A"/>
    <s v="N/A"/>
    <s v="N/A"/>
    <n v="0"/>
    <s v="STP"/>
    <s v="N/A"/>
    <s v="N/A"/>
    <x v="1"/>
    <s v="DESHUESADO"/>
    <s v="OPERARIO"/>
    <s v="DESPLUMADO"/>
    <s v="N/A"/>
    <s v="MAÑANA"/>
    <d v="1899-12-30T05:30:00"/>
    <s v="JUEVES"/>
    <s v="SEMANA 3"/>
    <m/>
    <m/>
    <s v="DANIEL GARRIDO"/>
    <s v="LUIS BUSTAMANTE"/>
    <n v="32"/>
    <s v="Otros"/>
    <x v="2"/>
    <s v="Contusión"/>
    <s v="Golpeado por"/>
    <s v="TRABAJADORA AL COMENZAR SU TURNO, ORDENABA SU PUESTO DE TRABAJO CUANDO LE CAE UNA TABLA GOLPANDOLA EN DEDOS MEDIO Y ANULAR DE LA MANO IZQUERDA"/>
    <s v="ACCION"/>
    <s v="SI"/>
    <s v="NO"/>
    <s v="NICOLAS GOMEZ"/>
    <s v="CHRISTIAN JHONS"/>
  </r>
  <r>
    <x v="0"/>
    <s v="ENERO"/>
    <s v="EL PAICO"/>
    <s v="ROCHA VARELA"/>
    <s v="MARIANA"/>
    <s v="FEMENINO"/>
    <s v="15596634-3"/>
    <d v="2021-02-09T00:00:00"/>
    <n v="23"/>
    <d v="2023-01-19T00:00:00"/>
    <s v="ANTIGUO"/>
    <s v="N/A"/>
    <s v="N/A"/>
    <s v="N/A"/>
    <n v="0"/>
    <s v="STP"/>
    <s v="N/A"/>
    <s v="N/A"/>
    <x v="5"/>
    <s v="CALIBRADO"/>
    <s v="OPERARIO"/>
    <s v="BAÑO MUJERES"/>
    <s v="N/A"/>
    <s v="MAÑANA"/>
    <d v="1899-12-30T11:20:00"/>
    <s v="JUEVES"/>
    <s v="SEMANA 3"/>
    <m/>
    <m/>
    <s v="GUILLERMO NARVAEZ"/>
    <s v="FERNANDO FUENTEALBA"/>
    <n v="39"/>
    <s v="Otros"/>
    <x v="2"/>
    <s v="Contusión"/>
    <s v="Caida de mismo nivel"/>
    <s v="TRABAJADORA AL ESTAR DESPLAZANDOSE AL INTERIOR DEL BAÑO DE MUJERES, RESBALA PROBOCANDOLE UNA CONTUSION EN LA MUQUEÑA IZQUIERDA."/>
    <s v="ACCION"/>
    <s v="SI"/>
    <s v="NO"/>
    <s v="NICOLAS GOMEZ"/>
    <s v="CHRISTIAN JHONS"/>
  </r>
  <r>
    <x v="0"/>
    <s v="ENERO"/>
    <s v="EL PAICO"/>
    <s v="GALVEZ MANZO"/>
    <s v="DAVID"/>
    <s v="MASCULINO"/>
    <s v="18029574-7"/>
    <d v="2021-12-13T00:00:00"/>
    <n v="13"/>
    <d v="2023-01-18T00:00:00"/>
    <s v="INTERMEDIO"/>
    <d v="2023-01-20T00:00:00"/>
    <d v="2023-02-04T00:00:00"/>
    <s v="N/A"/>
    <n v="16"/>
    <s v="CTP"/>
    <s v="N/A"/>
    <s v="N/A"/>
    <x v="2"/>
    <s v="ASEO PREOPERACIONAL"/>
    <s v="OPERARIO"/>
    <s v="SALA DE DESPLUMADO"/>
    <s v="N/A"/>
    <s v="TARDE"/>
    <d v="1899-12-30T22:25:00"/>
    <s v="MIERCOLES"/>
    <s v="SEMANA 3"/>
    <n v="15426"/>
    <s v="NC-08-23"/>
    <s v="CARLOS JIMENEZ"/>
    <s v="LUIS URBINA"/>
    <n v="31"/>
    <s v="Infraestructura"/>
    <x v="3"/>
    <s v="Contusión"/>
    <s v="Caida de distinto nivel"/>
    <s v="TRABAJADOR AL ESTAR REALIZANDO LIMPIEZA EN SALA DE DESPLUMADO CAE DESDE UNA TARIMA GOLPEANDOSE PARILLA COSTAL DERECHA Y RODILLA IZQUERDA"/>
    <s v="ACCION"/>
    <s v="SI"/>
    <s v="SI"/>
    <s v="NICOLAS GOMEZ"/>
    <s v="GABRIELA CABEZAS "/>
  </r>
  <r>
    <x v="0"/>
    <s v="ENERO"/>
    <s v="EL PAICO"/>
    <s v="QUIROZ SAAVEDRA"/>
    <s v="JORGE"/>
    <s v="MASCULINO"/>
    <s v="10261648-0"/>
    <d v="2002-08-23T00:00:00"/>
    <n v="244"/>
    <d v="2023-01-21T00:00:00"/>
    <s v="ANTIGUO"/>
    <d v="2023-01-23T00:00:00"/>
    <d v="2023-02-04T00:00:00"/>
    <s v="N/A"/>
    <n v="13"/>
    <s v="CTP"/>
    <s v="LGF"/>
    <s v="LGF2"/>
    <x v="0"/>
    <s v="CHILLER DE AGUA"/>
    <s v="OPERARIO"/>
    <s v="CHILLER DE AGUA "/>
    <s v="CINTA DE TRANSPORTE"/>
    <s v="MAÑANA"/>
    <d v="1899-12-30T12:10:00"/>
    <s v="SABADO"/>
    <s v="SEMANA 3"/>
    <n v="15430"/>
    <s v="NC-11-23"/>
    <s v="NICOLAS MOYANO"/>
    <s v="ERWIN GATICA"/>
    <n v="58"/>
    <s v="Maquinarias"/>
    <x v="2"/>
    <s v="Atrición"/>
    <s v="Atrapamiento"/>
    <s v="TRABAJADOR EL CUAL SE ENCONTRABA TRANSLANDO LA CINTA TRANSPORTADORA PARA TRABAJAR EN LA HEMBRA SE APRETA EL DEDO  PULGAR DE MANO DERECHA"/>
    <s v="ACCION"/>
    <s v="SI"/>
    <s v="SI"/>
    <s v="NICOLAS GOMEZ"/>
    <s v="CARLOS CARTAGENA"/>
  </r>
  <r>
    <x v="0"/>
    <s v="ENERO"/>
    <s v="EL PAICO"/>
    <s v="MORENO LORCA"/>
    <s v="OSCAR"/>
    <s v="MASCULINO"/>
    <s v="10874086-8"/>
    <d v="2023-01-17T00:00:00"/>
    <n v="0"/>
    <d v="2023-01-23T00:00:00"/>
    <s v="NUEVO"/>
    <d v="2023-01-24T00:00:00"/>
    <d v="2023-03-25T00:00:00"/>
    <s v="N/A"/>
    <n v="2"/>
    <s v="CTP"/>
    <s v="N/A"/>
    <s v="N/A"/>
    <x v="6"/>
    <s v="EMPAQUE"/>
    <s v="OPERARIO"/>
    <s v="CAMARA 201 ORIENTE"/>
    <s v="N/A"/>
    <s v="MAÑANA"/>
    <d v="1899-12-30T11:30:00"/>
    <s v="LUNES"/>
    <s v="SEMANA 4"/>
    <n v="15435"/>
    <s v="NC-09-23"/>
    <s v="FRANCISCO QUEZADA"/>
    <s v="JUAN VILLAVICENCIO"/>
    <n v="52"/>
    <s v="Superficies de trabajo"/>
    <x v="3"/>
    <s v="Contusión"/>
    <s v="Caida de mismo nivel"/>
    <s v="TRABAJADOR CUANDO SE TRANSLADABA A DEJAR INSUMOS DE TRABAJO (PISO DE ENCONTRABA CAPA DE HIELO) ESTE RESBALA CAYENDO DE ESPALDA GOLPEANDOSE LADO DERECHO A NIVEL DE LA CINTURA Y SU CODO IZQUERDO "/>
    <s v="CONDICION"/>
    <s v="SI"/>
    <s v="SI"/>
    <s v="ALAN CARRASCO"/>
    <s v="CHRISTIAN JHONS"/>
  </r>
  <r>
    <x v="0"/>
    <s v="ENERO"/>
    <s v="EL PAICO"/>
    <s v="MIRANDA GOMEZ"/>
    <s v="JOSELYN"/>
    <s v="FEMENINO"/>
    <s v="18487450-4"/>
    <d v="2022-05-09T00:00:00"/>
    <n v="8"/>
    <d v="2023-01-23T00:00:00"/>
    <s v="INTERMEDIO"/>
    <d v="2023-01-24T00:00:00"/>
    <d v="2023-01-28T00:00:00"/>
    <s v="N/A"/>
    <n v="5"/>
    <s v="CTP"/>
    <s v="N/A"/>
    <s v="N/A"/>
    <x v="6"/>
    <s v="EMPAQUE"/>
    <s v="OPERARIO"/>
    <s v="CAMARINES DE MUJER"/>
    <s v="N/A"/>
    <s v="TARDE"/>
    <d v="1899-12-30T14:15:00"/>
    <s v="LUNES"/>
    <s v="SEMANA 4"/>
    <n v="15436"/>
    <s v="NC-10-23"/>
    <s v="FRANCISCO QUEZADA"/>
    <s v="JUAN VILLAVICENCIO"/>
    <n v="29"/>
    <s v="Infraestructura"/>
    <x v="4"/>
    <s v="Contusión"/>
    <s v="Golpeado contra"/>
    <s v="TRABAJADORA QUE SE ENCONTRABA CAMBIANDO SU VESTIMENTA EN CAMARINES DE MUJER SE GOLPEA DEDO MEÑIQUE DEL PIE DERECHO CON UNA SILLA DE FIERRO PRESENTE EN EL LUGAR"/>
    <s v="ACCION"/>
    <s v="SI"/>
    <s v="SI"/>
    <s v="ALAN CARRASCO"/>
    <s v="CHRISTIAN JHONS"/>
  </r>
  <r>
    <x v="0"/>
    <s v="FEBRERO"/>
    <s v="EL PAICO"/>
    <s v="GUAJARDO VERA"/>
    <s v="SEBASTIAN"/>
    <s v="MASCULINO"/>
    <s v="19211824-7"/>
    <d v="2021-05-03T00:00:00"/>
    <n v="21"/>
    <d v="2023-02-03T00:00:00"/>
    <s v="ANTIGUO"/>
    <s v="N/A"/>
    <s v="N/A"/>
    <s v="N/A"/>
    <n v="0"/>
    <s v="STP"/>
    <s v="LGF"/>
    <s v="LGF4"/>
    <x v="7"/>
    <s v="REPORTE DE CAJAS"/>
    <s v="MECANICO"/>
    <s v="REPORTE DE CAJAS"/>
    <s v="EQUIPO PARA MOVIMIENTO DE CARGA (GRUAS O TRANSPALETAS)"/>
    <s v="MAÑANA"/>
    <d v="1899-12-30T10:26:00"/>
    <s v="VIERNES"/>
    <s v="SEMANA 5"/>
    <m/>
    <m/>
    <s v="VICTOR GOMEZ"/>
    <s v="NICOLAS ROJAS"/>
    <n v="27"/>
    <s v="Equipos Transporte de carga"/>
    <x v="4"/>
    <s v="Contusión"/>
    <s v="Golpeado por"/>
    <s v="TRABAJADOR ESTEBA REPARANDO UNA MAQUINA AL COSTADO DE LA LINEA DE CONGELADO (PP) REVISANDO UNA MAQUINA CUANDO EL OPERADOR DE TRANPALETA RETROCEDE Y GOLPEA SU TOBILLO DERECHO"/>
    <s v="ACCION"/>
    <s v="SI"/>
    <s v="NO"/>
    <s v="NICOLAS GOMEZ"/>
    <s v="CARLOS CARTAGENA"/>
  </r>
  <r>
    <x v="0"/>
    <s v="FEBRERO"/>
    <s v="EL PAICO"/>
    <s v="ZARATE BALLESTEROS"/>
    <s v="MANUEL"/>
    <s v="MASCULINO"/>
    <s v="20123390-9"/>
    <d v="2021-11-22T00:00:00"/>
    <n v="14"/>
    <d v="2023-02-07T00:00:00"/>
    <s v="INTERMEDIO"/>
    <s v="N/A"/>
    <s v="N/A"/>
    <s v="N/A"/>
    <n v="0"/>
    <s v="STP"/>
    <s v="N/A"/>
    <s v="N/A"/>
    <x v="0"/>
    <s v="CHILLER DE PANAS"/>
    <s v="OPERARIO"/>
    <s v="CHILLER DE PANAS"/>
    <s v="N/A"/>
    <s v="TARDE"/>
    <d v="1899-12-30T22:30:00"/>
    <s v="MARTES"/>
    <s v="SEMANA 6"/>
    <m/>
    <m/>
    <s v="NICOLAS MOYANO"/>
    <s v="CESAR CARTAGENA"/>
    <n v="24"/>
    <s v="Materia Prima"/>
    <x v="5"/>
    <s v="Conjuntivitis"/>
    <s v="Proyeccion de particulas"/>
    <s v="TRABAJADOR SE ENCONTRABA LIMPIANDO PANAS DE POLLO EN SALA DE CHILLER DE PANAS EN ESE MOMENTO SE PROYECTADA BILIS AL OJO DERECHO"/>
    <s v="ACCION"/>
    <s v="SI"/>
    <s v="NO"/>
    <s v="NICOLAS GOMEZ"/>
    <s v="CHRISTIAN JHONS"/>
  </r>
  <r>
    <x v="0"/>
    <s v="FEBRERO"/>
    <s v="EL PAICO"/>
    <s v=" REYES FUENTES"/>
    <s v="JONHFER"/>
    <s v="MASCULINO"/>
    <s v="26466499-3"/>
    <d v="2020-02-24T00:00:00"/>
    <n v="35"/>
    <d v="2023-02-11T00:00:00"/>
    <s v="ANTIGUO"/>
    <s v="N/A"/>
    <s v="N/A"/>
    <s v="N/A"/>
    <n v="0"/>
    <s v="STP"/>
    <s v="N/A"/>
    <s v="N/A"/>
    <x v="2"/>
    <s v="TRAZADO DE PAVO"/>
    <s v="OPERARIO"/>
    <s v="SALA JAPON "/>
    <s v="N/A"/>
    <s v="NOCHE"/>
    <d v="1899-12-30T03:30:00"/>
    <s v="SABADO"/>
    <s v="SEMANA 6"/>
    <m/>
    <m/>
    <s v="CARLOS JIMENEZ"/>
    <s v="PATRICIO MACIEL "/>
    <n v="39"/>
    <s v="Producto quimico"/>
    <x v="5"/>
    <s v="Quemadura"/>
    <s v="Exposicion a humo y gases"/>
    <s v="COLABORADOR SUFRE INHALACION DE VAPOR DEL CLORO AL MEZACLAR AGUA CALIENTE, EN SALA JAPON "/>
    <s v="ACCION"/>
    <s v="SI"/>
    <s v="NO"/>
    <s v="ALAN CARRASCO "/>
    <s v="CHRISTIAN JHONS"/>
  </r>
  <r>
    <x v="0"/>
    <s v="FEBRERO"/>
    <s v="EL PAICO"/>
    <s v="ORTIZ GONZALEZ"/>
    <s v="AUGUSTO"/>
    <s v="MASCULINO"/>
    <s v="15532741-3"/>
    <d v="2022-07-25T00:00:00"/>
    <n v="6"/>
    <d v="2023-02-14T00:00:00"/>
    <s v="NUEVO"/>
    <s v="N/A"/>
    <s v="N/A"/>
    <s v="N/A"/>
    <n v="0"/>
    <s v="STP"/>
    <s v="N/A"/>
    <s v="N/A"/>
    <x v="8"/>
    <s v="PULPA"/>
    <s v="OPERARIO"/>
    <s v="PULPA"/>
    <s v="N/A"/>
    <s v="MAÑANA"/>
    <d v="1899-12-30T08:30:00"/>
    <s v="MARTES"/>
    <s v="SEMANA 7"/>
    <m/>
    <m/>
    <s v="OCTAVIO MUÑOZ"/>
    <s v="ALEJANDRO SALAS"/>
    <n v="41"/>
    <s v="Otros"/>
    <x v="6"/>
    <s v="Contusión"/>
    <s v="Golpeado contra"/>
    <s v="COLABORADOR SUFRE GOLPE EN TESTICULO, AL ESTAR VACIANDO BANDEJAS ESTE REVALA Y SE PRODUCE EL GOLPE "/>
    <s v="ACCION"/>
    <s v="SI"/>
    <s v="NO"/>
    <s v="ALAN CARRASCO "/>
    <s v="WLADIMIR CALDERON "/>
  </r>
  <r>
    <x v="0"/>
    <s v="FEBRERO"/>
    <s v="EL PAICO"/>
    <s v="HERRERA PINTO"/>
    <s v="JHONY"/>
    <s v="MASCULINO"/>
    <s v="20789495-8"/>
    <d v="2022-11-29T00:00:00"/>
    <n v="2"/>
    <d v="2023-02-15T00:00:00"/>
    <s v="NUEVO"/>
    <s v="N/A"/>
    <s v="N/A"/>
    <s v="N/A"/>
    <n v="0"/>
    <s v="STP"/>
    <s v="N/A"/>
    <s v="N/A"/>
    <x v="1"/>
    <s v="TROZADO DE POLLO"/>
    <s v="OPERARIO"/>
    <s v="TROZADO DE POLLO AUTOMATICO"/>
    <m/>
    <s v="MAÑANA"/>
    <d v="1899-12-30T14:50:00"/>
    <s v="MIERCOLES"/>
    <s v="SEMANA 7"/>
    <m/>
    <m/>
    <s v="DANIEL GARRIDO"/>
    <s v="JOSE CARVALLO"/>
    <n v="22"/>
    <s v="Infraestructura"/>
    <x v="7"/>
    <s v="Contusión"/>
    <s v="Golpeado por"/>
    <s v="TRABAJADOR QUE SE ENCONTRABA DE REGRESO DE SU HORARIO DE COLACION SE ENCONTRABA ALISTANDO SU PECHERA DE TRABAJO, CUANDO CAE SOBRE SU ESPALDA UN GANCHO METALICO. "/>
    <s v="CONDICION "/>
    <s v="SI"/>
    <s v="NO"/>
    <s v="ALAN CARRASCO"/>
    <s v="CARLOS CARTAGENA"/>
  </r>
  <r>
    <x v="0"/>
    <s v="FEBRERO"/>
    <s v="EL PAICO"/>
    <s v="ZUAZO GARAY"/>
    <s v="ALEJANDRO "/>
    <s v="MASCULINO"/>
    <s v="20403022-7"/>
    <d v="2022-08-18T00:00:00"/>
    <n v="5"/>
    <d v="2023-02-15T00:00:00"/>
    <s v="NUEVO"/>
    <d v="2023-02-15T00:00:00"/>
    <d v="2023-02-15T00:00:00"/>
    <s v="N/A"/>
    <n v="0"/>
    <s v="STP"/>
    <s v="N/A"/>
    <s v="N/A"/>
    <x v="1"/>
    <s v="T. AUTOMATICO"/>
    <s v="OPERARIO"/>
    <s v="BISN DE CARCASA"/>
    <s v="N/A"/>
    <s v="MAÑANA"/>
    <d v="1899-12-30T07:05:00"/>
    <s v="MIERCOLES"/>
    <s v="SEMANA 7"/>
    <n v="15478"/>
    <s v="NC-99-23"/>
    <s v="DANIEL GARRIDO"/>
    <s v="JOSE CARVALLO"/>
    <n v="22"/>
    <s v="Bins"/>
    <x v="2"/>
    <s v="Contusión"/>
    <s v="Golpeado contra"/>
    <s v="COLABORADOR AL RETIRAR BINS DE CARCASAS PARA SACARA BADEJAS, EL BINS SE DEVUELVE Y PROBOCA EL APICIONAMIENTO CONTRA LA ESTRUCTURA DE LA CINTA, PROBOCANDO UNA CONTUSION EN MANO DERECHA"/>
    <s v="ACCION"/>
    <s v="SI"/>
    <s v="SI"/>
    <s v="ALAN CARRASCO "/>
    <s v="CHRISTIAN JHONS"/>
  </r>
  <r>
    <x v="0"/>
    <s v="FEBRERO"/>
    <s v="EL PAICO"/>
    <s v="FIGUEROA RECABARREN"/>
    <s v="JASON "/>
    <s v="MASCULINO"/>
    <s v="21242262-2"/>
    <d v="2022-11-07T00:00:00"/>
    <n v="3"/>
    <d v="2023-02-16T00:00:00"/>
    <s v="NUEVO"/>
    <s v="N/A"/>
    <s v="N/A"/>
    <s v="N/A"/>
    <n v="0"/>
    <s v="STP"/>
    <s v="N/A"/>
    <s v="N/A"/>
    <x v="8"/>
    <s v="REPORTE DE CAJAS"/>
    <s v="OPERARIO"/>
    <s v="REPORTE DE CAJAS"/>
    <s v="N/A"/>
    <s v="MAÑANA"/>
    <d v="1899-12-30T08:28:00"/>
    <s v="JUEVES"/>
    <s v="SEMANA 7"/>
    <m/>
    <m/>
    <s v="OCTAVIO MUÑOZ"/>
    <s v="MARCOS QUINTANILLA"/>
    <n v="20"/>
    <s v="Pallet"/>
    <x v="2"/>
    <s v="Herida cortante"/>
    <s v="Contacto con cuerpo punzante"/>
    <s v="COLABORADOR AL BAJAR UN PALLET SE CORTA EL DEDO ANULAR IZQUIERDO , AL ESTAR BAJANDO CAJAS "/>
    <s v="CONDICION"/>
    <s v="SI"/>
    <s v="NO"/>
    <s v="ALAN CARRASCO "/>
    <s v="CHRISTIAN JHONS"/>
  </r>
  <r>
    <x v="0"/>
    <s v="FEBRERO"/>
    <s v="EL PAICO"/>
    <s v="MENDEZ DEL CASTILLO"/>
    <s v="DANIELA "/>
    <s v="FEMENINO"/>
    <s v="15822820-3"/>
    <d v="2021-01-25T00:00:00"/>
    <n v="24"/>
    <d v="2023-02-18T00:00:00"/>
    <s v="ANTIGUO"/>
    <d v="2023-02-20T00:00:00"/>
    <d v="2023-02-25T00:00:00"/>
    <s v="N/A"/>
    <n v="6"/>
    <s v="CTP"/>
    <s v="N/A"/>
    <s v="N/A"/>
    <x v="1"/>
    <s v="T. AUTOMATICO"/>
    <s v="OPERARIO"/>
    <s v="DEHUESADO"/>
    <s v="N/A"/>
    <s v="TARDE"/>
    <d v="1899-12-30T22:45:00"/>
    <s v="VIERNES"/>
    <s v="SEMANA 7"/>
    <n v="15494"/>
    <s v="NC-16-2023"/>
    <s v="DANIEL GARRIDO"/>
    <s v="RAMIRO RAMIREZ"/>
    <n v="38"/>
    <s v="Materia Prima"/>
    <x v="1"/>
    <s v="Contusión"/>
    <s v="Caida de mismo nivel"/>
    <s v="COLABORADORA  SUFRE CAIDA A NIVEL MAS CONTUSION EN RODILLA IZQUIERDA Y SENO DERECHO, AL PISAR MATERIA PRIMA CUANDO SE DIRIGIA A LOS CAMARINES EN T. AUTOMATICO"/>
    <s v="CONDICION"/>
    <s v="SI"/>
    <s v="SI"/>
    <s v="ALAN CARRASCO "/>
    <s v="MICHELLE SANCHEZ"/>
  </r>
  <r>
    <x v="0"/>
    <s v="FEBRERO"/>
    <s v="EL PAICO"/>
    <s v="OLATE CASTILLO"/>
    <s v="KATHERINE"/>
    <s v="FEMENINO"/>
    <s v="16181592-6"/>
    <d v="2012-05-07T00:00:00"/>
    <n v="129"/>
    <d v="2023-02-18T00:00:00"/>
    <s v="ANTIGUO"/>
    <s v="N/A"/>
    <s v="N/A"/>
    <s v="N/A"/>
    <n v="0"/>
    <s v="STP"/>
    <s v="N/A"/>
    <s v="N/A"/>
    <x v="1"/>
    <s v="PORTERIA"/>
    <s v="OPERARIO"/>
    <s v="PORTERIA "/>
    <s v="N/A"/>
    <s v="MAÑANA"/>
    <d v="1899-12-30T06:15:00"/>
    <s v="SABADO"/>
    <s v="SEMANA 7"/>
    <m/>
    <m/>
    <s v="DANIEL GARRIDO"/>
    <s v="JOSE CARVALLO"/>
    <n v="38"/>
    <s v="Otros"/>
    <x v="2"/>
    <s v="Contusión"/>
    <s v="Caida de mismo nivel"/>
    <s v="COLABORADORA SUFRE CAIDA A NIVEL  APOYANDO AMBAS MANOS EN EL PISO, AL INGRESAR A LA PLANTA, ESTA TRPIEZA Y CAE "/>
    <s v="ACCION"/>
    <s v="SI"/>
    <s v="NO"/>
    <s v="ALAN CARRASCO "/>
    <s v="WLADIMIR CALDERON "/>
  </r>
  <r>
    <x v="0"/>
    <s v="FEBRERO"/>
    <s v="EL PAICO"/>
    <s v="ARMIJO CORDERO"/>
    <s v="FRANCISCO"/>
    <s v="MASCULINO"/>
    <s v="7.885.635-1"/>
    <d v="2004-09-22T00:00:00"/>
    <n v="221"/>
    <d v="2023-02-25T00:00:00"/>
    <s v="ANTIGUO"/>
    <s v="N/A"/>
    <s v="N/A"/>
    <s v="N/A"/>
    <n v="0"/>
    <s v="STP"/>
    <s v="N/A"/>
    <s v="N/A"/>
    <x v="9"/>
    <s v="BAÑOS FAENA"/>
    <s v="OPERARIO"/>
    <s v="BAÑO EVISERADO"/>
    <s v="N/A"/>
    <s v="MAÑANA"/>
    <d v="1899-12-30T05:15:00"/>
    <s v="SABADO"/>
    <s v="SEMANA 8"/>
    <m/>
    <m/>
    <s v="DANIEL GARRIDO"/>
    <s v="JAQUELIN PAVEZ"/>
    <n v="64"/>
    <s v="Infraestructura"/>
    <x v="2"/>
    <s v="Herida cortante"/>
    <s v="Contacto con cuerpo cortante"/>
    <s v="COLABORADOR SUFRE CORTE EN DEDO INDICE DE MANO DERECHA AL APOYARSE EN PUERTA DE BAÑO DE EVISERADO"/>
    <s v="CONDICION"/>
    <s v="SI"/>
    <s v="NO"/>
    <s v="ALAN CARRASCO "/>
    <s v="CHRISTIAN JHONS"/>
  </r>
  <r>
    <x v="0"/>
    <s v="FEBRERO"/>
    <s v="EL PAICO"/>
    <s v="BAHAMONDEZ ABARCA"/>
    <s v="MARIA TERESA"/>
    <s v="FEMENINO"/>
    <s v="11527148-2"/>
    <d v="1998-03-17T00:00:00"/>
    <n v="299"/>
    <d v="2023-02-28T00:00:00"/>
    <s v="ANTIGUO"/>
    <s v="N/A"/>
    <s v="N/A"/>
    <s v="N/A"/>
    <n v="0"/>
    <s v="STP"/>
    <s v="N/A"/>
    <s v="N/A"/>
    <x v="8"/>
    <s v="REPORTE DE CAJAS"/>
    <s v="OPERARIO"/>
    <s v="REPORTE DE CAJAS"/>
    <s v="N/A"/>
    <s v="MAÑANA"/>
    <d v="1899-12-30T05:30:00"/>
    <s v="MARTES"/>
    <s v="SEMANA 9"/>
    <m/>
    <m/>
    <s v="OCTAVIO MUÑOZ"/>
    <s v="MARCOS QUINTANILLA"/>
    <n v="52"/>
    <s v="Materiales"/>
    <x v="2"/>
    <s v="Contusión"/>
    <s v="Golpeado contra"/>
    <s v="COLABORA SUFRE CONTUSION EN MANO DERECHA CUANDO SE ENCONTRABA CAMBIANDO ROLLO DE LAMINA EN MAQUINA ISHIDA"/>
    <s v="CONDICION"/>
    <s v="SI"/>
    <s v="NO"/>
    <s v="NICOLAS GOMEZ"/>
    <s v="CHISTIAN JHONS"/>
  </r>
  <r>
    <x v="0"/>
    <s v="MARZO"/>
    <s v="EL PAICO"/>
    <s v="ESPINOZA MALDONADO"/>
    <s v="ROMINA"/>
    <s v="FEMENINO"/>
    <s v="17986193-3"/>
    <d v="2017-08-16T00:00:00"/>
    <n v="66"/>
    <d v="2023-03-01T00:00:00"/>
    <s v="ANTIGUO"/>
    <d v="2023-03-01T00:00:00"/>
    <d v="2023-03-02T00:00:00"/>
    <s v="N/A"/>
    <n v="2"/>
    <s v="CTP"/>
    <s v="LGF"/>
    <s v="LGF3"/>
    <x v="2"/>
    <s v="SALA DE TAMBLE"/>
    <s v="OPERARIO"/>
    <s v="SALA DE TAMBLE"/>
    <s v="N/A"/>
    <s v="NOCHE"/>
    <d v="1899-12-30T04:00:00"/>
    <s v="MIERCOLES"/>
    <s v="SEMANA 9"/>
    <n v="15530"/>
    <s v="NC-19-2023"/>
    <s v="CARLOS JIMENEZ"/>
    <s v="PATRICIO PALACIOS"/>
    <n v="31"/>
    <s v="Producto quimico"/>
    <x v="1"/>
    <s v="Quemadura"/>
    <s v="Contacto con sustancias toxicas"/>
    <s v="COLABORADORA QUE SE ENCONTRABA ESPONJANDO TAMBLED, AL MOMENTO DEL ENJUAGE DERRAMA DETERGENTE BIO REMOVE EN PIERNA DERECHA."/>
    <s v="ACCION"/>
    <s v="SI"/>
    <s v="SI"/>
    <s v="ALAN CARRASCO "/>
    <s v="CHISTIAN JHONS"/>
  </r>
  <r>
    <x v="0"/>
    <s v="MARZO"/>
    <s v="EL PAICO"/>
    <s v="SANTIBAÑEZ MARIN"/>
    <s v="KARLA"/>
    <s v="FEMENINO"/>
    <s v="17802999-1"/>
    <d v="2020-05-29T00:00:00"/>
    <n v="33"/>
    <d v="2023-03-01T00:00:00"/>
    <s v="ANTIGUO"/>
    <s v="N/A"/>
    <s v="N/A"/>
    <s v="N/A"/>
    <n v="0"/>
    <s v="STP"/>
    <s v="N/A"/>
    <s v="N/A"/>
    <x v="5"/>
    <s v="METALQUIMIA"/>
    <s v="OPERARIO"/>
    <s v="METALQUIMIA"/>
    <s v="N/A"/>
    <s v="NOCHE"/>
    <d v="1899-12-30T01:20:00"/>
    <s v="MIERCOLES"/>
    <s v="SEMANA 9"/>
    <m/>
    <m/>
    <s v="GUILLERMO NARVAEZ"/>
    <s v="FRANCISCO SANCHEZ"/>
    <n v="32"/>
    <s v="Producto quimico"/>
    <x v="5"/>
    <s v="Otros"/>
    <s v="Proyeccion de particulas"/>
    <s v="COLABORADORA QUE SE ENCONTRABAN ASEANDO MAQUINA METALQUIMIA, AL APLICAR  BIO REMOVE SUFRE SALPICADURA DE ESTE EN SU OJO DERECHO."/>
    <s v="ACCION"/>
    <s v="SI"/>
    <s v="NO"/>
    <s v="ALAN CARRASCO "/>
    <s v="CHISTIAN JHONS"/>
  </r>
  <r>
    <x v="0"/>
    <s v="MARZO"/>
    <s v="EL PAICO"/>
    <s v="AGUILAR CORTES"/>
    <s v="LUIS"/>
    <s v="MASCULINO"/>
    <s v="9886055-K"/>
    <d v="2019-06-17T00:00:00"/>
    <n v="44"/>
    <d v="2023-03-01T00:00:00"/>
    <s v="ANTIGUO"/>
    <s v="N/A"/>
    <s v="N/A"/>
    <s v="N/A"/>
    <n v="0"/>
    <s v="STP"/>
    <s v="N/A"/>
    <s v="N/A"/>
    <x v="2"/>
    <s v="EVISCERADO"/>
    <s v="OPERARIO"/>
    <s v="EVICERADO"/>
    <s v="N/A"/>
    <s v="NOCHE"/>
    <d v="1899-12-30T22:05:00"/>
    <s v="MIERCOLES"/>
    <s v="SEMANA 9"/>
    <m/>
    <m/>
    <s v="CARLOS JIMENEZ"/>
    <s v="LUIS URBINA"/>
    <n v="59"/>
    <s v="Producto quimico"/>
    <x v="5"/>
    <s v="Otros"/>
    <s v="Proyeccion de particulas"/>
    <s v="COLABORADOR QUE SE ENCONTRABA TRANVASIJANDO DETERGENTE, SUFRE SALPICADURA EN SU OJO IZQUERDO"/>
    <s v="ACCION"/>
    <s v="SI"/>
    <s v="NO"/>
    <s v="ALAN CARRASCO "/>
    <s v="WLADIMIR CALDERON "/>
  </r>
  <r>
    <x v="0"/>
    <s v="MARZO"/>
    <s v="EL PAICO"/>
    <s v="PAVEZ CARMONA"/>
    <s v="CAMILA "/>
    <s v="FEMENINO"/>
    <s v="19382606-7"/>
    <d v="2022-07-25T00:00:00"/>
    <n v="7"/>
    <d v="2023-03-02T00:00:00"/>
    <s v="INTERMEDIO"/>
    <d v="2023-03-09T00:00:00"/>
    <d v="2023-03-15T00:00:00"/>
    <s v="N/A"/>
    <n v="7"/>
    <s v="CTP"/>
    <s v="N/A"/>
    <s v="N/A"/>
    <x v="7"/>
    <s v="SALA DE PINTURA"/>
    <s v="TECNICO"/>
    <s v="GALPON DE PINTURA"/>
    <s v="N/A"/>
    <s v="TARDE"/>
    <d v="1899-12-30T16:35:00"/>
    <s v="JUEVES"/>
    <s v="SEMANA 9"/>
    <n v="15554"/>
    <s v="NC-18-2023"/>
    <s v="VICTOR GOMEZ"/>
    <s v="FRANCISCO ACEVEDO"/>
    <n v="27"/>
    <s v="Superficies de transito"/>
    <x v="4"/>
    <s v="Contusión"/>
    <s v="Golpeado contra"/>
    <s v="COLABORADORA SE DIRIGIA A SALA DE PINTURAS Y NO VE GRUA ESTACIONADA EN EL PATIO, CON LA CUAL SE PORBOCA UN ATRAPAMIENTO CON SU PIE DERECHO, PROBOCANDO UNA CONTUSION "/>
    <s v="ACCION"/>
    <s v="SI"/>
    <s v="SI"/>
    <s v="ALAN CARRASCO"/>
    <s v="CARLOS CARTAGENA"/>
  </r>
  <r>
    <x v="0"/>
    <s v="MARZO"/>
    <s v="EL PAICO"/>
    <s v="CASTRO CABRERA"/>
    <s v="ALEJANDRA"/>
    <s v="FEMENINO"/>
    <s v="13771008-0"/>
    <d v="2022-12-20T00:00:00"/>
    <n v="2"/>
    <d v="2023-03-04T00:00:00"/>
    <s v="NUEVO"/>
    <s v="N/A"/>
    <s v="N/A"/>
    <s v="N/A"/>
    <n v="0"/>
    <s v="STP"/>
    <s v="N/A"/>
    <s v="N/A"/>
    <x v="1"/>
    <s v="SELECCIÓN PECHUGA"/>
    <s v="OPERARIO"/>
    <s v="ESCALERAS COSTADO DE INGRESO PRINCIPAL"/>
    <s v="N/A"/>
    <s v="MAÑANA"/>
    <d v="1899-12-30T11:10:00"/>
    <s v="SABADO"/>
    <s v="SEMANA 9"/>
    <m/>
    <m/>
    <s v="DANIEL GARRIDO"/>
    <s v="JOSE CARVALLO"/>
    <n v="43"/>
    <s v="Otros"/>
    <x v="7"/>
    <s v="Contusión"/>
    <s v="Caida de distinto nivel"/>
    <s v="COLABORADORA SE ENCONTRABA BAJANDO POR LAS ESCALERAS UBICADAS AL COSTADO DE ENTRADA PRINCIPAL, SE RESBALA PROBONCANDO UNA CONTUCION EN COXIS."/>
    <s v="ACCION"/>
    <s v="SI"/>
    <s v="NO"/>
    <s v="NICOLAS GOMEZ"/>
    <s v="CHISTIAN JHONS"/>
  </r>
  <r>
    <x v="0"/>
    <s v="MARZO"/>
    <s v="EL PAICO"/>
    <s v="CARREÑO CERDA"/>
    <s v="FRANCISCO"/>
    <s v="MASCULINO"/>
    <s v="16340355-2"/>
    <d v="2022-10-17T00:00:00"/>
    <n v="4"/>
    <d v="2023-03-03T00:00:00"/>
    <s v="NUEVO"/>
    <d v="2023-03-03T00:00:00"/>
    <d v="2023-03-03T00:00:00"/>
    <s v="N/A"/>
    <n v="0"/>
    <s v="STP"/>
    <s v="N/A"/>
    <s v="N/A"/>
    <x v="0"/>
    <s v="COLGADO DE AVES"/>
    <s v="OPERARIO"/>
    <s v="COLGADO DE AVES"/>
    <s v="N/A"/>
    <s v="MAÑANA"/>
    <d v="1899-12-30T07:00:00"/>
    <s v="VIERNES"/>
    <s v="SEMANA 9"/>
    <n v="15542"/>
    <s v="NC-23-2023"/>
    <s v="NICOLAS MOYANO"/>
    <s v="CRISTIAN MESA"/>
    <n v="37"/>
    <s v="Animales - Insectos"/>
    <x v="5"/>
    <s v="Conjuntivitis"/>
    <s v="Proyeccion de particulas"/>
    <s v="COLABORADOR SE ENCONTRABA EN LINEA COLGADO DE AVES, CUANDO SUFRE UNA PROYECCION DE PARTICULA EN OJO DERECHO PROVOCANDO INFLAMACION EN LA PARTE AFECTADA"/>
    <s v="CONDICION"/>
    <s v="SI"/>
    <s v="SI"/>
    <s v="NICOLAS GOMEZ"/>
    <s v="CARLOS CARTAGENA"/>
  </r>
  <r>
    <x v="0"/>
    <s v="MARZO"/>
    <s v="EL PAICO"/>
    <s v="HUINAO CARTAGENA"/>
    <s v="MANUEL"/>
    <s v="MASCULINO"/>
    <s v="15403657-1"/>
    <d v="2022-11-04T00:00:00"/>
    <n v="4"/>
    <d v="2023-03-08T00:00:00"/>
    <s v="NUEVO"/>
    <d v="2023-03-10T00:00:00"/>
    <d v="2023-03-10T00:00:00"/>
    <s v="N/A"/>
    <n v="0"/>
    <s v="STP"/>
    <s v="N/A"/>
    <s v="N/A"/>
    <x v="5"/>
    <s v="IQF 1"/>
    <s v="OPERARIO"/>
    <s v="IQF1"/>
    <s v="N/A"/>
    <s v="TARDE"/>
    <d v="1899-12-30T18:35:00"/>
    <s v="MIERCOLES"/>
    <s v="SEMANA 10"/>
    <n v="15564"/>
    <s v="NC-21-2023"/>
    <s v="GUILLERMO NARVAEZ"/>
    <m/>
    <n v="39"/>
    <s v="Materiales"/>
    <x v="2"/>
    <s v="Contusión"/>
    <s v="Golpeado por"/>
    <s v="COLABORADOR SUFRE CONTUSION EN MUÑECA IZQUERDA CUANDO SE ENCONTRABA ARMANDO PALLET CON BANDEJAS DE FILETILLO DE POLLO "/>
    <s v="ACCION"/>
    <s v="SI"/>
    <s v="SI"/>
    <s v="NICOLAS GOMEZ"/>
    <s v="CHISTIAN JHONS"/>
  </r>
  <r>
    <x v="0"/>
    <s v="MARZO"/>
    <s v="EL PAICO"/>
    <s v="CHAVANNES"/>
    <s v="ESTILUS"/>
    <s v="MASCULINO"/>
    <s v="26172618-1"/>
    <d v="2019-10-14T00:00:00"/>
    <n v="40"/>
    <d v="2023-03-08T00:00:00"/>
    <s v="ANTIGUO"/>
    <s v="N/A"/>
    <s v="N/A"/>
    <s v="N/A"/>
    <n v="0"/>
    <s v="STP"/>
    <s v="N/A"/>
    <s v="N/A"/>
    <x v="0"/>
    <s v="EVISCERADO"/>
    <s v="OPERARIO"/>
    <s v="EVICERADO"/>
    <s v="N/A"/>
    <s v="TARDE"/>
    <d v="1899-12-30T18:20:00"/>
    <s v="MIERCOLES"/>
    <s v="SEMANA 10"/>
    <m/>
    <m/>
    <s v="NICOLAS MOYANO"/>
    <s v="ERWIN GATICA"/>
    <n v="34"/>
    <s v="Cuchillo"/>
    <x v="4"/>
    <s v="Herida cortante"/>
    <s v="Contacto con cuerpo cortante"/>
    <s v="COLABORADOR SE ENCONTRABA SACANDO FILO A CUCHILLO, CUANDO ESTE CAE EN SU PIE DERECHO PRODUCIENDO UNA HERIDA CORTANTE"/>
    <s v="CONDICION"/>
    <s v="SI"/>
    <s v="NO"/>
    <s v="NICOLAS GOMEZ"/>
    <s v="CHRISTIAN JHONS"/>
  </r>
  <r>
    <x v="0"/>
    <s v="MARZO"/>
    <s v="EL PAICO"/>
    <s v="MIRANDA GOMEZ"/>
    <s v="ANA GABRIELA"/>
    <s v="FEMENINO"/>
    <s v="18778202-3"/>
    <d v="2022-07-26T00:00:00"/>
    <n v="7"/>
    <d v="2023-03-09T00:00:00"/>
    <s v="INTERMEDIO"/>
    <s v="N/A"/>
    <s v="N/A"/>
    <s v="N/A"/>
    <n v="0"/>
    <s v="STP"/>
    <s v="N/A"/>
    <s v="N/A"/>
    <x v="5"/>
    <s v="CALIBRADO"/>
    <s v="OPERARIO"/>
    <s v="CALIBRADO"/>
    <s v="N/A"/>
    <s v="TARDE"/>
    <d v="1899-12-30T15:15:00"/>
    <s v="JUEVES"/>
    <s v="SEMANA 10"/>
    <m/>
    <m/>
    <s v="GUILLERMO NARVAEZ"/>
    <s v="MAXIMO CAMPOS"/>
    <n v="29"/>
    <s v="Infraestructura"/>
    <x v="1"/>
    <s v="Contusión"/>
    <s v="Golpeado contra"/>
    <s v="COLABORADORA SE ENCONTRABA BAJANDO ESCALERAS EN CALIBRADO CUANDO SE GOLPEA LA RODILLLA IZQUERDA CON PASAMANOS "/>
    <s v="ACCION"/>
    <s v="SI"/>
    <s v="NO"/>
    <s v="ALAN CARRASCO"/>
    <s v="WLADIMIR CALDERON "/>
  </r>
  <r>
    <x v="0"/>
    <s v="MARZO"/>
    <s v="EL PAICO"/>
    <s v="RIQUELME JARA"/>
    <s v="LUIS FELIPE"/>
    <s v="MASCULINO"/>
    <s v="20140706-0"/>
    <d v="2022-11-11T00:00:00"/>
    <n v="3"/>
    <d v="2023-03-10T00:00:00"/>
    <s v="NUEVO"/>
    <d v="2023-03-10T00:00:00"/>
    <d v="2023-03-10T00:00:00"/>
    <s v="N/A"/>
    <n v="0"/>
    <s v="STP"/>
    <s v="N/A"/>
    <s v="N/A"/>
    <x v="5"/>
    <s v="IQF CALIBRADO A"/>
    <s v="OPERARIO"/>
    <s v="BICICLETERO"/>
    <s v="N/A"/>
    <s v="MAÑANA"/>
    <d v="1899-12-30T06:00:00"/>
    <s v="VIERNES"/>
    <s v="SEMANA 10"/>
    <s v="N/A"/>
    <s v="NC-22-2023"/>
    <s v="GUILLERMO NARVAEZ"/>
    <m/>
    <n v="23"/>
    <s v="Superficies de transito"/>
    <x v="3"/>
    <s v="Contusión"/>
    <s v="Caida de mismo nivel"/>
    <s v="COLABORADOR SUFRE CAIDA AL INGRESO DE LA PLANTA "/>
    <s v="CONDICION"/>
    <s v="SI"/>
    <s v="SI"/>
    <s v="ALAN CARRASCO"/>
    <s v="CARLOS CARTAGENA"/>
  </r>
  <r>
    <x v="0"/>
    <s v="MARZO"/>
    <s v="EL PAICO"/>
    <s v="HERRERA PINTO"/>
    <s v="JHONY"/>
    <s v="MASCULINO"/>
    <s v="20789495-8"/>
    <d v="2022-11-29T00:00:00"/>
    <n v="3"/>
    <d v="2023-03-14T00:00:00"/>
    <s v="NUEVO"/>
    <s v="N/A"/>
    <s v="N/A"/>
    <s v="N/A"/>
    <n v="0"/>
    <s v="STP"/>
    <s v="N/A"/>
    <s v="N/A"/>
    <x v="1"/>
    <s v="T. AUTOMATICO"/>
    <s v="OPERARIO"/>
    <s v="T. AUTOMATICO"/>
    <s v="N/A"/>
    <s v="MAÑANA"/>
    <d v="1899-12-30T09:45:00"/>
    <s v="MARTES"/>
    <s v="SEMANA 11"/>
    <m/>
    <m/>
    <s v="DANIEL GARRIDO"/>
    <s v="JOSE CARVALLO"/>
    <n v="22"/>
    <s v="Infraestructura"/>
    <x v="1"/>
    <s v="Contusión"/>
    <s v="Golpeado por"/>
    <s v="COLABORADOR SUFRE GOLPE EN PIERNA DERECHA CON BASE METALICA DE GANCHO QUE SE DESPRENDE DE UNA CINTA "/>
    <s v="CONDICION"/>
    <s v="SI"/>
    <s v="NO"/>
    <s v="NICOLAS GOMEZ"/>
    <s v="WLADIMIR CALDERON "/>
  </r>
  <r>
    <x v="0"/>
    <s v="MARZO"/>
    <s v="EL PAICO"/>
    <s v="RODRIGUEZ ESPINOZA"/>
    <s v="LUIS MIGUEL"/>
    <s v="MASCULINO"/>
    <s v="18461734-K"/>
    <d v="2022-09-22T00:00:00"/>
    <n v="5"/>
    <d v="2023-03-15T00:00:00"/>
    <s v="NUEVO"/>
    <s v="N/A"/>
    <s v="N/A"/>
    <s v="N/A"/>
    <n v="0"/>
    <s v="STP"/>
    <s v="N/A"/>
    <s v="N/A"/>
    <x v="7"/>
    <m/>
    <s v="MECANICO"/>
    <s v="DESPLUMADO DE PAVO"/>
    <s v="N/A"/>
    <s v="MAÑANA"/>
    <d v="1899-12-30T15:15:00"/>
    <s v="MIERCOLES"/>
    <s v="SEMANA 11"/>
    <m/>
    <m/>
    <s v="VICTOR GOMEZ"/>
    <m/>
    <n v="29"/>
    <s v="Infraestructura"/>
    <x v="7"/>
    <s v="Quemadura"/>
    <s v="Contacto con temperaturas extremas"/>
    <s v="COLABORADOR SUFRE QUEMADURA EN CUELLO CUANDO CAMBIABA MANGUERA DE SOPLADORORES EN DESPLUMADO DE PAVO"/>
    <s v="CONDICION"/>
    <s v="SI"/>
    <s v="NO"/>
    <s v="ALAN CARRASCO"/>
    <s v="CHRISTIAN JHONS"/>
  </r>
  <r>
    <x v="0"/>
    <s v="MARZO"/>
    <s v="EL PAICO"/>
    <s v="PINTO VILLAGRA"/>
    <s v="XENDRIX"/>
    <s v="MASCULINO"/>
    <s v="17715504-7"/>
    <d v="2019-05-06T00:00:00"/>
    <n v="46"/>
    <d v="2023-03-17T00:00:00"/>
    <s v="ANTIGUO"/>
    <s v="N/A"/>
    <s v="N/A"/>
    <s v="N/A"/>
    <n v="0"/>
    <s v="STP"/>
    <s v="N/A"/>
    <s v="N/A"/>
    <x v="6"/>
    <s v="ROMANERO CAMARA"/>
    <s v="OPERARIO"/>
    <s v="TUNEL 234"/>
    <s v="N/A"/>
    <s v="MAÑANA"/>
    <d v="1899-12-30T18:00:00"/>
    <s v="VIERNES"/>
    <s v="SEMANA 11"/>
    <m/>
    <m/>
    <s v="FRANCISCO QUEZADA"/>
    <s v="MAURICIO HERNANDEZ"/>
    <n v="32"/>
    <s v="Materiales"/>
    <x v="4"/>
    <s v="Contusión"/>
    <s v="Golpeado contra"/>
    <s v="COLABORADOR SUFRE CONTUSION EN PIE DERECHO AL APRETARSE CON PALLET CUANDO SE ENCONTRABA CARGANDO TUNEL 234"/>
    <s v="CONDICION"/>
    <s v="SI"/>
    <s v="NO"/>
    <s v="NICOLAS GOMEZ"/>
    <s v="CARLOS CARTAGENA"/>
  </r>
  <r>
    <x v="0"/>
    <s v="MARZO"/>
    <s v="EL PAICO"/>
    <s v="TRUJILLO ALARCON "/>
    <s v="ANGELA VERONICA"/>
    <s v="FEMENINO"/>
    <s v="15401811-5"/>
    <d v="2014-10-06T00:00:00"/>
    <n v="101"/>
    <d v="2023-03-17T00:00:00"/>
    <s v="ANTIGUO"/>
    <s v="N/A"/>
    <s v="N/A"/>
    <s v="N/A"/>
    <n v="0"/>
    <s v="STP"/>
    <s v="N/A"/>
    <s v="N/A"/>
    <x v="1"/>
    <s v="DESHUESADO"/>
    <s v="OPERARIO"/>
    <s v="DESHUESADO"/>
    <s v="N/A"/>
    <s v="MAÑANA"/>
    <d v="1899-12-30T13:00:00"/>
    <s v="VIERNES"/>
    <s v="SEMANA 11"/>
    <m/>
    <m/>
    <s v="DANIEL GARRIDO"/>
    <s v="JOSE CARVALLO"/>
    <n v="40"/>
    <s v="Materiales"/>
    <x v="3"/>
    <s v="Contusión"/>
    <s v="Golpeado contra"/>
    <s v="COLABORA SUFRE CAIDA DESDE ESCALON DE TARIMA DE TRABAJO, GOLPEANDOSE EN BRAZO Y ESPALDA"/>
    <s v="ACCION"/>
    <s v="SI"/>
    <s v="NO"/>
    <s v="NICOLAS GOMEZ"/>
    <s v="MICHELLE SANCHEZ"/>
  </r>
  <r>
    <x v="0"/>
    <s v="MARZO"/>
    <s v="EL PAICO"/>
    <s v="NUÑEZ ESCARATE"/>
    <s v="VICTOR"/>
    <s v="MASCULINO"/>
    <s v="8649246-6"/>
    <d v="2006-03-10T00:00:00"/>
    <n v="204"/>
    <d v="2023-03-17T00:00:00"/>
    <s v="ANTIGUO"/>
    <s v="N/A"/>
    <s v="N/A"/>
    <s v="N/A"/>
    <n v="0"/>
    <s v="STP"/>
    <s v="N/A"/>
    <s v="N/A"/>
    <x v="1"/>
    <s v="T. AUTOMATICO"/>
    <s v="OPERARIO"/>
    <s v="T. AUTOMATICO"/>
    <s v="N/A"/>
    <s v="TARDE"/>
    <d v="1899-12-30T20:40:00"/>
    <s v="VIERNES"/>
    <s v="SEMANA 11"/>
    <m/>
    <m/>
    <s v="DANIEL GARRIDO"/>
    <s v="RAMIRO RAMIREZ"/>
    <n v="63"/>
    <s v="Producto quimico"/>
    <x v="5"/>
    <s v="Conjuntivitis"/>
    <s v="Proyeccion de particulas"/>
    <s v="COLABORADOR SUFRE CAIDA DE LIQUIDO (ACIDO PERACETICO) EN OJO, ESTO OCURRE AL SACAR MATERIA PRIMA QUE SE ENCONTRABA ATASCADA EN LA LINEA"/>
    <s v="ACCION"/>
    <s v="NO"/>
    <s v="NO"/>
    <s v="ALAN CARRASCO"/>
    <s v="MICHELLE SANCHEZ"/>
  </r>
  <r>
    <x v="0"/>
    <s v="MARZO"/>
    <s v="EL PAICO"/>
    <s v="HENRIQUEZ VARGAS"/>
    <s v="FERNANDO"/>
    <s v="MASCULINO"/>
    <s v="18538961-8"/>
    <d v="2022-11-04T00:00:00"/>
    <n v="4"/>
    <d v="2023-03-19T00:00:00"/>
    <s v="NUEVO"/>
    <s v="N/A"/>
    <s v="N/A"/>
    <s v="N/A"/>
    <n v="0"/>
    <s v="STP"/>
    <s v="N/A"/>
    <s v="N/A"/>
    <x v="7"/>
    <s v="MANTENCION"/>
    <s v="COORDINADOR"/>
    <s v="T. AUTOMATICO"/>
    <s v="N/A"/>
    <s v="MAÑANA"/>
    <d v="1899-12-30T15:30:00"/>
    <s v="DOMINGO"/>
    <s v="SEMANA 11"/>
    <m/>
    <m/>
    <s v="VICTOR GOMEZ"/>
    <s v="DANIEL GONZALEZ"/>
    <n v="29"/>
    <s v="Materiales"/>
    <x v="5"/>
    <s v="Contusión"/>
    <s v="Golpeado por"/>
    <s v="COLABORADOR SUFRE GOLPE EN OJO DERECHO CONLLAVE CUANDO SE ENCONTRABA APRETANDO LOS PERNOS DE ESTACION DE GIRO EN LINEA 2 DE TROZADO DE POLLO AUTOMATICO"/>
    <s v="ACCION"/>
    <s v="SI"/>
    <s v="NO"/>
    <s v="ALAN CARRASCO"/>
    <s v="CARLOS CARTAGENA"/>
  </r>
  <r>
    <x v="0"/>
    <s v="MARZO"/>
    <s v="EL PAICO"/>
    <s v="BARRAZA PERALTA"/>
    <s v="ISABEL"/>
    <s v="FEMENINO"/>
    <s v="9683999-5"/>
    <d v="2013-11-18T00:00:00"/>
    <n v="112"/>
    <d v="2023-03-22T00:00:00"/>
    <s v="ANTIGUO"/>
    <d v="2023-03-10T00:00:00"/>
    <d v="2023-03-10T00:00:00"/>
    <s v="N/A"/>
    <n v="0"/>
    <s v="STP"/>
    <s v="N/A"/>
    <s v="N/A"/>
    <x v="2"/>
    <s v="ASEO OPERACIONAL"/>
    <s v="OPERARIO"/>
    <s v="IQF4"/>
    <s v="N/A"/>
    <s v="MAÑANA"/>
    <d v="1899-12-30T11:40:00"/>
    <s v="MIERCOLES"/>
    <s v="SEMANA 12"/>
    <n v="15582"/>
    <s v="NC-20-2023"/>
    <s v="CARLOS JIMENES"/>
    <s v="ORLANDO FARIAS"/>
    <n v="58"/>
    <s v="Superficies de trabajo"/>
    <x v="8"/>
    <s v="Contusión"/>
    <s v="Caida de mismo nivel"/>
    <s v="COLABORADORA SUFRE CAIDA MISMO NIVEL CUANDO SE ENCONTRABA SECANDO AGUA EN PISO DE IQF4"/>
    <s v="CONDICION"/>
    <s v="SI"/>
    <s v="SI"/>
    <s v="ALAN CARRASCO"/>
    <s v="WLADIMIR CALDERON "/>
  </r>
  <r>
    <x v="0"/>
    <s v="MARZO"/>
    <s v="EL PAICO"/>
    <s v="LARA SOTO"/>
    <s v="EDITH "/>
    <s v="FEMENINO"/>
    <s v="16670482-0"/>
    <d v="2020-01-13T00:00:00"/>
    <n v="38"/>
    <d v="2023-03-23T00:00:00"/>
    <s v="ANTIGUO"/>
    <s v="N/A"/>
    <s v="N/A"/>
    <s v="N/A"/>
    <n v="0"/>
    <s v="STP"/>
    <s v="N/A"/>
    <s v="N/A"/>
    <x v="2"/>
    <s v="ASEO OPERACIONAL"/>
    <s v="OPERARIO"/>
    <s v="DESPLUMADO"/>
    <s v="N/A"/>
    <s v="TARDE"/>
    <d v="1899-12-30T04:30:00"/>
    <s v="JUEVES"/>
    <s v="SEMANA 12"/>
    <m/>
    <m/>
    <s v="CARLOS JIMENES"/>
    <s v="JORDAN FARIAS"/>
    <n v="35"/>
    <s v="Infraestructura"/>
    <x v="2"/>
    <s v="Contusión"/>
    <s v="Golpeado por"/>
    <s v="COLABORADORA QUE SE ENCONTRABA REALIZANDO ASEO EN PISOS SUFRE GOLPE EN MANO DERECHA CON PUERTA DE VAIVEN AL INGRESO DE DESPLUMADO "/>
    <s v="CONDICION"/>
    <s v="SI"/>
    <s v="NO"/>
    <s v="NICOLAS GOMEZ"/>
    <s v="WLADIMIR CALDERON "/>
  </r>
  <r>
    <x v="0"/>
    <s v="MARZO"/>
    <s v="EL PAICO"/>
    <s v="TRUJILLO ELGUETA "/>
    <s v="KEVIN"/>
    <s v="MASCULINO"/>
    <s v="18346564-6"/>
    <d v="2021-10-12T00:00:00"/>
    <n v="17"/>
    <d v="2023-03-24T00:00:00"/>
    <s v="INTERMEDIO"/>
    <s v="N/A"/>
    <s v="N/A"/>
    <s v="N/A"/>
    <n v="0"/>
    <s v="STP"/>
    <s v="N/A"/>
    <s v="N/A"/>
    <x v="7"/>
    <s v="MANTENCION"/>
    <s v="COORDINADOR"/>
    <s v="CALIBRADO"/>
    <s v="N/A"/>
    <s v="MAÑANA"/>
    <d v="1899-12-30T09:50:00"/>
    <s v="VIERNES"/>
    <s v="SEMANA 12"/>
    <m/>
    <m/>
    <s v="VICTOR GOMEZ"/>
    <s v="NICOLAS ROJAS"/>
    <n v="31"/>
    <s v="Materiales"/>
    <x v="2"/>
    <s v="Herida cortante"/>
    <s v="Contacto con cuerpo cortante"/>
    <s v="COLABORADOR QUE SE ENCONTRABA REALIZANDO CAMBIO DE CINTA EN EL AREA DE CALIBRADO DE PECHUGAS SUFRE CORTE CON BORDE DE ESCALERA EN DEDO MEÑIQUE IZQUERDO"/>
    <s v="CONDICION"/>
    <s v="SI"/>
    <s v="NO"/>
    <s v="ALAN CARRASCO"/>
    <s v="CHISTIAN JHONS"/>
  </r>
  <r>
    <x v="0"/>
    <s v="MARZO"/>
    <s v="EL PAICO"/>
    <s v="CARANCIO ALEGRIA"/>
    <s v="MARCELO"/>
    <s v="MASCULINO"/>
    <s v="14439094-6"/>
    <d v="2018-11-19T00:00:00"/>
    <n v="52"/>
    <d v="2023-03-23T00:00:00"/>
    <s v="ANTIGUO"/>
    <s v="N/A"/>
    <s v="N/A"/>
    <s v="N/A"/>
    <n v="0"/>
    <s v="STP"/>
    <s v="N/A"/>
    <s v="N/A"/>
    <x v="1"/>
    <s v="DESHUESADO"/>
    <s v="OPERARIO"/>
    <m/>
    <s v="N/A"/>
    <s v="MAÑANA"/>
    <m/>
    <s v="JUEVES"/>
    <s v="SEMANA 12"/>
    <m/>
    <m/>
    <s v="DANIEL GARRIDO"/>
    <m/>
    <n v="49"/>
    <s v="Materiales"/>
    <x v="7"/>
    <s v="Otros"/>
    <s v="Sobreesfuerzo"/>
    <s v="COLABORADOR SE ENCONTRABA LEVANTANDO BANDEJAS CON POLLO, SIENTE DOLOR EN ESPALDA AL EJERCER FUERZA"/>
    <s v="ACCION"/>
    <s v="SI"/>
    <s v="NO"/>
    <s v="NICOLAS GOMEZ"/>
    <s v="CARLOS CARTAGENA"/>
  </r>
  <r>
    <x v="0"/>
    <s v="MARZO"/>
    <s v="EL PAICO"/>
    <s v="CONTRERAS GARATE"/>
    <s v="SALVADOR"/>
    <s v="MASCULINO"/>
    <s v="14436436-8"/>
    <d v="2021-03-08T00:00:00"/>
    <n v="24"/>
    <d v="2023-03-27T00:00:00"/>
    <s v="ANTIGUO"/>
    <s v="N/A"/>
    <s v="N/A"/>
    <s v="N/A"/>
    <n v="0"/>
    <s v="STP"/>
    <s v="N/A"/>
    <s v="N/A"/>
    <x v="2"/>
    <s v="ASEO OPERACIONAL"/>
    <s v="OPERARIO"/>
    <s v="VESTIDORES "/>
    <s v="N/A"/>
    <s v="TARDE"/>
    <d v="1899-12-30T14:30:00"/>
    <s v="LUNES"/>
    <s v="SEMANA 13"/>
    <m/>
    <m/>
    <s v="CARLOS JIMENES"/>
    <s v="JOSELINNE ALARCON"/>
    <n v="32"/>
    <s v="Otros"/>
    <x v="7"/>
    <s v="Otros"/>
    <s v="Otros"/>
    <s v="COLABORADOR SIENTE FUERTE DOLOR EN LA CINTURA CUANDO SE VESTIA CON SU ROPA DE TRABAJO EN CAMARINES DE LA PLANTA "/>
    <s v="ACCION"/>
    <s v="SI"/>
    <s v="NO"/>
    <s v="ALAN CARRASCO"/>
    <s v="CARLOS CARTAGENA"/>
  </r>
  <r>
    <x v="0"/>
    <s v="MARZO"/>
    <s v="EL PAICO"/>
    <s v="OLY"/>
    <s v="CHARLES"/>
    <s v="MASCULINO"/>
    <s v="25968215-0"/>
    <d v="2021-08-11T00:00:00"/>
    <n v="19"/>
    <d v="2023-03-31T00:00:00"/>
    <s v="ANTIGUO"/>
    <s v="N/A"/>
    <s v="N/A"/>
    <s v="N/A"/>
    <n v="0"/>
    <s v="STP"/>
    <s v="N/A"/>
    <s v="N/A"/>
    <x v="1"/>
    <s v="T. AUTOMATICO"/>
    <s v="OPERARIO"/>
    <s v="T. AUTOMATICO"/>
    <s v="N/A"/>
    <s v="MAÑANA"/>
    <d v="1899-12-30T08:45:00"/>
    <s v="VIERNES"/>
    <s v="SEMANA 13"/>
    <m/>
    <m/>
    <s v="DANIEL GARRIDO"/>
    <s v="MATIAS CASTRO"/>
    <n v="51"/>
    <s v="Materia Prima"/>
    <x v="5"/>
    <s v="Otros"/>
    <s v="Proyeccion de particulas"/>
    <s v="COLABORADOR SE ENCONTRABA EXPURGANDO PRODUCTO EN SU PUESTO DE TRABAJO SALPICANDO LIQUIDO EN AMBOS OJOS"/>
    <s v="ACCION"/>
    <s v="SI"/>
    <s v="NO"/>
    <s v="ALAN CARRASCO"/>
    <s v="CARLOS CARTAGENA"/>
  </r>
  <r>
    <x v="0"/>
    <s v="MARZO"/>
    <s v="EL PAICO"/>
    <s v="MUÑOZ ISLA"/>
    <s v="JESSICA"/>
    <s v="FEMENINO"/>
    <s v="16669807-3"/>
    <d v="2020-01-20T00:00:00"/>
    <n v="38"/>
    <d v="2023-03-31T00:00:00"/>
    <s v="ANTIGUO"/>
    <d v="2023-03-31T00:00:00"/>
    <s v="06-042023"/>
    <s v="N/A"/>
    <n v="7"/>
    <s v="CTP"/>
    <s v="N/A"/>
    <s v="N/A"/>
    <x v="1"/>
    <s v="SALA DE PROCESO"/>
    <s v="OPERARIO"/>
    <s v="SALA DE PROCESO"/>
    <s v="N/A"/>
    <s v="MAÑANA"/>
    <d v="1899-12-30T12:55:00"/>
    <s v="VIERNES"/>
    <s v="SEMANA 13"/>
    <n v="15596"/>
    <s v="NC-29-2023"/>
    <s v="DANIEL GARRIDO"/>
    <s v="JOSE CARVALLO"/>
    <n v="36"/>
    <s v="Elemento cortante"/>
    <x v="2"/>
    <s v="Herida cortante"/>
    <s v="Contacto con cuerpo cortante"/>
    <s v="COLABORADORA SUFRE CORTE EN MANO DERECHA CUANDO SE ENCONTRABA SACANDO FILO A SU CUCHILLO JUNTO A COMPAÑERA DE TRABAJO."/>
    <s v="ACCION"/>
    <s v="SI"/>
    <s v="SI"/>
    <s v="ALAN CARRASCO"/>
    <s v="CARLOS CARTAGENA"/>
  </r>
  <r>
    <x v="0"/>
    <s v="MARZO"/>
    <s v="EL PAICO"/>
    <s v="MARIN VARGAS"/>
    <s v="CAROLINA"/>
    <s v="FEMENINO"/>
    <s v="19212976-1"/>
    <d v="2021-09-13T00:00:00"/>
    <n v="18"/>
    <d v="2023-03-31T00:00:00"/>
    <s v="INTERMEDIO"/>
    <s v="N/A"/>
    <s v="N/A"/>
    <s v="N/A"/>
    <n v="0"/>
    <s v="STP"/>
    <s v="N/A"/>
    <s v="N/A"/>
    <x v="0"/>
    <s v="EVISCERADO"/>
    <s v="OPERARIO"/>
    <s v="CAMARINES DE MUJER"/>
    <s v="N/A"/>
    <s v="MAÑANA"/>
    <d v="1899-12-30T11:30:00"/>
    <s v="VIERNES"/>
    <s v="SEMANA 13"/>
    <m/>
    <m/>
    <s v="NICOLAS MOYANO"/>
    <s v="CESAR CARTAGENA"/>
    <n v="26"/>
    <s v="Animales - Insectos"/>
    <x v="1"/>
    <s v="Otros"/>
    <s v="Picadura"/>
    <s v="COLABORADORA SUFRE PICADURA DE INSECTO EN PIERNA DERECHA, CUANDO ESTABA COLOCANDO SU ROPA DE TRABAJO"/>
    <s v="CONDICION"/>
    <s v="SI"/>
    <s v="NO"/>
    <s v="ALAN CARRASCO"/>
    <s v="CARLOS CARTAGENA"/>
  </r>
  <r>
    <x v="0"/>
    <s v="ABRIL"/>
    <s v="EL PAICO"/>
    <s v="BERNARD "/>
    <s v="ROSE-CARINE"/>
    <s v="FEMENINO"/>
    <s v="26225281-7"/>
    <d v="2021-12-29T00:00:00"/>
    <n v="15"/>
    <d v="2023-04-04T00:00:00"/>
    <s v="INTERMEDIO"/>
    <s v="N/A"/>
    <s v="N/A"/>
    <s v="N/A"/>
    <n v="0"/>
    <s v="STP"/>
    <s v="N/A"/>
    <s v="N/A"/>
    <x v="2"/>
    <s v="ASEO OPERACIONAL"/>
    <s v="OPERARIO"/>
    <s v="DESHUESADO"/>
    <s v="N/A"/>
    <s v="TARDE"/>
    <d v="1899-12-30T08:45:00"/>
    <s v="MARTES"/>
    <s v="SEMANA 14"/>
    <n v="15606"/>
    <s v="NC-31-23"/>
    <s v="CARLOS JIMENES"/>
    <s v="JORDAN FARIAS"/>
    <n v="28"/>
    <s v="Superficies de trabajo"/>
    <x v="8"/>
    <s v="Contusión"/>
    <s v="Caida de mismo nivel"/>
    <s v="COLABORADORA SUFRE CAIDA EN SALA DE PROCESO GOLPEANDOSE EN HOMBRO IZQUERDO"/>
    <s v="CONDICION"/>
    <s v="SI"/>
    <s v="SI"/>
    <s v="ALAN CARRASCO"/>
    <s v="CARLOS CARTAGENA"/>
  </r>
  <r>
    <x v="0"/>
    <s v="ABRIL"/>
    <s v="EL PAICO"/>
    <s v="CAMACHO CASTELLANOS"/>
    <s v="JESUS"/>
    <s v="MASCULINO"/>
    <s v="27001301-5"/>
    <d v="2021-04-26T00:00:00"/>
    <n v="23"/>
    <d v="2023-04-04T00:00:00"/>
    <s v="ANTIGUO"/>
    <d v="2023-04-05T00:00:00"/>
    <d v="2023-04-21T00:00:00"/>
    <s v="N/A"/>
    <n v="17"/>
    <s v="CTP"/>
    <s v="N/A"/>
    <s v="N/A"/>
    <x v="1"/>
    <s v="DESHUESADO"/>
    <s v="OPERARIO"/>
    <s v="DESHUESADO"/>
    <s v="N/A"/>
    <s v="TARDE"/>
    <d v="1899-12-30T16:20:00"/>
    <s v="MARTES"/>
    <s v="SEMANA 14"/>
    <n v="15605"/>
    <s v="NC-33-23"/>
    <s v="DANIEL GARRIDO"/>
    <s v="JOSE CARVALLO"/>
    <n v="24"/>
    <s v="Maquinarias"/>
    <x v="2"/>
    <s v="Herida cortante"/>
    <s v="Contacto con cuerpo punzante"/>
    <s v="COLABORADOR SUFRE HERIDA PENETRANTE EN PALMA DE MANO IZQUERDA AL ESTAR COLGANDO PECHUGAS DE POLLO ENTERAS"/>
    <s v="ACCION"/>
    <s v="SI"/>
    <s v="SI"/>
    <s v="ALAN CARRASCO "/>
    <s v="CARLOS CARTAGENA"/>
  </r>
  <r>
    <x v="0"/>
    <s v="ABRIL"/>
    <s v="EL PAICO"/>
    <s v="VILLALOBOS VALENZUELA"/>
    <s v="PABLO"/>
    <s v="MASCULINO"/>
    <s v="19382613-K"/>
    <d v="2022-08-18T00:00:00"/>
    <n v="7"/>
    <d v="2023-04-04T00:00:00"/>
    <s v="INTERMEDIO"/>
    <s v="N/A"/>
    <s v="N/A"/>
    <s v="N/A"/>
    <n v="0"/>
    <s v="STP"/>
    <s v="N/A"/>
    <s v="N/A"/>
    <x v="1"/>
    <s v="DESHUESADO"/>
    <s v="OPERARIO"/>
    <s v="PASILLO CAMARA 206"/>
    <s v="N/A"/>
    <s v="TARDE"/>
    <d v="1899-12-30T00:45:00"/>
    <s v="MIERCOLES"/>
    <s v="SEMANA 14"/>
    <m/>
    <m/>
    <s v="DANIEL GARRIDO"/>
    <s v="JOSE CARVALLO"/>
    <n v="27"/>
    <s v="Equipos Transporte de carga"/>
    <x v="7"/>
    <s v="Otros"/>
    <s v="Sobreesfuerzo"/>
    <s v="COLABORADOR SUFRE TIRON EN ESPALDA Y CUELLO CUANDO SE ENCONTRABA MOVILIZANDO BINS CON PRODUCTO EN TRANSPALETA MANUAL "/>
    <s v="ACCION"/>
    <s v="SI"/>
    <s v="NO"/>
    <s v="NICOLAS GOMEZ"/>
    <s v="CHISTIAN JHONS"/>
  </r>
  <r>
    <x v="0"/>
    <s v="ABRIL"/>
    <s v="EL PAICO"/>
    <s v="ARAYA MOYANO"/>
    <s v="MARIA INES"/>
    <s v="FEMENINO"/>
    <s v="10999607-6"/>
    <d v="2014-11-10T00:00:00"/>
    <n v="100"/>
    <d v="2023-04-06T00:00:00"/>
    <s v="ANTIGUO"/>
    <d v="2023-04-08T00:00:00"/>
    <d v="2023-04-15T00:00:00"/>
    <s v="N/A"/>
    <n v="8"/>
    <s v="CTP"/>
    <s v="LGF"/>
    <s v="LGF3"/>
    <x v="2"/>
    <s v="ASEO OPERACIONAL"/>
    <s v="OPERARIO"/>
    <s v="FAENA"/>
    <s v="N/A"/>
    <s v="NOCHE"/>
    <d v="1899-12-30T19:30:00"/>
    <s v="JUEVES"/>
    <s v="SEMANA 14"/>
    <n v="15615"/>
    <s v="NC-32-23"/>
    <s v="CARLOS JIMENES"/>
    <s v="LUIS URBINA"/>
    <n v="56"/>
    <s v="Producto quimico"/>
    <x v="2"/>
    <s v="Quemadura"/>
    <s v="Contacto con sustancias toxicas"/>
    <s v="COLABORA SUFRE QUEMADURA EN EN DEDO INDICE Y PULGAR DE MANO DERECHA Y DEDO PULGAR DE MANO IZQUERDA POR CONTACTO CON PRODUCTO QUIMICO AL ESTAR LAVANDO CORTINAS PLASTICAS EN EL PASILLO DE FAENA"/>
    <s v="ACCION"/>
    <s v="SI"/>
    <s v="SI"/>
    <s v="NICOLAS GOMEZ"/>
    <m/>
  </r>
  <r>
    <x v="0"/>
    <s v="ABRIL"/>
    <s v="EL PAICO"/>
    <s v="GONALEZ NIDA"/>
    <s v="MAURICIO"/>
    <s v="MASCULINO"/>
    <s v="20122752-6"/>
    <d v="2023-03-14T00:00:00"/>
    <n v="0"/>
    <d v="2023-04-10T00:00:00"/>
    <s v="NUEVO"/>
    <d v="2023-04-11T00:00:00"/>
    <d v="2023-04-12T00:00:00"/>
    <s v="N/A"/>
    <n v="1"/>
    <s v="CTP"/>
    <s v="N/A"/>
    <s v="N/A"/>
    <x v="1"/>
    <s v="DESHUESADO"/>
    <s v="OPERARIO"/>
    <s v="DESHUESADO"/>
    <s v="N/A"/>
    <s v="MAÑANA"/>
    <d v="1899-12-30T08:30:00"/>
    <s v="LUNES"/>
    <s v="SEMANA 15"/>
    <n v="15618"/>
    <s v="NC-50-23"/>
    <s v="DANIEL GARRIDO"/>
    <s v="JOSE CARVALLO"/>
    <n v="24"/>
    <s v="Materia Prima"/>
    <x v="5"/>
    <s v="Conjuntivitis"/>
    <s v="Proyeccion de particulas"/>
    <s v="COLABORADOR SUFRE INFLAMACION EN OJO IZQUIERDO POR SALPICADURA DE PRODUCTO AL ESTAR LIMPIANDO PECHUGAS EN LINEA DE PROLIJADO"/>
    <s v="ACCION"/>
    <s v="SI"/>
    <s v="SI"/>
    <s v="NICOLAS GOMEZ"/>
    <s v="CARLOS CARTAGENA"/>
  </r>
  <r>
    <x v="0"/>
    <s v="ABRIL"/>
    <s v="EL PAICO"/>
    <s v="SANTIS RAMIREZ"/>
    <s v="JANIS"/>
    <s v="FEMENINO"/>
    <s v="19858836-9"/>
    <d v="2021-05-10T00:00:00"/>
    <n v="23"/>
    <d v="2023-04-11T00:00:00"/>
    <s v="ANTIGUO"/>
    <s v="N/A"/>
    <s v="N/A"/>
    <s v="N/A"/>
    <n v="0"/>
    <s v="STP"/>
    <s v="N/A"/>
    <s v="N/A"/>
    <x v="1"/>
    <s v="DESHUESADO"/>
    <s v="OPERARIO"/>
    <s v="CAMARA 208"/>
    <s v="N/A"/>
    <s v="MAÑANA"/>
    <d v="1899-12-30T08:55:00"/>
    <s v="MARTES"/>
    <s v="SEMANA 15"/>
    <m/>
    <m/>
    <s v="DANIEL GARRIDO"/>
    <s v="ARNALDO VERA"/>
    <n v="25"/>
    <s v="Superficies de trabajo"/>
    <x v="3"/>
    <s v="Contusión"/>
    <s v="Caida de mismo nivel"/>
    <s v="COLABORADORA SUFRE CONTUSION EN ESPALDA Y CABEZA POR CAIDA MISMO NIVEL AL PISAR HIELO QUE SE ENCONTRABA EN PISO DE CAMARA 208 ROTULANDO BINS"/>
    <s v="CONDICION"/>
    <s v="SI"/>
    <s v="NO"/>
    <s v="NICOLAS GOMEZ"/>
    <s v="CARLOS CARTAGENA"/>
  </r>
  <r>
    <x v="0"/>
    <s v="ABRIL"/>
    <s v="EL PAICO"/>
    <s v="CARRASCO CACERES"/>
    <s v="VICTOR"/>
    <s v="MASCULINO"/>
    <s v="16985231-6"/>
    <d v="2008-07-18T00:00:00"/>
    <n v="176"/>
    <d v="2023-04-12T00:00:00"/>
    <s v="ANTIGUO"/>
    <s v="N/A"/>
    <s v="N/A"/>
    <s v="N/A"/>
    <n v="0"/>
    <s v="STP"/>
    <s v="N/A"/>
    <s v="N/A"/>
    <x v="1"/>
    <s v="TROZADO AUTOMATICO"/>
    <s v="OPERARIO"/>
    <s v="ANDENES"/>
    <s v="N/A"/>
    <s v="TARDE"/>
    <d v="1899-12-30T15:10:00"/>
    <s v="MIERCOLES"/>
    <s v="SEMANA 15"/>
    <m/>
    <m/>
    <s v="DANIEL GARRIDO"/>
    <s v="JONATHAN VERA"/>
    <n v="34"/>
    <s v="Bins"/>
    <x v="7"/>
    <s v="Otros"/>
    <s v="Sobreesfuerzo"/>
    <s v="COLABORADOR SUFRE DOLOR EN ESPALDA POR SOBREESFUERZOAL ESTAR MOVIENDO BINS QUE SE ENCONTRABAN APRETADOS EN SECTOR DE ANDENES."/>
    <s v="ACCION"/>
    <s v="SI"/>
    <s v="NO"/>
    <s v="NICOLAS GOMEZ"/>
    <s v="CARLOS CARTAGENA"/>
  </r>
  <r>
    <x v="0"/>
    <s v="ABRIL"/>
    <s v="EL PAICO"/>
    <s v="VIDAL ZAMBRANO"/>
    <s v="JAVIER"/>
    <s v="MASCULINO"/>
    <s v="21169027-5"/>
    <d v="2022-08-01T00:00:00"/>
    <n v="8"/>
    <d v="2023-04-12T00:00:00"/>
    <s v="INTERMEDIO"/>
    <s v="N/A"/>
    <s v="N/A"/>
    <s v="N/A"/>
    <n v="0"/>
    <s v="STP"/>
    <s v="LGF"/>
    <s v="LGF4"/>
    <x v="6"/>
    <s v="FRIGORIFICO"/>
    <s v="OPERARIO"/>
    <s v="TUNEL 4"/>
    <s v="EQUIPO PARA MOVIMIENTO DE CARGA (GRUAS O TRANSPALETAS)"/>
    <s v="MAÑANA"/>
    <d v="1899-12-30T09:45:00"/>
    <s v="MIERCOLES"/>
    <s v="SEMANA 15"/>
    <m/>
    <m/>
    <s v="FRANCISCO QUEZADA"/>
    <s v="NELSON PIZARRO"/>
    <n v="20"/>
    <s v="Maquinarias"/>
    <x v="4"/>
    <s v="Contusión"/>
    <s v="Golpeado por"/>
    <s v="COLABORADOR SUFRE CONTUSION EN PIE IZQUIERDO POR COLICION ENTRE DOS TRANSPALETAS EN TUNEL 4 "/>
    <s v="ACCION"/>
    <s v="SI"/>
    <s v="NO"/>
    <s v="NICOLAS GOMEZ"/>
    <s v="CARLOS CARTAGENA"/>
  </r>
  <r>
    <x v="0"/>
    <s v="ABRIL"/>
    <s v="EL PAICO"/>
    <s v="NORAMBUENA CARVAJAL"/>
    <s v="RODRIGO"/>
    <s v="MASCULINO"/>
    <s v="16788251-K"/>
    <d v="2012-02-01T00:00:00"/>
    <n v="134"/>
    <d v="2023-04-15T00:00:00"/>
    <s v="ANTIGUO"/>
    <d v="2023-04-15T00:00:00"/>
    <m/>
    <s v="N/A"/>
    <n v="119"/>
    <s v="CTP"/>
    <s v="LGF"/>
    <s v="LGF2"/>
    <x v="8"/>
    <s v="SALA DE PULPA"/>
    <s v="OPERARIO"/>
    <s v="SALA DE PULPA"/>
    <s v="MAQUINA BAADER"/>
    <s v="MAÑANA"/>
    <d v="1899-12-30T11:40:00"/>
    <s v="SABADO"/>
    <s v="SEMANA 15"/>
    <n v="15621"/>
    <s v="NC-35-23"/>
    <s v="OCTAVIO MUÑOZ"/>
    <s v="MARCOS QUINTANILLA"/>
    <n v="35"/>
    <s v="Maquinarias"/>
    <x v="2"/>
    <s v="Fractura"/>
    <s v="Atrapamiento"/>
    <s v="COLABORADOR SUFRE DESPRENDIMIENTO EN DEDO ANULAR SUPERIOR DERECHO, POR ATRAPAMIENTO MIENTRAS OPERABA MAQUINA BAADER EN SALA DE PULPA."/>
    <s v="ACCION"/>
    <s v="SI"/>
    <s v="SI"/>
    <s v="ALAN CARRASCO"/>
    <s v="WLADIMIR CALDERON "/>
  </r>
  <r>
    <x v="0"/>
    <s v="ABRIL"/>
    <s v="EL PAICO"/>
    <s v="VALDIVIA PEÑALOZA"/>
    <s v="JAIME"/>
    <s v="MASCULINO"/>
    <s v="14140942-5"/>
    <d v="2021-06-01T00:00:00"/>
    <n v="22"/>
    <d v="2023-04-17T00:00:00"/>
    <s v="ANTIGUO"/>
    <s v="N/A"/>
    <s v="N/A"/>
    <s v="N/A"/>
    <n v="0"/>
    <s v="STP"/>
    <s v="LGF"/>
    <s v="LGF4"/>
    <x v="5"/>
    <s v="IQF Y CALIBRADO"/>
    <s v="OPERARIO"/>
    <s v="CAMARA 208"/>
    <s v="EQUIPO PARA MOVIMIENTO DE CARGA (GRUAS O TRANSPALETAS)"/>
    <s v="MAÑANA"/>
    <d v="1899-12-30T10:06:00"/>
    <s v="LUNES"/>
    <s v="SEMANA 16"/>
    <m/>
    <m/>
    <s v="GUILLERMO NARVAEZ"/>
    <s v="FRANCISCO SANCHEZ"/>
    <n v="42"/>
    <s v="Equipos Transporte de carga"/>
    <x v="2"/>
    <s v="Contusión"/>
    <s v="Golpeado por"/>
    <s v="COLABORADOR SUFRE GOLPE EN MUÑECA IZQUERDA AL SER COLICIONADO POR OPERADOR DE TRANSPALETA ELECTRICA CUANDO ESTABA ENTRANDO A CAMARA 208"/>
    <s v="ACCION"/>
    <s v="SI"/>
    <s v="NO"/>
    <s v="ALAN CARRASCO"/>
    <s v="CHISTIAN JHONS"/>
  </r>
  <r>
    <x v="0"/>
    <s v="ABRIL"/>
    <s v="EL PAICO"/>
    <s v="VASQUEZ CORRAL"/>
    <s v="JOSE"/>
    <s v="MASCULINO"/>
    <s v="9029022-3"/>
    <d v="2004-06-15T00:00:00"/>
    <n v="226"/>
    <d v="2023-04-18T00:00:00"/>
    <s v="ANTIGUO"/>
    <s v="N/A"/>
    <s v="N/A"/>
    <s v="N/A"/>
    <n v="0"/>
    <s v="STP"/>
    <s v="N/A"/>
    <s v="N/A"/>
    <x v="5"/>
    <s v="IQF"/>
    <s v="OPERARIO"/>
    <s v="IQF"/>
    <s v="N/A"/>
    <s v="TARDE"/>
    <d v="1899-12-30T15:30:00"/>
    <s v="MARTES"/>
    <s v="SEMANA 16"/>
    <m/>
    <m/>
    <s v="GUILLERMO NARVAEZ"/>
    <s v="MAXIMO CAMPOS"/>
    <n v="63"/>
    <s v="Cajas"/>
    <x v="2"/>
    <s v="Contusión"/>
    <s v="Sobreesfuerzo"/>
    <s v="COLABORADOR SUFRE DOLOR EN MUÑECA IZQUERDA AL TOMAR CAJA EN LINEA DE IQF"/>
    <s v="ACCION"/>
    <s v="SI"/>
    <s v="NO"/>
    <s v="ALAN CARRASCO"/>
    <s v="MICHELLE SANCHEZ"/>
  </r>
  <r>
    <x v="0"/>
    <s v="ABRIL"/>
    <s v="EL PAICO"/>
    <s v="CASTILLO TRIVIÑO"/>
    <s v="PABLO"/>
    <s v="MASCULINO"/>
    <s v="19409089-7"/>
    <d v="2020-03-16T00:00:00"/>
    <n v="37"/>
    <d v="2023-04-18T00:00:00"/>
    <s v="ANTIGUO"/>
    <d v="2023-04-19T00:00:00"/>
    <d v="2023-04-24T00:00:00"/>
    <s v="N/A"/>
    <n v="6"/>
    <s v="CTP"/>
    <s v="N/A"/>
    <s v="N/A"/>
    <x v="7"/>
    <s v="MANTENCION"/>
    <s v="OPERARIO"/>
    <s v="POZO DE PLUMAS"/>
    <s v="N/A"/>
    <s v="TARDE"/>
    <d v="1899-12-30T18:00:00"/>
    <s v="MARTES"/>
    <s v="SEMANA 16"/>
    <n v="15632"/>
    <s v="NC-51-23"/>
    <s v="VICTOR GOMEZ"/>
    <s v="DANIEL GONZALEZ"/>
    <n v="27"/>
    <s v="Otros"/>
    <x v="4"/>
    <s v="Otros"/>
    <s v="Otros"/>
    <s v="COLABORADOR AL REALIZAR SUS LABORES EN POZO DE PLUMAS SE LE PRODUCE ROCE CON ZAPATO DE SEGURIDAD EN PIE IZQUERDO, PRODICIENDOLE LESION POR FRICCION EN 1ER METATARSIANO"/>
    <s v="ACCION"/>
    <s v="SI"/>
    <s v="SI"/>
    <s v="ALAN CARRASCO "/>
    <s v="MICHELLE SANCHEZ"/>
  </r>
  <r>
    <x v="0"/>
    <s v="ABRIL"/>
    <s v="EL PAICO"/>
    <s v="RAGA VAZQUEZ"/>
    <s v="ELIZABETH"/>
    <s v="FEMENINO"/>
    <s v="26199492-5"/>
    <d v="2022-11-22T00:00:00"/>
    <n v="4"/>
    <d v="2023-04-19T00:00:00"/>
    <s v="NUEVO"/>
    <s v="N/A"/>
    <s v="N/A"/>
    <s v="N/A"/>
    <n v="0"/>
    <s v="STP"/>
    <s v="N/A"/>
    <s v="N/A"/>
    <x v="5"/>
    <s v="IQF"/>
    <s v="OPERARIO"/>
    <s v="IQF"/>
    <s v="N/A"/>
    <s v="TARDE"/>
    <d v="1899-12-30T19:00:00"/>
    <s v="MIERCOLES"/>
    <s v="SEMANA 16"/>
    <m/>
    <m/>
    <s v="GUILLERMO NARVAEZ"/>
    <s v="MAXIMO CAMPOS"/>
    <n v="35"/>
    <s v="Materia Prima"/>
    <x v="5"/>
    <s v="Conjuntivitis"/>
    <s v="Proyeccion de particulas"/>
    <s v="COLABORADORA SUFRE IRRITACION OCULAR EN OJO IZQUIERDO POR PROYECCION DE PARTICULAS CUANDO SE ENCONTRABA MANIPULANDO PRODUCTOS EN BANDEJAS EN LINEA IQF"/>
    <s v="ACCION"/>
    <s v="SI"/>
    <s v="NO"/>
    <s v="NICOLAS GOMEZ"/>
    <s v="WLADIMIR CALDERON "/>
  </r>
  <r>
    <x v="0"/>
    <s v="ABRIL"/>
    <s v="EL PAICO"/>
    <s v="CAELHO DE SAUCE"/>
    <s v="SILVIO"/>
    <s v="MASCULINO"/>
    <s v="27133909-7"/>
    <d v="2021-09-13T00:00:00"/>
    <n v="19"/>
    <d v="2023-04-21T00:00:00"/>
    <s v="ANTIGUO"/>
    <s v="N/A"/>
    <s v="N/A"/>
    <s v="N/A"/>
    <n v="0"/>
    <s v="STP"/>
    <s v="LGF"/>
    <s v="LGF4"/>
    <x v="6"/>
    <s v="FRIGORIFICO"/>
    <s v="OPERARIO"/>
    <s v="SALA PALLETIZADO"/>
    <s v="EQUIPO PARA MOVIMIENTO DE CARGA (GRUAS O TRANSPALETAS)"/>
    <s v="TARDE"/>
    <d v="1899-12-30T14:30:00"/>
    <s v="VIERNES"/>
    <s v="SEMANA 16"/>
    <m/>
    <s v="NC-54-23"/>
    <s v="FRANCISCO QUEZADA"/>
    <s v="ALEJANDRO TORRES"/>
    <n v="40"/>
    <s v="Equipos Transporte de carga"/>
    <x v="3"/>
    <s v="Contusión"/>
    <s v="Golpeado por"/>
    <s v="COLABORADOR SUFRE GOLPE EN BRAZO Y PIERNA POR ATRAPAMIENTO ENTRE DOS PALLET CON CAJAS EN SALA DE PALLETIZADO EN EL AREA DE FRIGORIFICO "/>
    <s v="ACCION"/>
    <s v="SI"/>
    <s v="SI"/>
    <s v="NICOLAS GOMEZ"/>
    <s v="CHISTIAN JHONS"/>
  </r>
  <r>
    <x v="0"/>
    <s v="ABRIL"/>
    <s v="EL PAICO"/>
    <s v="MELLADO BARRIENTOS"/>
    <s v="POLONIA "/>
    <s v="FEMENINO"/>
    <s v="17422963-5"/>
    <d v="2021-02-22T00:00:00"/>
    <n v="25"/>
    <d v="2023-04-21T00:00:00"/>
    <s v="ANTIGUO"/>
    <d v="2023-04-24T00:00:00"/>
    <d v="2023-04-26T00:00:00"/>
    <s v="N/A"/>
    <n v="3"/>
    <s v="CTP"/>
    <s v="N/A"/>
    <s v="N/A"/>
    <x v="1"/>
    <s v="SALA DE PROCESO"/>
    <s v="OPERARIO"/>
    <s v="SALA DE PROCESO"/>
    <s v="N/A"/>
    <s v="TARDE"/>
    <m/>
    <s v="VIERNES"/>
    <s v="SEMANA 16"/>
    <n v="15647"/>
    <s v="NC-55-23"/>
    <s v="DANIEL GARRIDO"/>
    <s v="JOSE CARVALLO"/>
    <n v="32"/>
    <s v="Bins"/>
    <x v="2"/>
    <s v="Contusión"/>
    <s v="Golpeado contra"/>
    <s v="COLABORADORA DE TPO SUFRIO CONTUSION EN MANO DERECHA GOLPEADA POR UN BINS, LA TRABAJADORA TENIA LA MANO APOYADA EN UN BINS EN ESE MOMENTO UN MOVILIZADOR ARRASTRA UN BINS CERCANO PARA POSICIONARLO A UN LADO DEL OTRO, EN ESTE MOMENTO NO SE PERCATA DE LA TRABAJADORA Y GOLPEADA SU MANO DEJANDOLA ENTRE AMBOS BINS, EL ACC OCURRIO EN SALA DE PROCESO. "/>
    <s v="ACCION"/>
    <s v="SI"/>
    <s v="SI"/>
    <s v="NICOLAS GOMEZ"/>
    <m/>
  </r>
  <r>
    <x v="0"/>
    <s v="ABRIL"/>
    <s v="EL PAICO"/>
    <s v="GUIÑEZ GARRIDO"/>
    <s v="PATRICIO"/>
    <s v="MASCULINO"/>
    <s v="14008724-6"/>
    <d v="2022-11-15T00:00:00"/>
    <n v="5"/>
    <d v="2023-04-24T00:00:00"/>
    <s v="NUEVO"/>
    <s v="N/A"/>
    <s v="N/A"/>
    <s v="N/A"/>
    <n v="0"/>
    <s v="STP"/>
    <s v="N/A"/>
    <s v="N/A"/>
    <x v="5"/>
    <s v="CALIBRADO"/>
    <s v="OPERARIO"/>
    <s v="EMPAQUE"/>
    <s v="N/A"/>
    <s v="MAÑANA"/>
    <d v="1899-12-30T08:00:00"/>
    <s v="LUNES"/>
    <s v="SEMANA 17"/>
    <m/>
    <m/>
    <s v="GUILLERMO NARVAEZ"/>
    <s v="FERNANDO FUENTEALBA"/>
    <n v="41"/>
    <s v="Materiales"/>
    <x v="0"/>
    <s v="Contusión"/>
    <s v="Golpeado por"/>
    <s v="COLABORADOR SUFRE GOLPE EN POMULO IZQUIERDO POR TAPA DE CAJA CUANDO SE ENCONTRABA SACANDO ZUNCHOS EN EL AREA DE EMPAQUE"/>
    <s v="ACCION"/>
    <s v="SI"/>
    <s v="NO"/>
    <s v="NICOLAS GOMEZ"/>
    <s v="CARLOS CARTAGENA"/>
  </r>
  <r>
    <x v="0"/>
    <s v="ABRIL"/>
    <s v="EL PAICO"/>
    <s v="ALLENDE FROST"/>
    <s v="ANA "/>
    <s v="FEMENINO"/>
    <s v="14246215-K"/>
    <d v="2019-09-09T00:00:00"/>
    <n v="43"/>
    <d v="2023-04-24T00:00:00"/>
    <s v="ANTIGUO"/>
    <s v="N/A"/>
    <s v="N/A"/>
    <s v="N/A"/>
    <n v="0"/>
    <s v="STP"/>
    <s v="N/A"/>
    <s v="N/A"/>
    <x v="1"/>
    <s v="DESHUESADO"/>
    <s v="OPERARIO"/>
    <s v="DESHUESADO"/>
    <s v="N/A"/>
    <s v="TARDE"/>
    <d v="1899-12-30T14:50:00"/>
    <s v="LUNES"/>
    <s v="SEMANA 17"/>
    <m/>
    <m/>
    <s v="DANIEL GARRIDO"/>
    <s v="JORGE MEZA"/>
    <n v="48"/>
    <s v="Materiales"/>
    <x v="2"/>
    <s v="Contusión"/>
    <s v="Golpeado contra"/>
    <s v="COLABORADORA SUFRE CONTUSION EN DEDO MEDIUM DE MANO IZQUIERDA AL DEJAR ROLLO DE LAMINA SOBRE MESA DE FILETILLO EN DESHUESADO DE PECHUGA"/>
    <s v="ACCION"/>
    <s v="SI"/>
    <s v="NO"/>
    <s v="NICOLAS GOMEZ"/>
    <s v="CARLOS CARTAGENA"/>
  </r>
  <r>
    <x v="0"/>
    <s v="ABRIL"/>
    <s v="EL PAICO"/>
    <s v="MENA MATTA"/>
    <s v="NINOSHKA"/>
    <s v="FEMENINO"/>
    <s v="18528198-1"/>
    <d v="2023-03-27T00:00:00"/>
    <n v="0"/>
    <d v="2023-04-22T00:00:00"/>
    <s v="NUEVO"/>
    <d v="2023-04-24T00:00:00"/>
    <d v="2023-04-27T00:00:00"/>
    <s v="N/A"/>
    <n v="4"/>
    <s v="CTP"/>
    <s v="N/A"/>
    <s v="N/A"/>
    <x v="6"/>
    <s v="FRIGORIFICO"/>
    <s v="OPERARIO"/>
    <s v="PASILLO B CAMARA "/>
    <s v="N/A"/>
    <s v="MAÑANA"/>
    <d v="1899-12-30T06:35:00"/>
    <s v="SABADO"/>
    <s v="SEMANA 16"/>
    <n v="15645"/>
    <s v="NC-52-23"/>
    <s v="FRANCISCO QUEZADA"/>
    <s v="ALEJANDRO TORRES"/>
    <n v="30"/>
    <s v="Superficies de trabajo"/>
    <x v="1"/>
    <s v="Contusión"/>
    <s v="Caida de mismo nivel"/>
    <s v="COLABORADORA SUFRE CONTUSION EN RODILLA DERECHA POR CAIDA DE MISMO EN PASILLO DE CAMARA EN EL AREA DE FRIGORIFICO"/>
    <s v="CONDICION"/>
    <s v="SI"/>
    <s v="SI"/>
    <s v="ALAN CARRASCO"/>
    <s v="MICHELLE SANCHEZ"/>
  </r>
  <r>
    <x v="0"/>
    <s v="ABRIL"/>
    <s v="EL PAICO"/>
    <s v="PAVEZ AGUILA"/>
    <s v="PAULA"/>
    <s v="FEMENINO"/>
    <s v="20424217-8"/>
    <d v="2023-01-09T00:00:00"/>
    <n v="3"/>
    <d v="2023-04-24T00:00:00"/>
    <s v="NUEVO"/>
    <s v="N/A"/>
    <s v="N/A"/>
    <s v="N/A"/>
    <n v="0"/>
    <s v="STP"/>
    <s v="N/A"/>
    <s v="N/A"/>
    <x v="5"/>
    <s v="IQF"/>
    <s v="OPERARIO"/>
    <s v="IQF"/>
    <s v="N/A"/>
    <s v="TARDE"/>
    <d v="1899-12-30T22:30:00"/>
    <s v="LUNES"/>
    <s v="SEMANA 17"/>
    <m/>
    <m/>
    <s v="GUILLERMO NARVAEZ"/>
    <s v="FRANCISCO SANCHEZ"/>
    <n v="23"/>
    <s v="Superficies de trabajo"/>
    <x v="1"/>
    <s v="Contusión"/>
    <s v="Caida de distinto nivel"/>
    <s v="COLABORADOR SUFRE GOLPE EN RODILLA IZQUIERDA POR CAIDA DE DISTINTO NIVEL CUANDO SE ENCONTRABA MOVILIZANDO BANDEJAS EN LINEA DE IQF."/>
    <s v="CONDICION"/>
    <s v="SI"/>
    <s v="NO"/>
    <s v="ALAN CARRASCO"/>
    <s v="CARLOS CARTAGENA"/>
  </r>
  <r>
    <x v="0"/>
    <s v="ABRIL"/>
    <s v="EL PAICO"/>
    <s v="ESPINOZA PINTO"/>
    <s v="JORGE"/>
    <s v="MASCULINO"/>
    <s v="19849137-3"/>
    <d v="2022-11-14T00:00:00"/>
    <n v="5"/>
    <d v="2023-04-24T00:00:00"/>
    <s v="NUEVO"/>
    <d v="2023-04-24T00:00:00"/>
    <d v="2023-04-24T00:00:00"/>
    <s v="N/A"/>
    <n v="0"/>
    <s v="STP"/>
    <s v="N/A"/>
    <s v="N/A"/>
    <x v="1"/>
    <s v="TROZADO AUTOMATICO"/>
    <s v="OPERARIO"/>
    <s v="TROZADO AUTOMATICO"/>
    <s v="N/A"/>
    <s v="TARDE"/>
    <d v="1899-12-30T16:00:00"/>
    <s v="LUNES"/>
    <s v="SEMANA 17"/>
    <n v="15646"/>
    <s v="NC-53-23"/>
    <s v="DANIEL GARRIDO"/>
    <s v="RAMIRO RAMIREZ"/>
    <n v="24"/>
    <s v="Materiales"/>
    <x v="4"/>
    <s v="Herida cortante"/>
    <s v="Contacto con cuerpo punzante"/>
    <s v="COLABORADOR SUFRE HERIDA PUNZANTE AL PISAR TABLA CON CLAVO QUE SE ENCONTRABA EN SUELO DE PASILLO C "/>
    <s v="CONDICION"/>
    <s v="SI"/>
    <s v="SI"/>
    <s v="ALAN CARRASCO"/>
    <s v="CARLOS CARTAGENA"/>
  </r>
  <r>
    <x v="0"/>
    <s v="ABRIL"/>
    <s v="EL PAICO"/>
    <s v="GONZALEZ MEDINA"/>
    <s v="ERIKA"/>
    <s v="FEMENINO"/>
    <s v="15624346-9"/>
    <d v="1993-01-06T00:00:00"/>
    <n v="363"/>
    <d v="2023-04-27T00:00:00"/>
    <s v="ANTIGUO"/>
    <s v="N/A"/>
    <s v="N/A"/>
    <s v="N/A"/>
    <n v="0"/>
    <s v="STP"/>
    <s v="N/A"/>
    <s v="N/A"/>
    <x v="1"/>
    <s v="PROLIJADO"/>
    <s v="OPERARIO"/>
    <s v="LINEA PROLIJADO"/>
    <s v="N/A"/>
    <s v="MAÑANA"/>
    <d v="1899-12-30T12:30:00"/>
    <s v="VIERNES"/>
    <s v="SEMANA 17"/>
    <m/>
    <m/>
    <s v="DANIEL GARRIDO"/>
    <s v="JOSE CARVALLO"/>
    <n v="55"/>
    <s v="Materiales"/>
    <x v="2"/>
    <s v="Herida cortante"/>
    <s v="Contacto con cuerpo punzante"/>
    <s v="COLABORADORA SUFRE CORTE EN DEDO ANULAR DE MANO DERECHA CON CUCHILLO, EN LINEA PROLIJADO DE PECHUGAS"/>
    <s v="ACCION"/>
    <s v="SI"/>
    <s v="NO"/>
    <s v="ALAN CARRASCO"/>
    <s v="CARLOS CARTAGENA"/>
  </r>
  <r>
    <x v="0"/>
    <s v="ABRIL"/>
    <s v="EL PAICO"/>
    <s v="HUINAO CARTAGENA"/>
    <s v="MANUEL"/>
    <s v="MASCULINO"/>
    <s v="15403657-1"/>
    <d v="2022-11-04T00:00:00"/>
    <n v="5"/>
    <d v="2023-04-27T00:00:00"/>
    <s v="NUEVO"/>
    <s v="N/A"/>
    <s v="N/A"/>
    <d v="2023-04-28T00:00:00"/>
    <n v="0"/>
    <s v="STP"/>
    <s v="N/A"/>
    <s v="N/A"/>
    <x v="5"/>
    <s v="CALIBRADO"/>
    <s v="OPERARIO"/>
    <s v="TROZADO DE POLLO"/>
    <s v="N/A"/>
    <s v="MAÑANA"/>
    <d v="1899-12-30T08:10:00"/>
    <s v="JUEVES"/>
    <s v="SEMANA 17"/>
    <m/>
    <m/>
    <s v="GUILLERMO NARVAEZ"/>
    <s v="MAXIMO CAMPOS"/>
    <n v="40"/>
    <s v="Bins"/>
    <x v="4"/>
    <s v="Contusión"/>
    <s v="Golpeado por"/>
    <s v="COLABORADOR SUFRE CONTUSION EN PIE DERECHO AL SE GOLPEADO POR COMPAÑERO QUE TRASLABA BINS CON PRODUCTO EN PASILLO DE TROZADO DE POLLO"/>
    <s v="ACCION"/>
    <s v="SI"/>
    <s v="NO"/>
    <s v="NICOLAS GOMEZ"/>
    <s v="WLADIMIR CALDERON "/>
  </r>
  <r>
    <x v="0"/>
    <s v="ABRIL"/>
    <s v="EL PAICO"/>
    <s v="DURAN OYANEDEL"/>
    <s v="CRISTIAN"/>
    <s v="MASCULINO"/>
    <s v="13334407-1"/>
    <d v="2005-12-01T00:00:00"/>
    <n v="208"/>
    <d v="2023-04-29T00:00:00"/>
    <s v="ANTIGUO"/>
    <d v="2023-04-29T00:00:00"/>
    <d v="2023-05-05T00:00:00"/>
    <s v="N/A"/>
    <n v="7"/>
    <s v="CTP"/>
    <s v="N/A"/>
    <s v="N/A"/>
    <x v="2"/>
    <s v="ASEO OPERACIONAL"/>
    <s v="ENCARGADO DE LINEA"/>
    <s v="PASILLO SALA DE JUEGOS"/>
    <s v="N/A"/>
    <s v="MAÑANA"/>
    <d v="1899-12-30T10:40:00"/>
    <s v="SABADO"/>
    <s v="SEMANA 17"/>
    <n v="15654"/>
    <s v="NC-63-23"/>
    <s v="CARLOS JIMENEZ"/>
    <s v="JORDAN FARIAS"/>
    <n v="47"/>
    <s v="Infraestructura"/>
    <x v="4"/>
    <s v="Torsión"/>
    <s v="Caida de mismo nivel"/>
    <s v="COLABORADOR DE SSGG SUFRE TORSION DE SU PIERNA IZQUIERDA POR CAIDA A MISMO NIVEL AL REBALAR FUERA DE SALA DE CAPACITACION POR EL PASILLO DE LA SALA DE JUEGOS PRODUCTO DE AGUA EN EL PISO A RAIZ DE UNA GOTERA, ESTO MIENTRAS SE DIRIGIA AL PROCESO POR EL LLAMADO DE UNA CONTINGENCIA."/>
    <s v="CONDICION"/>
    <s v="SI"/>
    <s v="SI"/>
    <s v="NICOLAS GOMEZ"/>
    <s v="CHISTIAN JHONS"/>
  </r>
  <r>
    <x v="0"/>
    <s v="MAYO"/>
    <s v="EL PAICO"/>
    <s v="MONTOYA MONSALVE"/>
    <s v="LONDY"/>
    <s v="MASCULINO"/>
    <s v="26201884-9"/>
    <d v="2020-09-22T00:00:00"/>
    <n v="31"/>
    <d v="2023-05-02T00:00:00"/>
    <s v="ANTIGUO"/>
    <d v="2023-05-03T00:00:00"/>
    <s v="N/A"/>
    <s v="N/A"/>
    <n v="0"/>
    <s v="STP"/>
    <s v="N/A"/>
    <s v="N/A"/>
    <x v="2"/>
    <s v="ASEO OPERACIONAL"/>
    <s v="OPERARIO"/>
    <s v="DESPLUMADO"/>
    <s v="N/A"/>
    <s v="NOCHE"/>
    <d v="1899-12-30T03:10:00"/>
    <s v="MARTES"/>
    <s v="SEMANA 18"/>
    <n v="15673"/>
    <s v="NC-64-23"/>
    <s v="CARLOS JIMENEZ"/>
    <s v="LUIS URBINA"/>
    <n v="34"/>
    <s v="Producto quimico"/>
    <x v="5"/>
    <s v="Conjuntivitis"/>
    <s v="Proyeccion de particulas"/>
    <s v="COLABORADORA SUFRE MOLESTIA OCULAR POR PROYECCION DE PARTICULAS LIQUIDAS AL ROPERSE LLAVE QUE SE ENCONTRABA SANITIZANDO EN SALA DE DESPLUMADO"/>
    <s v="CONDICION"/>
    <s v="SI"/>
    <s v="SI"/>
    <s v="NICOLAS GOMEZ"/>
    <s v="WLADIMIR CALDERON "/>
  </r>
  <r>
    <x v="0"/>
    <s v="MAYO"/>
    <s v="EL PAICO"/>
    <s v="TAPIA GUERRA"/>
    <s v="MARIA"/>
    <s v="FEMENINO"/>
    <s v="15404921-5"/>
    <d v="2018-11-12T00:00:00"/>
    <n v="53"/>
    <d v="2023-05-02T00:00:00"/>
    <s v="ANTIGUO"/>
    <s v="N/A"/>
    <s v="N/A"/>
    <s v="N/A"/>
    <n v="0"/>
    <s v="STP"/>
    <s v="N/A"/>
    <s v="N/A"/>
    <x v="5"/>
    <s v="CALIBRADO"/>
    <s v="OPERARIO"/>
    <s v="IQF 4"/>
    <s v="N/A"/>
    <s v="MAÑANA"/>
    <d v="1899-12-30T05:35:00"/>
    <s v="MARTES"/>
    <s v="SEMANA 18"/>
    <m/>
    <m/>
    <s v="GUILLERMO NARVAEZ"/>
    <s v="FRANCISCO SANCHEZ"/>
    <n v="41"/>
    <s v="Producto quimico"/>
    <x v="3"/>
    <s v="Otros"/>
    <s v="Contacto con sustancias toxicas"/>
    <s v="COLABORADORA SUFRE MOLESTIAS, EN OJOS, NARIZ Y BOCA, POR EXPOSICION A ACIDO PERACETICO EN IQF 4"/>
    <s v="CONDICION"/>
    <s v="SI"/>
    <s v="NO"/>
    <s v="ALAN CARRASCO"/>
    <s v="CARLOS CARTAGENA"/>
  </r>
  <r>
    <x v="0"/>
    <s v="MAYO"/>
    <s v="EL PAICO"/>
    <s v="ORTUBIA PAVEZ"/>
    <s v="MARIA ISABEL"/>
    <s v="FEMENINO"/>
    <s v="18960205-7"/>
    <d v="2017-04-10T00:00:00"/>
    <n v="72"/>
    <d v="2023-05-02T00:00:00"/>
    <s v="ANTIGUO"/>
    <d v="2023-05-02T00:00:00"/>
    <d v="2023-05-02T00:00:00"/>
    <s v="N/A"/>
    <n v="0"/>
    <s v="STP"/>
    <s v="N/A"/>
    <s v="N/A"/>
    <x v="1"/>
    <s v="DESHUESADO"/>
    <s v="OPERARIO"/>
    <s v="ESTACIONAMIENTO PLANTA"/>
    <s v="N/A"/>
    <s v="MAÑANA"/>
    <d v="1899-12-30T06:15:00"/>
    <s v="MARTES"/>
    <s v="SEMANA 18"/>
    <n v="155661"/>
    <s v="NC-65-23"/>
    <s v="DANIEL GARRIDO"/>
    <s v="JORGE MEZA"/>
    <n v="28"/>
    <s v="Vehículos"/>
    <x v="4"/>
    <s v="Contusión"/>
    <s v="Golpeado contra"/>
    <s v="COLABORADORA SUFRE CONTUSION EN PIE IZQUIERDO AL GOLPEARSE CON SOPORTE DE ASIENTO CUANDO SE ENCONTRABA BAJANDO DE VANS DE TRANSPORTE EN ESTACIONAMIENTO DE PLANTA"/>
    <s v="ACCION"/>
    <s v="NO"/>
    <s v="SI"/>
    <s v="ALAN CARRASCO"/>
    <s v="CARLOS CARTAGENA"/>
  </r>
  <r>
    <x v="0"/>
    <s v="MAYO"/>
    <s v="EL PAICO"/>
    <s v="ARAVENA NUÑEZ"/>
    <s v="ROCIO"/>
    <s v="FEMENINO"/>
    <s v="20060554-3"/>
    <d v="1999-07-18T00:00:00"/>
    <n v="285"/>
    <d v="2023-05-02T00:00:00"/>
    <s v="ANTIGUO"/>
    <s v="N/A"/>
    <s v="N/A"/>
    <s v="N/A"/>
    <n v="0"/>
    <s v="STP"/>
    <s v="N/A"/>
    <s v="N/A"/>
    <x v="6"/>
    <s v="CAMARA"/>
    <s v="OPERARIO"/>
    <s v="DESPACHO"/>
    <s v="N/A"/>
    <s v="NOCHE"/>
    <d v="1899-12-30T22:10:00"/>
    <s v="MARTES"/>
    <s v="SEMANA 18"/>
    <m/>
    <m/>
    <s v="FRANCISCO QUEZADA"/>
    <s v="ROBERTO LOYOLA"/>
    <n v="23"/>
    <s v="Cajas"/>
    <x v="8"/>
    <s v="Contusión"/>
    <s v="Golpeado contra"/>
    <s v="COLABORADORA SUFRE CONTUSION EN BRAZO IZQUIERDO AL SER GOLPEADA POR EL CONTRARIO CAJA DE PRODUCTO (12KILOS) EN SECTOR DESPACHO DEL AREA DE FRIGORIFICO"/>
    <s v="ACCION"/>
    <s v="SI"/>
    <s v="NO"/>
    <s v="NICOLAS GOMEZ"/>
    <s v="CARLOS CARTAGENA"/>
  </r>
  <r>
    <x v="0"/>
    <s v="MAYO"/>
    <s v="EL PAICO"/>
    <s v="CASTILLO GUICO"/>
    <s v="JOSE"/>
    <s v="MASCULINO"/>
    <s v="19213143-K"/>
    <d v="2022-08-18T00:00:00"/>
    <n v="8"/>
    <d v="2023-05-03T00:00:00"/>
    <s v="INTERMEDIO"/>
    <s v="N/A"/>
    <s v="N/A"/>
    <s v="N/A"/>
    <n v="0"/>
    <s v="STP"/>
    <s v="N/A"/>
    <s v="N/A"/>
    <x v="0"/>
    <s v="EVICERADO"/>
    <s v="OPERARIO"/>
    <s v="EVICERADO"/>
    <s v="N/A"/>
    <s v="MAÑANA"/>
    <d v="1899-12-30T15:55:00"/>
    <s v="MIERCOLES"/>
    <s v="SEMANA 18"/>
    <m/>
    <m/>
    <s v="NICOLAS MOYANO"/>
    <m/>
    <n v="26"/>
    <s v="Materia Prima"/>
    <x v="5"/>
    <s v="Conjuntivitis"/>
    <s v="Proyeccion de particulas"/>
    <s v="COLABORADOR SUFRE PROYECCION DE BILIS EN OJO IZQUIERDO CUANDO SE ENCONTRABA  COLGANDO PANAS EN EL AREA DE EVICERADO"/>
    <s v="ACCION"/>
    <s v="SI"/>
    <s v="NO"/>
    <s v="NICOLAS GOMEZ"/>
    <s v="CHISTIAN JHONS"/>
  </r>
  <r>
    <x v="0"/>
    <s v="MAYO"/>
    <s v="EL PAICO"/>
    <s v="SANTIBAÑEZ MARIN"/>
    <s v="KARLA"/>
    <s v="FEMENINO"/>
    <s v="17802999-1"/>
    <d v="2020-05-29T00:00:00"/>
    <n v="35"/>
    <d v="2023-05-03T00:00:00"/>
    <s v="ANTIGUO"/>
    <s v="N/A"/>
    <s v="N/A"/>
    <s v="N/A"/>
    <n v="0"/>
    <s v="STP"/>
    <s v="N/A"/>
    <s v="N/A"/>
    <x v="5"/>
    <s v="IQF 2"/>
    <s v="OPERARIO"/>
    <s v="IQF 2"/>
    <s v="TAPA DE CABEZAL DE INYECTORA IQF 2"/>
    <s v="MAÑANA"/>
    <d v="1899-12-30T05:39:00"/>
    <s v="MIERCOLES"/>
    <s v="SEMANA 18"/>
    <m/>
    <m/>
    <s v="GUILLERMO NARVAEZ"/>
    <s v="FRANCISCO SANCHEZ"/>
    <n v="32"/>
    <s v="Maquinarias"/>
    <x v="2"/>
    <s v="Contusión"/>
    <s v="Golpeado por"/>
    <s v="COLABORADORA DE IQF-CALIBRADO SUFRE CONTUSION EN MANO DERECHA POR APLASTAMIENTO DE TAPA AL MOMENTO SE REALIZAR LIMPIENZA DE MAQUINA INYECTORA IQF-4 SE BAJA LA TAPA DEL CABEZAL GOLPEANDO SU MANO."/>
    <s v="ACCION"/>
    <s v="SI"/>
    <s v="NO"/>
    <s v="CARLOS ORELLANA"/>
    <s v="CHISTIAN JHONS"/>
  </r>
  <r>
    <x v="0"/>
    <s v="MAYO"/>
    <s v="EL PAICO"/>
    <s v="DIAZ ROJAS"/>
    <s v="KATIUSKA "/>
    <s v="FEMENINO"/>
    <s v="16817017-3"/>
    <d v="2023-01-17T00:00:00"/>
    <n v="3"/>
    <d v="2023-05-03T00:00:00"/>
    <s v="NUEVO"/>
    <s v="N/A"/>
    <s v="N/A"/>
    <s v="N/A"/>
    <n v="0"/>
    <s v="STP"/>
    <s v="N/A"/>
    <s v="N/A"/>
    <x v="1"/>
    <s v="DESHUESADO"/>
    <s v="OPERARIO"/>
    <s v="DESHUESADO"/>
    <s v="N/A"/>
    <s v="TARDE"/>
    <d v="1899-12-30T18:30:00"/>
    <s v="MIERCOLES"/>
    <s v="SEMANA 18"/>
    <m/>
    <m/>
    <s v="DANIEL GARRIDO"/>
    <s v="JOSE CARVALLO"/>
    <n v="35"/>
    <s v="Bandejas"/>
    <x v="2"/>
    <s v="Contusión"/>
    <s v="Sobreesfuerzo"/>
    <s v="COLABORADORA DE TPO SUFRE CONTUSION E INFLAMACION EN MANO DERECHA AL MOMENTO DE LEVANTAR BANDEJA EN SALA DE DESHUEZADO MIENTRAS REALIZABA LABORES DE PROLIJADO"/>
    <s v="ACCION"/>
    <s v="SI"/>
    <s v="NO"/>
    <s v="NICOLAS GOMEZ"/>
    <s v="CHISTIAN JHONS"/>
  </r>
  <r>
    <x v="0"/>
    <s v="MAYO"/>
    <s v="EL PAICO"/>
    <s v="ESPINOZA PADILLA"/>
    <s v="PAULINA"/>
    <s v="FEMENINO"/>
    <s v="17133880-8"/>
    <d v="2022-06-14T00:00:00"/>
    <n v="10"/>
    <d v="2023-05-03T00:00:00"/>
    <s v="INTERMEDIO"/>
    <s v="N/A"/>
    <s v="N/A"/>
    <s v="N/A"/>
    <n v="0"/>
    <s v="STP"/>
    <s v="N/A"/>
    <s v="N/A"/>
    <x v="5"/>
    <s v="CALIBRADO"/>
    <s v="OPERARIO"/>
    <s v="CALIBRADO"/>
    <s v="N/A"/>
    <s v="TARDE"/>
    <d v="1899-12-30T22:30:00"/>
    <s v="MIERCOLES"/>
    <s v="SEMANA 18"/>
    <m/>
    <m/>
    <s v="GUILLERMO NARVAEZ"/>
    <s v="FERNANDO FUENTEALBA"/>
    <n v="34"/>
    <s v="Cajas"/>
    <x v="9"/>
    <s v="Contusión"/>
    <s v="Golpeado por"/>
    <s v="COLABORADORA DE IQF-CALIBRADO SUFRE CONTUSION EN ZONA TORAXICA AL MOMENTO DE RETIRAR UNA CAJA DE LA LINEA DE TRABAJO"/>
    <s v="ACCION"/>
    <s v="SI"/>
    <s v="NO"/>
    <s v="NICOLAS GOMEZ"/>
    <s v="CHISTIAN JHONS"/>
  </r>
  <r>
    <x v="0"/>
    <s v="MAYO"/>
    <s v="EL PAICO"/>
    <s v="AHUMADA CASTILLO"/>
    <s v="JUAN "/>
    <s v="MASCULINO"/>
    <s v="18096461-4"/>
    <d v="2022-07-12T00:00:00"/>
    <n v="10"/>
    <d v="2023-05-16T00:00:00"/>
    <s v="INTERMEDIO"/>
    <s v="N/A"/>
    <s v="N/A"/>
    <s v="N/A"/>
    <n v="0"/>
    <s v="STP"/>
    <s v="N/A"/>
    <s v="N/A"/>
    <x v="7"/>
    <s v="MANTENCION"/>
    <s v="OPERARIO"/>
    <s v="MONTESA"/>
    <s v="EQUIPO PARA MOVIMIENTO DE CARGA (GRUAS O TRANSPALETAS)"/>
    <s v="MAÑANA"/>
    <d v="1899-12-30T11:30:00"/>
    <s v="SABADO"/>
    <s v="SEMANA 18"/>
    <m/>
    <m/>
    <s v="VICTOR GOMEZ"/>
    <s v="EMANUEL MELLADO"/>
    <n v="31"/>
    <s v="Equipos Transporte de carga"/>
    <x v="4"/>
    <s v="Contusión"/>
    <s v="Golpeado por"/>
    <s v="COLABORADOR SUFRE CONTUSION EN PIE DERECHO AL SER GOLPEADO POR TRANSPALETA MANUAL, CUANDO SE DIRIGIA HA MAQUINA ESMIPACK "/>
    <s v="ACCION"/>
    <s v="SI"/>
    <s v="NO"/>
    <s v="ALAN CARRASCO"/>
    <s v="CARLOS CARTAGENA"/>
  </r>
  <r>
    <x v="0"/>
    <s v="MAYO"/>
    <s v="EL PAICO"/>
    <s v="VICENCIO ARAYA"/>
    <s v="MARIANEL"/>
    <s v="FEMENINO"/>
    <s v="20424728-5"/>
    <d v="2022-01-19T00:00:00"/>
    <n v="15"/>
    <d v="2023-05-08T00:00:00"/>
    <s v="INTERMEDIO"/>
    <d v="2023-05-08T00:00:00"/>
    <d v="2023-05-15T00:00:00"/>
    <s v="N/A"/>
    <n v="8"/>
    <s v="CTP"/>
    <s v="LGF"/>
    <s v="LGF2"/>
    <x v="2"/>
    <s v="ASEO OPERACIONAL"/>
    <s v="OPERARIO"/>
    <s v="CINTA TRIMIN"/>
    <s v="CINTA TRIMIN"/>
    <s v="NOCHE"/>
    <d v="1899-12-30T01:05:00"/>
    <s v="LUNES"/>
    <s v="SEMANA 19"/>
    <n v="15681"/>
    <s v="NC-7-23."/>
    <s v="CARLOS JIMENES"/>
    <s v="PATRICIO PALACIOS"/>
    <n v="22"/>
    <s v="Maquinarias"/>
    <x v="2"/>
    <s v="Contusión"/>
    <s v="Atrapamiento"/>
    <s v="COLABORADORA SUFRE CONTUSION EN MANO IZQUIERDA,  POR ATRAPAMIENTO CUANDO SE ENCONTRABA LIMPIANDO CINTA TRIMIN EN EL AREA DESHUESADO "/>
    <s v="ACCION"/>
    <s v="SI"/>
    <s v="SI"/>
    <s v="NICOLAS GOMEZ"/>
    <s v="CHISTIAN JHONS"/>
  </r>
  <r>
    <x v="0"/>
    <s v="MAYO"/>
    <s v="EL PAICO"/>
    <s v="CHACON "/>
    <s v="SOLEDAD"/>
    <s v="FEMENINO"/>
    <s v="15325840-6"/>
    <d v="2014-05-02T00:00:00"/>
    <n v="108"/>
    <d v="2023-05-08T00:00:00"/>
    <s v="ANTIGUO"/>
    <d v="2023-05-08T00:00:00"/>
    <d v="2023-05-08T00:00:00"/>
    <s v="N/A"/>
    <n v="0"/>
    <s v="STP"/>
    <s v="N/A"/>
    <s v="N/A"/>
    <x v="1"/>
    <s v="AUTOMATICO"/>
    <s v="OPERARIO"/>
    <s v="LÍNEA ALA MEDIA"/>
    <s v="N/A"/>
    <s v="MAÑANA"/>
    <d v="1899-12-30T09:30:00"/>
    <s v="LUNES"/>
    <s v="SEMANA 19"/>
    <m/>
    <m/>
    <s v="DANIEL GARRIDO"/>
    <s v="ARNALDO VERA"/>
    <n v="41"/>
    <s v="Cajas"/>
    <x v="7"/>
    <s v="Otros"/>
    <s v="Sobreesfuerzo"/>
    <s v="COLABORADORA SUFRE DOLOR EN ZONA DORSAL DERECHA CUANDO SE ENCONTRABA MOVIENDO BANDEJAS CON PRODUCTO EN LÍNEA DE ALA MEDIA "/>
    <s v="ACCION"/>
    <s v="SI"/>
    <s v="NO"/>
    <s v="NICOLAS GOMEZ"/>
    <s v="MICHELLE SANCHEZ"/>
  </r>
  <r>
    <x v="0"/>
    <s v="MAYO"/>
    <s v="EL PAICO"/>
    <s v="VAZQUEZ RIVEROS"/>
    <s v="PAMELA"/>
    <s v="FEMENINO"/>
    <s v="16985189-1"/>
    <d v="2022-12-13T00:00:00"/>
    <n v="4"/>
    <d v="2023-05-09T00:00:00"/>
    <s v="NUEVO"/>
    <s v="N/A"/>
    <s v="N/A"/>
    <s v="N/A"/>
    <n v="0"/>
    <s v="STP"/>
    <s v="N/A"/>
    <s v="N/A"/>
    <x v="1"/>
    <s v="DESHUESADO"/>
    <s v="OPERARIO"/>
    <s v="TROZADO DE PAVO"/>
    <s v="N/A"/>
    <s v="MAÑANA"/>
    <d v="1899-12-30T13:40:00"/>
    <s v="MARTES"/>
    <s v="SEMANA 19"/>
    <m/>
    <m/>
    <s v="DANIEL GARRIDO"/>
    <s v="JOSE CARVALLO"/>
    <n v="37"/>
    <s v="Materia Prima"/>
    <x v="3"/>
    <s v="Contusión"/>
    <s v="Caida de mismo nivel"/>
    <s v="COLABORADORA SUFRE CAIDA A NIVEL AL PISAR RESTOS DE PRODUCTOS QUE SE ENCONTRABAN EN EL PISO, CUANDO PASABA POR EL AREA DE TROZADO DE PAVO"/>
    <s v="CONDICION"/>
    <s v="SI"/>
    <s v="NO"/>
    <s v="NICOLAS GOMEZ"/>
    <s v="WLADIMIR CALDERON "/>
  </r>
  <r>
    <x v="0"/>
    <s v="MAYO"/>
    <s v="EL PAICO"/>
    <s v="REYES BUSTOS"/>
    <s v="ALEXIS"/>
    <s v="MASCULINO"/>
    <s v="20345227-6"/>
    <d v="2023-05-08T00:00:00"/>
    <n v="0"/>
    <d v="2023-05-11T00:00:00"/>
    <s v="NUEVO"/>
    <s v="N/A"/>
    <s v="N/A"/>
    <s v="N/A"/>
    <n v="0"/>
    <s v="STP"/>
    <s v="N/A"/>
    <s v="N/A"/>
    <x v="8"/>
    <s v="REPORTE DE CAJAS"/>
    <s v="OPERARIO"/>
    <s v="REPORTE DE CAJAS"/>
    <s v="CINTA DE TRANSPORTE"/>
    <s v="MAÑANA"/>
    <d v="1900-01-04T03:25:00"/>
    <s v="JUEVES"/>
    <s v="SEMANA 19"/>
    <m/>
    <m/>
    <s v="OCTAVIO MUÑOZ"/>
    <s v="ALEJANDRO SALAS"/>
    <m/>
    <s v="Infraestructura"/>
    <x v="2"/>
    <s v="Contusión"/>
    <s v="Golpeado contra"/>
    <s v="COLABORADOR SUFRE CONTUSION EN DEDO ANULAR DE MANO DERECHA CUANDO SE ENCONTRABA SACANDO CAJAS DE CINTA DE TRANS`PORTE EN AREA DE REPORTE DE CAJAS "/>
    <s v="ACCION"/>
    <s v="SI"/>
    <s v="NO"/>
    <s v="NICOLAS GOMEZ"/>
    <s v="CARLOS CARTAGENA"/>
  </r>
  <r>
    <x v="0"/>
    <s v="MAYO"/>
    <s v="EL PAICO"/>
    <s v="SILVA CATALAN "/>
    <s v="SEBASTIAN "/>
    <s v="MASCULINO"/>
    <s v="16291172-4"/>
    <d v="2022-12-19T00:00:00"/>
    <n v="4"/>
    <d v="2023-05-11T00:00:00"/>
    <s v="NUEVO"/>
    <d v="2023-05-11T00:00:00"/>
    <d v="2023-05-17T00:00:00"/>
    <s v="N/A"/>
    <n v="7"/>
    <s v="CTP"/>
    <s v="N/A"/>
    <s v="N/A"/>
    <x v="2"/>
    <s v="ASEO OPERACIONAL"/>
    <s v="OPERARIO"/>
    <s v="SALA ACOPIO DE BINS"/>
    <s v="BINS"/>
    <s v="TARDE"/>
    <d v="1899-12-30T18:25:00"/>
    <s v="JUEVES"/>
    <s v="SEMANA 19"/>
    <n v="15692"/>
    <s v="NC-59-23"/>
    <s v="CARLOS JIMENES"/>
    <s v="JOCELYN ALARCON"/>
    <n v="37"/>
    <s v="Bins"/>
    <x v="2"/>
    <s v="Contusión"/>
    <s v="Golpeado contra"/>
    <s v="COLABORADOR SUFRE GOLPE EN DEDO PULGAR DE MANO DE MANO DERECHA AL ESTAR MOVILIZANDO BINS VACIOS CON TRANSPALETA MANUAL A SAL DE ACOPIO DE BINS SALA LIMPIA"/>
    <s v="ACCION"/>
    <s v="SI"/>
    <s v="SI"/>
    <s v="ALAN CARRASCO"/>
    <s v="CARLOS CARTAGENA"/>
  </r>
  <r>
    <x v="0"/>
    <s v="MAYO"/>
    <s v="EL PAICO"/>
    <s v="OROZCO MENDIBURRE"/>
    <s v="KAREN"/>
    <s v="FEMENINO"/>
    <s v="15327303-0"/>
    <d v="2022-12-13T00:00:00"/>
    <n v="4"/>
    <d v="2023-05-12T00:00:00"/>
    <s v="NUEVO"/>
    <s v="N/A"/>
    <s v="N/A"/>
    <s v="N/A"/>
    <n v="0"/>
    <s v="STP"/>
    <s v="N/A"/>
    <s v="N/A"/>
    <x v="1"/>
    <s v="DESHUESADO"/>
    <s v="OPERARIO"/>
    <s v="IQF 2"/>
    <s v="N/A"/>
    <s v="TARDE"/>
    <d v="1899-12-30T20:05:00"/>
    <s v="VIERNES"/>
    <s v="SEMANA 19"/>
    <m/>
    <m/>
    <s v="DANIEL GARRIDO"/>
    <s v="JORGE MEZA"/>
    <n v="41"/>
    <s v="Superficies de transito"/>
    <x v="3"/>
    <s v="Contusión"/>
    <s v="Caida de mismo nivel"/>
    <s v="COLABORADORA SUFRE CONTUSIÓN EN ZONA ESCAPULAR, CODO Y MUÑECA DERECHA AL TRANSITITAR POR IQF 2 YA QUE SE ENCONTRABA ESCARCHA EN EL PISO. "/>
    <s v="CONDICION"/>
    <s v="SI"/>
    <s v="NO"/>
    <s v="ALAN CARRASCO"/>
    <s v="MICHELLE SANCHEZ"/>
  </r>
  <r>
    <x v="0"/>
    <s v="MAYO"/>
    <s v="EL PAICO"/>
    <s v="GONZALEZ ESCARATE"/>
    <s v="PABLO"/>
    <s v="MASCULINO"/>
    <s v="20880331-K"/>
    <d v="2023-03-13T00:00:00"/>
    <n v="2"/>
    <d v="2023-05-13T00:00:00"/>
    <s v="NUEVO"/>
    <s v="N/A"/>
    <s v="N/A"/>
    <s v="N/A"/>
    <n v="0"/>
    <s v="STP"/>
    <s v="N/A"/>
    <s v="N/A"/>
    <x v="0"/>
    <s v="CHILLER"/>
    <s v="OPERARIO"/>
    <s v="CHILLER CORAZON"/>
    <s v="N/A"/>
    <s v="MAÑANA"/>
    <d v="1899-12-30T08:25:00"/>
    <s v="SABADO"/>
    <s v="SEMANA 19"/>
    <m/>
    <m/>
    <s v="NICOLAS MOYANO"/>
    <s v="ERWIN GATICA"/>
    <n v="21"/>
    <s v="Materia Prima"/>
    <x v="5"/>
    <s v="Conjuntivitis"/>
    <s v="Proyeccion de particulas"/>
    <s v="COLABIORADOR SUFRE MOLESTIA OCULAR POR PROYECCION DE PARTICULAS LIQUIDAS, MIENTRAS SE ENCONTRABA SEPARANDO PRODUCTO EN CHILLER DE CORAZON"/>
    <s v="ACCION"/>
    <s v="SI"/>
    <s v="NO"/>
    <s v="ALAN CARRASCO"/>
    <s v="WLADIMIR CALDERON "/>
  </r>
  <r>
    <x v="0"/>
    <s v="MAYO"/>
    <s v="EL PAICO"/>
    <s v="VILLALOBOS VALENZUELA"/>
    <s v="PABLO"/>
    <s v="MASCULINO"/>
    <s v="19382613-K"/>
    <d v="2022-08-18T00:00:00"/>
    <n v="8"/>
    <d v="2023-05-13T00:00:00"/>
    <s v="INTERMEDIO"/>
    <s v="N/A"/>
    <s v="N/A"/>
    <s v="N/A"/>
    <n v="0"/>
    <s v="STP"/>
    <s v="N/A"/>
    <s v="N/A"/>
    <x v="1"/>
    <s v="DESHUESADO"/>
    <s v="OPERARIO"/>
    <s v="DESHUESADO"/>
    <s v="N/A"/>
    <s v="MAÑANA"/>
    <d v="1899-12-30T10:00:00"/>
    <s v="SABADO"/>
    <s v="SEMANA 19"/>
    <m/>
    <m/>
    <s v="DANIEL GARRIDO"/>
    <s v="JOSE CARVALLO"/>
    <n v="27"/>
    <s v="Cajas"/>
    <x v="8"/>
    <s v="Torsión"/>
    <s v="Otros"/>
    <s v="COLABORADOR SUFRE DOLENCIA EN MUÑECA DERECHA POR TORSION AL AFIRMAR CAJA CON PRODUCTO EN DESHUESADO"/>
    <s v="ACCION"/>
    <s v="SI"/>
    <s v="NO"/>
    <s v="ALAN CARRASCO"/>
    <s v="WLADIMIR CALDERON "/>
  </r>
  <r>
    <x v="0"/>
    <s v="MAYO"/>
    <s v="EL PAICO"/>
    <s v="SANTIS GONZÁLEZ"/>
    <s v="MAURICIO"/>
    <s v="MASCULINO"/>
    <s v="13771697-6"/>
    <d v="2005-06-01T00:00:00"/>
    <n v="215"/>
    <d v="2023-05-13T00:00:00"/>
    <s v="ANTIGUO"/>
    <s v="N/A"/>
    <s v="N/A"/>
    <s v="N/A"/>
    <n v="0"/>
    <s v="STP"/>
    <s v="N/A"/>
    <s v="N/A"/>
    <x v="8"/>
    <s v="SALA DE PULPA"/>
    <s v="OPERARIO"/>
    <s v="SALA DE PULPA"/>
    <s v="N/A"/>
    <s v="TARDE"/>
    <d v="1899-12-30T16:55:00"/>
    <s v="SABADO"/>
    <s v="SEMANA 19"/>
    <m/>
    <m/>
    <s v="OCTAVIO MUÑOZ"/>
    <s v="MARCOS QUINTANILLA"/>
    <n v="43"/>
    <s v="Maquinarias"/>
    <x v="2"/>
    <s v="Herida cortante"/>
    <s v="Contacto con cuerpo cortante"/>
    <s v="COLABORADOR SUFRE HERIDA CORTANTE EN DEDO INDICE SUPERIOR IZQUIERDO AL ESTAR SACANDO RINES EN SALA DE PULPA "/>
    <s v="ACCION"/>
    <s v="SI"/>
    <s v="NO"/>
    <s v="ALAN CARRASCO"/>
    <s v="WLADIMIR CALDERON "/>
  </r>
  <r>
    <x v="0"/>
    <s v="MAYO"/>
    <s v="EL PAICO"/>
    <s v="LOYOLA CASTRO"/>
    <s v="MANUEL"/>
    <s v="MASCULINO"/>
    <s v="12238115-2"/>
    <d v="2000-07-06T00:00:00"/>
    <n v="274"/>
    <d v="2023-05-16T00:00:00"/>
    <s v="ANTIGUO"/>
    <s v="N/A"/>
    <s v="N/A"/>
    <s v="N/A"/>
    <n v="0"/>
    <s v="STP"/>
    <s v="N/A"/>
    <s v="N/A"/>
    <x v="9"/>
    <s v="LÍNEA DE CONOS"/>
    <s v="OPERARIO"/>
    <s v="LINEA DE CONOS"/>
    <s v="N/A"/>
    <s v="MAÑANA"/>
    <d v="1899-12-30T05:10:00"/>
    <s v="MARTES"/>
    <s v="SEMANA 20"/>
    <m/>
    <m/>
    <s v="GUILLERMO NARVAEZ"/>
    <s v="JAQUELIN PAVEZ"/>
    <n v="51"/>
    <s v="Materiales"/>
    <x v="4"/>
    <s v="Contusión"/>
    <s v="Golpeado por"/>
    <s v="COLABORADOR SUFRE CONTUSION EN PIE DERECHO AL CAER PISO METALICO SOBRE SU PIE CUANDO SE ENCONTRABA ORDENANDO SU 'PUESTO DE TRABAJO EN LÍNEA DE CONOS "/>
    <s v="ACCION"/>
    <s v="SI"/>
    <s v="NO"/>
    <s v="ALAN CARRASCO"/>
    <s v="MICHELLE SANCHEZ"/>
  </r>
  <r>
    <x v="0"/>
    <s v="MAYO"/>
    <s v="EL PAICO"/>
    <s v="DIAZ ALABARCE"/>
    <s v="YERCO"/>
    <s v="MASCULINO"/>
    <s v="16241507-7"/>
    <d v="2023-01-16T00:00:00"/>
    <n v="4"/>
    <d v="2023-05-16T00:00:00"/>
    <s v="NUEVO"/>
    <d v="2023-05-16T00:00:00"/>
    <s v="N/A"/>
    <s v="N/A"/>
    <n v="0"/>
    <s v="STP"/>
    <s v="N/A"/>
    <s v="N/A"/>
    <x v="0"/>
    <s v="CALIBRADO DE PAVOS"/>
    <s v="OPERARIO"/>
    <s v="BAÑO"/>
    <s v="N/A"/>
    <s v="MAÑANA"/>
    <d v="1899-12-30T12:10:00"/>
    <s v="MARTES"/>
    <s v="SEMANA 20"/>
    <n v="15699"/>
    <s v="NC-68-23"/>
    <s v="NICOLAS MOYANO"/>
    <s v="CESAR CARTAGENA"/>
    <n v="37"/>
    <s v="Infraestructura"/>
    <x v="4"/>
    <s v="Herida cortante"/>
    <s v="Caida de mismo nivel"/>
    <s v="COLABORADOR SUFRE HERIDA CORTANTE EN PIE DERECHO POR CERAMICA EN MALAS CONDICIONES AL CAER EN BAÑO DE LA PLANTA"/>
    <s v="CONDICION"/>
    <s v="NO"/>
    <s v="SI"/>
    <s v="ALAN CARRASCO"/>
    <s v="MICHELLE SANCHEZ"/>
  </r>
  <r>
    <x v="0"/>
    <s v="MAYO"/>
    <s v="EL PAICO"/>
    <s v="RIVEROS CONTRERAS"/>
    <s v="ROMANETT"/>
    <s v="FEMENINO"/>
    <s v="19211635-K"/>
    <d v="2023-04-13T00:00:00"/>
    <n v="1"/>
    <d v="2023-05-16T00:00:00"/>
    <s v="NUEVO"/>
    <d v="2023-05-16T00:00:00"/>
    <s v="N/A"/>
    <s v="N/A"/>
    <n v="0"/>
    <s v="STP"/>
    <s v="N/A"/>
    <s v="N/A"/>
    <x v="1"/>
    <s v="DESHUESADO"/>
    <s v="OPERARIO"/>
    <s v="BAÑO"/>
    <s v="N/A"/>
    <s v="TARDE"/>
    <d v="1899-12-30T18:15:00"/>
    <s v="MARTES"/>
    <s v="SEMANA 20"/>
    <n v="15700"/>
    <s v="NC-67-23"/>
    <s v="DANIEL GARRIDO"/>
    <s v="JOSE CARVALLO"/>
    <n v="27"/>
    <s v="Otros"/>
    <x v="2"/>
    <s v="Herida cortante"/>
    <s v="Contacto con cuerpo cortante"/>
    <s v="COLABORADORA SUFRE CORTE EN MANO IZQUIERA POR CONTACTO CON TROZO DE LATA QUE SE ENCUENTRA AL INTERIOR DE ZIPER."/>
    <s v="CONDICION"/>
    <s v="NO"/>
    <s v="SI"/>
    <s v="NICOLAS GOMEZ"/>
    <s v="MICHELLE SANCHEZ"/>
  </r>
  <r>
    <x v="0"/>
    <s v="MAYO"/>
    <s v="EL PAICO"/>
    <s v="LLANTEN MELO"/>
    <s v="JONATHAN"/>
    <s v="MASCULINO"/>
    <s v="16181057-6"/>
    <d v="2007-02-01T00:00:00"/>
    <n v="195"/>
    <d v="2023-05-17T00:00:00"/>
    <s v="ANTIGUO"/>
    <d v="2023-05-18T00:00:00"/>
    <d v="2023-05-24T00:00:00"/>
    <s v="N/A"/>
    <n v="7"/>
    <s v="CTP"/>
    <s v="LGF"/>
    <s v="LGF2"/>
    <x v="1"/>
    <s v="DESHUESADO"/>
    <s v="OPERARADOR TECNICO "/>
    <s v="Carrusel HQ sur"/>
    <s v="HQ sur"/>
    <s v="TARDE"/>
    <d v="1899-12-30T22:55:00"/>
    <s v="JUEVES"/>
    <s v="SEMANA 20"/>
    <n v="15701"/>
    <s v="NC-71-23"/>
    <s v="DANIEL GARRIDO"/>
    <s v="JOSE CARVALLO"/>
    <n v="37"/>
    <s v="Maquinarias"/>
    <x v="2"/>
    <s v="Atrición"/>
    <s v="Atrapamiento"/>
    <s v="COLABORADOR SUFRE ATRISION EN DEDO ANULAR DE MANO DERECHA POR ATRAPAMIENTO MIENTRAS SE ENCONTRABA REALIZABNDO GIRO EN CARRUSEL DE MAQUINA HQ DE MANERA MANUAL "/>
    <s v="ACCION"/>
    <s v="SI"/>
    <s v="SI"/>
    <s v="NICOLAS GOMEZ"/>
    <s v="CARLOS CARTAGENA"/>
  </r>
  <r>
    <x v="0"/>
    <s v="MAYO"/>
    <s v="EL PAICO"/>
    <s v="RAMIRES SOTO"/>
    <s v="RAMIRO"/>
    <s v="MASCULINO"/>
    <s v="12178535-8"/>
    <d v="1999-03-01T00:00:00"/>
    <n v="290"/>
    <d v="2023-05-19T00:00:00"/>
    <s v="ANTIGUO"/>
    <s v="N/A"/>
    <s v="N/A"/>
    <s v="N/A"/>
    <n v="0"/>
    <s v="STP"/>
    <s v="N/A"/>
    <s v="N/A"/>
    <x v="1"/>
    <s v="TROZADO AUTOMATICO"/>
    <s v="SUPERVISOR"/>
    <s v="TROZADO AUTOMATICO"/>
    <s v="N/A"/>
    <s v="MAÑANA"/>
    <d v="1899-12-30T11:00:00"/>
    <s v="VIERNES"/>
    <s v="SEMANA 20"/>
    <m/>
    <m/>
    <s v="DANIEL GARRIDO"/>
    <s v="RAMIRO RAMIREZ"/>
    <n v="51"/>
    <s v="Materia Prima"/>
    <x v="10"/>
    <s v="Contusión"/>
    <s v="Golpeado por"/>
    <s v="COLABORAOR SUFRE GOLP EN ZONA OCCIPITAL DEL CRANEO AL CAER PRODUCTO DESDE LINEA DEL PROCESO"/>
    <s v="CONDICION"/>
    <s v="SI"/>
    <s v="NO"/>
    <s v="NICOLAS GOMEZ"/>
    <s v="MICHELLE SANCHEZ"/>
  </r>
  <r>
    <x v="0"/>
    <s v="MAYO"/>
    <s v="EL PAICO"/>
    <s v="CACERES PALMA"/>
    <s v="CRISTOPHER"/>
    <s v="MASCULINO"/>
    <s v="19211902-2"/>
    <d v="2016-11-21T00:00:00"/>
    <n v="77"/>
    <d v="2023-05-20T00:00:00"/>
    <s v="ANTIGUO"/>
    <d v="2023-05-22T00:00:00"/>
    <d v="2023-06-02T00:00:00"/>
    <s v="N/A"/>
    <n v="12"/>
    <s v="CTP"/>
    <s v="LGF"/>
    <s v="LGF8"/>
    <x v="2"/>
    <s v="ASEO ZONA LIMPIA"/>
    <s v="OPERARIO"/>
    <s v="DESHUESADO"/>
    <s v="HQ "/>
    <s v="NOCHE"/>
    <d v="1899-12-30T05:00:00"/>
    <s v="SABADO"/>
    <s v="SEMANA 20"/>
    <n v="15707"/>
    <s v="NC-70-23"/>
    <s v="CARLOS JIMENES"/>
    <s v="PATRICIO PALACIOS"/>
    <n v="27"/>
    <s v="Gases - vapores"/>
    <x v="1"/>
    <s v="Quemadura"/>
    <s v="Otros"/>
    <s v="COLABORADOR SUFRE QUEMADURA EN PIERNA DERECHA POR VAPOR, AL ESTAR CERRANDO LLAVE DE PASO DE DUCTO EN SALA DE DESHUESADO."/>
    <s v="ACCION"/>
    <s v="SI"/>
    <s v="SI"/>
    <s v="ALAN CARRASCO"/>
    <s v="WLADIMIR CALDERON "/>
  </r>
  <r>
    <x v="0"/>
    <s v="MAYO"/>
    <s v="EL PAICO"/>
    <s v="VARGAS ROJAS"/>
    <s v="TOMAS"/>
    <s v="MASCULINO"/>
    <s v="21171568-5"/>
    <d v="2023-03-14T00:00:00"/>
    <n v="2"/>
    <d v="2023-05-22T00:00:00"/>
    <s v="NUEVO"/>
    <s v="N/A"/>
    <s v="N/A"/>
    <s v="N/A"/>
    <n v="0"/>
    <s v="STP"/>
    <s v="N/A"/>
    <s v="N/A"/>
    <x v="1"/>
    <s v="DESHUESADO"/>
    <s v="OPERARIO"/>
    <s v="DESHUESADO"/>
    <s v="EQUIPO PARA MOVIMIENTO DE CARGA (GRUAS O TRANSPALETAS)"/>
    <s v="MAÑANA"/>
    <d v="1899-12-30T08:30:00"/>
    <s v="LUNES"/>
    <s v="SEMANA 21"/>
    <m/>
    <m/>
    <s v="DANIEL GARRIDO"/>
    <s v="JOSE CARVALLO"/>
    <n v="19"/>
    <s v="Equipos Transporte de carga"/>
    <x v="4"/>
    <s v="Contusión"/>
    <s v="Golpeado por"/>
    <s v="COLABORADOR SUFRE CONTUSION EN PIE IZQUIERDO POR TRANSPALETA ELECTRICA MANEJADA POR COMPAÑERO, MIENTRAS ARREGLABA UNA CAJA EN EL AREA DE DESHUESADO"/>
    <s v="ACCION"/>
    <s v="SI"/>
    <s v="NO"/>
    <s v="NICOLAS GOMEZ"/>
    <s v="CARLOS CARTAGENA"/>
  </r>
  <r>
    <x v="0"/>
    <s v="MAYO"/>
    <s v="EL PAICO"/>
    <s v="MORENO VERGARA"/>
    <s v="NICOLE"/>
    <s v="MASCULINO"/>
    <s v="17781406-7"/>
    <d v="2023-01-24T00:00:00"/>
    <n v="3"/>
    <d v="2023-05-23T00:00:00"/>
    <s v="NUEVO"/>
    <d v="2023-05-29T00:00:00"/>
    <d v="2023-05-29T00:00:00"/>
    <s v="N/A"/>
    <n v="0"/>
    <s v="N/A"/>
    <s v="N/A"/>
    <s v="N/A"/>
    <x v="2"/>
    <s v="ASEO ZONA LIMPIA"/>
    <s v="OPERARIO"/>
    <s v="DRONT POINT"/>
    <s v="N/A"/>
    <s v="NOCHE"/>
    <d v="1899-12-30T04:10:00"/>
    <s v="MARTES"/>
    <s v="SEMANA 21"/>
    <m/>
    <m/>
    <s v="CARLOS JIMENES"/>
    <s v="PATRICIO PALACIOS "/>
    <n v="32"/>
    <s v="Materiales"/>
    <x v="2"/>
    <s v="Contusión"/>
    <s v="Golpeado por"/>
    <s v="COLABORADORA SUFRE CONTUSION EN MANO DERECHA AL SER GOLPEADA POR FIERRO CUANDO SE ENCONTRABA ENJUAGANDO ISHIDA"/>
    <s v="ACCION"/>
    <s v="SI"/>
    <s v="NO"/>
    <s v="NICOLAS GOMEZ"/>
    <s v="CARLOS CARTAGENA"/>
  </r>
  <r>
    <x v="0"/>
    <s v="MAYO"/>
    <s v="EL PAICO"/>
    <s v="TORRES JARA"/>
    <s v="JOSE"/>
    <s v="MASCULINO"/>
    <s v="16519060-2"/>
    <d v="2023-05-22T00:00:00"/>
    <n v="0"/>
    <d v="2023-05-24T00:00:00"/>
    <s v="NUEVO"/>
    <s v="N/A"/>
    <s v="N/A"/>
    <s v="N/A"/>
    <n v="0"/>
    <s v="STP"/>
    <s v="N/A"/>
    <s v="N/A"/>
    <x v="0"/>
    <s v="COLGADO DE POLLO"/>
    <s v="OPERARIO"/>
    <s v="FAENA"/>
    <s v="N/A"/>
    <s v="MAÑANA"/>
    <d v="1899-12-30T06:30:00"/>
    <s v="MIERCOLES"/>
    <s v="SEMANA 21"/>
    <m/>
    <m/>
    <s v="NICOLAS MOYANO"/>
    <s v="ERWIN GATICA"/>
    <n v="36"/>
    <s v="Infraestructura"/>
    <x v="8"/>
    <s v="Contusión"/>
    <s v="Golpeado por"/>
    <s v="COLABORADOR SUFRE CONTUSION EN ANTEBRAZO IZQUIERDO AL SER GOLPEADO POR LLAVE METALICA CUANDO SE ENCONTABA RECOGIENDO PRODUCTO PARA COLGARLO."/>
    <s v="ACCION"/>
    <s v="SI"/>
    <s v="NO"/>
    <s v="NICOLAS GOMEZ"/>
    <s v="MICHELLE SANCHEZ"/>
  </r>
  <r>
    <x v="0"/>
    <s v="MAYO"/>
    <s v="EL PAICO"/>
    <s v="ROJAS PAVEZ"/>
    <s v="FERNANDO"/>
    <s v="MASCULINO"/>
    <s v="19503953-4"/>
    <d v="2017-06-12T00:00:00"/>
    <n v="71"/>
    <d v="2023-05-26T00:00:00"/>
    <s v="ANTIGUO"/>
    <s v="N/A"/>
    <s v="N/A"/>
    <s v="N/A"/>
    <n v="0"/>
    <s v="STP"/>
    <s v="N/A"/>
    <s v="N/A"/>
    <x v="9"/>
    <s v="TROZADO DE PAVOS"/>
    <s v="OPERARIO"/>
    <s v="PASILLO C "/>
    <s v="N/A"/>
    <s v="TARDE"/>
    <d v="1899-12-30T15:30:00"/>
    <s v="VIERNES"/>
    <s v="SEMANA 21"/>
    <m/>
    <m/>
    <s v="GUILLERMO NARVAEZ"/>
    <s v="JEAQUELINE PAVEZ"/>
    <n v="26"/>
    <s v="Cajas"/>
    <x v="2"/>
    <s v="Contusión"/>
    <s v="Golpeado por"/>
    <s v="COLABORADOR SUFRE CONTUSION EN DEDO MEÑIQUE DE MANO DERECHA CON CAJA CUANDO SE ENCONTRABA MOVILIZANDO "/>
    <s v="ACCION"/>
    <s v="SI"/>
    <s v="NO"/>
    <s v="NICOLAS GOMEZ"/>
    <s v="CARLOS CARTAGENA"/>
  </r>
  <r>
    <x v="0"/>
    <s v="MAYO"/>
    <s v="EL PAICO"/>
    <s v="MUÑOZ MARQUEZ"/>
    <s v="RAIMUNDO"/>
    <s v="MASCULINO"/>
    <s v="17008287-7"/>
    <d v="2022-11-14T00:00:00"/>
    <n v="6"/>
    <d v="2023-05-29T00:00:00"/>
    <s v="NUEVO"/>
    <s v="N/A"/>
    <s v="N/A"/>
    <s v="N/A"/>
    <n v="0"/>
    <s v="STP"/>
    <s v="N/A"/>
    <s v="N/A"/>
    <x v="0"/>
    <s v="MENUDENCIAS"/>
    <s v="OPERARIO"/>
    <s v="FAENA"/>
    <s v="N/A"/>
    <s v="TARDE"/>
    <d v="1899-12-30T16:45:00"/>
    <s v="LUNES"/>
    <s v="SEMANA 22"/>
    <m/>
    <m/>
    <s v="NICOLAS MOYANO"/>
    <s v="ERWIN GATICA"/>
    <n v="34"/>
    <s v="Materia Prima"/>
    <x v="5"/>
    <s v="Conjuntivitis"/>
    <s v="Proyeccion de particulas"/>
    <s v="COLABORADOR SUFRE MOLESTIA OCULAR POR PROYECCION DE PARTICULAS (BILIS) EN OJO DERECHO AL LIMPIAR MENUDENCIAS EN EL AREA DE FAENA"/>
    <s v="ACCION"/>
    <s v="SI"/>
    <s v="NO"/>
    <s v="ALAN CARRASCO"/>
    <s v="WLADIMIR CALDERON "/>
  </r>
  <r>
    <x v="0"/>
    <s v="MAYO"/>
    <s v="EL PAICO"/>
    <s v="HUINAO CARTAGENA"/>
    <s v="MANUEL"/>
    <s v="MASCULINO"/>
    <s v="15403657-1"/>
    <d v="2022-11-04T00:00:00"/>
    <n v="6"/>
    <d v="2023-05-30T00:00:00"/>
    <s v="NUEVO"/>
    <s v="N/A"/>
    <s v="N/A"/>
    <s v="N/A"/>
    <n v="0"/>
    <s v="STP"/>
    <s v="N/A"/>
    <s v="N/A"/>
    <x v="5"/>
    <s v="IQF"/>
    <s v="OPERARIO"/>
    <s v="IQF 1"/>
    <s v="N/A"/>
    <s v="TARDE"/>
    <d v="1899-12-30T17:50:00"/>
    <s v="MARTES"/>
    <s v="SEMANA 22"/>
    <m/>
    <m/>
    <s v="GUILLERMO NARVAEZ"/>
    <s v="MAXIMO CAMPOS"/>
    <n v="40"/>
    <s v="Animales - Insectos"/>
    <x v="8"/>
    <s v="Otros"/>
    <s v="Picadura"/>
    <s v="COLABORADOR SUFRE PICADURA DE INSECTO EN BRAZO DERECHO CUANDO SE ENCONTRABA PASANDO BANDEJAS EN IQF 1"/>
    <s v="ACCION"/>
    <s v="SI"/>
    <s v="NO"/>
    <s v="NICOLAS GOMEZ"/>
    <s v="CARLOS CARTAGENA"/>
  </r>
  <r>
    <x v="0"/>
    <s v="JUNIO"/>
    <s v="EL PAICO"/>
    <s v="TORO OROSCO"/>
    <s v="GIANINA"/>
    <s v="FEMENINO"/>
    <s v="17518601-8"/>
    <d v="2019-01-14T00:00:00"/>
    <n v="52"/>
    <d v="2023-06-01T00:00:00"/>
    <s v="ANTIGUO"/>
    <d v="2023-06-07T00:00:00"/>
    <d v="2023-06-07T00:00:00"/>
    <s v="N/A"/>
    <n v="0"/>
    <s v="STP"/>
    <s v="N/A"/>
    <s v="N/A"/>
    <x v="2"/>
    <s v="ASEO"/>
    <s v="OPERARIO"/>
    <s v="DROP POINT"/>
    <s v="N/A"/>
    <s v="NOCHE"/>
    <d v="1899-12-30T02:50:00"/>
    <s v="JUEVES"/>
    <s v="SEMANA 22"/>
    <n v="15749"/>
    <s v="NC-106-23"/>
    <s v="CARLOS JIMENEZ"/>
    <s v="PATRICIO PALACIOS"/>
    <n v="34"/>
    <s v="Superficies de trabajo"/>
    <x v="2"/>
    <s v="Contusión"/>
    <s v="Caida de mismo nivel"/>
    <s v="COLABORADORA SUFRE CONTUSIÓN EN MANO IZQUIERDA POR CAIDA MISMO NIVEL MIENTRAS TRASLADABA MANGUERA EN MAQUINA DROP POINT EN CALIBRADO AL ENCONTRASERSE REALIZANDO ASEO PRE-OPERACIONAL"/>
    <s v="ACCION"/>
    <s v="SI"/>
    <s v="SI"/>
    <s v="ALAN CARRASCO"/>
    <s v="WLADIMIR CALDERON "/>
  </r>
  <r>
    <x v="0"/>
    <s v="JUNIO"/>
    <s v="EL PAICO"/>
    <s v="RUBIO LOPEZ"/>
    <s v="CLAUDIA"/>
    <s v="FEMENINO"/>
    <s v="12723602-K"/>
    <d v="2007-06-01T00:00:00"/>
    <n v="192"/>
    <d v="2023-06-02T00:00:00"/>
    <s v="ANTIGUO"/>
    <d v="2023-06-05T00:00:00"/>
    <d v="2023-06-05T00:00:00"/>
    <s v="N/A"/>
    <n v="0"/>
    <s v="STP"/>
    <s v="N/A"/>
    <s v="N/A"/>
    <x v="8"/>
    <s v="REPORTE LINEA ISHIDA B"/>
    <s v="OPERARIO"/>
    <s v="REPORTE DE CAJAS"/>
    <s v="N/A"/>
    <s v="MAÑANA"/>
    <d v="1899-12-30T07:40:00"/>
    <s v="VIERNES"/>
    <s v="SEMANA 22"/>
    <n v="15729"/>
    <s v="NC-107-23"/>
    <s v="OCTAVIO MUÑOZ"/>
    <s v="EDGAR HERNANDEZ"/>
    <n v="48"/>
    <s v="Materiales"/>
    <x v="2"/>
    <s v="Contusión"/>
    <s v="Golpeado por"/>
    <s v="COLABORADORA SUFRE CONTUSIÓN EN DEDO INDICE DERECHO POR ROLLO DE LAMINAS CUANDO SE ENCONTRABA SACANDO ESTE DE MUEBLE CON EL OBJETIVO DE SER CAMBIADO"/>
    <s v="ACCION"/>
    <s v="SI"/>
    <s v="SI"/>
    <s v="NICOLAS GOMEZ"/>
    <s v="WLADIMIR CALDERON "/>
  </r>
  <r>
    <x v="0"/>
    <s v="JUNIO"/>
    <s v="EL PAICO"/>
    <s v="RODRIGUEZ MONJES"/>
    <s v="ANYBEL"/>
    <s v="FEMENINO"/>
    <s v="27091787-9"/>
    <d v="2020-03-16T00:00:00"/>
    <n v="38"/>
    <d v="2023-06-02T00:00:00"/>
    <s v="ANTIGUO"/>
    <s v="N/A"/>
    <s v="N/A"/>
    <s v="N/A"/>
    <n v="0"/>
    <s v="STP"/>
    <s v="N/A"/>
    <s v="N/A"/>
    <x v="1"/>
    <s v="DESHUESADO"/>
    <s v="OPERARIO"/>
    <s v="DESHUESADO"/>
    <s v="N/A"/>
    <s v="MAÑANA"/>
    <d v="1899-12-30T07:45:00"/>
    <s v="VIERNES"/>
    <s v="SEMANA 22"/>
    <m/>
    <m/>
    <s v="DANIEL GARRIDO"/>
    <s v="JORGE MEZA"/>
    <n v="32"/>
    <s v="Materia Prima"/>
    <x v="5"/>
    <s v="Conjuntivitis"/>
    <s v="Proyeccion de particulas"/>
    <s v="COLABORADOR SUFRE MOLESTIA OCULAR POR PROYECCION DE PARTICULAS AL ESTAR SELECCIONANDO PECHUGA EN LINEA DESHUESADO "/>
    <s v="ACCION"/>
    <s v="SI"/>
    <s v="NO"/>
    <s v="NICOLAS GOMEZ"/>
    <s v="WLADIMIR CALDERON "/>
  </r>
  <r>
    <x v="0"/>
    <s v="JUNIO"/>
    <s v="EL PAICO"/>
    <s v="ESCOBAR HUANCA"/>
    <s v="MIRIAM "/>
    <s v="FEMENINO"/>
    <s v="27616460-0"/>
    <d v="2022-05-16T00:00:00"/>
    <n v="12"/>
    <d v="2023-06-06T00:00:00"/>
    <s v="INTERMEDIO"/>
    <s v="NA"/>
    <s v="N/A"/>
    <s v="N/A"/>
    <n v="0"/>
    <s v="STP"/>
    <s v="N/A"/>
    <s v="N/A"/>
    <x v="2"/>
    <s v="ASEO ZONA LIMPIA"/>
    <s v="OPERARIO"/>
    <s v="EMBALAJE Y ETIQUEDADO"/>
    <s v="N/A"/>
    <s v="NOCHE"/>
    <d v="1899-12-30T03:15:00"/>
    <s v="MARTES"/>
    <s v="SEMANA 23"/>
    <m/>
    <m/>
    <s v="CARLOS JIMENEZ"/>
    <s v="PATRICIO PALACIOS"/>
    <n v="25"/>
    <s v="Producto quimico"/>
    <x v="6"/>
    <s v="Otros"/>
    <s v="Exposicion a humo y gases"/>
    <s v="COLABORADORA SUFRE DISNEA POR EXPOSICIÓN A PRODUCTO QUIMICO CUANDO SE ENCONTRABA REALIZANDO ASEO PRE-OPERACIONAL EN SALA."/>
    <s v="ACCION"/>
    <s v="SI"/>
    <s v="NO"/>
    <s v="NICOLAS GOMEZ"/>
    <s v="MICHELLE SANCHEZ"/>
  </r>
  <r>
    <x v="0"/>
    <s v="JUNIO"/>
    <s v="EL PAICO"/>
    <s v="CESPEDES SANZANA"/>
    <s v="DANIEL"/>
    <s v="MASCULINO"/>
    <s v="20345018-4"/>
    <d v="2023-05-22T00:00:00"/>
    <n v="0"/>
    <d v="2023-06-07T00:00:00"/>
    <s v="NUEVO"/>
    <s v="N/A"/>
    <s v="N/A"/>
    <s v="N/A"/>
    <n v="0"/>
    <s v="STP"/>
    <s v="N/A"/>
    <s v="N/A"/>
    <x v="0"/>
    <s v="EVISERADO"/>
    <s v="OPERARIO"/>
    <s v="MAQUINA DE CONTRES"/>
    <s v="MAQUINA DE CONTRES"/>
    <s v="TARDE"/>
    <d v="1899-12-30T08:40:00"/>
    <s v="MIERCOLES"/>
    <s v="SEMANA 23"/>
    <m/>
    <m/>
    <s v="NICOLAS MOYANO"/>
    <s v="CESAR CARTAGENA"/>
    <n v="23"/>
    <s v="Maquinarias"/>
    <x v="2"/>
    <s v="Herida cortante"/>
    <s v="Otros"/>
    <s v="COLABORADOR SUFRE HERIDA EN DEDO MEÑIQUE DE MANO DERECHA POR RODILLO DE CINTA CUANRO SE ENCONTRABA LIANDO CONTRES"/>
    <s v="ACCION"/>
    <s v="SI"/>
    <s v="NO"/>
    <s v="ALAN CARRASCO"/>
    <s v="CARLOS CARTAGENA"/>
  </r>
  <r>
    <x v="0"/>
    <s v="JUNIO"/>
    <s v="EL PAICO"/>
    <s v="BARRERA PEREZ"/>
    <s v="KATHERINE"/>
    <s v="FEMENINO"/>
    <s v="18454833-K"/>
    <d v="2015-01-12T00:00:00"/>
    <n v="100"/>
    <d v="2023-05-31T00:00:00"/>
    <s v="ANTIGUO"/>
    <s v="N/A"/>
    <s v="N/A"/>
    <s v="N/A"/>
    <n v="0"/>
    <s v="STP"/>
    <s v="N/A"/>
    <s v="N/A"/>
    <x v="1"/>
    <s v="DESHUESADO"/>
    <s v="OPERARIO"/>
    <s v="DESHUESADO DE POLLO"/>
    <s v="N/A"/>
    <s v="TARDE"/>
    <d v="1899-12-30T00:20:00"/>
    <s v="JUEVES"/>
    <s v="SEMANA 23"/>
    <m/>
    <m/>
    <s v="DANIEL GARRIDO"/>
    <s v="JOSE CARVALLO"/>
    <n v="30"/>
    <s v="Superficies de transito"/>
    <x v="1"/>
    <s v="Contusión"/>
    <s v="Caida de mismo nivel"/>
    <s v="COLABORADORA SUFRE CONTUSION EN RODILLA POR CAIDA MISMO NIVEL POR PRESENCIA DE RESTOS CARNICOS EN SUPERFICIE DE TRABAJO"/>
    <s v="CONDICION"/>
    <s v="NO"/>
    <s v="NO"/>
    <s v="ALAN CARRASCO"/>
    <s v="CHISTIAN JHONS"/>
  </r>
  <r>
    <x v="0"/>
    <s v="JUNIO"/>
    <s v="EL PAICO"/>
    <s v="TORRES ALVARADO"/>
    <s v="BRYAN"/>
    <s v="MASCULINO"/>
    <s v="20722483-9"/>
    <d v="2021-04-12T00:00:00"/>
    <n v="25"/>
    <d v="2023-06-08T00:00:00"/>
    <s v="ANTIGUO"/>
    <s v="N/A"/>
    <s v="N/A"/>
    <s v="N/A"/>
    <n v="0"/>
    <s v="STP"/>
    <s v="N/A"/>
    <s v="N/A"/>
    <x v="0"/>
    <s v="EVISCERADO POLLOS"/>
    <s v="OPERARIO"/>
    <s v="EVICERADO"/>
    <s v="N/A"/>
    <s v="MAÑANA"/>
    <d v="1899-12-30T11:50:00"/>
    <s v="JUEVES"/>
    <s v="SEMANA 23"/>
    <m/>
    <m/>
    <s v="NICOLAS MOYANO"/>
    <m/>
    <n v="21"/>
    <s v="Materia Prima"/>
    <x v="5"/>
    <s v="Conjuntivitis"/>
    <s v="Proyeccion de particulas"/>
    <s v="COLABORADOR SUFRE MOLESTIA OCULAR POR PROYECCION DE PARTICULAS CUANDO ESTABA ASPIRANDO POLLO "/>
    <s v="ACCION"/>
    <s v="SI"/>
    <s v="NO"/>
    <s v="NICOLAS GOMEZ"/>
    <s v="CHISTIAN JHONS"/>
  </r>
  <r>
    <x v="0"/>
    <s v="JUNIO"/>
    <s v="EL PAICO"/>
    <s v="GONZALEZ MENDOZA"/>
    <s v="CINTIA"/>
    <s v="FEMENINO"/>
    <s v="15778582-6"/>
    <d v="2017-04-03T00:00:00"/>
    <n v="74"/>
    <d v="2023-06-09T00:00:00"/>
    <s v="ANTIGUO"/>
    <d v="2023-06-09T00:00:00"/>
    <s v="N/A"/>
    <d v="2023-06-12T00:00:00"/>
    <n v="2"/>
    <s v="CTP"/>
    <s v="LGF"/>
    <s v="LGF4"/>
    <x v="8"/>
    <s v="REPORTE DE CAJAS"/>
    <s v="OPERARIO"/>
    <s v="REPORTE DE CAJAS"/>
    <s v="EQUIPO PARA MOVIMIENTO DE CARGA (GRUAS O TRANSPALETAS)"/>
    <s v="MAÑANA"/>
    <d v="1899-12-30T14:00:00"/>
    <s v="VIERNES"/>
    <s v="SEMANA 23"/>
    <n v="15745"/>
    <s v="NC-73-23"/>
    <s v="OCTAVIO MUÑOZ"/>
    <s v="ALEJANDRO SALAS"/>
    <n v="39"/>
    <s v="Equipos Transporte de carga"/>
    <x v="3"/>
    <s v="Contusión"/>
    <s v="Golpeado por"/>
    <s v="TRABAJADORA DE P.POSTERIORES SUFRE CONTUSION EN COSTADO DERECHO DEL CUERPO POR APLASTAMIENTO OCACIONADO POR EQUIPO DE MOVIMIENTO DE CARGA, EL HECHO OCURRIO EN REPORTE DE CAJAS AL MOMENTO DE QUE LA TRABAJADORA SE ENCONTRARA VALIDANDO PALLETS FRENTE A ROMANA"/>
    <s v="ACCION"/>
    <s v="SI"/>
    <s v="SI"/>
    <s v="ALAN CARRASCO"/>
    <s v="MICHELLE SANCHEZ"/>
  </r>
  <r>
    <x v="0"/>
    <s v="JUNIO"/>
    <s v="EL PAICO"/>
    <s v="MONTENEGRO GALLARDO"/>
    <s v="RAUL"/>
    <s v="MASCULINO"/>
    <s v="21623760-9"/>
    <d v="2022-11-29T00:00:00"/>
    <n v="6"/>
    <d v="2023-06-12T00:00:00"/>
    <s v="NUEVO"/>
    <d v="2023-06-12T00:00:00"/>
    <d v="2023-06-12T00:00:00"/>
    <s v="N/A"/>
    <n v="0"/>
    <s v="STP"/>
    <s v="N/A"/>
    <s v="N/A"/>
    <x v="1"/>
    <s v="DESHUESADO"/>
    <s v="OPERARIO"/>
    <s v="CAMARA 208"/>
    <s v="N/A"/>
    <s v="MAÑANA"/>
    <d v="1899-12-30T07:45:00"/>
    <s v="LUNES"/>
    <s v="SEMANA 24"/>
    <n v="15748"/>
    <s v="NC-108-23"/>
    <s v="DANIEL GARRIDO"/>
    <s v="JORGE MEZA"/>
    <n v="19"/>
    <s v="Superficies de transito"/>
    <x v="3"/>
    <s v="Contusión"/>
    <s v="Caida de mismo nivel"/>
    <s v="COLABORADOR SUFRE CONTUSION EN TOBILLO Y RODILLA DERECHA, POR CAIDA MISMO NIVEL PRODUTO DE PRESENCIA DE HIELO EN SUPERFICIE DE TRANSITO EN CAMARA 208"/>
    <s v="CONDICION"/>
    <s v="SI"/>
    <s v="SI"/>
    <s v="ALAN CARRASCO"/>
    <s v="CHISTIAN JHONS"/>
  </r>
  <r>
    <x v="0"/>
    <s v="JUNIO"/>
    <s v="EL PAICO"/>
    <s v="ZURITA LEIVA"/>
    <s v="JORGE"/>
    <s v="MASCULINO"/>
    <s v="13771226-1"/>
    <d v="2000-10-18T00:00:00"/>
    <n v="271"/>
    <d v="2023-06-13T00:00:00"/>
    <s v="ANTIGUO"/>
    <s v="N/A"/>
    <s v="N/A"/>
    <s v="N/A"/>
    <n v="0"/>
    <s v="STP"/>
    <s v="N/A"/>
    <s v="N/A"/>
    <x v="6"/>
    <s v="CAMARA"/>
    <s v="OPERADOR DE MAQUINA"/>
    <s v="SALA BATERIAS"/>
    <s v="N/A"/>
    <s v="TARDE"/>
    <d v="1899-12-30T17:50:00"/>
    <s v="MARTES"/>
    <s v="SEMANA 24"/>
    <m/>
    <m/>
    <s v="FRANCISCO QUEZADA"/>
    <s v="ALEJANDRO TORRES"/>
    <n v="43"/>
    <s v="Otros"/>
    <x v="5"/>
    <s v="Conjuntivitis"/>
    <s v="Proyeccion de particulas"/>
    <s v="COLABORADOR SUFRE MOLESTIA OCULAR POR PROYECCION DE PARTICULAS LIQUIDAS CUANDO SE ENCONTRABA REALIZANDO CAMBIO DE BATERIA."/>
    <s v="ACCION"/>
    <s v="SI"/>
    <s v="NO"/>
    <s v="ALAN CARRASCO"/>
    <s v="WLADIMIR CALDERON "/>
  </r>
  <r>
    <x v="0"/>
    <s v="JUNIO"/>
    <s v="EL PAICO"/>
    <s v="CATALAN ALVARADO"/>
    <s v="ERIK "/>
    <s v="MASCULINO"/>
    <s v="20871209-8"/>
    <d v="2022-10-24T00:00:00"/>
    <n v="7"/>
    <d v="2023-06-14T00:00:00"/>
    <s v="INTERMEDIO"/>
    <s v="N/A"/>
    <s v="N/A"/>
    <s v="N/A"/>
    <n v="0"/>
    <s v="STP"/>
    <s v="N/A"/>
    <s v="N/A"/>
    <x v="5"/>
    <s v="IQF CALIBRADO C"/>
    <s v="OPERARIO"/>
    <s v="IQF"/>
    <s v="N/A"/>
    <s v="NOCHE"/>
    <d v="1899-12-30T04:45:00"/>
    <s v="MIERCOLES"/>
    <s v="SEMANA 24"/>
    <m/>
    <m/>
    <s v="GUILLERMO NARVAEZ"/>
    <s v="MAXIMO CAMPOS"/>
    <n v="21"/>
    <s v="Materiales"/>
    <x v="2"/>
    <s v="Contusión"/>
    <s v="Golpeado por"/>
    <s v="COLABORADOR SUFRE CONTUSION EN DEDO MEDIO SUPERIOR DERECHO CON OBJETO METALICO AL ESTAR REALIZANDO CAMBIO DE ROLLO EN MAQUINA SUPER CONTAC"/>
    <s v="ACCION"/>
    <s v="SI"/>
    <s v="NO"/>
    <s v="NICOLAS GOMEZ"/>
    <s v="WLADIMIR CALDERON "/>
  </r>
  <r>
    <x v="0"/>
    <s v="JUNIO"/>
    <s v="EL PAICO"/>
    <s v="HUINAO CARTAGENA"/>
    <s v="MANUEL"/>
    <s v="MASCULINO"/>
    <s v="15403657-1"/>
    <d v="2022-11-04T00:00:00"/>
    <n v="7"/>
    <d v="2023-06-14T00:00:00"/>
    <s v="INTERMEDIO"/>
    <d v="2023-06-14T00:00:00"/>
    <d v="2023-06-14T00:00:00"/>
    <d v="2023-06-20T00:00:00"/>
    <n v="0"/>
    <s v="STP"/>
    <s v="N/A"/>
    <s v="N/A"/>
    <x v="5"/>
    <s v="IQF CALIBRADO C"/>
    <s v="OPERARIO"/>
    <s v="PASILLO PRINCIPAL"/>
    <s v="N/A"/>
    <s v="TARDE"/>
    <d v="1899-12-30T22:10:00"/>
    <s v="MIERCOLES"/>
    <s v="SEMANA 24"/>
    <n v="15564"/>
    <s v="NC-100-23"/>
    <s v="GUILLERMO NARVAEZ"/>
    <s v="MAXIMO CAMPOS"/>
    <n v="40"/>
    <s v="Superficies de transito"/>
    <x v="1"/>
    <s v="Contusión"/>
    <s v="Caida de mismo nivel"/>
    <s v="COLABORADOR SUFRE CONTUSION EN RODILLA DERECHA POR CAIDA MISMO EN PASILLO PRINCIPAL"/>
    <s v="CONDICION"/>
    <s v="NO"/>
    <s v="SI"/>
    <s v="NICOLAS GOMEZ"/>
    <s v="MICHELLE SANCHEZ"/>
  </r>
  <r>
    <x v="0"/>
    <s v="JUNIO"/>
    <s v="EL PAICO"/>
    <s v="TORRES ALVARADO"/>
    <s v="BRYAN"/>
    <s v="MASCULINO"/>
    <s v="20722483-9"/>
    <d v="2021-04-12T00:00:00"/>
    <n v="26"/>
    <d v="2023-06-14T00:00:00"/>
    <s v="ANTIGUO"/>
    <s v="N/A"/>
    <s v="N/A"/>
    <s v="N/A"/>
    <n v="0"/>
    <s v="STP"/>
    <s v="N/A"/>
    <s v="N/A"/>
    <x v="0"/>
    <s v="EVISCERADO POLLOS"/>
    <s v="OPERARIO"/>
    <s v="EVICERADO"/>
    <s v="N/A"/>
    <s v="MAÑANA"/>
    <m/>
    <s v="MIERCOLES"/>
    <s v="SEMANA 24"/>
    <m/>
    <m/>
    <s v="NICOLAS MOYANO"/>
    <s v="FRANCISCO CASTRO"/>
    <n v="21"/>
    <s v="Materiales"/>
    <x v="8"/>
    <s v="Herida cortante"/>
    <s v="Contacto con cuerpo cortante"/>
    <s v="COLABORADOR SUFRE HERIDA CORTANTE LEVE EN BRAZO IZQUIERDO POR CUCHILLO AL ESTAR CORTANDO PECHUGA DE POLLO "/>
    <s v="ACCION"/>
    <s v="SI"/>
    <s v="NO"/>
    <s v="NICOLAS GOMEZ"/>
    <s v="CARLOS CARTAGENA"/>
  </r>
  <r>
    <x v="0"/>
    <s v="JUNIO"/>
    <s v="EL PAICO"/>
    <s v="VARGAS HERNANDEZ"/>
    <s v="LUIS"/>
    <s v="MASCULINO"/>
    <s v="9947369-K"/>
    <d v="2015-04-20T00:00:00"/>
    <n v="97"/>
    <d v="2023-06-17T00:00:00"/>
    <s v="ANTIGUO"/>
    <d v="2023-06-19T00:00:00"/>
    <d v="2023-06-23T00:00:00"/>
    <s v="N/A"/>
    <n v="5"/>
    <s v="CTP"/>
    <s v="N/A"/>
    <s v="N/A"/>
    <x v="0"/>
    <s v="EVICERADO PAVOS"/>
    <s v="OPERARIO"/>
    <s v="CHILLER MENUDENCIA"/>
    <s v="N/A"/>
    <s v="MAÑANA"/>
    <d v="1899-12-30T10:20:00"/>
    <s v="SABADO"/>
    <s v="SEMANA 24"/>
    <n v="15761"/>
    <s v="NC-101-23"/>
    <s v="NICOLAS MOYANO"/>
    <s v="CESAR CARTAGENA"/>
    <n v="58"/>
    <s v="Superficies de transito"/>
    <x v="7"/>
    <s v="Contusión"/>
    <s v="Caida de mismo nivel"/>
    <s v="COLABORADOR SUFRE GOLPE EN ESPALDA POR CAIDA MISMO NIVEL CUANDO TRANSITABA POR PASILLO DE CHILLER MENUDENCIAS "/>
    <s v="CONDICION"/>
    <s v="SI"/>
    <s v="SI"/>
    <s v="ALAN CARRASCO"/>
    <s v="SANDRA LAYANA"/>
  </r>
  <r>
    <x v="0"/>
    <s v="JUNIO"/>
    <s v="EL PAICO"/>
    <s v="LOYOLA CARVAJAL"/>
    <s v="NATALIA"/>
    <s v="FEMENINO"/>
    <s v="18623311-5"/>
    <d v="2022-05-24T00:00:00"/>
    <n v="12"/>
    <d v="2023-06-21T00:00:00"/>
    <s v="INTERMEDIO"/>
    <s v="N/A"/>
    <s v="N/A"/>
    <s v="N/A"/>
    <n v="0"/>
    <s v="STP"/>
    <s v="N/A"/>
    <s v="N/A"/>
    <x v="6"/>
    <s v="CAMARA"/>
    <s v="OPERADOR DE MAQUINA"/>
    <s v="CAMARA"/>
    <s v="N/A"/>
    <s v="MAÑANA"/>
    <d v="1899-12-30T07:00:00"/>
    <s v="MIERCOLES"/>
    <s v="SEMANA 25"/>
    <m/>
    <m/>
    <s v="FRANCISCO QUEZADA"/>
    <s v="ALEJANDRO TORRES"/>
    <n v="29"/>
    <s v="Materia Prima"/>
    <x v="2"/>
    <s v="Contusión"/>
    <s v="Golpeado por"/>
    <s v="COLABORADORA SUFRE CONTUSION EN DEDO ANULAR SUPERIOR IZQUIERDO AL SEL GOLPEADA POR BLOQUE EN TUNEL DE CAMARA "/>
    <s v="ACCION"/>
    <s v="SI"/>
    <s v="NO"/>
    <s v="NICOLAS GOMEZ"/>
    <s v="WLADIMIR CALDERON "/>
  </r>
  <r>
    <x v="0"/>
    <s v="JUNIO"/>
    <s v="EL PAICO"/>
    <s v="QUISPE CHASIQUIZA"/>
    <s v="MARIA FERNANDA"/>
    <s v="FEMENINO"/>
    <s v="26068322-5"/>
    <d v="2023-01-09T00:00:00"/>
    <n v="5"/>
    <d v="2023-06-28T00:00:00"/>
    <s v="NUEVO"/>
    <d v="2023-06-29T00:00:00"/>
    <d v="2023-07-04T00:00:00"/>
    <s v="N/A"/>
    <n v="6"/>
    <s v="CTP"/>
    <s v="N/A"/>
    <s v="N/A"/>
    <x v="6"/>
    <s v="CAMARA"/>
    <s v="OPERARIO"/>
    <s v="CAMARA"/>
    <s v="N/A"/>
    <s v="MAÑANA"/>
    <d v="1899-12-30T10:30:00"/>
    <s v="MIERCOLES"/>
    <s v="SEMANA 26"/>
    <n v="15779"/>
    <s v="NC-102-23"/>
    <s v="FRANCISCO QUEZADA"/>
    <s v="MATIAS PENROZ"/>
    <n v="40"/>
    <s v="Materia Prima"/>
    <x v="2"/>
    <s v="Contusión"/>
    <s v="Golpeado por"/>
    <s v="COLABORADORA SUFRE CONTUSION EN DEDO MEÑIQUE DE MANO IZQUIERDA AL SER GOLPEADA POR BLOQUE DE PECHUGA DE POLLO CONGELADACUANDO SE ENCONTRABA VOLTEANDO ESTOS EN SALA DE EMPAQUE "/>
    <s v="ACCION"/>
    <s v="SI"/>
    <s v="SI"/>
    <s v="NICOLAS GOMEZ"/>
    <s v="CHISTIAN JHONS"/>
  </r>
  <r>
    <x v="0"/>
    <s v="JUNIO"/>
    <s v="EL PAICO"/>
    <s v="MALDONADO ACEVEDO"/>
    <s v="FELIPE"/>
    <s v="MASCULINO"/>
    <s v="18667787-0"/>
    <d v="2023-06-01T00:00:00"/>
    <n v="0"/>
    <d v="2023-06-30T00:00:00"/>
    <s v="NUEVO"/>
    <d v="2023-07-03T00:00:00"/>
    <d v="2023-07-03T00:00:00"/>
    <s v="N/A"/>
    <n v="0"/>
    <s v="STP"/>
    <s v="N/A"/>
    <s v="N/A"/>
    <x v="5"/>
    <s v="CALIBRADO"/>
    <s v="OPERARIO"/>
    <s v="CALIBRADO"/>
    <s v="N/A"/>
    <s v="MAÑANA"/>
    <d v="1899-12-30T10:30:00"/>
    <s v="VIERNES"/>
    <s v="SEMANA 26"/>
    <n v="15784"/>
    <s v="NC-98-23"/>
    <s v="GUILLERMO NARVAEZ"/>
    <s v="MAXIMO CAMPOS"/>
    <m/>
    <s v="Infraestructura"/>
    <x v="4"/>
    <s v="Contusión"/>
    <s v="Golpeado contra"/>
    <s v="COLABORADOR SUFRE CONTUSION EN PIE IZQUIERDO POR GOLPE CONTRA ESTRUCTURA METALICA AL ENCONTRARSE PESADNO BOLSAS DE PRODUCTO EN EL AREA DE CALIBRADO"/>
    <s v="ACCION"/>
    <s v="SI"/>
    <s v="SI"/>
    <s v="NICOLAS GOMEZ"/>
    <s v="WLADIMIR CALDERON "/>
  </r>
  <r>
    <x v="0"/>
    <s v="JULIO"/>
    <s v="EL PAICO"/>
    <s v="ROA SILVA"/>
    <s v="CRISTIAN"/>
    <s v="MASCULINO"/>
    <s v="18960494-7"/>
    <d v="2020-06-02T00:00:00"/>
    <n v="36"/>
    <d v="2023-06-30T00:00:00"/>
    <s v="ANTIGUO"/>
    <d v="2023-07-03T00:00:00"/>
    <d v="2023-07-05T00:00:00"/>
    <s v="N/A"/>
    <n v="3"/>
    <s v="CTP"/>
    <s v="N/A"/>
    <s v="N/A"/>
    <x v="5"/>
    <s v="CALIBRADO"/>
    <s v="OPERARIO"/>
    <s v="CALIBRADO"/>
    <s v="N/A"/>
    <s v="MAÑANA"/>
    <d v="1899-12-30T16:30:00"/>
    <s v="VIERNES"/>
    <s v="SEMANA 26"/>
    <n v="15785"/>
    <s v="NC-103-23"/>
    <s v="GUILLERMO NARVAEZ"/>
    <s v="MIGUEL HENRRIQUEZ"/>
    <n v="28"/>
    <s v="Otros"/>
    <x v="1"/>
    <s v="Contusión"/>
    <s v="Golpeado por"/>
    <s v="COLABORADOR SUFRE CONTUSION EN RODILLA IZQUIERDA AL RECIBIR GOLPE EN CAMPEONATO DE FUTBOL DENTRO DE LA EMPRESA"/>
    <s v="ACCION"/>
    <s v="NO"/>
    <s v="SI"/>
    <s v="ALAN CARRASCO"/>
    <s v="CHISTIAN JHONS"/>
  </r>
  <r>
    <x v="0"/>
    <s v="JULIO"/>
    <s v="EL PAICO"/>
    <s v="ESCOBAR HUANCA"/>
    <s v="MIRIAM "/>
    <s v="FEMENINO"/>
    <s v="27616460-0"/>
    <d v="2022-05-16T00:00:00"/>
    <n v="13"/>
    <d v="2023-07-03T00:00:00"/>
    <s v="INTERMEDIO"/>
    <s v="N/A"/>
    <s v="N/A"/>
    <s v="N/A"/>
    <n v="0"/>
    <s v="STP"/>
    <s v="N/A"/>
    <s v="N/A"/>
    <x v="2"/>
    <s v="ASEO ZONA LIMPIA"/>
    <s v="OPERARIO"/>
    <s v="BAJADA ESCALERA EMBALAJE Y ETIQUETADO"/>
    <s v="N/A"/>
    <s v="NOCHE"/>
    <d v="1899-12-30T03:00:00"/>
    <s v="LUNES"/>
    <s v="SEMANA 27"/>
    <m/>
    <m/>
    <s v="CARLOS JIMENEZ"/>
    <s v="PATRICIO PALACIOS"/>
    <n v="25"/>
    <s v="Infraestructura"/>
    <x v="1"/>
    <s v="Contusión"/>
    <s v="Caida de distinto nivel"/>
    <s v="COLABORADORA SUFRE CONTUSION EN PIERNA DERECHA POR CAIDA DISTINTO NIVEL AL RESBALARSE CUANDO BAJABA ESCALERA EN SALA DE EMBALAJE Y ETIQUETADO MIENTRAS REALIZABA LABORES DE ASEO PREOPERACIONAL"/>
    <s v="CONDICION"/>
    <s v="SI"/>
    <s v="NO"/>
    <s v="NICOLAS GOMEZ"/>
    <s v="CARLOS CARTAGENA"/>
  </r>
  <r>
    <x v="0"/>
    <s v="JULIO"/>
    <s v="EL PAICO"/>
    <s v="LOPEZ TEJERINA"/>
    <s v="ROSMERY"/>
    <s v="FEMENINO"/>
    <s v="22622736-9"/>
    <d v="2020-09-22T00:00:00"/>
    <n v="33"/>
    <d v="2023-07-03T00:00:00"/>
    <s v="ANTIGUO"/>
    <s v="N/A"/>
    <s v="N/A"/>
    <s v="N/A"/>
    <n v="0"/>
    <s v="STP"/>
    <s v="N/A"/>
    <s v="N/A"/>
    <x v="2"/>
    <s v="ASEO OPERACIONAL"/>
    <s v="OPERARIO"/>
    <s v="PASILLO PRINCIPAL"/>
    <s v="N/A"/>
    <s v="TARDE"/>
    <d v="1899-12-30T19:45:00"/>
    <s v="LUNES"/>
    <s v="SEMANA 27"/>
    <m/>
    <m/>
    <s v="CARLOS JIMENES"/>
    <s v="DAVID ROMO"/>
    <n v="54"/>
    <s v="Materiales"/>
    <x v="8"/>
    <s v="Otros"/>
    <s v="Sobreesfuerzo"/>
    <s v="COLABORADORA SUFRE DOLOR EN HOMBRO IZQUIERDO POR MOVIMIENTO AL MAL EJECUTADO CUANDO SE ENCONTRABA SACANDO BOLSAS DE BASURA EN EL PASILLO PRINCIPAL"/>
    <s v="ACCION"/>
    <s v="SI"/>
    <s v="NO"/>
    <s v="ALAN CARRASCO"/>
    <s v="MICHELLE SANCHEZ"/>
  </r>
  <r>
    <x v="0"/>
    <s v="JULIO"/>
    <s v="EL PAICO"/>
    <s v="CONTRERAS PERALTA"/>
    <s v="JUAN CARLOS"/>
    <s v="MASCULINO"/>
    <s v="14006777-6"/>
    <d v="2021-09-01T00:00:00"/>
    <n v="22"/>
    <d v="2023-07-04T00:00:00"/>
    <s v="ANTIGUO"/>
    <s v="N/A"/>
    <s v="N/A"/>
    <s v="N/A"/>
    <n v="0"/>
    <s v="STP"/>
    <s v="N/A"/>
    <s v="N/A"/>
    <x v="5"/>
    <s v="CALIBRADO"/>
    <s v="OPERARIO"/>
    <s v="CALIBRADO"/>
    <s v="N/A"/>
    <s v="MAÑANA"/>
    <d v="1899-12-30T12:20:00"/>
    <s v="MARTES"/>
    <s v="SEMANA 27"/>
    <m/>
    <m/>
    <s v="GUILLERMO NARVAEZ"/>
    <s v="FERNANDO FUENTEALBA"/>
    <n v="43"/>
    <s v="Cajas"/>
    <x v="0"/>
    <s v="Herida cortante"/>
    <s v="Golpeado por"/>
    <s v="COLABORADOR SUFRE HERIDA CORTANTE EN NARIZ AL SER GOLPEADO POR CAJA DE CARTON VACIA, CUANDO SE ENCONTRABA CARGANDO CAJAS EN EL AREA DE CALIBRADO."/>
    <s v="ACCION"/>
    <s v="SI"/>
    <s v="NO"/>
    <s v="NICOLAS GOMEZ"/>
    <s v="WLADIMIR CALDERON "/>
  </r>
  <r>
    <x v="0"/>
    <s v="JULIO"/>
    <s v="EL PAICO"/>
    <s v="MIRANDA LOYOLA"/>
    <s v="CAMILA "/>
    <s v="FEMENINO"/>
    <s v="21797530-1"/>
    <d v="2023-03-27T00:00:00"/>
    <n v="3"/>
    <d v="2023-07-05T00:00:00"/>
    <s v="NUEVO"/>
    <d v="2023-07-06T00:00:00"/>
    <d v="2023-07-06T00:00:00"/>
    <s v="N/A"/>
    <n v="0"/>
    <s v="STP"/>
    <s v="N/A"/>
    <s v="N/A"/>
    <x v="6"/>
    <s v="CAMARA"/>
    <s v="OPERARIO"/>
    <s v="SALA EMPAQUE TUNEL"/>
    <s v="N/A"/>
    <s v="MAÑANA"/>
    <d v="1899-12-30T09:10:00"/>
    <s v="MIERCOLES"/>
    <s v="SEMANA 27"/>
    <n v="15793"/>
    <s v="NC-109-23"/>
    <s v="FRANCISCO QUEZADA"/>
    <s v="ALEJANDRO TORRES"/>
    <n v="18"/>
    <s v="Cajas"/>
    <x v="8"/>
    <s v="Contusión"/>
    <s v="Golpeado por"/>
    <s v="COLABORAORA SUFRE CONTUSION EN HOMBRO DERECHO AL SER GOLPEADAPOR CAJA CON PRODUCTO CUANDO SE ENCONTRABA BAJANDO CAJAS DE PALLETS EN SALA DE EMPAQUE DE TUNEL"/>
    <s v="ACCION"/>
    <s v="SI "/>
    <s v="SI "/>
    <s v="ALAN CARRASCO"/>
    <s v="CHISTIAN JHONS"/>
  </r>
  <r>
    <x v="0"/>
    <s v="JULIO"/>
    <s v="EL PAICO"/>
    <s v="LUCERO GUAJARDO"/>
    <s v="BENITO"/>
    <s v="MASCULINO"/>
    <s v="17902888-3"/>
    <d v="2020-03-09T00:00:00"/>
    <n v="40"/>
    <d v="2023-07-10T00:00:00"/>
    <s v="ANTIGUO"/>
    <d v="2023-07-10T00:00:00"/>
    <d v="2023-07-10T00:00:00"/>
    <s v="N/A"/>
    <n v="0"/>
    <s v="STP"/>
    <s v="N/A"/>
    <s v="N/A"/>
    <x v="8"/>
    <s v="REPORTE LINEA ISHIDA A"/>
    <s v="OPERARIO"/>
    <s v="CAMARA 202"/>
    <s v="N/A"/>
    <s v="MAÑANA"/>
    <d v="1899-12-30T15:30:00"/>
    <s v="LUNES"/>
    <s v="SEMANA 28"/>
    <n v="15796"/>
    <s v="NC-104-23"/>
    <s v="OCTAVIO MUÑOZ"/>
    <s v="ALEJANDRO SALAS"/>
    <n v="32"/>
    <s v="Pallet"/>
    <x v="4"/>
    <s v="Herida cortante"/>
    <s v="Contacto con cuerpo punzante"/>
    <s v="COLABORADOR SUFRE HERIDA PUNZANTE EN PIE DERECHO AL PISAR CLAVO QUE SE ENCONTRABA EN TABLA DE PALLETS. "/>
    <s v="ACCION"/>
    <s v="SI"/>
    <s v="SI"/>
    <s v="NICOLAS GOMEZ"/>
    <s v="CHISTIAN JHONS"/>
  </r>
  <r>
    <x v="0"/>
    <s v="JULIO"/>
    <s v="EL PAICO"/>
    <s v="PULGAR ORTIZ"/>
    <s v="DAGOBERTO"/>
    <s v="MASCULINO"/>
    <s v="20879659-3"/>
    <d v="2023-03-20T00:00:00"/>
    <n v="3"/>
    <d v="2023-07-11T00:00:00"/>
    <s v="NUEVO"/>
    <d v="2023-07-12T00:00:00"/>
    <d v="2023-07-14T00:00:00"/>
    <s v="N/A"/>
    <n v="3"/>
    <s v="CTP"/>
    <s v="N/A"/>
    <s v="N/A"/>
    <x v="1"/>
    <s v="DESHUESADO"/>
    <s v="OPERARIO"/>
    <s v="TAMBORES LINEA HQ"/>
    <s v="N/A"/>
    <s v="TARDE"/>
    <d v="1899-12-30T20:00:00"/>
    <s v="MARTES"/>
    <s v="SEMANA 28"/>
    <n v="15798"/>
    <s v="NC-86-23"/>
    <s v="DANIEL GARRIDO"/>
    <s v="JOSE CARVALLO"/>
    <n v="21"/>
    <s v="Superficies de trabajo"/>
    <x v="1"/>
    <s v="Contusión"/>
    <s v="Caida de mismo nivel"/>
    <s v="COLABORADOR SUFRE CONTUSION EN EXTREMIDAD INFERIOR DERECHA POR CAIDA MISMO NIVEL, CUANDO SE DIRIGIA A TAMBORES DE LINEA HQ."/>
    <s v="CONDICION"/>
    <s v="SI"/>
    <s v="SI"/>
    <s v="NICOLAS GOMEZ"/>
    <s v="MICHELLE SANCHEZ"/>
  </r>
  <r>
    <x v="0"/>
    <s v="JULIO"/>
    <s v="EL PAICO"/>
    <s v="ROSALES MALDONADO"/>
    <s v="JESUS"/>
    <s v="MASCULINO"/>
    <s v="17225475-6"/>
    <d v="2022-09-22T00:00:00"/>
    <n v="9"/>
    <d v="2023-07-17T00:00:00"/>
    <s v="INTERMEDIO"/>
    <s v="N/A"/>
    <s v="N/A"/>
    <s v="N/A"/>
    <n v="0"/>
    <s v="STP"/>
    <s v="N/A"/>
    <s v="N/A"/>
    <x v="7"/>
    <s v="MANTENCION"/>
    <s v="ELECTRICO"/>
    <s v="CHILLER DE AGUA "/>
    <s v="N/A"/>
    <s v="NOCHE"/>
    <d v="1899-12-30T05:00:00"/>
    <s v="LUNES"/>
    <s v="SEMANA 29"/>
    <m/>
    <m/>
    <s v="VICTOR GOMEZ"/>
    <s v="CLAUDIO CID"/>
    <n v="34"/>
    <s v="Materiales"/>
    <x v="5"/>
    <s v="Conjuntivitis"/>
    <s v="Proyeccion de particulas"/>
    <s v="COLABORADOR SUFRE MOLESTIA OCULAR POR PROYECCION DE PARTICULAS LIQUIDAS (OXIDO), CUANDO SE ENCONTRABA REALIZANDO LIMPIEZA DE CABLES DE ENCHUFE QUE SE ENCONTRABA CON OXIDO, EN CHILLER DE AGUA."/>
    <s v="ACCION"/>
    <s v="SI"/>
    <s v="NO"/>
    <s v="ALAN CARRASCO"/>
    <s v="CARLOS CARTAGENA"/>
  </r>
  <r>
    <x v="0"/>
    <s v="JULIO"/>
    <s v="EL PAICO"/>
    <s v="DEVIA JIMENEZ"/>
    <s v="LUIS"/>
    <s v="MASCULINO"/>
    <s v="11280722-5"/>
    <d v="2020-09-22T00:00:00"/>
    <n v="33"/>
    <d v="2023-07-17T00:00:00"/>
    <s v="ANTIGUO"/>
    <s v="N/A"/>
    <s v="N/A"/>
    <s v="N/A"/>
    <n v="0"/>
    <s v="STP"/>
    <s v="N/A"/>
    <s v="N/A"/>
    <x v="2"/>
    <s v="ASEO OPERACIONAL"/>
    <s v="OPERARIO"/>
    <s v="CASINO EMPRESA"/>
    <s v="N/A"/>
    <s v="MAÑANA"/>
    <d v="1899-12-30T08:45:00"/>
    <s v="LUNES"/>
    <s v="SEMANA 29"/>
    <m/>
    <m/>
    <s v="CARLOS JIMENEZ"/>
    <s v="ALBARO ABARCA"/>
    <n v="55"/>
    <s v="Otros"/>
    <x v="2"/>
    <s v="Quemadura"/>
    <s v="Contacto con temperaturas extremas"/>
    <s v="COLABORADOR SUFRE LEVE QUEMADURA EN MANO IZQUIERDA, POR CONTACTO CON AGUA CALIENTE, CUANDO SE ENCONTRABA CERRANDO TAPA DE TERMO EN CASINO QUE DE LA EMPRESA"/>
    <s v="ACCION"/>
    <s v="NO"/>
    <s v="NO"/>
    <s v="ALAN CARRASCO"/>
    <s v="CARLOS CARTAGENA"/>
  </r>
  <r>
    <x v="0"/>
    <s v="JULIO"/>
    <s v="EL PAICO"/>
    <s v="VILLEGAS VALECILLOS"/>
    <s v="ALI"/>
    <s v="MASCULINO"/>
    <s v="27131221-0"/>
    <d v="2023-07-10T00:00:00"/>
    <n v="0"/>
    <d v="2023-07-19T00:00:00"/>
    <s v="NUEVO"/>
    <d v="2023-07-19T00:00:00"/>
    <d v="2023-07-23T00:00:00"/>
    <s v="N/A"/>
    <n v="5"/>
    <s v="CTP"/>
    <s v="N/A"/>
    <s v="N/A"/>
    <x v="1"/>
    <s v="DESHUESADO"/>
    <s v="OPERARIO"/>
    <s v="LINEA HQ "/>
    <s v="N/A"/>
    <s v="MAÑANA"/>
    <d v="1899-12-30T07:30:00"/>
    <s v="MIERCOLES"/>
    <s v="SEMANA 29"/>
    <n v="15810"/>
    <s v="NC-88-23"/>
    <s v="DANIEL GARRIDO"/>
    <s v="JOSE CARVALLO"/>
    <n v="35"/>
    <s v="Infraestructura"/>
    <x v="2"/>
    <s v="Herida cortante"/>
    <s v="Contacto con cuerpo punzante"/>
    <s v="COLABORDOR SUFRE HERIDA CORTANTE EN MANO DERECHA, POR CONTACTO CON OBJETO PUNZANTE, CUANDO SE ENCONTRBA REALIZANDO LABOR DE COLGADO DE PECHUGA EN LINEA DE MAQUINA HQ NORTE"/>
    <s v="ACCION"/>
    <s v="SI"/>
    <s v="SI"/>
    <s v="NICOLAS GOMEZ"/>
    <s v="MICHELLE SANCHEZ"/>
  </r>
  <r>
    <x v="0"/>
    <s v="JULIO"/>
    <s v="EL PAICO"/>
    <s v="ATABALES MORALES"/>
    <s v="MANUEL"/>
    <s v="MASCULINO"/>
    <s v="15405907-5"/>
    <d v="2022-07-12T00:00:00"/>
    <n v="12"/>
    <d v="2023-07-19T00:00:00"/>
    <s v="INTERMEDIO"/>
    <d v="2023-07-19T00:00:00"/>
    <d v="2023-07-21T00:00:00"/>
    <s v="N/A"/>
    <n v="3"/>
    <s v="CTP"/>
    <s v="N/A"/>
    <s v="LGF4"/>
    <x v="1"/>
    <s v="DESHUESADO"/>
    <s v="OPERARIO"/>
    <s v="DESHUESADO DE PECEHUGA"/>
    <s v="EQUIPO PARA MOVIMIENTO DE CARGA (GRUAS O TRANSPALETAS)"/>
    <s v="MAÑANA"/>
    <d v="1899-12-30T09:30:00"/>
    <s v="MIERCOLES"/>
    <s v="SEMANA 29"/>
    <n v="15808"/>
    <s v="NC-89-23"/>
    <s v="DANIEL GARRIDO"/>
    <s v="JOSE CARVALLO"/>
    <n v="40"/>
    <s v="Equipos Transporte de carga"/>
    <x v="4"/>
    <s v="Contusión"/>
    <s v="Golpeado por"/>
    <s v="COLABORADOR SUFRE CONTUSION EN TOBILLO DE PIE IZQUIERDO AL SER GOLPEADO POR TRANSPALETA MANUAL CUANDO SE ENCONTRABA MOVILIZANDO BINS CON PRODUCTO EN SALA DE DESHUESADO DE PECHUGA."/>
    <s v="ACCION"/>
    <s v="SI"/>
    <s v="SI"/>
    <s v="NICOLAS GOMEZ"/>
    <s v="MICHELLE SANCHEZ"/>
  </r>
  <r>
    <x v="0"/>
    <s v="JULIO"/>
    <s v="EL PAICO"/>
    <s v="VELASQUEZ RUZ"/>
    <s v="LUIS"/>
    <s v="MASCULINO"/>
    <s v="9841139-9"/>
    <d v="2022-03-04T00:00:00"/>
    <n v="16"/>
    <d v="2023-07-21T00:00:00"/>
    <s v="INTERMEDIO"/>
    <s v="N/A"/>
    <s v="N/A"/>
    <s v="N/A"/>
    <n v="0"/>
    <s v="STP"/>
    <s v="N/A"/>
    <s v="N/A"/>
    <x v="8"/>
    <s v="PULPA"/>
    <s v="OPERARIO"/>
    <s v="PULPA"/>
    <s v="N/A"/>
    <s v="TARDE"/>
    <d v="1899-12-30T21:00:00"/>
    <s v="VIERNES"/>
    <s v="SEMANA 29"/>
    <m/>
    <m/>
    <s v="OCTAVIO MUÑOZ"/>
    <s v="CRISTIAN VELIZ"/>
    <n v="60"/>
    <s v="Materia Prima"/>
    <x v="0"/>
    <s v="Herida cortante"/>
    <s v="Golpeado por"/>
    <s v="COLABORADOR SUFRE CONTUSION CON HERIDA CORTANTE EN NARIZ AL SER GOLPEADO POR BANDEJA PLASTICA CON PRODUCTO CONGELADO "/>
    <s v="ACCION"/>
    <s v="SI"/>
    <s v="NO"/>
    <s v="ALAN CARRASCO"/>
    <s v="CARLOS CARTAGENA"/>
  </r>
  <r>
    <x v="0"/>
    <s v="JULIO"/>
    <s v="EL PAICO"/>
    <s v="TORRES ALVARADO"/>
    <s v="BRYAN"/>
    <s v="MASCULINO"/>
    <s v="20722483-9"/>
    <d v="2021-04-12T00:00:00"/>
    <n v="27"/>
    <d v="2023-07-22T00:00:00"/>
    <s v="ANTIGUO"/>
    <d v="2023-07-22T00:00:00"/>
    <m/>
    <s v="N/A"/>
    <n v="21"/>
    <s v="CTP"/>
    <s v="N/A"/>
    <s v="N/A"/>
    <x v="0"/>
    <s v="EVISCERADO PAVO"/>
    <s v="OPERARIO"/>
    <s v="EVISCERADO PAVO"/>
    <s v="N/A"/>
    <s v="MAÑANA"/>
    <d v="1899-12-30T10:00:00"/>
    <s v="SABADO"/>
    <s v="SEMANA 29"/>
    <n v="15818"/>
    <s v="NC-90-23"/>
    <s v="NICOLAS MOYANO"/>
    <s v="ERWIN GATICA"/>
    <n v="21"/>
    <s v="Cuchillo"/>
    <x v="2"/>
    <s v="Herida cortante"/>
    <s v="Contacto con cuerpo cortante"/>
    <s v="COLABORADOR SUFRE HERIDA CORTANTE EN DEDO PULGAR DERECHO AL REALIZAR UNA MALA MANIOBRA CUANDO IBA A TOMAR SU CHUCHILLO PARA COMENZAR SUS LABORES."/>
    <s v="ACCION"/>
    <s v="SI"/>
    <s v="SI"/>
    <s v="NICOLAS GOMEZ"/>
    <s v="CHISTIAN JHONS"/>
  </r>
  <r>
    <x v="0"/>
    <s v="JULIO"/>
    <s v="EL PAICO"/>
    <s v="NAVARRO GONZALEZ"/>
    <s v="XIMENA"/>
    <s v="FEMENINO"/>
    <s v="16266713-0"/>
    <d v="2016-12-05T00:00:00"/>
    <n v="79"/>
    <d v="2023-07-26T00:00:00"/>
    <s v="ANTIGUO"/>
    <s v="N/A"/>
    <s v="N/A"/>
    <s v="N/A"/>
    <n v="0"/>
    <s v="STP"/>
    <s v="N/A"/>
    <s v="N/A"/>
    <x v="2"/>
    <s v="ASEO ZONA LIMPIA"/>
    <s v="OPERARIO"/>
    <s v="EMPACADORA DE TRUTOS"/>
    <s v="MAQUINA EMPACADORA DE TRUTOS"/>
    <s v="NOCHE"/>
    <d v="1899-12-30T00:00:00"/>
    <s v="MIERCOLES"/>
    <s v="SEMANA 30"/>
    <m/>
    <m/>
    <s v="CARLOS JIMENEZ"/>
    <s v="PATRICIO PALACIOS"/>
    <n v="38"/>
    <s v="Bandejas"/>
    <x v="3"/>
    <s v="Contusión"/>
    <s v="Golpeado por"/>
    <s v="COLABORADORA SUFRE CONTUSION EN ANTEBRAZO Y DEDO INDICE Y MANO DERECHA AL SER GOLPEADA POR BANDEJA DE MAQUINA EMPACADORA DE TRUTOS CUANDO SE ENCONTRABA SACANDO RESTOS CARNICOS PRESENTES EN DICHA BANDEJA."/>
    <s v="ACCION"/>
    <s v="SI"/>
    <s v="NO"/>
    <s v="ALAN CARRASCO"/>
    <s v="CARLOS CARTAGENA"/>
  </r>
  <r>
    <x v="0"/>
    <s v="JULIO"/>
    <s v="EL PAICO"/>
    <s v="ROJAS ZAMORA"/>
    <s v="DIEGO"/>
    <s v="MASCULINO"/>
    <s v="19848137-8"/>
    <d v="2023-07-10T00:00:00"/>
    <n v="0"/>
    <d v="2023-07-27T00:00:00"/>
    <s v="NUEVO"/>
    <d v="2023-07-27T00:00:00"/>
    <d v="2023-07-27T00:00:00"/>
    <s v="N/A"/>
    <n v="0"/>
    <s v="STP"/>
    <s v="N/A"/>
    <s v="N/A"/>
    <x v="8"/>
    <s v="PULPA"/>
    <s v="OPERARIO"/>
    <s v="PULPA"/>
    <s v="EQUIPO PARA MOVIMIENTO DE CARGA (GRUAS O TRANSPALETAS)"/>
    <s v="MAÑANA"/>
    <d v="1899-12-30T11:30:00"/>
    <s v="JUEVES"/>
    <s v="SEMANA 30"/>
    <n v="15826"/>
    <s v="NC-110-23"/>
    <s v="OCTAVIO MUÑOZ"/>
    <s v="MARCOS QUINTANILLA"/>
    <n v="25"/>
    <s v="Superficies de transito"/>
    <x v="8"/>
    <s v="Torsión"/>
    <s v="Caida de mismo nivel"/>
    <s v="COLABORADOR SUFRE TORSION EN MUÑECA IZQUIERDA POR CAIDA MISMO NIVEL PRODUCTO DE PISO RESBALADIZO CUANDO SE ENCONTRABA MOVILIZANDO BINS CON PRODUCTO CON TRANSPALETA MANUAL."/>
    <s v="CONDICION"/>
    <s v="SI"/>
    <s v="SI"/>
    <s v="NICOLAS GOMEZ"/>
    <s v="MICHELLE SANCHEZ"/>
  </r>
  <r>
    <x v="0"/>
    <s v="JULIO"/>
    <s v="EL PAICO"/>
    <s v="DARISSANTE"/>
    <s v="WILTHON"/>
    <s v="MASCULINO"/>
    <s v="26281940-K"/>
    <d v="2022-03-07T00:00:00"/>
    <n v="16"/>
    <d v="2023-07-27T00:00:00"/>
    <s v="INTERMEDIO"/>
    <s v="N/A"/>
    <s v="N/A"/>
    <s v="N/A"/>
    <n v="0"/>
    <s v="STP"/>
    <s v="N/A"/>
    <s v="N/A"/>
    <x v="1"/>
    <s v="DESHUESADO"/>
    <s v="OPERARIO"/>
    <s v="ESCALERA ACCESO PRINCIPAL"/>
    <s v="N/A"/>
    <s v="TARDE"/>
    <d v="1899-12-30T14:35:00"/>
    <s v="JUEVES"/>
    <s v="SEMANA 30"/>
    <m/>
    <m/>
    <s v="DANIEL GARRIDO"/>
    <s v="JOSE CARVALLO"/>
    <n v="41"/>
    <s v="Superficies de transito"/>
    <x v="8"/>
    <s v="Contusión"/>
    <s v="Caida de distinto nivel"/>
    <s v="COLABORADOR SUFRE CONTUSION EN CODO IZQUIERDO POR CAIDA DE DISTINTO  NIVEL CUANDO SE ENCONTRABA BAJANDO ESTALERAS DE ACCESO PRINCIPAL"/>
    <s v="CONDICION"/>
    <s v="NO"/>
    <s v="NO"/>
    <s v="ALAN CARRASCO"/>
    <s v="MICHELLE SANCHEZ"/>
  </r>
  <r>
    <x v="0"/>
    <s v="JULIO"/>
    <s v="EL PAICO"/>
    <s v="PEREZ OVALLE"/>
    <s v="ALEJANDRA"/>
    <s v="FEMENINO"/>
    <s v="14321846-5"/>
    <d v="2013-07-10T00:00:00"/>
    <n v="120"/>
    <d v="2023-07-28T00:00:00"/>
    <s v="ANTIGUO"/>
    <s v="N/A"/>
    <s v="N/A"/>
    <s v="N/A"/>
    <n v="0"/>
    <s v="STP"/>
    <s v="N/A"/>
    <s v="N/A"/>
    <x v="8"/>
    <s v="REPORTE DE CAJAS"/>
    <s v="OPERARIO"/>
    <s v="REPORTE DE CAJAS"/>
    <s v="N/A"/>
    <s v="TARDE"/>
    <d v="1899-12-30T21:40:00"/>
    <s v="VIERNES"/>
    <s v="SEMANA 30"/>
    <m/>
    <m/>
    <s v="OCTAVIO MUÑOZ"/>
    <s v="ALEJNADRO SALAS"/>
    <n v="47"/>
    <s v="Cajas"/>
    <x v="8"/>
    <s v="Otros"/>
    <s v="Sobreesfuerzo"/>
    <s v="COLABORADORA SUFRE DOLENCIA EN ANTEBRAZO DERECHO AL ESTAR REALIZANDO LABORES CON CAJAS EN LINEA DE EMPAQUE FRESCO "/>
    <s v="ACCION"/>
    <s v="SI"/>
    <s v="NO"/>
    <s v="ALAN CARRASCO"/>
    <s v="WLADIMIR CALDERON "/>
  </r>
  <r>
    <x v="0"/>
    <s v="AGOSTO"/>
    <s v="EL PAICO"/>
    <s v="MAULEN MAULEN "/>
    <s v="ALDO"/>
    <s v="MASCULINO"/>
    <s v="20136430-2"/>
    <d v="2019-10-07T00:00:00"/>
    <n v="45"/>
    <d v="2023-08-01T00:00:00"/>
    <s v="ANTIGUO"/>
    <d v="2023-08-01T00:00:00"/>
    <s v="N/A"/>
    <s v="N/A"/>
    <n v="0"/>
    <s v="STP"/>
    <s v="N/A"/>
    <s v="N/A"/>
    <x v="5"/>
    <s v="IQF/CALIBRADO A"/>
    <s v="OPERARIO"/>
    <s v="SALA METALQUIMIA"/>
    <s v="N/A"/>
    <s v="NOCHE"/>
    <d v="1899-12-30T01:00:00"/>
    <s v="MARTES"/>
    <s v="SEMANA 31"/>
    <n v="15833"/>
    <s v="NC-111-23"/>
    <s v="OCTAVIO MUÑOZ"/>
    <s v="FRANCISCO SANCHEZ"/>
    <n v="24"/>
    <s v="Producto quimico"/>
    <x v="5"/>
    <s v="Conjuntivitis"/>
    <s v="Proyeccion de particulas"/>
    <s v="COLABORADOR SUFRE MOLESTIA OCULAR POR PROYECCION DE PARTILUCAS LIQUIDAS (AGUA MAS TEC-500) CUANDO SE ENCONTRABA REALIZANDO ASEO A MAQUINA METALQUIMIA"/>
    <s v="ACCION"/>
    <s v="SI"/>
    <s v="SI"/>
    <s v="ALAN CARRASCO"/>
    <s v="SANDRA LAYANA"/>
  </r>
  <r>
    <x v="0"/>
    <s v="AGOSTO"/>
    <s v="EL PAICO"/>
    <s v="REYES AHUE"/>
    <s v="KELY"/>
    <s v="FEMENINO"/>
    <s v="25370294-K"/>
    <d v="2022-02-07T00:00:00"/>
    <n v="17"/>
    <d v="2023-08-01T00:00:00"/>
    <s v="INTERMEDIO"/>
    <s v="N/A"/>
    <s v="N/A"/>
    <s v="N/A"/>
    <n v="0"/>
    <s v="STP"/>
    <s v="N/A"/>
    <s v="N/A"/>
    <x v="6"/>
    <s v="CAMARA"/>
    <s v="OPERARIO"/>
    <s v="SALA DESPACHO CONGELADO"/>
    <s v="N/A"/>
    <s v="TARDE"/>
    <d v="1899-12-30T16:05:00"/>
    <s v="MARTES"/>
    <s v="SEMANA 31"/>
    <m/>
    <m/>
    <s v="FRANCISCO QUEZADA"/>
    <s v="MAURICIO HERNANDEZ"/>
    <n v="36"/>
    <s v="Superficies de trabajo"/>
    <x v="7"/>
    <s v="Otros"/>
    <s v="Otros"/>
    <s v="COLABORADORA SUFRE DOLOR LUMBAR POR RESBALARSE AL PISAR UN TROZO DE HIELO CUANDO SE ENCONTRABAJA ARMANDO PALLETS EN SALA SALA DE DESPACHO CONGELADO"/>
    <s v="CONDICION"/>
    <s v="SI"/>
    <s v="NO"/>
    <s v="ALAN CARRASCO"/>
    <s v="WLADIMIR CALDERON "/>
  </r>
  <r>
    <x v="0"/>
    <s v="AGOSTO"/>
    <s v="EL PAICO"/>
    <s v="MALAGUEÑO VILLALOBOS"/>
    <s v="PABLO"/>
    <s v="MASCULINO"/>
    <s v="18957463-0"/>
    <d v="2023-03-13T00:00:00"/>
    <n v="4"/>
    <d v="2023-08-02T00:00:00"/>
    <s v="NUEVO"/>
    <s v="N/A"/>
    <s v="N/A"/>
    <s v="N/A"/>
    <n v="0"/>
    <s v="STP"/>
    <s v="LGF"/>
    <s v="LGF8"/>
    <x v="7"/>
    <s v="MANTENCION"/>
    <s v="ELECTRICO"/>
    <s v="SALA BOMBA PERACETICO"/>
    <s v="N/A"/>
    <s v="TARDE"/>
    <d v="1899-12-30T18:30:00"/>
    <s v="MIERCOLES"/>
    <s v="SEMANA 31"/>
    <m/>
    <m/>
    <s v="VICTOR GOMEZ"/>
    <s v="DANIEL GONZALEZ"/>
    <n v="28"/>
    <s v="Producto quimico"/>
    <x v="1"/>
    <s v="Quemadura"/>
    <s v="Contacto con sustancias toxicas"/>
    <s v="COLABORADOR SUFRE QUEMADURA EN ZONA GEMERAL DE PIERNA IZQUIERDA POR CONTACTO CON PRODUCTO QUÍMICO,CUANDO SE ENCONTRABA REALIZANDO LABORES DE REVISION DE BOMBA DE PERACETICO"/>
    <s v="ACCION"/>
    <s v="SI"/>
    <s v="NO"/>
    <s v="ALAN CARRASCO"/>
    <s v="CARLOS CARTAGENA"/>
  </r>
  <r>
    <x v="0"/>
    <s v="AGOSTO"/>
    <s v="EL PAICO"/>
    <s v="CAMPOS DIAZ"/>
    <s v="PATRICIO"/>
    <s v="MASCULINO"/>
    <s v="11696586-0"/>
    <d v="2018-10-16T00:00:00"/>
    <n v="57"/>
    <d v="2023-08-04T00:00:00"/>
    <s v="ANTIGUO"/>
    <d v="2023-08-04T00:00:00"/>
    <d v="2023-08-04T00:00:00"/>
    <s v="N/A"/>
    <n v="0"/>
    <s v="STP"/>
    <s v="N/A"/>
    <s v="N/A"/>
    <x v="2"/>
    <s v="ASEO OPERACIONAL"/>
    <s v="ENCARGADO SSGG"/>
    <s v="ECORILES"/>
    <s v="N/A"/>
    <s v="TARDE"/>
    <d v="1899-12-30T13:45:00"/>
    <s v="VIERNES"/>
    <s v="SEMANA 31"/>
    <n v="15840"/>
    <s v="NC-112-23"/>
    <s v="CARLOS JIMENEZ"/>
    <s v="SERGIO AQUEVEQUE"/>
    <n v="52"/>
    <s v="Animales - Insectos"/>
    <x v="3"/>
    <s v="Otros"/>
    <s v="Picadura"/>
    <s v="COLABORADOR SUFRE PICADURA DE AVEJA EN ROSTRO Y ESPALDA CUANDO SE ENCONTRABA MOVIENDO CARRO QUE SE ENCONTRABA SOBRE PASTO EN SECTOR DE ECORILES"/>
    <s v="CONDICION"/>
    <s v="SI"/>
    <s v="SI"/>
    <s v="NICOLAS GOMEZ"/>
    <s v="MICHELLE SANCHEZ"/>
  </r>
  <r>
    <x v="0"/>
    <s v="AGOSTO"/>
    <s v="EL PAICO"/>
    <s v="BRAVO SAEZ"/>
    <s v="ALEXIS"/>
    <s v="MASCULINO"/>
    <s v="14006048-8"/>
    <d v="2019-07-29T00:00:00"/>
    <n v="48"/>
    <d v="2023-08-07T00:00:00"/>
    <s v="ANTIGUO"/>
    <s v="N/A"/>
    <s v="N/A"/>
    <s v="N/A"/>
    <n v="0"/>
    <s v="STP"/>
    <s v="N/A"/>
    <s v="N/A"/>
    <x v="8"/>
    <s v="PULPAS A"/>
    <s v="MOVILIZADOR"/>
    <s v="DESPACHO FRESCO"/>
    <s v="N/A"/>
    <s v="MAÑANA"/>
    <d v="1899-12-30T12:15:00"/>
    <s v="LUNES"/>
    <s v="SEMANA 32"/>
    <m/>
    <m/>
    <s v="OCTAVIO MUÑOZ"/>
    <s v="MARCOS QUINTANILLA"/>
    <n v="46"/>
    <s v="Equipos Transporte de carga"/>
    <x v="0"/>
    <s v="Herida cortante"/>
    <s v="Golpeado contra"/>
    <s v="COLABORADOR SUFRE HERIDA CORTANTE EN NARIZ AL SER GOLPEADO CONTRA ESTRUCTURA METALICA SOBRESALIENTE DE CARRO METALICO CUANDO SE ENCONTRABA AYUDANDO A GRUERO A SACAR FIERRO DE CARRO QUE SE ENCONTRABA ATASCADO "/>
    <s v="ACCION"/>
    <s v="SI"/>
    <s v="NO"/>
    <s v="NICOLAS GOMEZ"/>
    <s v="CHISTIAN JHONS"/>
  </r>
  <r>
    <x v="0"/>
    <s v="AGOSTO"/>
    <s v="EL PAICO"/>
    <s v="CARVAJAL CEPEDA "/>
    <s v="MICHEL HERNAN"/>
    <s v="MASCULINO"/>
    <s v="17081441-K"/>
    <d v="2017-08-01T00:00:00"/>
    <n v="72"/>
    <d v="2023-08-08T00:00:00"/>
    <s v="ANTIGUO"/>
    <d v="2023-08-08T00:00:00"/>
    <d v="2023-08-13T00:00:00"/>
    <d v="2023-08-14T00:00:00"/>
    <n v="11"/>
    <s v="CTP"/>
    <s v="LGF"/>
    <s v="LGF2"/>
    <x v="7"/>
    <s v="MANTENIMIENTO"/>
    <s v="COODINADOR"/>
    <s v="IQF4"/>
    <s v="N/A"/>
    <s v="MAÑANA"/>
    <d v="1899-12-30T14:45:00"/>
    <s v="MARTES"/>
    <s v="SEMANA 32"/>
    <n v="15847"/>
    <s v="NC-113-24"/>
    <s v="VICTOR GOMEZ"/>
    <s v="NICOLAS ROJAS"/>
    <n v="35"/>
    <s v="Maquinarias"/>
    <x v="2"/>
    <s v="Atrición"/>
    <s v="Atrapamiento"/>
    <s v="COLABORADOR SUFRE HERIDA CORTANTE POR ATRAPAMIENTO EN DEDO MEDIO DERECHO, CUANDO SE ENCONTRABA REALIZANDO INSPECCION EN INYECTORA CFS650 EN EL IQF 4"/>
    <s v="ACCION"/>
    <s v="SI"/>
    <s v="SI"/>
    <s v="ALAN CARRASCO"/>
    <s v="MICHELLE SANCHEZ"/>
  </r>
  <r>
    <x v="0"/>
    <s v="AGOSTO"/>
    <s v="EL PAICO"/>
    <s v="MAULEN MALDONADO"/>
    <s v="JOSE"/>
    <s v="MASCULINO"/>
    <s v="7327744-2"/>
    <d v="2007-08-01T00:00:00"/>
    <n v="192"/>
    <d v="2023-08-09T00:00:00"/>
    <s v="ANTIGUO"/>
    <d v="2023-08-10T00:00:00"/>
    <d v="2023-08-18T00:00:00"/>
    <s v="N/A"/>
    <n v="8"/>
    <s v="CTP"/>
    <s v="N/A"/>
    <s v="N/A"/>
    <x v="2"/>
    <s v="ASEO"/>
    <s v="OPERARIO"/>
    <s v="CAMARIN "/>
    <s v="N/A"/>
    <s v="MAÑANA"/>
    <d v="1899-12-30T05:45:00"/>
    <s v="MIERCOLES"/>
    <s v="SEMANA 32"/>
    <n v="15853"/>
    <s v="NC-116-23"/>
    <s v="CARLOS JIMENEZ"/>
    <s v="ROLANDO EMIHUEQUE"/>
    <n v="70"/>
    <s v="Infraestructura"/>
    <x v="2"/>
    <s v="Herida cortante"/>
    <s v="Golpeado contra"/>
    <s v="COLABORADOR SUFRE HERIDA CORTANTE EN DEDO INDICE SUPERIOR IZQUIERDO AN GOLPEARSE CONTRA SILLA QUE SE ENCONTRABA EN CAMARIN, CUANDO SE ENCONTRABA CAMBIANDO SU VESTIMENTA PARA INGREZAR A TRABAJAR "/>
    <s v="ACCION"/>
    <s v="NO"/>
    <s v="SI"/>
    <s v="ALAN CARRASCO"/>
    <s v="WLADIMIR CALDERON "/>
  </r>
  <r>
    <x v="0"/>
    <s v="AGOSTO"/>
    <s v="EL PAICO"/>
    <s v="MORALES NUÑEZ"/>
    <s v="JAIME"/>
    <s v="MASCULINO"/>
    <s v="10410053-8"/>
    <d v="1999-08-14T00:00:00"/>
    <n v="287"/>
    <d v="2023-08-09T00:00:00"/>
    <s v="ANTIGUO"/>
    <d v="2023-08-10T00:00:00"/>
    <d v="2023-08-12T00:00:00"/>
    <s v="N/A"/>
    <n v="3"/>
    <s v="CTP"/>
    <s v="N/A"/>
    <s v="N/A"/>
    <x v="6"/>
    <s v="CAMARA"/>
    <s v="ENCARGADO DE LINEA"/>
    <s v="PASILLO D"/>
    <s v="N/A"/>
    <s v="MAÑANA"/>
    <d v="1899-12-30T10:20:00"/>
    <s v="MIERCOLES"/>
    <s v="SEMANA 32"/>
    <n v="15854"/>
    <s v="NC-115-23"/>
    <s v="FRANCISCO QUEZADA"/>
    <s v="MAURICIO HERNANDEZ"/>
    <n v="57"/>
    <s v="Superficies de transito"/>
    <x v="3"/>
    <s v="Contusión"/>
    <s v="Caida de mismo nivel"/>
    <s v="COLABORADOR SUFRE CONTUSIÓN EN MANO Y BRAZO IZQUIERDO POR CAIDA MISMO NIVEL PRODUCTO DE PRESENCIA DE RESTOS CARNICOS EN SUPERFICIE DE TRANSITO, CUANDO SE ENCONTRABA TRANSITANDO POR PASILLLO D"/>
    <s v="CONDICION"/>
    <s v="SI"/>
    <s v="SI"/>
    <s v="ALAN CARRASCO"/>
    <s v="WLADIMIR CALDERON "/>
  </r>
  <r>
    <x v="0"/>
    <s v="AGOSTO"/>
    <s v="EL PAICO"/>
    <s v="HERNANDEZ DIAZ"/>
    <s v="SERGIO"/>
    <s v="MASCULINO"/>
    <s v="19212501-4"/>
    <d v="2023-07-10T00:00:00"/>
    <n v="0"/>
    <d v="2023-08-07T00:00:00"/>
    <s v="NUEVO"/>
    <s v="N/A"/>
    <s v="N/A"/>
    <s v="N/A"/>
    <n v="0"/>
    <s v="STP"/>
    <s v="N/A"/>
    <s v="N/A"/>
    <x v="1"/>
    <s v="AUTOMATICO"/>
    <s v="OPERARIO"/>
    <s v="COLAGADO DE POLLO"/>
    <s v="N/A"/>
    <s v="TARDE"/>
    <d v="1899-12-30T19:00:00"/>
    <s v="LUNES"/>
    <s v="SEMANA 32"/>
    <m/>
    <m/>
    <s v="DANIEL GARRIDO"/>
    <s v="ARNALDO VERA"/>
    <n v="27"/>
    <s v="Materia Prima"/>
    <x v="7"/>
    <s v="Otros"/>
    <s v="Sobreesfuerzo"/>
    <s v="COLABORADOR SUFRE DOLENCIA EN ESPALDA POR MOVIMIENTO REPETITIVO AL REALIZAR LABOR DE GOLGADO DE PRODUCTO EN TROZADO DE POLLO AUTOMATICO"/>
    <s v="ACCION"/>
    <s v="SI"/>
    <s v="NO"/>
    <s v="NICOLAS GOMEZ"/>
    <s v="WLADIMIR CALDERON "/>
  </r>
  <r>
    <x v="0"/>
    <s v="AGOSTO"/>
    <s v="EL PAICO"/>
    <s v="BENOIT"/>
    <s v="RINEL"/>
    <s v="MASCULINO"/>
    <s v="26237764-4"/>
    <d v="2021-11-03T00:00:00"/>
    <n v="21"/>
    <d v="2023-08-10T00:00:00"/>
    <s v="ANTIGUO"/>
    <s v="N/A"/>
    <s v="N/A"/>
    <s v="N/A"/>
    <n v="0"/>
    <s v="STP"/>
    <s v="N/A"/>
    <s v="N/A"/>
    <x v="1"/>
    <s v="DESHUESADO"/>
    <s v="OPERARIO"/>
    <s v="DROP POINT"/>
    <s v="EQUIPO PARA MOVIMIENTO DE CARGA (GRUAS O TRANSPALETAS)"/>
    <s v="TARDE"/>
    <d v="1899-12-30T16:45:00"/>
    <s v="JUEVES"/>
    <s v="SEMANA 32"/>
    <m/>
    <m/>
    <s v="DANIEL GARRIDO"/>
    <s v="JOSE CARVALLO"/>
    <n v="38"/>
    <s v="Equipos Transporte de carga"/>
    <x v="2"/>
    <s v="Contusión"/>
    <s v="Golpeado por"/>
    <s v="COLABORADOR SUFRE CONTUSION EN RODILLA DERECHA AL SER GOLPEADO POR EQUIPO DE MOVIMIENTO DE CARGA"/>
    <s v="ACCION"/>
    <s v="SI"/>
    <s v="NO"/>
    <s v="NICOLAS GOMEZ"/>
    <s v="MICHELLE SANCHEZ"/>
  </r>
  <r>
    <x v="0"/>
    <s v="AGOSTO"/>
    <s v="EL PAICO"/>
    <s v="VILCHES SOTO"/>
    <s v="VIVIANA"/>
    <s v="FEMENINO"/>
    <s v="16789251-5"/>
    <d v="2015-09-28T00:00:00"/>
    <n v="94"/>
    <d v="2023-08-11T00:00:00"/>
    <s v="ANTIGUO"/>
    <d v="2023-08-11T00:00:00"/>
    <d v="2023-08-11T00:00:00"/>
    <s v="N/A"/>
    <n v="0"/>
    <s v="STP"/>
    <s v="N/A"/>
    <s v="N/A"/>
    <x v="1"/>
    <s v="DESHUESADO"/>
    <s v="OPERARIO"/>
    <s v="MAQUINA HQ SUR"/>
    <s v="MAQUINA HQ SUR"/>
    <s v="MAÑANA"/>
    <d v="1902-07-18T00:00:00"/>
    <s v="VIERNES"/>
    <s v="SEMANA 32"/>
    <n v="15857"/>
    <s v="NC-117-23"/>
    <s v="DANIEL GARRIDO"/>
    <s v="JORGE MEZA"/>
    <n v="35"/>
    <s v="Maquinarias"/>
    <x v="2"/>
    <s v="Herida cortante"/>
    <s v="Contacto con cuerpo cortante"/>
    <s v="COLABORADORA SUFRE HERIDA   CORTANTE EN DEDO ANULAR DERECHO POR CONTACTO CON OBJETO CORTANTE, ESTRUCTURA FIJA DE MAQUINA HQ SUR, EL EVENTO SE PRODUJO CUANDO SE ENCONTRABA REALIZANDO RETIRO DE PRODUCTO CARNICO DESDE LÍNEA DE COLGADO"/>
    <s v="CONDICION"/>
    <s v="S"/>
    <s v="SI"/>
    <s v="NICOLAS GOMEZ"/>
    <s v="CHISTIAN JHONS"/>
  </r>
  <r>
    <x v="0"/>
    <s v="AGOSTO"/>
    <s v="EL PAICO"/>
    <s v="AHUMADA CASTILLO"/>
    <s v="JUAN"/>
    <s v="MASCULINO"/>
    <s v="18096461-4"/>
    <d v="2022-07-12T00:00:00"/>
    <n v="13"/>
    <d v="2023-08-12T00:00:00"/>
    <s v="INTERMEDIO"/>
    <s v="N/A"/>
    <s v="N/A"/>
    <s v="N/A"/>
    <n v="0"/>
    <s v="STP"/>
    <s v="LGF"/>
    <s v="LGF6"/>
    <x v="7"/>
    <s v="MANTENIMIENTO"/>
    <s v="ELECTRICO"/>
    <s v="TALLER MANTENIMIENTO"/>
    <s v="N/A"/>
    <s v="TARDE"/>
    <d v="1899-12-30T21:40:00"/>
    <s v="SABADO"/>
    <s v="SEMANA 32"/>
    <m/>
    <m/>
    <s v="VICTOR GOMEZ"/>
    <s v="EMANUEL MELLADO"/>
    <n v="31"/>
    <s v="Equipo electricos"/>
    <x v="8"/>
    <s v="Otros"/>
    <s v="Contacto con electricidad"/>
    <s v="COLABORADOR SUFRE GOLPE DE CORRIENTE EN MANO IZQUIERDA POR CONTACTO CON TABLERO DE PRUEBA"/>
    <s v="ACCION"/>
    <s v="SI"/>
    <s v="NO"/>
    <s v="ALAN CARRASCO"/>
    <s v="MICHELLE SANCHEZ"/>
  </r>
  <r>
    <x v="0"/>
    <s v="AGOSTO"/>
    <s v="EL PAICO"/>
    <s v="CANTILLANA CARDENAS"/>
    <s v="ACLICIO"/>
    <s v="MASCULINO"/>
    <s v="9868246-5"/>
    <d v="2019-06-24T00:00:00"/>
    <n v="49"/>
    <d v="2023-08-14T00:00:00"/>
    <s v="ANTIGUO"/>
    <s v="N/A"/>
    <s v="N/A"/>
    <s v="N/A"/>
    <n v="0"/>
    <s v="STP"/>
    <s v="N/A"/>
    <s v="N/A"/>
    <x v="8"/>
    <s v="REPORTE LINEA ISHIDA "/>
    <s v="OPERARIO"/>
    <s v="ANDEN "/>
    <s v="N/A"/>
    <s v="TARDE"/>
    <d v="1899-12-30T21:00:00"/>
    <s v="LUNES"/>
    <s v="SEMANA 33"/>
    <m/>
    <m/>
    <s v="OCTAVIO MUÑOZ"/>
    <s v="EDGAR HERNANDEZ"/>
    <n v="60"/>
    <s v="Materiales"/>
    <x v="1"/>
    <s v="Herida cortante"/>
    <s v="Golpeado por"/>
    <s v="COLABORADOR SUFRE HERIDA ABRASIVA EN PIERNA IZQUIERDA AL SER GOLPEADO POR PALLET QUE CAE DESDE ALTURA CUANDO SE ENCONTRABA MOVILIZANDO ESTOS HACIA ANDEN UTILIZANDO TRANSPALETA MANUAL"/>
    <s v="ACCION"/>
    <s v="SI"/>
    <s v="NO"/>
    <s v="ALAN CARRASCO "/>
    <s v="MICHELLE SANCHEZ"/>
  </r>
  <r>
    <x v="0"/>
    <s v="AGOSTO"/>
    <s v="EL PAICO"/>
    <s v="AGUILERA SERRANO"/>
    <s v="MARITZA"/>
    <s v="FEMENINO"/>
    <s v="12859577-5"/>
    <d v="2016-12-16T00:00:00"/>
    <n v="80"/>
    <d v="2023-08-17T00:00:00"/>
    <s v="ANTIGUO"/>
    <d v="2023-08-17T00:00:00"/>
    <d v="2023-08-17T00:00:00"/>
    <d v="2023-08-23T00:00:00"/>
    <n v="0"/>
    <s v="CTP"/>
    <s v="LGF"/>
    <s v="LGF8"/>
    <x v="8"/>
    <s v="REPORTE LINEA ISHIDA"/>
    <s v="OPERARIO"/>
    <s v="REPORTE DE CAJAS"/>
    <s v="MAQUINA MONTEZA"/>
    <s v="MAÑANA"/>
    <d v="1899-12-30T12:20:00"/>
    <s v="JUEVES"/>
    <s v="SEMANA 33"/>
    <n v="15872"/>
    <s v="NC-120-23"/>
    <s v="OCTAVIO MUÑOZ"/>
    <s v="MARCOS QUINTANILLA"/>
    <n v="48"/>
    <s v="Maquinarias"/>
    <x v="8"/>
    <s v="Quemadura"/>
    <s v="Contacto con temperaturas extremas"/>
    <s v="COLABORADORA SUFRE QUEMADURA EN ANTE BRAZO DERECHO POR CONTACTO CON ESTRUCTURA METALICA AL SACAR CAJA DE PRDUCTO QUE SE ENCONTRABA DENTRO DE MAQUINA MONTEZA ESTO DEBIDO AL CORTE DE ENERGIA EN LA PLANTA."/>
    <s v="ACCION"/>
    <s v="SI"/>
    <s v="SI"/>
    <s v="NICOLAS GOMEZ"/>
    <s v="MICHELLE SANCHEZ"/>
  </r>
  <r>
    <x v="0"/>
    <s v="AGOSTO"/>
    <s v="EL PAICO"/>
    <s v="SILVA OSORIO"/>
    <s v="IRIS"/>
    <s v="FEMENINO"/>
    <s v="13772577-0"/>
    <d v="2013-08-07T00:00:00"/>
    <n v="120"/>
    <d v="2023-08-18T00:00:00"/>
    <s v="ANTIGUO"/>
    <s v="N/A"/>
    <s v="N/A"/>
    <s v="N/A"/>
    <n v="0"/>
    <s v="STP"/>
    <s v="N/A"/>
    <s v="N/A"/>
    <x v="1"/>
    <s v="TROZADO AUTOMATICO"/>
    <s v="OPERARIO"/>
    <s v="TROZADO DE POLLO"/>
    <s v="N/A"/>
    <s v="MAÑANA"/>
    <d v="1899-12-30T11:45:00"/>
    <s v="VIERNES"/>
    <s v="SEMANA 33"/>
    <m/>
    <m/>
    <s v="DANIEL GARRIDO"/>
    <s v="ARNALDO VERA"/>
    <n v="43"/>
    <s v="Bins"/>
    <x v="2"/>
    <s v="Atrición"/>
    <s v="Golpeado por"/>
    <s v="COLABORADORA SUFRE CONTUSION EN DEDO PULGAR DERECHO POR ATRISIÓN AL SUFRIR GOLP ENTRE DOS BINS CON PRODUCTO CUANDO SE ENCONTRABA EMPUJANDO BINS QUE IBA A SER RETIRADO"/>
    <s v="ACCION"/>
    <s v="SI"/>
    <s v="NO"/>
    <s v="ALAN CARRASCO "/>
    <s v="CARLOS CARTAGENA"/>
  </r>
  <r>
    <x v="0"/>
    <s v="AGOSTO"/>
    <s v="EL PAICO"/>
    <s v="MELLADO DELGADO"/>
    <s v="NICOLAS"/>
    <s v="MASCULINO"/>
    <s v="18960555-2"/>
    <d v="2022-04-04T00:00:00"/>
    <n v="16"/>
    <d v="2023-08-21T00:00:00"/>
    <s v="INTERMEDIO"/>
    <s v="N/A"/>
    <s v="N/A"/>
    <s v="N/A"/>
    <n v="0"/>
    <s v="STP"/>
    <s v="N/A"/>
    <s v="N/A"/>
    <x v="1"/>
    <s v="TROZADO AUTOMATICO"/>
    <s v="TECNICO"/>
    <s v="TROZADO DE POLLO AUTOMATICO"/>
    <s v="N/A"/>
    <s v="MAÑANA"/>
    <d v="1899-12-30T10:40:00"/>
    <s v="LUNES"/>
    <s v="SEMANA 34"/>
    <m/>
    <m/>
    <s v="DANIEL GARRIDO"/>
    <s v="RAMIRO RAMIREZ"/>
    <n v="28"/>
    <s v="Superficies de trabajo"/>
    <x v="2"/>
    <s v="Contusión"/>
    <s v="Caida de mismo nivel"/>
    <s v="COLABORADOR SUFRE CONTUSION EN MANO DERECHA POR CAIDA MISMO NIVEL PRODUCTO DE RESTOR CARNICOS EN SUPERFICIE DDE TRABAJO CUANDO SE ENCONTRABA AJUSTANDO MODULO PROCESADOR DE TRUTO"/>
    <s v="CONDICION"/>
    <s v="SI"/>
    <s v="NO"/>
    <s v="ALAN CARRASCO"/>
    <s v="WLADIMIR CALDERON "/>
  </r>
  <r>
    <x v="0"/>
    <s v="AGOSTO"/>
    <s v="EL PAICO"/>
    <s v="LUCERO ROJAS"/>
    <s v="SEBASTIAN"/>
    <s v="MASCULINO"/>
    <s v="18628732-0"/>
    <d v="2023-06-19T00:00:00"/>
    <n v="2"/>
    <d v="2023-08-21T00:00:00"/>
    <s v="NUEVO"/>
    <s v="N/A"/>
    <s v="N/A"/>
    <s v="N/A"/>
    <n v="0"/>
    <s v="STP"/>
    <s v="N/A"/>
    <s v="N/A"/>
    <x v="8"/>
    <s v="REPORTE DE CAJAS"/>
    <s v="OPERARIO"/>
    <s v="PULPA"/>
    <s v="N/A"/>
    <s v="MAÑANA"/>
    <d v="1899-12-30T12:40:00"/>
    <s v="LUNES"/>
    <s v="SEMANA 34"/>
    <m/>
    <m/>
    <s v="OCTAVIO MUÑOZ"/>
    <s v="EDGAR HERNANDEZ"/>
    <n v="29"/>
    <s v="Bins"/>
    <x v="4"/>
    <s v="Contusión"/>
    <s v="Golpeado por"/>
    <s v="COLABORADOR SUFRE CONTUSION EN DEDO PULGAR INFERIOR DERECHO AL SER GOLPEADO POR BINS QUE ERA LLEVADO POR COMPAÑERO DE TRABAJO"/>
    <s v="ACCION"/>
    <s v="SI"/>
    <s v="NO"/>
    <s v="ALAN CARRASCO"/>
    <s v="WLADIMIR CALDERON "/>
  </r>
  <r>
    <x v="0"/>
    <s v="AGOSTO"/>
    <s v="EL PAICO"/>
    <s v="CANALES NAVARRO"/>
    <s v="AILIN"/>
    <s v="FEMENINO"/>
    <s v="20424089-2"/>
    <d v="2023-08-01T00:00:00"/>
    <n v="0"/>
    <d v="2023-08-21T00:00:00"/>
    <s v="NUEVO"/>
    <s v="N/A"/>
    <s v="N/A"/>
    <s v="N/A"/>
    <n v="0"/>
    <s v="STP"/>
    <s v="N/A"/>
    <s v="N/A"/>
    <x v="5"/>
    <s v="CALIBRADO"/>
    <s v="OPERARIO"/>
    <s v="CALIBRADO"/>
    <s v="N/A"/>
    <s v="MAÑANA"/>
    <d v="1899-12-30T12:50:00"/>
    <s v="LUNES"/>
    <s v="SEMANA 34"/>
    <m/>
    <m/>
    <s v="OCTAVIO MUÑOZ"/>
    <s v="MIGUEL HENRRIQUEZ"/>
    <m/>
    <s v="Materia Prima"/>
    <x v="2"/>
    <s v="Contusión"/>
    <s v="Golpeado por"/>
    <s v="COLABORADORA DE IQF-CALIBRADO SUFRIO GOLPE EN DEDO ANULAR DE MANO DERECHA POR CAIDA DE UNA PECHIGA CONGELADA DESDE EL CAPACHO UEGO DE QUE ESTE SE LLENARA EN LINEA DE EMPACADO"/>
    <s v="CONDICION"/>
    <s v="SI"/>
    <s v="NO"/>
    <s v="ALAN CARRASCO"/>
    <s v="WLADIMIR CALDERON "/>
  </r>
  <r>
    <x v="0"/>
    <s v="AGOSTO"/>
    <s v="EL PAICO"/>
    <s v="CONTRERAS PERALTA"/>
    <s v="JUAN "/>
    <s v="MASCULINO"/>
    <s v="14006777-6"/>
    <d v="2021-09-01T00:00:00"/>
    <n v="23"/>
    <d v="2023-08-21T00:00:00"/>
    <s v="ANTIGUO"/>
    <s v="N/A"/>
    <s v="N/A"/>
    <s v="N/A"/>
    <n v="0"/>
    <s v="STP"/>
    <s v="N/A"/>
    <s v="N/A"/>
    <x v="5"/>
    <s v="DROPPOINT"/>
    <s v="OPERARIO"/>
    <s v="LINEA DROPPOINT"/>
    <s v="N/A"/>
    <s v="TARDE"/>
    <d v="1899-12-30T18:25:00"/>
    <s v="LUNES"/>
    <s v="SEMANA 34"/>
    <m/>
    <m/>
    <s v="OCTAVIO MUÑOZ"/>
    <s v="FERNANDO FUENTEALBA"/>
    <n v="43"/>
    <s v="Infraestructura"/>
    <x v="0"/>
    <s v="Herida cortante"/>
    <s v="Golpeado contra"/>
    <s v="COLABORADOR SUFRE HERIDA SUPERFICIAL EN ROSTRO AL SER GOLPEADO CONTRA LATA DE ESTRUCTURA DE MAQUINA DROPPOINT CUANDO SE ENCONTRABA SACANDO UN ATASCO DE CAJAS "/>
    <s v="ACCION"/>
    <s v="SI"/>
    <s v="NO"/>
    <s v="NICOLAS GOMEZ"/>
    <s v="WLADIMIR CALDERON "/>
  </r>
  <r>
    <x v="0"/>
    <s v="AGOSTO"/>
    <s v="EL PAICO"/>
    <s v="AHUMADA CARRASCO "/>
    <s v="BENJAMIN"/>
    <s v="MASCULINO"/>
    <s v="20783005-4"/>
    <d v="2022-11-11T00:00:00"/>
    <n v="9"/>
    <d v="2023-08-21T00:00:00"/>
    <s v="INTERMEDIO"/>
    <s v="N/A"/>
    <s v="N/A"/>
    <s v="N/A"/>
    <n v="0"/>
    <s v="STP"/>
    <s v="N/A"/>
    <s v="N/A"/>
    <x v="0"/>
    <s v="EVISCERADO"/>
    <s v="OPERARIO"/>
    <s v="EVISCERADO  "/>
    <s v="N/A"/>
    <s v="TARDE"/>
    <d v="1899-12-30T17:30:00"/>
    <s v="LUNES"/>
    <s v="SEMANA 34"/>
    <m/>
    <m/>
    <s v="NICOLAS MOYANO"/>
    <s v="ERWIN GATICA"/>
    <n v="22"/>
    <s v="Superficies de transito"/>
    <x v="2"/>
    <s v="Torsión"/>
    <s v="Golpeado por"/>
    <s v="COLABORADOR SUFRE TORSION EN MUÑECA DERECHA AL GOLPEARSE CONTRA BARANDA DE ESCALERA QUE SE ENCUENTRA EN SALA DE EVISCERADO"/>
    <s v="ACCION"/>
    <s v="SI"/>
    <s v="NO"/>
    <s v="NICOLAS GOMEZ"/>
    <s v="WLADIMIR CALDERON "/>
  </r>
  <r>
    <x v="0"/>
    <s v="AGOSTO"/>
    <s v="EL PAICO"/>
    <s v="CID ARAOS"/>
    <s v="CLAUDIO"/>
    <s v="MASCULINO"/>
    <s v="19212600-2"/>
    <d v="2017-10-23T00:00:00"/>
    <n v="69"/>
    <d v="2023-08-22T00:00:00"/>
    <s v="ANTIGUO"/>
    <d v="2023-08-22T00:00:00"/>
    <d v="2023-08-22T00:00:00"/>
    <s v="N/A"/>
    <n v="0"/>
    <s v="STP"/>
    <s v="N/A"/>
    <s v="N/A"/>
    <x v="7"/>
    <s v="MANTENIMIENTO"/>
    <s v="COORDINADOR"/>
    <s v="RECEPCIÓN DE POLLO"/>
    <s v="N/A"/>
    <s v="MAÑANA"/>
    <d v="1899-12-30T13:50:00"/>
    <s v="MARTES"/>
    <s v="SEMANA 34"/>
    <n v="15877"/>
    <m/>
    <s v="VICTOR GOMEZ"/>
    <s v="EMANUEL MELLADO"/>
    <n v="27"/>
    <s v="Infraestructura"/>
    <x v="7"/>
    <s v="Herida cortante"/>
    <s v="Contacto con cuerpo cortante"/>
    <s v="COLABORADOR SUFRE HERIDA CORTANTE EN ZONA LUMBAR AL TENER CONTACTO CON PERFIL DE ESTRUCTURA METALICA AL PASAR POR BAJO DE CINTA TRANSPORTADORA."/>
    <s v="ACCION"/>
    <s v="SI"/>
    <s v="SI"/>
    <s v="ALAN CARRASCO"/>
    <s v="CARLOS CARTAGENA"/>
  </r>
  <r>
    <x v="0"/>
    <s v="AGOSTO"/>
    <s v="EL PAICO"/>
    <s v="GOMEZ FARIAS"/>
    <s v="VICTOR"/>
    <s v="MASCULINO"/>
    <s v="16341630-1"/>
    <d v="2004-09-13T00:00:00"/>
    <n v="226"/>
    <d v="2023-07-21T00:00:00"/>
    <s v="ANTIGUO"/>
    <d v="2023-08-21T00:00:00"/>
    <d v="2023-08-21T00:00:00"/>
    <s v="N/A"/>
    <n v="0"/>
    <s v="STP"/>
    <s v="N/A"/>
    <s v="N/A"/>
    <x v="7"/>
    <s v="MANTENIMIENTO"/>
    <s v="JEFE DE MANTENCION"/>
    <s v="CHILLER DE AIRE"/>
    <s v="N/A"/>
    <s v="MAÑANA"/>
    <d v="1899-12-30T19:00:00"/>
    <s v="VIERNES"/>
    <s v="SEMANA 29"/>
    <n v="15878"/>
    <m/>
    <s v="VICTOR GOMEZ"/>
    <s v="VICTOR GOMEZ"/>
    <n v="37"/>
    <s v="Superficies de transito"/>
    <x v="8"/>
    <s v="Contusión"/>
    <s v="Caida de mismo nivel"/>
    <s v="COLABORADOR SUFRE CONTUSIÓN EN CODO IZQUIERDO POR CAIDA MISMO NIVEL PRODUCTO DE HIELO PRESENTE EN SUPERFCIE DE TRANSITO EN EL SECTOR DE CHILER DE AIRE "/>
    <s v="CONDICION"/>
    <s v="SI"/>
    <s v="SI"/>
    <s v="ALAN CARRASCO"/>
    <s v="N/A"/>
  </r>
  <r>
    <x v="0"/>
    <s v="AGOSTO"/>
    <s v="EL PAICO"/>
    <s v="IBARRA"/>
    <s v="JOSE"/>
    <s v="MASCULINO"/>
    <s v="11170619-0"/>
    <d v="2022-11-04T00:00:00"/>
    <n v="9"/>
    <d v="2023-08-22T00:00:00"/>
    <s v="INTERMEDIO"/>
    <s v="N/A"/>
    <s v="N/A"/>
    <s v="N/A"/>
    <n v="0"/>
    <s v="STP"/>
    <s v="N/A"/>
    <s v="N/A"/>
    <x v="0"/>
    <s v="CALIBRADO PAVOS"/>
    <s v="OPERARIO"/>
    <s v="EVISCERADO"/>
    <s v="N/A"/>
    <s v="TARDE"/>
    <d v="1899-12-30T17:10:00"/>
    <s v="MARTES"/>
    <s v="SEMAN 34"/>
    <m/>
    <m/>
    <s v="NICOLAS MOYANO"/>
    <s v="FRANCISCO CASTRO"/>
    <n v="59"/>
    <s v="Materia Prima"/>
    <x v="5"/>
    <s v="Conjuntivitis"/>
    <s v="Proyeccion de particulas"/>
    <s v="COLABORADOR SUFRE MOLESTIA OCULAR POR PROYECCION DE PARTICULAS EN OJO IZQUIERDO CUANDO DE ENCONTRABA SACANDO VICESAR QUE ESTABAN ENRREDADAS"/>
    <s v="ACCION"/>
    <s v="SI"/>
    <s v="NO"/>
    <s v="NICOLAS GOMEZ"/>
    <s v="CARLOS CARTAGENA"/>
  </r>
  <r>
    <x v="0"/>
    <s v="AGOSTO"/>
    <s v="EL PAICO"/>
    <s v="BALLADARES VILLAVICENCIO"/>
    <s v="JORGE"/>
    <s v="MASCULINO"/>
    <s v="17398280-1"/>
    <d v="2008-01-10T00:00:00"/>
    <n v="187"/>
    <d v="2023-08-23T00:00:00"/>
    <s v="ANTIGUO"/>
    <s v="N/A"/>
    <s v="N/A"/>
    <s v="N/A"/>
    <n v="0"/>
    <s v="STP"/>
    <s v="N/A"/>
    <s v="N/A"/>
    <x v="6"/>
    <s v="CAMARA"/>
    <s v="OPERARIO"/>
    <s v="DESPACHO CONGELADO"/>
    <s v="N/A"/>
    <s v="MAÑANA"/>
    <d v="1899-12-30T12:30:00"/>
    <s v="MIERCOLES"/>
    <s v="SEMANA 34"/>
    <m/>
    <m/>
    <s v="FRANCISCO QUEZADA"/>
    <s v="ALEJANDRO TORRES"/>
    <n v="33"/>
    <s v="Cajas"/>
    <x v="2"/>
    <s v="Torsión"/>
    <s v="Golpeado por"/>
    <s v="COLABORADOR SUFRE TORSIÓN EN MUÑECA IZQUIERDA AL SER GOLPEADO POR CAJA QUE CAE DESDE PALLETS CUANDO SE ENCONTRABA REPARANDO CAJAS"/>
    <s v="ACCION"/>
    <s v="SI"/>
    <s v="NO"/>
    <s v="ALAN CARRASCO"/>
    <s v="CHISTIAN JHONS"/>
  </r>
  <r>
    <x v="0"/>
    <s v="AGOSTO"/>
    <s v="EL PAICO"/>
    <s v="CARANCIO NUÑEZ"/>
    <s v="CRISTIAN "/>
    <s v="MASCULINO"/>
    <s v="13247799-K"/>
    <d v="2023-06-01T00:00:00"/>
    <n v="2"/>
    <d v="2023-08-23T00:00:00"/>
    <s v="NUEVO"/>
    <s v="N/A"/>
    <s v="N/A"/>
    <s v="N/A"/>
    <n v="0"/>
    <s v="STP"/>
    <s v="N/A"/>
    <s v="N/A"/>
    <x v="5"/>
    <s v="IQF CALIBRADO C"/>
    <s v="OPERARIO"/>
    <s v="SALA DE PROCESO"/>
    <s v="N/A"/>
    <s v="INTERMEDIO"/>
    <d v="1899-12-30T16:30:00"/>
    <s v="MIERCOLES"/>
    <s v="SEMANA 34"/>
    <m/>
    <m/>
    <s v="OCTAVIO MUÑOZ"/>
    <s v="MIGUEL HENRRIQUEZ"/>
    <n v="45"/>
    <s v="Bandejas"/>
    <x v="2"/>
    <s v="Torsión"/>
    <s v="Golpeado contra"/>
    <s v="COLABORADOR SUFRE TORSION DE DEDO PULGAR IZQUIERDO AL SER GOLPEADO CONTRA BANDEJA CUANDO SE ENCONTRABA ARMANDO PALLETS CON BLOQUES"/>
    <s v="ACCION"/>
    <s v="SI"/>
    <s v="NO"/>
    <s v="NICOLAS GOMEZ"/>
    <s v="CHISTIAN JHONS"/>
  </r>
  <r>
    <x v="0"/>
    <s v="AGOSTO"/>
    <s v="EL PAICO"/>
    <s v="SAAVEDA ADASME"/>
    <s v="FRANCISCO"/>
    <s v="MASCULINO"/>
    <s v="16576716-0"/>
    <d v="2018-05-14T00:00:00"/>
    <n v="63"/>
    <d v="2023-08-24T00:00:00"/>
    <s v="ANTIGUO"/>
    <s v="N/A"/>
    <s v="N/A"/>
    <s v="N/A"/>
    <n v="0"/>
    <s v="STP"/>
    <s v="N/A"/>
    <s v="N/A"/>
    <x v="1"/>
    <s v="TROZADO AUTOMATICO"/>
    <s v="OPERARIO"/>
    <s v="SALA DE PULPA"/>
    <s v="EQUIPO PARA MOVIMIENTO DE CARGA (GRUAS O TRANSPALETAS)"/>
    <s v="TARDE"/>
    <d v="1899-12-30T23:15:00"/>
    <s v="JUEVES"/>
    <s v="SEMANA 34"/>
    <m/>
    <m/>
    <s v="DANIEL GARRIDO"/>
    <s v="ARNALDO VERA"/>
    <n v="36"/>
    <s v="Equipos Transporte de carga"/>
    <x v="2"/>
    <s v="Contusión"/>
    <s v="Golpeado contra"/>
    <s v="COLABORADOR SUFRE CONTUSION EN MANO DERECHA AL SER GOLPEADO CONTRA MANURIO DE TRANSPALETA ELECTRICA CUANDO SE ENCONTRABA EMPUJANDO DOS BINS CON PRODUCTO EN SALA DE PULPA "/>
    <s v="ACCION"/>
    <s v="SI"/>
    <s v="NO"/>
    <s v="NICOLAS GOMEZ"/>
    <s v="MICHELLE SANCHEZ"/>
  </r>
  <r>
    <x v="0"/>
    <s v="AGOSTO"/>
    <s v="EL PAICO"/>
    <s v="RODRIGUEZ MONJES"/>
    <s v="ANYIBEL"/>
    <s v="FEMENINO"/>
    <s v="27091787-9"/>
    <d v="2020-03-16T00:00:00"/>
    <n v="41"/>
    <d v="2023-08-25T00:00:00"/>
    <s v="ANTIGUO"/>
    <s v="N/A"/>
    <s v="N/A"/>
    <s v="N/A"/>
    <n v="0"/>
    <s v="STP"/>
    <s v="N/A"/>
    <s v="N/A"/>
    <x v="1"/>
    <s v="DESHUESADO"/>
    <s v="OPERARIO"/>
    <s v="PASILLO IQF 4"/>
    <s v="N/A"/>
    <s v="MAÑANA"/>
    <d v="1899-12-30T10:45:00"/>
    <s v="VIERNES"/>
    <s v="SEMANA 34"/>
    <m/>
    <m/>
    <s v="DANIEL GARRIDO"/>
    <s v="JORGE MEZA"/>
    <n v="32"/>
    <s v="Superficies de transito"/>
    <x v="1"/>
    <s v="Contusión"/>
    <s v="Caida de mismo nivel"/>
    <s v="COLABORADORA SUFRE CONTUSION EN RODILLA IZQUIERDA PRODUCTO DE CAÍDA MISMO NIVEL EN PASILLO DE IQF 4, POR PRESENCIA DE HIELO Y RESTOS CÁRNICOS EN SUPERFICIE DE TRANSITO"/>
    <s v="ACCION"/>
    <s v="SI"/>
    <s v="NO"/>
    <s v="NICOLAS GOMEZ"/>
    <s v="WLADIMIR CALDERON "/>
  </r>
  <r>
    <x v="0"/>
    <s v="AGOSTO"/>
    <s v="EL PAICO"/>
    <s v="GONZALEZ FERNANDEZ"/>
    <s v="DENISSE"/>
    <s v="FEMENINO"/>
    <s v="15542013-8"/>
    <d v="2019-07-01T00:00:00"/>
    <n v="49"/>
    <d v="2023-08-29T00:00:00"/>
    <s v="ANTIGUO"/>
    <s v="N/A"/>
    <s v="N/A"/>
    <s v="N/A"/>
    <n v="0"/>
    <s v="STP"/>
    <s v="N/A"/>
    <s v="N/A"/>
    <x v="10"/>
    <s v="ROMANA PULPAS"/>
    <s v="ROMANERO"/>
    <s v="ROMANA DE PULPAS"/>
    <s v="N/A"/>
    <s v="MAÑANA "/>
    <d v="1899-12-30T05:40:00"/>
    <s v="MARTES"/>
    <s v="SEMANA 35"/>
    <m/>
    <m/>
    <s v="LUIS ESPEJO"/>
    <s v="YESENIA VALDÉS"/>
    <n v="40"/>
    <s v="Otros"/>
    <x v="5"/>
    <s v="Conjuntivitis"/>
    <s v="Proyeccion de particulas"/>
    <s v="COLABORA SUFRE  MOLESTIA OCULAR EN OJO DERECHOPOR PROYECCIÓN DE PARTICULAS LIQUIDAS CUANDO SE ENCONTRABA ORDENANDO SU PUESTO DE TRABAJO PARA COMENZAR EL TURNO"/>
    <s v="ACCION"/>
    <s v="SI"/>
    <s v="NO"/>
    <s v="NICOLAS GOMEZ"/>
    <s v="WLADIMIR CALDERON "/>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2"/>
    <s v=" "/>
    <s v=" "/>
    <s v=" "/>
    <s v=" "/>
    <s v=" "/>
    <s v=" "/>
    <s v=" "/>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r>
    <x v="1"/>
    <m/>
    <m/>
    <m/>
    <m/>
    <m/>
    <m/>
    <m/>
    <m/>
    <m/>
    <m/>
    <m/>
    <m/>
    <m/>
    <m/>
    <m/>
    <m/>
    <m/>
    <x v="10"/>
    <m/>
    <m/>
    <m/>
    <m/>
    <m/>
    <m/>
    <m/>
    <m/>
    <m/>
    <m/>
    <m/>
    <m/>
    <m/>
    <m/>
    <x v="11"/>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
  <r>
    <n v="2023"/>
    <s v="ENERO"/>
    <s v="EL PAICO"/>
    <s v="VERA CATALAN"/>
    <s v="IVAN "/>
    <s v="MASCULINO"/>
    <s v="18488665-0 "/>
    <d v="2019-04-08T00:00:00"/>
    <n v="45"/>
    <d v="2023-01-18T00:00:00"/>
    <s v="ANTIGUO"/>
    <d v="2023-01-18T00:00:00"/>
    <s v="N/A"/>
    <s v="N/A"/>
    <n v="0"/>
    <s v="STP"/>
    <s v="N/A"/>
    <s v="N/A"/>
    <x v="0"/>
    <s v="BODEGA"/>
    <s v="OPERARIO"/>
    <s v="BODEGA"/>
    <s v="N/A"/>
    <s v="MAÑANA"/>
    <d v="1899-12-30T13:30:00"/>
    <s v="MIERCOLES"/>
    <s v="SEMANA 3"/>
    <m/>
    <m/>
    <s v="BORIS PONCE"/>
    <x v="0"/>
    <n v="28"/>
    <s v="Materiales"/>
    <s v="Manos / dedos"/>
    <s v="Otros"/>
    <s v="Sobreesfuerzo"/>
    <s v="TRABAJADOR SUBRE TIRON AL ESTAR CORTANDO LAS AMARRAS (VARIAS) DEL PALLET Y AL MOVERLAS SIENTE DOLOR QUE VA DESDE LA MITAD DE LA PALMA HASTA EL CODO, EL CUAL VA EN AUMENTO Y AVISA A SU SUPERVISOR "/>
    <s v="ACCION"/>
    <s v="SI"/>
    <s v="NO"/>
    <s v="ALAN CARRASCO"/>
    <s v="GABRIELA CABEZAS "/>
    <m/>
  </r>
  <r>
    <n v="2023"/>
    <s v="ENERO"/>
    <s v="EL PAICO"/>
    <s v="ROCHA VARELA"/>
    <s v="MARIANA"/>
    <s v="FEMENINO"/>
    <s v="15596634-3"/>
    <d v="2021-02-09T00:00:00"/>
    <n v="23"/>
    <d v="2023-01-19T00:00:00"/>
    <s v="ANTIGUO"/>
    <s v="N/A"/>
    <s v="N/A"/>
    <s v="N/A"/>
    <n v="0"/>
    <s v="STP"/>
    <s v="N/A"/>
    <s v="N/A"/>
    <x v="1"/>
    <s v="CALIBRADO"/>
    <s v="OPERARIO"/>
    <s v="BAÑO MUJERES"/>
    <s v="N/A"/>
    <s v="MAÑANA"/>
    <d v="1899-12-30T11:20:00"/>
    <s v="JUEVES"/>
    <s v="SEMANA 3"/>
    <m/>
    <m/>
    <s v="GUILLERMO NARVAEZ"/>
    <x v="1"/>
    <n v="39"/>
    <s v="Superficies de transito"/>
    <s v="Manos / dedos"/>
    <s v="Contusión"/>
    <s v="Caida de mismo nivel"/>
    <s v="COLABORADOR AL ESTAR DESPLAZANDOSE AL INTERIOR DEL BAÑO DE MUJERES, RESBALA PROBOCANDOLE UNA CONTUSION EN LA MUQUEÑA IZQUIERDA."/>
    <s v="ACCION"/>
    <s v="SI"/>
    <s v="NO"/>
    <s v="NICOLAS GOMEZ"/>
    <s v="CHRISTIAN JHONS"/>
    <m/>
  </r>
  <r>
    <n v="2023"/>
    <s v="ENERO"/>
    <s v="EL PAICO"/>
    <s v="QUIROZ SAAVEDRA"/>
    <s v="JORGE"/>
    <s v="MASCULINO"/>
    <s v="10261648-0"/>
    <d v="2002-08-23T00:00:00"/>
    <n v="244"/>
    <d v="2023-01-21T00:00:00"/>
    <s v="ANTIGUO"/>
    <d v="2023-01-23T00:00:00"/>
    <d v="2023-02-04T00:00:00"/>
    <s v="N/A"/>
    <n v="13"/>
    <s v="CTP"/>
    <s v="LGF"/>
    <s v="LGF2"/>
    <x v="2"/>
    <s v="CHILLER DE AGUA"/>
    <s v="OPERARIO"/>
    <s v="CHILLER DE AGUA "/>
    <s v="CINTA DE TRANSPORTE"/>
    <s v="MAÑANA"/>
    <d v="1899-12-30T12:10:00"/>
    <s v="SABADO"/>
    <s v="SEMANA 3"/>
    <n v="15430"/>
    <s v="NC-11-23"/>
    <s v="NICOLAS MOYANO"/>
    <x v="2"/>
    <n v="58"/>
    <s v="Maquinarias"/>
    <s v="Manos / dedos"/>
    <s v="Atrición"/>
    <s v="Atrapamiento"/>
    <s v="TRABAJADOR EL CUAL SE ENCONTRABA TRANSLANDO LA CINTA TRANSPORTADORA PARA TRABAJAR EN LA HEMBRA SE APRETA EL DEDO  PULGAR DE MANO DERECHA"/>
    <s v="ACCION"/>
    <s v="SI"/>
    <s v="SI"/>
    <s v="NICOLAS GOMEZ"/>
    <s v="CARLOS CARTAGENA"/>
    <s v="TRANSPORTE DE CINTA"/>
  </r>
  <r>
    <n v="2023"/>
    <s v="ENERO"/>
    <s v="EL PAICO"/>
    <s v="PEREZ CAMPOS"/>
    <s v="CARMEN"/>
    <s v="FEMENINO"/>
    <s v="11608562-3"/>
    <d v="1998-04-01T00:00:00"/>
    <n v="297"/>
    <d v="2023-01-13T00:00:00"/>
    <s v="ANTIGUO"/>
    <s v="N/A"/>
    <s v="N/A"/>
    <s v="N/A"/>
    <n v="0"/>
    <s v="STP"/>
    <s v="N/A"/>
    <s v="N/A"/>
    <x v="3"/>
    <s v="SANGRADO DE POLLOS"/>
    <s v="OPERARIO"/>
    <s v="SALA DE SANGRADO"/>
    <s v="N/A"/>
    <s v="MAÑANA"/>
    <d v="1899-12-30T04:00:00"/>
    <s v="VIERNES"/>
    <s v="SEMANA 2"/>
    <m/>
    <m/>
    <s v="JAIME JORQUERA"/>
    <x v="3"/>
    <n v="52"/>
    <s v="Infraestructura"/>
    <s v="Manos / dedos"/>
    <s v="Otros"/>
    <s v="Contacto con cuerpo punzante"/>
    <s v="TRABAJADORA SE ENCONTRABA REALIZANDO INSPECCION DE ASEO PREOPERACIONAL EN SALA DE SANGRADO, AL MOMENTO DE PASAR MANO POR GUIAS SE ENTIERRA UNA ESCIRLA DE METAL EN DEDO ANULAR EL CUAL FUE RETIRADO AL MOMENTO"/>
    <s v="CONDICION"/>
    <s v="SI"/>
    <s v="NO"/>
    <s v="CARLOS ORELLANA"/>
    <s v="CARLOS CARTAGENA"/>
    <m/>
  </r>
  <r>
    <n v="2023"/>
    <s v="ENERO"/>
    <s v="EL PAICO"/>
    <s v="PEÑA ASTORGA"/>
    <s v="GUSTAVO"/>
    <s v="MASCULINO"/>
    <s v="17225054-8"/>
    <d v="2019-11-11T00:00:00"/>
    <n v="37"/>
    <d v="2023-01-03T00:00:00"/>
    <s v="ANTIGUO"/>
    <s v="N/A"/>
    <s v="N/A"/>
    <s v="N/A"/>
    <n v="0"/>
    <s v="STP"/>
    <s v="N/A"/>
    <s v="N/A"/>
    <x v="2"/>
    <s v="EVISCERADO"/>
    <s v="OPERARIO"/>
    <s v="LINEA DESCOLGADO DE BANDEJAS"/>
    <s v="N/A"/>
    <s v="MAÑANA"/>
    <d v="1899-12-30T13:45:00"/>
    <s v="MARTES"/>
    <s v="SEMANA 1"/>
    <m/>
    <m/>
    <s v="NICOLAS MOYANO"/>
    <x v="4"/>
    <n v="33"/>
    <s v="Materiales"/>
    <s v="Rostro"/>
    <s v="Herida cortante"/>
    <s v="Golpeado por"/>
    <s v="ESTABA BAJANDO BANDEJA DE LINEA DE DESCOLGADO AL MOMENTO DE RETIRAR UNA BANDEJA LA QUE VENIA GOLPEA PARPADO DERECHO"/>
    <s v="ACCION"/>
    <s v="SI"/>
    <s v="NO"/>
    <s v="NICOLAS GOMEZ"/>
    <s v="CHRISTIAN JHONS"/>
    <m/>
  </r>
  <r>
    <n v="2023"/>
    <s v="ENERO"/>
    <s v="EL PAICO"/>
    <s v="MORENO LORCA"/>
    <s v="OSCAR"/>
    <s v="MASCULINO"/>
    <s v="10874086-8"/>
    <d v="2023-01-17T00:00:00"/>
    <n v="0"/>
    <d v="2023-01-23T00:00:00"/>
    <s v="NUEVO"/>
    <d v="2023-01-24T00:00:00"/>
    <d v="2023-03-25T00:00:00"/>
    <s v="N/A"/>
    <n v="2"/>
    <s v="CTP"/>
    <s v="N/A"/>
    <s v="N/A"/>
    <x v="4"/>
    <s v="EMPAQUE"/>
    <s v="OPERARIO"/>
    <s v="CAMARA 201 ORIENTE"/>
    <s v="N/A"/>
    <s v="MAÑANA"/>
    <d v="1899-12-30T11:30:00"/>
    <s v="LUNES"/>
    <s v="SEMANA 4"/>
    <n v="15435"/>
    <s v="NC-09-23"/>
    <s v="FRANCISCO QUEZADA"/>
    <x v="5"/>
    <n v="52"/>
    <s v="Superficies de trabajo"/>
    <s v="Multiples"/>
    <s v="Contusión"/>
    <s v="Caida de mismo nivel"/>
    <s v="TRABAJADOR CUANDO SE TRANSLADABA A DEJAR INSUMOS DE TRABAJO (PISO DE ENCONTRABA CAPA DE HIELO) ESTE RESBALA CAYENDO DE ESPALDA GOLPEANDOSE LADO DERECHO A NIVEL DE LA CINTURA Y SU CODO IZQUERDO "/>
    <s v="CONDICION"/>
    <s v="SI"/>
    <s v="SI"/>
    <s v="ALAN CARRASCO"/>
    <s v="CHRISTIAN JHONS"/>
    <s v="TRANSITO POR AREAS DE PROCESO"/>
  </r>
  <r>
    <n v="2023"/>
    <s v="ENERO"/>
    <s v="EL PAICO"/>
    <s v="MIRANDA GOMEZ"/>
    <s v="JOSELYN"/>
    <s v="FEMENINO"/>
    <s v="18487450-4"/>
    <d v="2022-05-09T00:00:00"/>
    <n v="8"/>
    <d v="2023-01-23T00:00:00"/>
    <s v="INTERMEDIO"/>
    <d v="2023-01-24T00:00:00"/>
    <d v="2023-01-28T00:00:00"/>
    <s v="N/A"/>
    <n v="5"/>
    <s v="CTP"/>
    <s v="N/A"/>
    <s v="N/A"/>
    <x v="4"/>
    <s v="EMPAQUE"/>
    <s v="OPERARIO"/>
    <s v="CAMARINES DE MUJER"/>
    <s v="N/A"/>
    <s v="TARDE"/>
    <d v="1899-12-30T14:15:00"/>
    <s v="LUNES"/>
    <s v="SEMANA 4"/>
    <n v="15436"/>
    <s v="NC-10-23"/>
    <s v="FRANCISCO QUEZADA"/>
    <x v="5"/>
    <n v="29"/>
    <s v="Infraestructura"/>
    <s v="Pie"/>
    <s v="Contusión"/>
    <s v="Golpeado contra"/>
    <s v="TRABAJADORA QUE SE ENCONTRABA CAMBIANDO SU VESTIMENTA EN CAMARINES DE MUJER SE GOLPEA DEDO MEÑIQUE DEL PIE DERECHO CON UNA SILLA DE FIERRO PRESENTE EN EL LUGAR"/>
    <s v="ACCION"/>
    <s v="SI"/>
    <s v="SI"/>
    <s v="ALAN CARRASCO"/>
    <s v="CHRISTIAN JHONS"/>
    <s v="CAMBIO DE ROPA EN CAMARINES"/>
  </r>
  <r>
    <n v="2023"/>
    <s v="ENERO"/>
    <s v="EL PAICO"/>
    <s v="MENDEZ DEL CASTILLO"/>
    <s v="DANIELA"/>
    <s v="FEMENINO"/>
    <s v="15822820-3"/>
    <d v="2021-01-25T00:00:00"/>
    <n v="23"/>
    <d v="2023-01-03T00:00:00"/>
    <s v="ANTIGUO"/>
    <d v="2023-01-04T00:00:00"/>
    <d v="2023-01-12T00:00:00"/>
    <s v="N/A"/>
    <n v="9"/>
    <s v="CTP"/>
    <s v="N/A"/>
    <s v="N/A"/>
    <x v="5"/>
    <s v="TROZADO AUTOMATICO"/>
    <s v="OPERARIO"/>
    <s v="ESCALERA PRINCIPAL"/>
    <s v="N/A"/>
    <s v="TARDE"/>
    <d v="1899-12-30T19:50:00"/>
    <s v="MARTES"/>
    <s v="SEMANA 1"/>
    <n v="15412"/>
    <s v="NC-04-23"/>
    <s v="DANIEL GARRIDO"/>
    <x v="6"/>
    <n v="37"/>
    <s v="Superficies de transito"/>
    <s v="Pierna"/>
    <s v="Torsión"/>
    <s v="Caida de mismo nivel"/>
    <s v="TRABAJADORA SUFRE CAIDA AL BAJAR ESCALERA PRINCIPAL, EN EL DESCANSO HABIA TIERRA , LA CUAL PISA RESBALANDOSE Y SUFRIENDO UNA HIPEREXTENSION DE RODILLA IZQUIERDA"/>
    <s v="CONDICION"/>
    <s v="NO"/>
    <s v="SI"/>
    <s v="NICOLAS GOMEZ"/>
    <s v="CHRISTIAN JHONS"/>
    <s v="TRANSITO POR AREAS COMUNES"/>
  </r>
  <r>
    <n v="2023"/>
    <s v="ENERO"/>
    <s v="EL PAICO"/>
    <s v="INFANTE GUTIERREZ"/>
    <s v="TERESA"/>
    <s v="FEMENINO"/>
    <s v="16795621-1"/>
    <d v="2014-10-06T00:00:00"/>
    <n v="99"/>
    <d v="2023-01-07T00:00:00"/>
    <s v="ANTIGUO"/>
    <d v="2023-01-10T00:00:00"/>
    <d v="2023-01-17T00:00:00"/>
    <d v="2023-01-10T00:00:00"/>
    <n v="8"/>
    <s v="CTP"/>
    <s v="N/A"/>
    <s v="N/A"/>
    <x v="6"/>
    <s v="SALA DE SALMUERA"/>
    <s v="OPERARIO"/>
    <s v="SALA DE SALMUERA "/>
    <s v="N/A"/>
    <s v="NOCHE"/>
    <d v="1899-12-30T22:40:00"/>
    <s v="SABADO"/>
    <s v="SEMANA 1"/>
    <n v="15413"/>
    <s v="NC-03-23"/>
    <s v="CARLOS JIMENEZ"/>
    <x v="7"/>
    <n v="35"/>
    <s v="Infraestructura"/>
    <s v="Pierna"/>
    <s v="Contusión"/>
    <s v="Caida de distinto nivel"/>
    <s v="TRABAJADOR CUANDO LIMPIABA EN SALA SALMUERA SE CAE DE TARIMA GOLPEANDOSE LA RODILLA IZQUIERDA"/>
    <s v="CONDICION"/>
    <s v="SI"/>
    <s v="SI"/>
    <s v="CARLOS ORELLANA"/>
    <s v="CHRISTIAN JHONS"/>
    <s v="LIMPIEZA DE SUPERFICIE SOBRE TARIMA/ESCALERA"/>
  </r>
  <r>
    <n v="2023"/>
    <s v="ENERO"/>
    <s v="EL PAICO"/>
    <s v="HOSTIL"/>
    <s v="SMITH"/>
    <s v="MASCULINO"/>
    <s v="26204649-4"/>
    <d v="2022-11-14T00:00:00"/>
    <n v="1"/>
    <d v="2023-01-04T00:00:00"/>
    <s v="NUEVO"/>
    <s v="N/A"/>
    <s v="N/A"/>
    <s v="N/A"/>
    <n v="0"/>
    <s v="STP"/>
    <s v="N/A"/>
    <s v="N/A"/>
    <x v="6"/>
    <s v="ASEO PREOPERACIONAL"/>
    <s v="OPERARIO"/>
    <s v="TROZADO DE POLLO"/>
    <s v="N/A"/>
    <s v="NOCHE"/>
    <d v="1899-12-30T02:00:00"/>
    <s v="MIERCOLES"/>
    <s v="SEMANA 1"/>
    <m/>
    <m/>
    <s v="CARLOS JIMENEZ"/>
    <x v="7"/>
    <n v="34"/>
    <s v="Infraestructura"/>
    <s v="Pierna"/>
    <s v="Contusión"/>
    <s v="Caida de distinto nivel"/>
    <s v="TRABAJADOR SUFRE CAIDA DE DISTINTO NIVEL AL BAJAR UNA ESCALERA EN TROZADO DE POLLO LUEGO DE FINALIZAR LA LIMPIEZA DE UN EQUIPO"/>
    <s v="ACCION"/>
    <s v="SI"/>
    <s v="NO"/>
    <s v="NICOLAS GOMEZ"/>
    <s v="CHRISTIAN JHONS"/>
    <s v="TRANSITO POR AREAS DE PROCESO"/>
  </r>
  <r>
    <n v="2023"/>
    <s v="ENERO"/>
    <s v="EL PAICO"/>
    <s v="HIDALGO"/>
    <s v="ARISLEYDA"/>
    <s v="FEMENINO"/>
    <s v="26622517-2"/>
    <d v="2020-02-03T00:00:00"/>
    <n v="35"/>
    <d v="2023-01-19T00:00:00"/>
    <s v="ANTIGUO"/>
    <s v="N/A"/>
    <s v="N/A"/>
    <s v="N/A"/>
    <n v="0"/>
    <s v="STP"/>
    <s v="N/A"/>
    <s v="N/A"/>
    <x v="5"/>
    <s v="DESHUESADO"/>
    <s v="OPERARIO"/>
    <s v="DESPLUMADO"/>
    <s v="N/A"/>
    <s v="MAÑANA"/>
    <d v="1899-12-30T05:30:00"/>
    <s v="JUEVES"/>
    <s v="SEMANA 3"/>
    <m/>
    <m/>
    <s v="DANIEL GARRIDO"/>
    <x v="8"/>
    <n v="32"/>
    <s v="Materiales"/>
    <s v="Manos / dedos"/>
    <s v="Contusión"/>
    <s v="Golpeado por"/>
    <s v="TRABAJADORA AL COMENZAR SU TURNO, ORDENABA SU PUESTO DE TRABAJO CUANDO LE CAE UNA TABLA GOLPANDOLA EN DEDOS MEDIO Y ANULAR DE LA MANO IZQUERDA"/>
    <s v="ACCION"/>
    <s v="SI"/>
    <s v="NO"/>
    <s v="NICOLAS GOMEZ"/>
    <s v="CHRISTIAN JHONS"/>
    <s v="REALIZANDO LABORES DE ASEO"/>
  </r>
  <r>
    <n v="2023"/>
    <s v="ENERO"/>
    <s v="EL PAICO"/>
    <s v="GALVEZ MANZO"/>
    <s v="DAVID"/>
    <s v="MASCULINO "/>
    <s v="18029574-7"/>
    <d v="2021-12-13T00:00:00"/>
    <n v="13"/>
    <d v="2023-01-18T00:00:00"/>
    <s v="INTERMEDIO"/>
    <s v="N/A"/>
    <s v="N/A"/>
    <s v="N/A"/>
    <s v="O"/>
    <s v="STP"/>
    <s v="N/A"/>
    <s v="N/A"/>
    <x v="6"/>
    <s v="FAENA"/>
    <s v="OPERARIO"/>
    <s v="DESPLUMADO"/>
    <s v="N/A"/>
    <s v="NOCHE"/>
    <d v="1899-12-30T22:25:00"/>
    <s v="MIERCOLES"/>
    <s v="SEMANA 3"/>
    <m/>
    <m/>
    <s v="CARLOS JIMENEZ"/>
    <x v="9"/>
    <n v="31"/>
    <s v="Superficies de trabajo"/>
    <s v="Multiples"/>
    <s v="Contusión"/>
    <s v="Caida de distinto nivel"/>
    <s v="COLABORADOR SUFRE CAIDA DE DISTINTO NIVEL DESDE TARIMA DE TRABAJO, CUANDO SE ENCONTRABA REALIZANDO LABORESDE ASEO PREOPERACIONAL EN LA SALA DE DESPLUMADO ENTRE DOS MAQUINAS EN LA SALA, PROPBOCANDOLE LESIONES EN COSTILLAS Y RODILLA IZQUERDA."/>
    <s v="ACCION"/>
    <s v="SI"/>
    <s v="NO"/>
    <s v="ALAN CARRASCO"/>
    <s v="GABRIELA CABEZAS "/>
    <s v="LIMPIEZA DE SUPERFICIE SOBRE TARIMA/ESCALERA"/>
  </r>
  <r>
    <n v="2023"/>
    <s v="ENERO"/>
    <s v="EL PAICO"/>
    <s v="GALVEZ MANZO"/>
    <s v="DAVID"/>
    <s v="MASCULINO"/>
    <s v="18029574-7"/>
    <d v="2021-12-13T00:00:00"/>
    <n v="13"/>
    <d v="2023-01-18T00:00:00"/>
    <s v="INTERMEDIO"/>
    <d v="2023-01-20T00:00:00"/>
    <d v="2023-02-04T00:00:00"/>
    <s v="N/A"/>
    <n v="16"/>
    <s v="CTP"/>
    <s v="N/A"/>
    <s v="N/A"/>
    <x v="6"/>
    <s v="ASEO PREOPERACIONAL"/>
    <s v="OPERARIO"/>
    <s v="SALA DE DESPLUMADO"/>
    <s v="N/A"/>
    <s v="TARDE"/>
    <d v="1899-12-30T22:25:00"/>
    <s v="MIERCOLES"/>
    <s v="SEMANA 3"/>
    <n v="15426"/>
    <s v="NC-08-23"/>
    <s v="CARLOS JIMENEZ"/>
    <x v="9"/>
    <n v="31"/>
    <s v="Infraestructura"/>
    <s v="Multiples"/>
    <s v="Contusión"/>
    <s v="Caida de distinto nivel"/>
    <s v="TRABAJADOR AL ESTAR REALIZANDO LIMPIEZA EN SALA DE DESPLUMADO CAE DESDE UNA TARIMA GOLPEANDOSE PARILLA COSTAL DERECHA Y RODILLA IZQUERDA"/>
    <s v="ACCION"/>
    <s v="SI"/>
    <s v="SI"/>
    <s v="NICOLAS GOMEZ"/>
    <s v="GABRIELA CABEZAS "/>
    <s v="LIMPIEZA DE SUPERFICIE SOBRE TARIMA/ESCALERA"/>
  </r>
  <r>
    <n v="2023"/>
    <s v="FEBRERO"/>
    <s v="EL PAICO"/>
    <s v="ZUAZO GARAY"/>
    <s v="ALEJANDRO "/>
    <s v="MASCULINO"/>
    <s v="20403022-7"/>
    <d v="2022-08-18T00:00:00"/>
    <n v="5"/>
    <d v="2023-02-15T00:00:00"/>
    <s v="NUEVO"/>
    <d v="2023-02-15T00:00:00"/>
    <d v="2023-02-15T00:00:00"/>
    <s v="N/A"/>
    <n v="0"/>
    <s v="STP"/>
    <s v="N/A"/>
    <s v="N/A"/>
    <x v="5"/>
    <s v="T. AUTOMATICO"/>
    <s v="OPERARIO"/>
    <s v="BISN DE CARCASA"/>
    <s v="N/A"/>
    <s v="MAÑANA"/>
    <d v="1899-12-30T07:05:00"/>
    <s v="MIERCOLES"/>
    <s v="SEMANA 7"/>
    <n v="15478"/>
    <s v="NC-99-23"/>
    <s v="DANIEL GARRIDO"/>
    <x v="10"/>
    <n v="22"/>
    <s v="Bins"/>
    <s v="Manos / dedos"/>
    <s v="Contusión"/>
    <s v="Golpeado contra"/>
    <s v="COLABORADOR AL RETIRAR BINS DE CARCASAS PARA SACARA BADEJAS, EL BINS SE DEVUELVE Y PROBOCA EL APICIONAMIENTO CONTRA LA ESTRUCTURA DE LA CINTA, PROBOCANDO UNA CONTUSION EN MANO DERECHA"/>
    <s v="ACCION"/>
    <s v="SI"/>
    <s v="SI"/>
    <s v="ALAN CARRASCO "/>
    <s v="CHRISTIAN JHONS"/>
    <s v="MOVIMIENTO DE MATERIALES (BINS, PALLET, BANDEJAS)"/>
  </r>
  <r>
    <n v="2023"/>
    <s v="FEBRERO"/>
    <s v="EL PAICO"/>
    <s v="ZARATE BALLESTEROS"/>
    <s v="MANUEL"/>
    <s v="MASCULINO"/>
    <s v="20123390-9"/>
    <d v="2021-11-22T00:00:00"/>
    <n v="14"/>
    <d v="2023-02-07T00:00:00"/>
    <s v="INTERMEDIO"/>
    <s v="N/A"/>
    <s v="N/A"/>
    <s v="N/A"/>
    <n v="0"/>
    <s v="STP"/>
    <s v="N/A"/>
    <s v="N/A"/>
    <x v="2"/>
    <s v="CHILLER DE PANAS"/>
    <s v="OPERARIO"/>
    <s v="CHILLER DE PANAS"/>
    <s v="N/A"/>
    <s v="TARDE"/>
    <d v="1899-12-30T22:30:00"/>
    <s v="MARTES"/>
    <s v="SEMANA 6"/>
    <m/>
    <m/>
    <s v="NICOLAS MOYANO"/>
    <x v="11"/>
    <n v="24"/>
    <s v="Materia Prima"/>
    <s v="Ojos"/>
    <s v="Conjuntivitis"/>
    <s v="Proyeccion de particulas"/>
    <s v="TRABAJADOR SE ENCONTRABA LIMPIANDO PANAS DE POLLO EN SALA DE CHILLER DE PANAS EN ESE MOMENTO SE PROYECTADA BILIS AL OJO DERECHO"/>
    <s v="ACCION"/>
    <s v="SI"/>
    <s v="NO"/>
    <s v="NICOLAS GOMEZ"/>
    <s v="CHRISTIAN JHONS"/>
    <m/>
  </r>
  <r>
    <n v="2023"/>
    <s v="FEBRERO"/>
    <s v="EL PAICO"/>
    <s v="ORTIZ GONZALEZ"/>
    <s v="AUGUSTO"/>
    <s v="MASCULINO"/>
    <s v="15532741-3"/>
    <d v="2022-07-25T00:00:00"/>
    <n v="6"/>
    <d v="2023-02-14T00:00:00"/>
    <s v="NUEVO"/>
    <s v="N/A"/>
    <s v="N/A"/>
    <s v="N/A"/>
    <n v="0"/>
    <s v="STP"/>
    <s v="N/A"/>
    <s v="N/A"/>
    <x v="7"/>
    <s v="PULPA"/>
    <s v="OPERARIO"/>
    <s v="PULPA"/>
    <s v="N/A"/>
    <s v="MAÑANA"/>
    <d v="1899-12-30T08:30:00"/>
    <s v="MARTES"/>
    <s v="SEMANA 7"/>
    <m/>
    <m/>
    <s v="OCTAVIO MUÑOZ"/>
    <x v="12"/>
    <n v="41"/>
    <s v="Bins"/>
    <s v="Pelvis"/>
    <s v="Contusión"/>
    <s v="Golpeado contra"/>
    <s v="COLABORADOR SUFRE GOLPE EN TESTICULO POR BINS EL EVENTO SE PRODUJO CUANDO RESBALA AL MOMENTO DE ESTAR VACIANDO BANDEJAS. "/>
    <s v="ACCION"/>
    <s v="SI"/>
    <s v="NO"/>
    <s v="ALAN CARRASCO "/>
    <s v="WLADIMIR CALDERON "/>
    <m/>
  </r>
  <r>
    <n v="2023"/>
    <s v="FEBRERO"/>
    <s v="EL PAICO"/>
    <s v="OLATE CASTILLO"/>
    <s v="KATHERINE"/>
    <s v="FEMENINO"/>
    <s v="16181592-6"/>
    <d v="2012-05-07T00:00:00"/>
    <n v="129"/>
    <d v="2023-02-18T00:00:00"/>
    <s v="ANTIGUO"/>
    <s v="N/A"/>
    <s v="N/A"/>
    <s v="N/A"/>
    <n v="0"/>
    <s v="STP"/>
    <s v="N/A"/>
    <s v="N/A"/>
    <x v="5"/>
    <s v="DESHUESADO"/>
    <s v="OPERARIO"/>
    <s v="PORTERIA "/>
    <s v="N/A"/>
    <s v="MAÑANA"/>
    <d v="1899-12-30T06:15:00"/>
    <s v="SABADO"/>
    <s v="SEMANA 7"/>
    <m/>
    <m/>
    <s v="DANIEL GARRIDO"/>
    <x v="10"/>
    <n v="38"/>
    <s v="Superficies de transito"/>
    <s v="Manos / dedos"/>
    <s v="Contusión"/>
    <s v="Caida de mismo nivel"/>
    <s v="COLABORADORA SUFRE CAIDA A NIVEL  APOYANDO AMBAS MANOS EN EL PISO, AL INGRESAR A LA PLANTA, ESTA TROPIEZA Y CAE "/>
    <s v="ACCION"/>
    <s v="SI"/>
    <s v="NO"/>
    <s v="ALAN CARRASCO "/>
    <s v="WLADIMIR CALDERON "/>
    <s v="TRANSITO POR AREAS COMUNES"/>
  </r>
  <r>
    <n v="2023"/>
    <s v="FEBRERO"/>
    <s v="EL PAICO"/>
    <s v="MENDEZ DEL CASTILLO"/>
    <s v="DANIELA "/>
    <s v="FEMENINO"/>
    <s v="15822820-3"/>
    <d v="2021-01-25T00:00:00"/>
    <n v="24"/>
    <d v="2023-02-18T00:00:00"/>
    <s v="ANTIGUO"/>
    <d v="2023-02-20T00:00:00"/>
    <d v="2023-02-25T00:00:00"/>
    <s v="N/A"/>
    <n v="6"/>
    <s v="CTP"/>
    <s v="N/A"/>
    <s v="N/A"/>
    <x v="5"/>
    <s v="T. AUTOMATICO"/>
    <s v="OPERARIO"/>
    <s v="DEHUESADO"/>
    <s v="N/A"/>
    <s v="TARDE"/>
    <d v="1899-12-30T22:45:00"/>
    <s v="VIERNES"/>
    <s v="SEMANA 7"/>
    <n v="15494"/>
    <s v="NC-16-2023"/>
    <s v="DANIEL GARRIDO"/>
    <x v="6"/>
    <n v="38"/>
    <s v="Materia Prima"/>
    <s v="Pierna"/>
    <s v="Contusión"/>
    <s v="Caida de mismo nivel"/>
    <s v="COLABORADORA  SUFRE CAIDA A NIVEL MAS CONTUSION EN RODILLA IZQUIERDA Y SENO DERECHO, AL PISAR MATERIA PRIMA CUANDO SE DIRIGIA A LOS CAMARINES EN T. AUTOMATICO"/>
    <s v="CONDICION"/>
    <s v="SI"/>
    <s v="SI"/>
    <s v="ALAN CARRASCO "/>
    <s v="MICHELLE SANCHEZ"/>
    <s v="TRANSITO POR AREAS DE PROCESO"/>
  </r>
  <r>
    <n v="2023"/>
    <s v="FEBRERO"/>
    <s v="EL PAICO"/>
    <s v="HERRERA PINTO"/>
    <s v="JHONY"/>
    <s v="MASCULINO"/>
    <s v="20789495-8"/>
    <d v="2022-11-29T00:00:00"/>
    <n v="2"/>
    <d v="2023-02-15T00:00:00"/>
    <s v="NUEVO"/>
    <s v="N/A"/>
    <s v="N/A"/>
    <s v="N/A"/>
    <n v="0"/>
    <s v="STP"/>
    <s v="N/A"/>
    <s v="N/A"/>
    <x v="5"/>
    <s v="TROZADO DE POLLO"/>
    <s v="OPERARIO"/>
    <s v="TROZADO DE POLLO AUTOMATICO"/>
    <m/>
    <s v="MAÑANA"/>
    <d v="1899-12-30T14:50:00"/>
    <s v="MIERCOLES"/>
    <s v="SEMANA 7"/>
    <m/>
    <m/>
    <s v="DANIEL GARRIDO"/>
    <x v="10"/>
    <n v="22"/>
    <s v="Infraestructura"/>
    <s v="Espalda"/>
    <s v="Contusión"/>
    <s v="Golpeado por"/>
    <s v="TRABAJADOR QUE SE ENCONTRABA DE REGRESO DE SU HORARIO DE COLACION SE ENCONTRABA ALISTANDO SU PECHERA DE TRABAJO, CUANDO CAE SOBRE SU ESPALDA UN GANCHO METALICO. "/>
    <s v="CONDICION "/>
    <s v="SI"/>
    <s v="NO"/>
    <s v="ALAN CARRASCO"/>
    <s v="CARLOS CARTAGENA"/>
    <s v="LINEA DE ESPURGO TROZADO AUTOMATICO"/>
  </r>
  <r>
    <n v="2023"/>
    <s v="FEBRERO"/>
    <s v="EL PAICO"/>
    <s v="GUAJARDO VERA"/>
    <s v="SEBASTIAN"/>
    <s v="MASCULINO"/>
    <s v="19211824-7"/>
    <d v="2021-05-03T00:00:00"/>
    <n v="21"/>
    <d v="2023-02-03T00:00:00"/>
    <s v="ANTIGUO"/>
    <s v="N/A"/>
    <s v="N/A"/>
    <s v="N/A"/>
    <n v="0"/>
    <s v="STP"/>
    <s v="LGF"/>
    <s v="LGF4"/>
    <x v="8"/>
    <s v="REPORTE DE CAJAS"/>
    <s v="MECANICO"/>
    <s v="REPORTE DE CAJAS"/>
    <s v="EQUIPO PARA MOVIMIENTO DE CARGA (GRUAS O TRANSPALETAS)"/>
    <s v="MAÑANA"/>
    <d v="1899-12-30T10:26:00"/>
    <s v="VIERNES"/>
    <s v="SEMANA 5"/>
    <m/>
    <m/>
    <s v="VICTOR GOMEZ"/>
    <x v="13"/>
    <n v="27"/>
    <s v="Equipos Transporte de carga"/>
    <s v="Pie"/>
    <s v="Contusión"/>
    <s v="Golpeado por"/>
    <s v="TRABAJADOR ESTEBA REPARANDO UNA MAQUINA AL COSTADO DE LA LINEA DE CONGELADO (PP) REVISANDO UNA MAQUINA CUANDO EL OPERADOR DE TRANPALETA RETROCEDE Y GOLPEA SU TOBILLO DERECHO"/>
    <s v="ACCION"/>
    <s v="SI"/>
    <s v="NO"/>
    <s v="NICOLAS GOMEZ"/>
    <s v="CARLOS CARTAGENA"/>
    <m/>
  </r>
  <r>
    <n v="2023"/>
    <s v="FEBRERO"/>
    <s v="EL PAICO"/>
    <s v="FIGUEROA RECABARREN"/>
    <s v="JASON "/>
    <s v="MASCULINO"/>
    <s v="21242262-2"/>
    <d v="2022-11-07T00:00:00"/>
    <n v="3"/>
    <d v="2023-02-16T00:00:00"/>
    <s v="NUEVO"/>
    <s v="N/A"/>
    <s v="N/A"/>
    <s v="N/A"/>
    <n v="0"/>
    <s v="STP"/>
    <s v="N/A"/>
    <s v="N/A"/>
    <x v="7"/>
    <s v="REPORTE DE CAJAS"/>
    <s v="OPERARIO"/>
    <s v="REPORTE DE CAJAS"/>
    <s v="N/A"/>
    <s v="MAÑANA"/>
    <d v="1899-12-30T08:28:00"/>
    <s v="JUEVES"/>
    <s v="SEMANA 7"/>
    <m/>
    <m/>
    <s v="OCTAVIO MUÑOZ"/>
    <x v="14"/>
    <n v="20"/>
    <s v="Pallet"/>
    <s v="Manos / dedos"/>
    <s v="Herida cortante"/>
    <s v="Contacto con cuerpo punzante"/>
    <s v="COLABORADOR AL BAJAR UN PALLET SE CORTA EL DEDO ANULAR IZQUIERDO , AL ESTAR BAJANDO CAJAS "/>
    <s v="CONDICION"/>
    <s v="SI"/>
    <s v="NO"/>
    <s v="ALAN CARRASCO "/>
    <s v="CHRISTIAN JHONS"/>
    <m/>
  </r>
  <r>
    <n v="2023"/>
    <s v="FEBRERO"/>
    <s v="EL PAICO"/>
    <s v="BAHAMONDEZ ABARCA"/>
    <s v="MARIA TERESA"/>
    <s v="FEMENINO"/>
    <s v="11527148-2"/>
    <d v="1998-03-17T00:00:00"/>
    <n v="299"/>
    <d v="2023-02-28T00:00:00"/>
    <s v="ANTIGUO"/>
    <s v="N/A"/>
    <s v="N/A"/>
    <s v="N/A"/>
    <n v="0"/>
    <s v="STP"/>
    <s v="N/A"/>
    <s v="N/A"/>
    <x v="7"/>
    <s v="REPORTE DE CAJAS"/>
    <s v="OPERARIO"/>
    <s v="REPORTE DE CAJAS"/>
    <s v="N/A"/>
    <s v="MAÑANA"/>
    <d v="1899-12-30T05:30:00"/>
    <s v="MARTES"/>
    <s v="SEMANA 9"/>
    <m/>
    <m/>
    <s v="OCTAVIO MUÑOZ"/>
    <x v="14"/>
    <n v="52"/>
    <s v="Materiales"/>
    <s v="Manos / dedos"/>
    <s v="Contusión"/>
    <s v="Golpeado contra"/>
    <s v="COLABORA SUFRE CONTUSION EN MANO DERECHA CUANDO SE ENCONTRABA CAMBIANDO ROLLO DE LAMINA EN MAQUINA ISHIDA"/>
    <s v="CONDICION"/>
    <s v="SI"/>
    <s v="NO"/>
    <s v="NICOLAS GOMEZ"/>
    <s v="CHISTIAN JHONS"/>
    <m/>
  </r>
  <r>
    <n v="2023"/>
    <s v="FEBRERO"/>
    <s v="EL PAICO"/>
    <s v="ARMIJO CORDERO"/>
    <s v="FRANCISCO"/>
    <s v="MASCULINO"/>
    <s v="7.885.635-1"/>
    <d v="2004-09-22T00:00:00"/>
    <n v="221"/>
    <d v="2023-02-25T00:00:00"/>
    <s v="ANTIGUO"/>
    <s v="N/A"/>
    <s v="N/A"/>
    <s v="N/A"/>
    <n v="0"/>
    <s v="STP"/>
    <s v="N/A"/>
    <s v="N/A"/>
    <x v="9"/>
    <s v="BAÑOS FAENA"/>
    <s v="OPERARIO"/>
    <s v="BAÑO EVISERADO"/>
    <s v="N/A"/>
    <s v="MAÑANA"/>
    <d v="1899-12-30T05:15:00"/>
    <s v="SABADO"/>
    <s v="SEMANA 8"/>
    <m/>
    <m/>
    <s v="DANIEL GARRIDO"/>
    <x v="15"/>
    <n v="64"/>
    <s v="Infraestructura"/>
    <s v="Manos / dedos"/>
    <s v="Herida cortante"/>
    <s v="Contacto con cuerpo cortante"/>
    <s v="COLABORADOR SUFRE CORTE EN DEDO INDICE DE MANO DERECHA AL APOYARSE EN PUERTA DE BAÑO DE EVISERADO"/>
    <s v="CONDICION"/>
    <s v="SI"/>
    <s v="NO"/>
    <s v="ALAN CARRASCO "/>
    <s v="CHRISTIAN JHONS"/>
    <m/>
  </r>
  <r>
    <n v="2023"/>
    <s v="FEBRERO"/>
    <s v="EL PAICO"/>
    <s v=" REYES FUENTES"/>
    <s v="JONHFER"/>
    <s v="MASCULINO"/>
    <s v="26466499-3"/>
    <d v="2020-02-24T00:00:00"/>
    <n v="35"/>
    <d v="2023-02-11T00:00:00"/>
    <s v="ANTIGUO"/>
    <s v="N/A"/>
    <s v="N/A"/>
    <s v="N/A"/>
    <n v="0"/>
    <s v="STP"/>
    <s v="N/A"/>
    <s v="N/A"/>
    <x v="6"/>
    <s v="TRAZADO DE PAVO"/>
    <s v="OPERARIO"/>
    <s v="SALA JAPON "/>
    <s v="N/A"/>
    <s v="NOCHE"/>
    <d v="1899-12-30T03:30:00"/>
    <s v="SABADO"/>
    <s v="SEMANA 6"/>
    <m/>
    <m/>
    <s v="CARLOS JIMENEZ"/>
    <x v="16"/>
    <n v="39"/>
    <s v="Producto quimico"/>
    <s v="Ojos"/>
    <s v="Quemadura"/>
    <s v="Exposicion a humo y gases"/>
    <s v="COLABORADOR SUFRE INHALACION DE VAPOR DEL CLORO AL MEZACLAR AGUA CALIENTE, EN SALA JAPON "/>
    <s v="ACCION"/>
    <s v="SI"/>
    <s v="NO"/>
    <s v="ALAN CARRASCO "/>
    <s v="CHRISTIAN JHONS"/>
    <s v="MANIPULACION DE PRODUCTO QUIMICO"/>
  </r>
  <r>
    <n v="2023"/>
    <s v="MARZO"/>
    <s v="EL PAICO"/>
    <s v="TRUJILLO ELGUETA "/>
    <s v="KEVIN"/>
    <s v="MASCULINO"/>
    <s v="18346564-6"/>
    <d v="2021-10-12T00:00:00"/>
    <n v="17"/>
    <d v="2023-03-24T00:00:00"/>
    <s v="INTERMEDIO"/>
    <s v="N/A"/>
    <s v="N/A"/>
    <s v="N/A"/>
    <n v="0"/>
    <s v="STP"/>
    <s v="N/A"/>
    <s v="N/A"/>
    <x v="8"/>
    <s v="MANTENCION"/>
    <s v="COORDINADOR"/>
    <s v="CALIBRADO"/>
    <s v="N/A"/>
    <s v="MAÑANA"/>
    <d v="1899-12-30T09:50:00"/>
    <s v="VIERNES"/>
    <s v="SEMANA 12"/>
    <m/>
    <m/>
    <s v="VICTOR GOMEZ"/>
    <x v="13"/>
    <n v="31"/>
    <s v="Materiales"/>
    <s v="Manos / dedos"/>
    <s v="Herida cortante"/>
    <s v="Contacto con cuerpo cortante"/>
    <s v="COLABORADOR QUE SE ENCONTRABA REALIZANDO CAMBIO DE CINTA EN EL AREA DE CALIBRADO DE PECHUGAS SUFRE CORTE CON BORDE DE ESCALERA EN DEDO MEÑIQUE IZQUERDO"/>
    <s v="CONDICION"/>
    <s v="SI"/>
    <s v="NO"/>
    <s v="ALAN CARRASCO"/>
    <s v="CHISTIAN JHONS"/>
    <m/>
  </r>
  <r>
    <n v="2023"/>
    <s v="MARZO"/>
    <s v="EL PAICO"/>
    <s v="TRUJILLO ALARCON "/>
    <s v="ANGELA VERONICA"/>
    <s v="FEMENINO"/>
    <s v="15401811-5+tipo_acc+*-+"/>
    <d v="2014-10-06T00:00:00"/>
    <n v="101"/>
    <d v="2023-03-17T00:00:00"/>
    <s v="ANTIGUO"/>
    <s v="N/A"/>
    <s v="N/A"/>
    <s v="N/A"/>
    <n v="0"/>
    <s v="STP"/>
    <s v="N/A"/>
    <s v="N/A"/>
    <x v="5"/>
    <s v="DESHUESADO"/>
    <s v="OPERARIO"/>
    <s v="DESHUESADO"/>
    <s v="N/A"/>
    <s v="MAÑANA"/>
    <d v="1899-12-30T13:00:00"/>
    <s v="VIERNES"/>
    <s v="SEMANA 11"/>
    <m/>
    <m/>
    <s v="DANIEL GARRIDO"/>
    <x v="10"/>
    <n v="40"/>
    <s v="Materiales"/>
    <s v="Multiples"/>
    <s v="Contusión"/>
    <s v="Golpeado contra"/>
    <s v="COLABORA SUFRE CAIDA DESDE ESCALON DE TARIMA DE TRABAJO, GOLPEANDOSE EN BRAZO Y ESPALDA"/>
    <s v="ACCION"/>
    <s v="SI"/>
    <s v="NO"/>
    <s v="NICOLAS GOMEZ"/>
    <s v="MICHELLE SANCHEZ"/>
    <s v="LABORES SOBRE TARIMA/ESCALERA"/>
  </r>
  <r>
    <n v="2023"/>
    <s v="MARZO"/>
    <s v="EL PAICO"/>
    <s v="SANTIBAÑEZ MARIN"/>
    <s v="KARLA"/>
    <s v="FEMENINO"/>
    <s v="17802999-1"/>
    <d v="2020-05-29T00:00:00"/>
    <n v="33"/>
    <d v="2023-03-01T00:00:00"/>
    <s v="ANTIGUO"/>
    <s v="N/A"/>
    <s v="N/A"/>
    <s v="N/A"/>
    <n v="0"/>
    <s v="STP"/>
    <s v="N/A"/>
    <s v="N/A"/>
    <x v="1"/>
    <s v="METALQUIMIA"/>
    <s v="OPERARIO"/>
    <s v="METALQUIMIA"/>
    <s v="N/A"/>
    <s v="NOCHE"/>
    <d v="1899-12-30T01:20:00"/>
    <s v="MIERCOLES"/>
    <s v="SEMANA 9"/>
    <m/>
    <m/>
    <s v="GUILLERMO NARVAEZ"/>
    <x v="17"/>
    <n v="32"/>
    <s v="Producto quimico"/>
    <s v="Ojos"/>
    <s v="Otros"/>
    <s v="Proyeccion de particulas"/>
    <s v="COLABORADORA QUE SE ENCONTRABAN ASEANDO MAQUINA METALQUIMIA, AL APLICAR  BIO REMOVE SUFRE SALPICADURA DE ESTE EN SU OJO DERECHO."/>
    <s v="ACCION"/>
    <s v="SI"/>
    <s v="NO"/>
    <s v="ALAN CARRASCO "/>
    <s v="CHISTIAN JHONS"/>
    <m/>
  </r>
  <r>
    <n v="2023"/>
    <s v="MARZO"/>
    <s v="EL PAICO"/>
    <s v="RODRIGUEZ ESPINOZA"/>
    <s v="LUIS MIGUEL"/>
    <s v="MASCULINO"/>
    <s v="18461734-K"/>
    <d v="2022-09-22T00:00:00"/>
    <n v="5"/>
    <d v="2023-03-15T00:00:00"/>
    <s v="NUEVO"/>
    <s v="N/A"/>
    <s v="N/A"/>
    <s v="N/A"/>
    <n v="0"/>
    <s v="STP"/>
    <s v="N/A"/>
    <s v="N/A"/>
    <x v="8"/>
    <m/>
    <s v="MECANICO"/>
    <s v="DESPLUMADO DE PAVO"/>
    <s v="N/A"/>
    <s v="MAÑANA"/>
    <d v="1899-12-30T15:15:00"/>
    <s v="MIERCOLES"/>
    <s v="SEMANA 11"/>
    <m/>
    <m/>
    <s v="VICTOR GOMEZ"/>
    <x v="4"/>
    <n v="29"/>
    <s v="Infraestructura"/>
    <s v="Espalda"/>
    <s v="Quemadura"/>
    <s v="Contacto con temperaturas extremas"/>
    <s v="COLABORADOR SUFRE QUEMADURA EN CUELLO CUANDO CAMBIABA MANGUERA DE SOPLADORORES EN DESPLUMADO DE PAVO"/>
    <s v="CONDICION"/>
    <s v="SI"/>
    <s v="NO"/>
    <s v="ALAN CARRASCO"/>
    <s v="CHRISTIAN JHONS"/>
    <m/>
  </r>
  <r>
    <n v="2023"/>
    <s v="MARZO"/>
    <s v="EL PAICO"/>
    <s v="RIQUELME JARA"/>
    <s v="LUIS FELIPE"/>
    <s v="MASCULINO"/>
    <s v="20140706-0"/>
    <d v="2022-11-11T00:00:00"/>
    <n v="3"/>
    <d v="2023-03-10T00:00:00"/>
    <s v="NUEVO"/>
    <d v="2023-03-10T00:00:00"/>
    <d v="2023-03-10T00:00:00"/>
    <s v="N/A"/>
    <n v="0"/>
    <s v="STP"/>
    <s v="N/A"/>
    <s v="N/A"/>
    <x v="1"/>
    <s v="IQF CALIBRADO A"/>
    <s v="OPERARIO"/>
    <s v="BICICLETERO"/>
    <s v="N/A"/>
    <s v="MAÑANA"/>
    <d v="1899-12-30T06:00:00"/>
    <s v="VIERNES"/>
    <s v="SEMANA 10"/>
    <s v="N/A"/>
    <s v="NC-22-2023"/>
    <s v="GUILLERMO NARVAEZ"/>
    <x v="4"/>
    <n v="23"/>
    <s v="Superficies de transito"/>
    <s v="Multiples"/>
    <s v="Contusión"/>
    <s v="Caida de mismo nivel"/>
    <s v="COLABORADOR SUFRE CAIDA AL INGRESO DE LA PLANTA "/>
    <s v="CONDICION"/>
    <s v="SI"/>
    <s v="SI"/>
    <s v="ALAN CARRASCO"/>
    <s v="CARLOS CARTAGENA"/>
    <s v="TRANSITO POR AREAS COMUNES"/>
  </r>
  <r>
    <n v="2023"/>
    <s v="MARZO"/>
    <s v="EL PAICO"/>
    <s v="PINTO VILLAGRA"/>
    <s v="XENDRIX"/>
    <s v="MASCULINO"/>
    <s v="17715504-7"/>
    <d v="2019-05-06T00:00:00"/>
    <n v="46"/>
    <d v="2023-03-17T00:00:00"/>
    <s v="ANTIGUO"/>
    <s v="N/A"/>
    <s v="N/A"/>
    <s v="N/A"/>
    <n v="0"/>
    <s v="STP"/>
    <s v="N/A"/>
    <s v="N/A"/>
    <x v="4"/>
    <s v="ROMANERO CAMARA"/>
    <s v="OPERARIO"/>
    <s v="TUNEL 234"/>
    <s v="N/A"/>
    <s v="MAÑANA"/>
    <d v="1899-12-30T18:00:00"/>
    <s v="VIERNES"/>
    <s v="SEMANA 11"/>
    <m/>
    <m/>
    <s v="FRANCISCO QUEZADA"/>
    <x v="18"/>
    <n v="32"/>
    <s v="Materiales"/>
    <s v="Pie"/>
    <s v="Contusión"/>
    <s v="Golpeado contra"/>
    <s v="COLABORADOR SUFRE CONTUSION EN PIE DERECHO AL APRETARSE CON PALLET CUANDO SE ENCONTRABA CARGANDO TUNEL 234"/>
    <s v="CONDICION"/>
    <s v="SI"/>
    <s v="NO"/>
    <s v="NICOLAS GOMEZ"/>
    <s v="CARLOS CARTAGENA"/>
    <m/>
  </r>
  <r>
    <n v="2023"/>
    <s v="MARZO"/>
    <s v="EL PAICO"/>
    <s v="PAVEZ CARMONA"/>
    <s v="CAMILA "/>
    <s v="FEMENINO"/>
    <s v="19382606-7"/>
    <d v="2022-07-25T00:00:00"/>
    <n v="7"/>
    <d v="2023-03-02T00:00:00"/>
    <s v="INTERMEDIO"/>
    <d v="2023-03-09T00:00:00"/>
    <d v="2023-03-15T00:00:00"/>
    <s v="N/A"/>
    <n v="7"/>
    <s v="CTP"/>
    <s v="N/A"/>
    <s v="N/A"/>
    <x v="8"/>
    <s v="SALA DE PINTURA"/>
    <s v="TECNICO"/>
    <s v="GALPON DE PINTURA"/>
    <s v="N/A"/>
    <s v="TARDE"/>
    <d v="1899-12-30T16:35:00"/>
    <s v="JUEVES"/>
    <s v="SEMANA 9"/>
    <n v="15554"/>
    <s v="NC-18-2023"/>
    <s v="VICTOR GOMEZ"/>
    <x v="19"/>
    <n v="27"/>
    <s v="Superficies de transito"/>
    <s v="Pie"/>
    <s v="Contusión"/>
    <s v="Golpeado contra"/>
    <s v="COLABORADORA SE DIRIGIA A SALA DE PINTURAS Y NO VE GRUA ESTACIONADA EN EL PATIO, CON LA CUAL SE PORBOCA UN ATRAPAMIENTO CON SU PIE DERECHO, PROBOCANDO UNA CONTUSION "/>
    <s v="ACCION"/>
    <s v="SI"/>
    <s v="SI"/>
    <s v="ALAN CARRASCO"/>
    <s v="CARLOS CARTAGENA"/>
    <s v="TRANSITO POR AREAS COMUNES"/>
  </r>
  <r>
    <n v="2023"/>
    <s v="MARZO"/>
    <s v="EL PAICO"/>
    <s v="OLY"/>
    <s v="CHARLES"/>
    <s v="MASCULINO"/>
    <s v="25968215-0"/>
    <d v="2021-08-11T00:00:00"/>
    <n v="19"/>
    <d v="2023-03-31T00:00:00"/>
    <s v="ANTIGUO"/>
    <s v="N/A"/>
    <s v="N/A"/>
    <s v="N/A"/>
    <n v="0"/>
    <s v="STP"/>
    <s v="N/A"/>
    <s v="N/A"/>
    <x v="5"/>
    <s v="T. AUTOMATICO"/>
    <s v="OPERARIO"/>
    <s v="T. AUTOMATICO"/>
    <s v="N/A"/>
    <s v="MAÑANA"/>
    <d v="1899-12-30T08:45:00"/>
    <s v="VIERNES"/>
    <s v="SEMANA 13"/>
    <m/>
    <m/>
    <s v="DANIEL GARRIDO"/>
    <x v="20"/>
    <n v="51"/>
    <s v="Materia Prima"/>
    <s v="Ojos"/>
    <s v="Conjuntivitis"/>
    <s v="Proyeccion de particulas"/>
    <s v="COLABORADOR SE ENCONTRABA EXPURGANDO PRODUCTO EN SU PUESTO DE TRABAJO SALPICANDO LIQUIDO EN AMBOS OJOS"/>
    <s v="ACCION"/>
    <s v="SI"/>
    <s v="NO"/>
    <s v="ALAN CARRASCO"/>
    <s v="CARLOS CARTAGENA"/>
    <s v="MANIPULACION DE MATERIA PRIMA"/>
  </r>
  <r>
    <n v="2023"/>
    <s v="MARZO"/>
    <s v="EL PAICO"/>
    <s v="NUÑEZ ESCARATE"/>
    <s v="VICTOR"/>
    <s v="MASCULINO"/>
    <s v="8649246-6"/>
    <d v="2006-03-10T00:00:00"/>
    <n v="204"/>
    <d v="2023-03-17T00:00:00"/>
    <s v="ANTIGUO"/>
    <s v="N/A"/>
    <s v="N/A"/>
    <s v="N/A"/>
    <n v="0"/>
    <s v="STP"/>
    <s v="N/A"/>
    <s v="N/A"/>
    <x v="5"/>
    <s v="T. AUTOMATICO"/>
    <s v="OPERARIO"/>
    <s v="T. AUTOMATICO"/>
    <s v="N/A"/>
    <s v="TARDE"/>
    <d v="1899-12-30T20:40:00"/>
    <s v="VIERNES"/>
    <s v="SEMANA 11"/>
    <m/>
    <m/>
    <s v="DANIEL GARRIDO"/>
    <x v="6"/>
    <n v="63"/>
    <s v="Producto quimico"/>
    <s v="Ojos"/>
    <s v="Conjuntivitis"/>
    <s v="Proyeccion de particulas"/>
    <s v="COLABORADOR SUFRE CAIDA DE LIQUIDO (ACIDO PERACETICO) EN OJO, ESTO OCURRE AL SACAR MATERIA PRIMA QUE SE ENCONTRABA ATASCADA EN LA LINEA"/>
    <s v="ACCION"/>
    <s v="NO"/>
    <s v="NO"/>
    <s v="ALAN CARRASCO"/>
    <s v="MICHELLE SANCHEZ"/>
    <s v="RETIRO DE PRODUCTO ATASCADO"/>
  </r>
  <r>
    <n v="2023"/>
    <s v="MARZO"/>
    <s v="EL PAICO"/>
    <s v="MUÑOZ ISLA"/>
    <s v="JESSICA"/>
    <s v="FEMENINO"/>
    <s v="16669807-3"/>
    <d v="2020-01-20T00:00:00"/>
    <n v="38"/>
    <d v="2023-03-31T00:00:00"/>
    <s v="ANTIGUO"/>
    <d v="2023-03-31T00:00:00"/>
    <s v="06-042023"/>
    <s v="N/A"/>
    <n v="7"/>
    <s v="CTP"/>
    <s v="N/A"/>
    <s v="N/A"/>
    <x v="5"/>
    <s v="SALA DE PROCESO"/>
    <s v="OPERARIO"/>
    <s v="SALA DE PROCESO"/>
    <s v="N/A"/>
    <s v="MAÑANA"/>
    <d v="1899-12-30T12:55:00"/>
    <s v="VIERNES"/>
    <s v="SEMANA 13"/>
    <n v="15596"/>
    <s v="NC-29-2023"/>
    <s v="DANIEL GARRIDO"/>
    <x v="10"/>
    <n v="36"/>
    <s v="Elemento cortante"/>
    <s v="Manos / dedos"/>
    <s v="Herida cortante"/>
    <s v="Contacto con cuerpo cortante"/>
    <s v="COLABORADORA SUFRE CORTE EN MANO DERECHA CUANDO SE ENCONTRABA SACANDO FILO A SU CUCHILLO JUNTO A COMPAÑERA DE TRABAJO."/>
    <s v="ACCION"/>
    <s v="SI"/>
    <s v="SI"/>
    <s v="ALAN CARRASCO"/>
    <s v="CARLOS CARTAGENA"/>
    <s v="MANIPULACIÓN DE CUCHILLO Y/O MANTENER FILO"/>
  </r>
  <r>
    <n v="2023"/>
    <s v="MARZO"/>
    <s v="EL PAICO"/>
    <s v="MIRANDA GOMEZ"/>
    <s v="ANA GABRIELA"/>
    <s v="FEMENINO"/>
    <s v="18778202-3"/>
    <d v="2022-07-26T00:00:00"/>
    <n v="7"/>
    <d v="2023-03-09T00:00:00"/>
    <s v="INTERMEDIO"/>
    <s v="N/A"/>
    <s v="N/A"/>
    <s v="N/A"/>
    <n v="0"/>
    <s v="STP"/>
    <s v="N/A"/>
    <s v="N/A"/>
    <x v="1"/>
    <s v="CALIBRADO"/>
    <s v="OPERARIO"/>
    <s v="CALIBRADO"/>
    <s v="N/A"/>
    <s v="TARDE"/>
    <d v="1899-12-30T15:15:00"/>
    <s v="JUEVES"/>
    <s v="SEMANA 10"/>
    <m/>
    <m/>
    <s v="GUILLERMO NARVAEZ"/>
    <x v="21"/>
    <n v="29"/>
    <s v="Infraestructura"/>
    <s v="Pierna"/>
    <s v="Contusión"/>
    <s v="Golpeado contra"/>
    <s v="COLABORADORA SE ENCONTRABA BAJANDO ESCALERAS EN CALIBRADO CUANDO SE GOLPEA LA RODILLLA IZQUIERDA CON PASAMANOS "/>
    <s v="ACCION"/>
    <s v="SI"/>
    <s v="NO"/>
    <s v="ALAN CARRASCO"/>
    <s v="WLADIMIR CALDERON "/>
    <m/>
  </r>
  <r>
    <n v="2023"/>
    <s v="MARZO"/>
    <s v="EL PAICO"/>
    <s v="MARIN VARGAS"/>
    <s v="CAROLINA"/>
    <s v="FEMENINO"/>
    <s v="19212976-1"/>
    <d v="2021-09-13T00:00:00"/>
    <n v="18"/>
    <d v="2023-03-31T00:00:00"/>
    <s v="INTERMEDIO"/>
    <s v="N/A"/>
    <s v="N/A"/>
    <s v="N/A"/>
    <n v="0"/>
    <s v="STP"/>
    <s v="N/A"/>
    <s v="N/A"/>
    <x v="2"/>
    <s v="EVISCERADO"/>
    <s v="OPERARIO"/>
    <s v="CAMARINES DE MUJER"/>
    <s v="N/A"/>
    <s v="MAÑANA"/>
    <d v="1899-12-30T11:30:00"/>
    <s v="VIERNES"/>
    <s v="SEMANA 13"/>
    <m/>
    <m/>
    <s v="NICOLAS MOYANO"/>
    <x v="11"/>
    <n v="26"/>
    <s v="Animales - Insectos"/>
    <s v="Pierna"/>
    <s v="Otros"/>
    <s v="Picadura"/>
    <s v="COLABORADORA SUFRE PICADURA DE INSECTO EN PIERNA DERECHA, CUANDO ESTABA COLOCANDO SU ROPA DE TRABAJO"/>
    <s v="CONDICION"/>
    <s v="SI"/>
    <s v="NO"/>
    <s v="ALAN CARRASCO"/>
    <s v="CARLOS CARTAGENA"/>
    <m/>
  </r>
  <r>
    <n v="2023"/>
    <s v="MARZO"/>
    <s v="EL PAICO"/>
    <s v="LARA SOTO"/>
    <s v="EDITH "/>
    <s v="FEMENINO"/>
    <s v="16670482-0"/>
    <d v="2020-01-13T00:00:00"/>
    <n v="38"/>
    <d v="2023-03-23T00:00:00"/>
    <s v="ANTIGUO"/>
    <s v="N/A"/>
    <s v="N/A"/>
    <s v="N/A"/>
    <n v="0"/>
    <s v="STP"/>
    <s v="N/A"/>
    <s v="N/A"/>
    <x v="6"/>
    <s v="ASEO OPERACIONAL"/>
    <s v="OPERARIO"/>
    <s v="DESPLUMADO"/>
    <s v="N/A"/>
    <s v="TARDE"/>
    <d v="1899-12-30T04:30:00"/>
    <s v="JUEVES"/>
    <s v="SEMANA 12"/>
    <m/>
    <m/>
    <s v="CARLOS JIMENES"/>
    <x v="22"/>
    <n v="35"/>
    <s v="Infraestructura"/>
    <s v="Manos / dedos"/>
    <s v="Contusión"/>
    <s v="Golpeado por"/>
    <s v="COLABORADORA QUE SE ENCONTRABA REALIZANDO ASEO EN PISOS SUFRE GOLPE EN MANO DERECHA CON PUERTA DE VAIVEN AL INGRESO DE DESPLUMADO "/>
    <s v="CONDICION"/>
    <s v="SI"/>
    <s v="NO"/>
    <s v="NICOLAS GOMEZ"/>
    <s v="WLADIMIR CALDERON "/>
    <s v="REALIZANDO LABORES DE ASEO"/>
  </r>
  <r>
    <n v="2023"/>
    <s v="MARZO"/>
    <s v="EL PAICO"/>
    <s v="HUINAO CARTAGENA"/>
    <s v="MANUEL"/>
    <s v="MASCULINO"/>
    <s v="15403657-1"/>
    <d v="2022-11-04T00:00:00"/>
    <n v="4"/>
    <d v="2023-03-08T00:00:00"/>
    <s v="NUEVO"/>
    <d v="2023-03-10T00:00:00"/>
    <d v="2023-03-10T00:00:00"/>
    <s v="N/A"/>
    <n v="0"/>
    <s v="STP"/>
    <s v="N/A"/>
    <s v="N/A"/>
    <x v="1"/>
    <s v="IQF 1"/>
    <s v="OPERARIO"/>
    <s v="IQF1"/>
    <s v="N/A"/>
    <s v="TARDE"/>
    <d v="1899-12-30T18:35:00"/>
    <s v="MIERCOLES"/>
    <s v="SEMANA 10"/>
    <n v="15564"/>
    <s v="NC-21-2023"/>
    <s v="GUILLERMO NARVAEZ"/>
    <x v="4"/>
    <n v="39"/>
    <s v="Materiales"/>
    <s v="Manos / dedos"/>
    <s v="Contusión"/>
    <s v="Golpeado por"/>
    <s v="COLABORADOR SUFRE CONTUSION EN MUÑECA IZQUERDA CUANDO SE ENCONTRABA ARMANDO PALLET CON BANDEJAS DE FILETILLO DE POLLO "/>
    <s v="ACCION"/>
    <s v="SI"/>
    <s v="SI"/>
    <s v="NICOLAS GOMEZ"/>
    <s v="CHISTIAN JHONS"/>
    <s v="ARMADO DE PALLET"/>
  </r>
  <r>
    <n v="2023"/>
    <s v="MARZO"/>
    <s v="EL PAICO"/>
    <s v="HERRERA PINTO"/>
    <s v="JHONY"/>
    <s v="MASCULINO"/>
    <s v="20789495-8"/>
    <d v="2022-11-29T00:00:00"/>
    <n v="3"/>
    <d v="2023-03-14T00:00:00"/>
    <s v="NUEVO"/>
    <s v="N/A"/>
    <s v="N/A"/>
    <s v="N/A"/>
    <n v="0"/>
    <s v="STP"/>
    <s v="N/A"/>
    <s v="N/A"/>
    <x v="5"/>
    <s v="T. AUTOMATICO"/>
    <s v="OPERARIO"/>
    <s v="T. AUTOMATICO"/>
    <s v="N/A"/>
    <s v="MAÑANA"/>
    <d v="1899-12-30T09:45:00"/>
    <s v="MARTES"/>
    <s v="SEMANA 11"/>
    <m/>
    <m/>
    <s v="DANIEL GARRIDO"/>
    <x v="10"/>
    <n v="22"/>
    <s v="Infraestructura"/>
    <s v="Pierna"/>
    <s v="Contusión"/>
    <s v="Golpeado por"/>
    <s v="COLABORADOR SUFRE GOLPE EN PIERNA DERECHA CON BASE METALICA DE GANCHO QUE SE DESPRENDE DE UNA CINTA "/>
    <s v="CONDICION"/>
    <s v="SI"/>
    <s v="NO"/>
    <s v="NICOLAS GOMEZ"/>
    <s v="WLADIMIR CALDERON "/>
    <s v="LINEA DE ESPURGO TROZADO AUTOMATICO"/>
  </r>
  <r>
    <n v="2023"/>
    <s v="MARZO"/>
    <s v="EL PAICO"/>
    <s v="HENRIQUEZ VARGAS"/>
    <s v="FERNANDO"/>
    <s v="MASCULINO"/>
    <s v="18538961-8"/>
    <d v="2022-11-04T00:00:00"/>
    <n v="4"/>
    <d v="2023-03-19T00:00:00"/>
    <s v="NUEVO"/>
    <s v="N/A"/>
    <s v="N/A"/>
    <s v="N/A"/>
    <n v="0"/>
    <s v="STP"/>
    <s v="N/A"/>
    <s v="N/A"/>
    <x v="8"/>
    <s v="MANTENCION"/>
    <s v="COORDINADOR"/>
    <s v="T. AUTOMATICO"/>
    <s v="N/A"/>
    <s v="MAÑANA"/>
    <d v="1899-12-30T15:30:00"/>
    <s v="DOMINGO"/>
    <s v="SEMANA 11"/>
    <m/>
    <m/>
    <s v="VICTOR GOMEZ"/>
    <x v="23"/>
    <n v="29"/>
    <s v="Materiales"/>
    <s v="Ojos"/>
    <s v="Contusión"/>
    <s v="Golpeado por"/>
    <s v="COLABORADOR SUFRE GOLPE EN OJO DERECHO CONLLAVE CUANDO SE ENCONTRABA APRETANDO LOS PERNOS DE ESTACION DE GIRO EN LINEA 2 DE TROZADO DE POLLO AUTOMATICO"/>
    <s v="ACCION"/>
    <s v="SI"/>
    <s v="NO"/>
    <s v="ALAN CARRASCO"/>
    <s v="CARLOS CARTAGENA"/>
    <m/>
  </r>
  <r>
    <n v="2023"/>
    <s v="MARZO"/>
    <s v="EL PAICO"/>
    <s v="ESPINOZA MALDONADO"/>
    <s v="ROMINA"/>
    <s v="FEMENINO"/>
    <s v="17986193-3"/>
    <d v="2017-08-16T00:00:00"/>
    <n v="66"/>
    <d v="2023-03-01T00:00:00"/>
    <s v="ANTIGUO"/>
    <d v="2023-03-01T00:00:00"/>
    <d v="2023-03-02T00:00:00"/>
    <s v="N/A"/>
    <n v="2"/>
    <s v="CTP"/>
    <s v="LGF"/>
    <s v="LGF3"/>
    <x v="6"/>
    <s v="SALA DE TAMBLE"/>
    <s v="OPERARIO"/>
    <s v="SALA DE TAMBLE"/>
    <s v="N/A"/>
    <s v="NOCHE"/>
    <d v="1899-12-30T04:00:00"/>
    <s v="MIERCOLES"/>
    <s v="SEMANA 9"/>
    <n v="15530"/>
    <s v="NC-19-2023"/>
    <s v="CARLOS JIMENEZ"/>
    <x v="7"/>
    <n v="31"/>
    <s v="Producto quimico"/>
    <s v="Pierna"/>
    <s v="Quemadura"/>
    <s v="Contacto con sustancias toxicas"/>
    <s v="COLABORADORA QUE SE ENCONTRABA ESPONJANDO TAMBLED, AL MOMENTO DEL ENJUAGE DERRAMA DETERGENTE BIO REMOVE EN PIERNA DERECHA."/>
    <s v="ACCION"/>
    <s v="SI"/>
    <s v="SI"/>
    <s v="ALAN CARRASCO "/>
    <s v="CHISTIAN JHONS"/>
    <s v="MANIPULACION DE PRODUCTO QUIMICO"/>
  </r>
  <r>
    <n v="2023"/>
    <s v="MARZO"/>
    <s v="EL PAICO"/>
    <s v="CONTRERAS GARATE"/>
    <s v="SALVADOR"/>
    <s v="MASCULINO"/>
    <s v="14436436-8"/>
    <d v="2021-03-08T00:00:00"/>
    <n v="24"/>
    <d v="2023-03-27T00:00:00"/>
    <s v="ANTIGUO"/>
    <s v="N/A"/>
    <s v="N/A"/>
    <s v="N/A"/>
    <n v="0"/>
    <s v="STP"/>
    <s v="N/A"/>
    <s v="N/A"/>
    <x v="6"/>
    <s v="ASEO OPERACIONAL"/>
    <s v="OPERARIO"/>
    <s v="VESTIDORES "/>
    <s v="N/A"/>
    <s v="TARDE"/>
    <d v="1899-12-30T14:30:00"/>
    <s v="LUNES"/>
    <s v="SEMANA 13"/>
    <m/>
    <m/>
    <s v="CARLOS JIMENES"/>
    <x v="24"/>
    <n v="32"/>
    <s v="Otros"/>
    <s v="Espalda"/>
    <s v="Otros"/>
    <s v="Otros"/>
    <s v="COLABORADOR SIENTE FUERTE DOLOR EN LA CINTURA CUANDO SE VESTIA CON SU ROPA DE TRABAJO EN CAMARINES DE LA PLANTA "/>
    <s v="ACCION"/>
    <s v="SI"/>
    <s v="NO"/>
    <s v="ALAN CARRASCO"/>
    <s v="CARLOS CARTAGENA"/>
    <s v="CAMBIO DE ROPA EN CAMARINES"/>
  </r>
  <r>
    <n v="2023"/>
    <s v="MARZO"/>
    <s v="EL PAICO"/>
    <s v="CHAVANNES"/>
    <s v="ESTILUS"/>
    <s v="MASCULINO"/>
    <s v="26172618-1"/>
    <d v="2019-10-14T00:00:00"/>
    <n v="40"/>
    <d v="2023-03-08T00:00:00"/>
    <s v="ANTIGUO"/>
    <s v="N/A"/>
    <s v="N/A"/>
    <s v="N/A"/>
    <n v="0"/>
    <s v="STP"/>
    <s v="N/A"/>
    <s v="N/A"/>
    <x v="2"/>
    <s v="EVISCERADO"/>
    <s v="OPERARIO"/>
    <s v="EVICERADO"/>
    <s v="N/A"/>
    <s v="TARDE"/>
    <d v="1899-12-30T18:20:00"/>
    <s v="MIERCOLES"/>
    <s v="SEMANA 10"/>
    <m/>
    <m/>
    <s v="NICOLAS MOYANO"/>
    <x v="2"/>
    <n v="34"/>
    <s v="Cuchillo"/>
    <s v="Pie"/>
    <s v="Herida cortante"/>
    <s v="Contacto con cuerpo cortante"/>
    <s v="COLABORADOR SE ENCONTRABA SACANDO FILO A CUCHILLO, CUANDO ESTE CAE EN SU PIE DERECHO PRODUCIENDO UNA HERIDA CORTANTE"/>
    <s v="CONDICION"/>
    <s v="SI"/>
    <s v="NO"/>
    <s v="NICOLAS GOMEZ"/>
    <s v="CHRISTIAN JHONS"/>
    <m/>
  </r>
  <r>
    <n v="2023"/>
    <s v="MARZO"/>
    <s v="EL PAICO"/>
    <s v="CASTRO CABRERA"/>
    <s v="ALEJANDRA"/>
    <s v="FEMENINO"/>
    <s v="13771008-0"/>
    <d v="2022-12-20T00:00:00"/>
    <n v="2"/>
    <d v="2023-03-04T00:00:00"/>
    <s v="NUEVO"/>
    <s v="N/A"/>
    <s v="N/A"/>
    <s v="N/A"/>
    <n v="0"/>
    <s v="STP"/>
    <s v="N/A"/>
    <s v="N/A"/>
    <x v="5"/>
    <s v="SELECCIÓN PECHUGA"/>
    <s v="OPERARIO"/>
    <s v="ESCALERAS COSTADO DE INGRESO PRINCIPAL"/>
    <s v="N/A"/>
    <s v="MAÑANA"/>
    <d v="1899-12-30T11:10:00"/>
    <s v="SABADO"/>
    <s v="SEMANA 9"/>
    <m/>
    <m/>
    <s v="DANIEL GARRIDO"/>
    <x v="10"/>
    <n v="43"/>
    <s v="Superficies de transito"/>
    <s v="Espalda"/>
    <s v="Contusión"/>
    <s v="Caida de distinto nivel"/>
    <s v="COLABORADORA SE ENCONTRABA BAJANDO POR LAS ESCALERAS UBICADAS AL COSTADO DE ENTRADA PRINCIPAL, SE RESBALA PROBONCANDO UNA CONTUCION EN COXIS."/>
    <s v="ACCION"/>
    <s v="SI"/>
    <s v="NO"/>
    <s v="NICOLAS GOMEZ"/>
    <s v="CHISTIAN JHONS"/>
    <s v="TRANSITO POR AREAS COMUNES"/>
  </r>
  <r>
    <n v="2023"/>
    <s v="MARZO"/>
    <s v="EL PAICO"/>
    <s v="CARREÑO CERDA"/>
    <s v="FRANCISCO"/>
    <s v="MASCULINO"/>
    <s v="16340355-2"/>
    <d v="2022-10-17T00:00:00"/>
    <n v="4"/>
    <d v="2023-03-03T00:00:00"/>
    <s v="NUEVO"/>
    <d v="2023-03-03T00:00:00"/>
    <d v="2023-03-03T00:00:00"/>
    <s v="N/A"/>
    <n v="0"/>
    <s v="STP"/>
    <s v="N/A"/>
    <s v="N/A"/>
    <x v="2"/>
    <s v="COLGADO DE AVES"/>
    <s v="OPERARIO"/>
    <s v="COLGADO DE AVES"/>
    <s v="N/A"/>
    <s v="MAÑANA"/>
    <d v="1899-12-30T07:00:00"/>
    <s v="VIERNES"/>
    <s v="SEMANA 9"/>
    <n v="15542"/>
    <s v="NC-23-2023"/>
    <s v="NICOLAS MOYANO"/>
    <x v="25"/>
    <n v="37"/>
    <s v="Animales - Insectos"/>
    <s v="Ojos"/>
    <s v="Conjuntivitis"/>
    <s v="Proyeccion de particulas"/>
    <s v="COLABORADOR SE ENCONTRABA EN LINEA COLGADO DE AVES, CUANDO SUFRE UNA PROYECCION DE PARTICULA EN OJO DERECHO PROVOCANDO INFLAMACION EN LA PARTE AFECTADA"/>
    <s v="CONDICION"/>
    <s v="SI"/>
    <s v="SI"/>
    <s v="NICOLAS GOMEZ"/>
    <s v="CARLOS CARTAGENA"/>
    <s v="COLGADO DE AVES VIVAS"/>
  </r>
  <r>
    <n v="2023"/>
    <s v="MARZO"/>
    <s v="EL PAICO"/>
    <s v="CARANCIO ALEGRIA"/>
    <s v="MARCELO"/>
    <s v="MASCULINO"/>
    <s v="14439094-6"/>
    <d v="2018-11-19T00:00:00"/>
    <n v="52"/>
    <d v="2023-03-23T00:00:00"/>
    <s v="ANTIGUO"/>
    <s v="N/A"/>
    <s v="N/A"/>
    <s v="N/A"/>
    <n v="0"/>
    <s v="STP"/>
    <s v="N/A"/>
    <s v="N/A"/>
    <x v="5"/>
    <s v="DESHUESADO"/>
    <s v="OPERARIO"/>
    <m/>
    <s v="N/A"/>
    <s v="MAÑANA"/>
    <m/>
    <s v="JUEVES"/>
    <s v="SEMANA 12"/>
    <m/>
    <m/>
    <s v="DANIEL GARRIDO"/>
    <x v="4"/>
    <n v="49"/>
    <s v="Materiales"/>
    <s v="Espalda"/>
    <s v="Otros"/>
    <s v="Sobreesfuerzo"/>
    <s v="COLABORADOR SE ENCONTRABA LEVANTANDO BANDEJAS CON POLLO, SIENTE DOLOR EN ESPALDA AL EJERCER FUERZA"/>
    <s v="ACCION"/>
    <s v="SI"/>
    <s v="NO"/>
    <s v="NICOLAS GOMEZ"/>
    <s v="CARLOS CARTAGENA"/>
    <s v="MOVIMIENTO DE MATERIALES (BINS, PALLET, BANDEJAS)"/>
  </r>
  <r>
    <n v="2023"/>
    <s v="MARZO"/>
    <s v="EL PAICO"/>
    <s v="BARRAZA PERALTA"/>
    <s v="ISABEL"/>
    <s v="FEMENINO"/>
    <s v="9683999-5"/>
    <d v="2013-11-18T00:00:00"/>
    <n v="112"/>
    <d v="2023-03-22T00:00:00"/>
    <s v="ANTIGUO"/>
    <d v="2023-03-10T00:00:00"/>
    <d v="2023-03-10T00:00:00"/>
    <s v="N/A"/>
    <n v="0"/>
    <s v="STP"/>
    <s v="N/A"/>
    <s v="N/A"/>
    <x v="6"/>
    <s v="ASEO OPERACIONAL"/>
    <s v="OPERARIO"/>
    <s v="IQF4"/>
    <s v="N/A"/>
    <s v="MAÑANA"/>
    <d v="1899-12-30T11:40:00"/>
    <s v="MIERCOLES"/>
    <s v="SEMANA 12"/>
    <n v="15582"/>
    <s v="NC-20-2023"/>
    <s v="CARLOS JIMENES"/>
    <x v="26"/>
    <n v="58"/>
    <s v="Superficies de trabajo"/>
    <s v="Brazo"/>
    <s v="Contusión"/>
    <s v="Caida de mismo nivel"/>
    <s v="COLABORADORA SUFRE CAIDA MISMO NIVEL CUANDO SE ENCONTRABA SECANDO AGUA EN PISO DE IQF4"/>
    <s v="CONDICION"/>
    <s v="SI"/>
    <s v="SI"/>
    <s v="ALAN CARRASCO"/>
    <s v="WLADIMIR CALDERON "/>
    <s v="REALIZANDO LABORES DE ASEO"/>
  </r>
  <r>
    <n v="2023"/>
    <s v="MARZO"/>
    <s v="EL PAICO"/>
    <s v="AGUILAR CORTES"/>
    <s v="LUIS"/>
    <s v="MASCULINO"/>
    <s v="9886055-K"/>
    <d v="2019-06-17T00:00:00"/>
    <n v="44"/>
    <d v="2023-03-01T00:00:00"/>
    <s v="ANTIGUO"/>
    <s v="N/A"/>
    <s v="N/A"/>
    <s v="N/A"/>
    <n v="0"/>
    <s v="STP"/>
    <s v="N/A"/>
    <s v="N/A"/>
    <x v="6"/>
    <s v="EVISCERADO"/>
    <s v="OPERARIO"/>
    <s v="EVICERADO"/>
    <s v="N/A"/>
    <s v="NOCHE"/>
    <d v="1899-12-30T22:05:00"/>
    <s v="MIERCOLES"/>
    <s v="SEMANA 9"/>
    <m/>
    <m/>
    <s v="CARLOS JIMENEZ"/>
    <x v="9"/>
    <n v="59"/>
    <s v="Producto quimico"/>
    <s v="Ojos"/>
    <s v="Otros"/>
    <s v="Proyeccion de particulas"/>
    <s v="COLABORADOR QUE SE ENCONTRABA TRANVASIJANDO DETERGENTE, SUFRE SALPICADURA EN SU OJO IZQUERDO"/>
    <s v="ACCION"/>
    <s v="SI"/>
    <s v="NO"/>
    <s v="ALAN CARRASCO "/>
    <s v="WLADIMIR CALDERON "/>
    <s v="MANIPULACION DE PRODUCTO QUIMICO"/>
  </r>
  <r>
    <n v="2023"/>
    <s v="ABRIL"/>
    <s v="EL PAICO"/>
    <s v="VILLALOBOS VALENZUELA"/>
    <s v="PABLO"/>
    <s v="MASCULINO"/>
    <s v="19382613-K"/>
    <d v="2022-08-18T00:00:00"/>
    <n v="7"/>
    <d v="2023-04-04T00:00:00"/>
    <s v="INTERMEDIO"/>
    <s v="N/A"/>
    <s v="N/A"/>
    <s v="N/A"/>
    <n v="0"/>
    <s v="STP"/>
    <s v="N/A"/>
    <s v="N/A"/>
    <x v="5"/>
    <s v="DESHUESADO"/>
    <s v="OPERARIO"/>
    <s v="PASILLO CAMARA 206"/>
    <s v="N/A"/>
    <s v="TARDE"/>
    <d v="1899-12-30T00:45:00"/>
    <s v="MIERCOLES"/>
    <s v="SEMANA 14"/>
    <m/>
    <m/>
    <s v="DANIEL GARRIDO"/>
    <x v="10"/>
    <n v="27"/>
    <s v="Equipos Transporte de carga"/>
    <s v="Espalda"/>
    <s v="Otros"/>
    <s v="Sobreesfuerzo"/>
    <s v="COLABORADOR SUFRE TIRON EN ESPALDA Y CUELLO CUANDO SE ENCONTRABA MOVILIZANDO BINS CON PRODUCTO EN TRANSPALETA MANUAL "/>
    <s v="ACCION"/>
    <s v="SI"/>
    <s v="NO"/>
    <s v="NICOLAS GOMEZ"/>
    <s v="CHISTIAN JHONS"/>
    <s v="MOVIMIENTO DE MATERIALES (BINS, PALLET, BANDEJAS)"/>
  </r>
  <r>
    <n v="2023"/>
    <s v="ABRIL"/>
    <s v="EL PAICO"/>
    <s v="VIDAL ZAMBRANO"/>
    <s v="JAVIER"/>
    <s v="MASCULINO"/>
    <s v="21169027-5"/>
    <d v="2022-08-01T00:00:00"/>
    <n v="8"/>
    <d v="2023-04-12T00:00:00"/>
    <s v="INTERMEDIO"/>
    <s v="N/A"/>
    <s v="N/A"/>
    <s v="N/A"/>
    <n v="0"/>
    <s v="STP"/>
    <s v="LGF"/>
    <s v="LGF4"/>
    <x v="4"/>
    <s v="FRIGORIFICO"/>
    <s v="OPERARIO"/>
    <s v="TUNEL 4"/>
    <s v="EQUIPO PARA MOVIMIENTO DE CARGA (GRUAS O TRANSPALETAS)"/>
    <s v="MAÑANA"/>
    <d v="1899-12-30T09:45:00"/>
    <s v="MIERCOLES"/>
    <s v="SEMANA 15"/>
    <m/>
    <m/>
    <s v="FRANCISCO QUEZADA"/>
    <x v="27"/>
    <n v="20"/>
    <s v="Maquinarias"/>
    <s v="Pie"/>
    <s v="Contusión"/>
    <s v="Golpeado por"/>
    <s v="COLABORADOR SUFRE CONTUSION EN PIE IZQUIERDO POR COLICION ENTRE DOS TRANSPALETAS EN TUNEL 4 "/>
    <s v="ACCION"/>
    <s v="SI"/>
    <s v="NO"/>
    <s v="NICOLAS GOMEZ"/>
    <s v="CARLOS CARTAGENA"/>
    <m/>
  </r>
  <r>
    <n v="2023"/>
    <s v="ABRIL"/>
    <s v="EL PAICO"/>
    <s v="VASQUEZ CORRAL"/>
    <s v="JOSE"/>
    <s v="MASCULINO"/>
    <s v="9029022-3"/>
    <d v="2004-06-15T00:00:00"/>
    <n v="226"/>
    <d v="2023-04-18T00:00:00"/>
    <s v="ANTIGUO"/>
    <s v="N/A"/>
    <s v="N/A"/>
    <s v="N/A"/>
    <n v="0"/>
    <s v="STP"/>
    <s v="N/A"/>
    <s v="N/A"/>
    <x v="1"/>
    <s v="IQF"/>
    <s v="OPERARIO"/>
    <s v="IQF"/>
    <s v="N/A"/>
    <s v="TARDE"/>
    <d v="1899-12-30T15:30:00"/>
    <s v="MARTES"/>
    <s v="SEMANA 16"/>
    <m/>
    <m/>
    <s v="GUILLERMO NARVAEZ"/>
    <x v="21"/>
    <n v="63"/>
    <s v="Cajas"/>
    <s v="Manos / dedos"/>
    <s v="Contusión"/>
    <s v="Sobreesfuerzo"/>
    <s v="COLABORADOR SUFRE DOLOR EN MUÑECA IZQUERDA AL TOMAR CAJA EN LINEA DE IQF"/>
    <s v="ACCION"/>
    <s v="SI"/>
    <s v="NO"/>
    <s v="ALAN CARRASCO"/>
    <s v="MICHELLE SANCHEZ"/>
    <m/>
  </r>
  <r>
    <n v="2023"/>
    <s v="ABRIL"/>
    <s v="EL PAICO"/>
    <s v="VALDIVIA PEÑALOZA"/>
    <s v="JAIME"/>
    <s v="MASCULINO"/>
    <s v="14140942-5"/>
    <d v="2021-06-01T00:00:00"/>
    <n v="22"/>
    <d v="2023-04-17T00:00:00"/>
    <s v="ANTIGUO"/>
    <s v="N/A"/>
    <s v="N/A"/>
    <s v="N/A"/>
    <n v="0"/>
    <s v="STP"/>
    <s v="LGF"/>
    <s v="LGF4"/>
    <x v="1"/>
    <s v="IQF Y CALIBRADO"/>
    <s v="OPERARIO"/>
    <s v="CAMARA 208"/>
    <s v="EQUIPO PARA MOVIMIENTO DE CARGA (GRUAS O TRANSPALETAS)"/>
    <s v="MAÑANA"/>
    <d v="1899-12-30T10:06:00"/>
    <s v="LUNES"/>
    <s v="SEMANA 16"/>
    <m/>
    <m/>
    <s v="GUILLERMO NARVAEZ"/>
    <x v="17"/>
    <n v="42"/>
    <s v="Equipos Transporte de carga"/>
    <s v="Manos / dedos"/>
    <s v="Contusión"/>
    <s v="Golpeado por"/>
    <s v="COLABORADOR SUFRE GOLPE EN MUÑECA IZQUERDA AL SER COLICIONADO POR OPERADOR DE TRANSPALETA ELECTRICA CUANDO ESTABA ENTRANDO A CAMARA 208"/>
    <s v="ACCION"/>
    <s v="SI"/>
    <s v="NO"/>
    <s v="ALAN CARRASCO"/>
    <s v="CHISTIAN JHONS"/>
    <m/>
  </r>
  <r>
    <n v="2023"/>
    <s v="ABRIL"/>
    <s v="EL PAICO"/>
    <s v="SANTIS RAMIREZ"/>
    <s v="JANIS"/>
    <s v="FEMENINO"/>
    <s v="19858836-9"/>
    <d v="2021-05-10T00:00:00"/>
    <n v="23"/>
    <d v="2023-04-11T00:00:00"/>
    <s v="ANTIGUO"/>
    <s v="N/A"/>
    <s v="N/A"/>
    <s v="N/A"/>
    <n v="0"/>
    <s v="STP"/>
    <s v="N/A"/>
    <s v="N/A"/>
    <x v="5"/>
    <s v="DESHUESADO"/>
    <s v="OPERARIO"/>
    <s v="CAMARA 208"/>
    <s v="N/A"/>
    <s v="MAÑANA"/>
    <d v="1899-12-30T08:55:00"/>
    <s v="MARTES"/>
    <s v="SEMANA 15"/>
    <m/>
    <m/>
    <s v="DANIEL GARRIDO"/>
    <x v="28"/>
    <n v="25"/>
    <s v="Superficies de trabajo"/>
    <s v="Multiples"/>
    <s v="Contusión"/>
    <s v="Caida de mismo nivel"/>
    <s v="COLABORADORA SUFRE CONTUSION EN ESPALDA Y CABEZA POR CAIDA MISMO NIVEL AL PISAR HIELO QUE SE ENCONTRABA EN PISO DE CAMARA 208 ROTULANDO BINS"/>
    <s v="CONDICION"/>
    <s v="SI"/>
    <s v="NO"/>
    <s v="NICOLAS GOMEZ"/>
    <s v="CARLOS CARTAGENA"/>
    <s v="TRANSITO POR AREAS DE PROCESO"/>
  </r>
  <r>
    <n v="2023"/>
    <s v="ABRIL"/>
    <s v="EL PAICO"/>
    <s v="RAGA VAZQUEZ"/>
    <s v="ELIZABETH"/>
    <s v="FEMENINO"/>
    <s v="26199492-5"/>
    <d v="2022-11-22T00:00:00"/>
    <n v="4"/>
    <d v="2023-04-19T00:00:00"/>
    <s v="NUEVO"/>
    <s v="N/A"/>
    <s v="N/A"/>
    <s v="N/A"/>
    <n v="0"/>
    <s v="STP"/>
    <s v="N/A"/>
    <s v="N/A"/>
    <x v="1"/>
    <s v="IQF"/>
    <s v="OPERARIO"/>
    <s v="IQF"/>
    <s v="N/A"/>
    <s v="TARDE"/>
    <d v="1899-12-30T19:00:00"/>
    <s v="MIERCOLES"/>
    <s v="SEMANA 16"/>
    <m/>
    <m/>
    <s v="GUILLERMO NARVAEZ"/>
    <x v="21"/>
    <n v="35"/>
    <s v="Materia Prima"/>
    <s v="Ojos"/>
    <s v="Conjuntivitis"/>
    <s v="Proyeccion de particulas"/>
    <s v="COLABORADORA SUFRE IRRITACION OCULAR EN OJO IZQUIERDO POR PROYECCION DE PARTICULAS CUANDO SE ENCONTRABA MANIPULANDO PRODUCTOS EN BANDEJAS EN LINEA IQF"/>
    <s v="ACCION"/>
    <s v="SI"/>
    <s v="NO"/>
    <s v="NICOLAS GOMEZ"/>
    <s v="WLADIMIR CALDERON "/>
    <m/>
  </r>
  <r>
    <n v="2023"/>
    <s v="ABRIL"/>
    <s v="EL PAICO"/>
    <s v="PAVEZ AGUILA"/>
    <s v="PAULA"/>
    <s v="FEMENINO"/>
    <s v="20424217-8"/>
    <d v="2023-01-09T00:00:00"/>
    <n v="3"/>
    <d v="2023-04-24T00:00:00"/>
    <s v="NUEVO"/>
    <s v="N/A"/>
    <s v="N/A"/>
    <s v="N/A"/>
    <n v="0"/>
    <s v="STP"/>
    <s v="N/A"/>
    <s v="N/A"/>
    <x v="1"/>
    <s v="IQF"/>
    <s v="OPERARIO"/>
    <s v="IQF"/>
    <s v="N/A"/>
    <s v="TARDE"/>
    <d v="1899-12-30T22:30:00"/>
    <s v="LUNES"/>
    <s v="SEMANA 17"/>
    <m/>
    <m/>
    <s v="GUILLERMO NARVAEZ"/>
    <x v="17"/>
    <n v="23"/>
    <s v="Superficies de trabajo"/>
    <s v="Pierna"/>
    <s v="Contusión"/>
    <s v="Caida de distinto nivel"/>
    <s v="COLABORADOR SUFRE GOLPE EN RODILLA IZQUIERDA POR CAIDA DE DISTINTO NIVEL CUANDO SE ENCONTRABA MOVILIZANDO BANDEJAS EN LINEA DE IQF."/>
    <s v="CONDICION"/>
    <s v="SI"/>
    <s v="NO"/>
    <s v="ALAN CARRASCO"/>
    <s v="CARLOS CARTAGENA"/>
    <m/>
  </r>
  <r>
    <n v="2023"/>
    <s v="ABRIL"/>
    <s v="EL PAICO"/>
    <s v="NORAMBUENA CARVAJAL"/>
    <s v="RODRIGO"/>
    <s v="MASCULINO"/>
    <s v="16788251-K"/>
    <d v="2012-02-01T00:00:00"/>
    <n v="134"/>
    <d v="2023-04-15T00:00:00"/>
    <s v="ANTIGUO"/>
    <d v="2023-04-15T00:00:00"/>
    <d v="2023-09-24T00:00:00"/>
    <s v="N/A"/>
    <n v="163"/>
    <s v="CTP"/>
    <s v="LGF"/>
    <s v="LGF2"/>
    <x v="7"/>
    <s v="SALA DE PULPA"/>
    <s v="OPERARIO"/>
    <s v="SALA DE PULPA"/>
    <s v="MAQUINA BAADER"/>
    <s v="MAÑANA"/>
    <d v="1899-12-30T11:40:00"/>
    <s v="SABADO"/>
    <s v="SEMANA 15"/>
    <n v="15621"/>
    <s v="NC-35-23"/>
    <s v="OCTAVIO MUÑOZ"/>
    <x v="14"/>
    <n v="35"/>
    <s v="Maquinarias"/>
    <s v="Manos / dedos"/>
    <s v="Fractura"/>
    <s v="Atrapamiento"/>
    <s v="COLABORADOR SUFRE DESPRENDIMIENTO EN DEDO ANULAR SUPERIOR DERECHO, POR ATRAPAMIENTO MIENTRAS OPERABA MAQUINA BAADER EN SALA DE PULPA."/>
    <s v="ACCION"/>
    <s v="SI"/>
    <s v="SI"/>
    <s v="ALAN CARRASCO"/>
    <s v="WLADIMIR CALDERON "/>
    <s v="OPERACIÓN DE MAQUINAS, EQUIPOS O HERRAMIENTAS MOTRICES"/>
  </r>
  <r>
    <n v="2023"/>
    <s v="ABRIL"/>
    <s v="EL PAICO"/>
    <s v="MENA MATTA"/>
    <s v="NINOSHKA"/>
    <s v="FEMENINO"/>
    <s v="18528198-1"/>
    <d v="2023-03-27T00:00:00"/>
    <n v="0"/>
    <d v="2023-04-22T00:00:00"/>
    <s v="NUEVO"/>
    <d v="2023-04-24T00:00:00"/>
    <d v="2023-04-27T00:00:00"/>
    <s v="N/A"/>
    <n v="4"/>
    <s v="CTP"/>
    <s v="N/A"/>
    <s v="N/A"/>
    <x v="4"/>
    <s v="FRIGORIFICO"/>
    <s v="OPERARIO"/>
    <s v="PASILLO B CAMARA "/>
    <s v="N/A"/>
    <s v="MAÑANA"/>
    <d v="1899-12-30T06:35:00"/>
    <s v="SABADO"/>
    <s v="SEMANA 16"/>
    <n v="15645"/>
    <s v="NC-52-23"/>
    <s v="FRANCISCO QUEZADA"/>
    <x v="29"/>
    <n v="30"/>
    <s v="Superficies de trabajo"/>
    <s v="Pierna"/>
    <s v="Contusión"/>
    <s v="Caida de mismo nivel"/>
    <s v="COLABORADORA SUFRE CONTUSION EN RODILLA DERECHA POR CAIDA DE MISMO EN PASILLO DE CAMARA EN EL AREA DE FRIGORIFICO"/>
    <s v="CONDICION"/>
    <s v="SI"/>
    <s v="SI"/>
    <s v="ALAN CARRASCO"/>
    <s v="MICHELLE SANCHEZ"/>
    <s v="TRANSITO POR AREAS DE PROCESO"/>
  </r>
  <r>
    <n v="2023"/>
    <s v="ABRIL"/>
    <s v="EL PAICO"/>
    <s v="MELLADO BARRIENTOS"/>
    <s v="POLONIA "/>
    <s v="FEMENINO"/>
    <s v="17422963-5"/>
    <d v="2021-02-22T00:00:00"/>
    <n v="25"/>
    <d v="2023-04-21T00:00:00"/>
    <s v="ANTIGUO"/>
    <d v="2023-04-24T00:00:00"/>
    <d v="2023-04-26T00:00:00"/>
    <s v="N/A"/>
    <n v="3"/>
    <s v="CTP"/>
    <s v="N/A"/>
    <s v="N/A"/>
    <x v="5"/>
    <s v="SALA DE PROCESO"/>
    <s v="OPERARIO"/>
    <s v="SALA DE PROCESO"/>
    <s v="N/A"/>
    <s v="TARDE"/>
    <m/>
    <s v="VIERNES"/>
    <s v="SEMANA 16"/>
    <n v="15647"/>
    <s v="NC-55-23"/>
    <s v="DANIEL GARRIDO"/>
    <x v="10"/>
    <n v="32"/>
    <s v="Bins"/>
    <s v="Manos / dedos"/>
    <s v="Contusión"/>
    <s v="Golpeado contra"/>
    <s v="COLABORADORA DE TPO SUFRIO CONTUSION EN MANO DERECHA GOLPEADA POR UN BINS, LA TRABAJADORA TENIA LA MANO APOYADA EN UN BINS EN ESE MOMENTO UN MOVILIZADOR ARRASTRA UN BINS CERCANO PARA POSICIONARLO A UN LADO DEL OTRO, EN ESTE MOMENTO NO SE PERCATA DE LA TRABAJADORA Y GOLPEADA SU MANO DEJANDOLA ENTRE AMBOS BINS, EL ACC OCURRIO EN SALA DE PROCESO. "/>
    <s v="ACCION"/>
    <s v="SI"/>
    <s v="SI"/>
    <s v="NICOLAS GOMEZ"/>
    <m/>
    <s v="MANIPULACION DE MATERIA PRIMA"/>
  </r>
  <r>
    <n v="2023"/>
    <s v="ABRIL"/>
    <s v="EL PAICO"/>
    <s v="HUINAO CARTAGENA"/>
    <s v="MANUEL"/>
    <s v="MASCULINO"/>
    <s v="15403657-1"/>
    <d v="2022-11-04T00:00:00"/>
    <n v="5"/>
    <d v="2023-04-27T00:00:00"/>
    <s v="NUEVO"/>
    <s v="N/A"/>
    <s v="N/A"/>
    <d v="2023-04-28T00:00:00"/>
    <n v="0"/>
    <s v="STP"/>
    <s v="N/A"/>
    <s v="N/A"/>
    <x v="1"/>
    <s v="CALIBRADO"/>
    <s v="OPERARIO"/>
    <s v="TROZADO DE POLLO"/>
    <s v="N/A"/>
    <s v="MAÑANA"/>
    <d v="1899-12-30T08:10:00"/>
    <s v="JUEVES"/>
    <s v="SEMANA 17"/>
    <m/>
    <m/>
    <s v="GUILLERMO NARVAEZ"/>
    <x v="21"/>
    <n v="40"/>
    <s v="Bins"/>
    <s v="Pie"/>
    <s v="Contusión"/>
    <s v="Golpeado por"/>
    <s v="COLABORADOR SUFRE CONTUSION EN PIE DERECHO AL SE GOLPEADO POR COMPAÑERO QUE TRASLABA BINS CON PRODUCTO EN PASILLO DE TROZADO DE POLLO"/>
    <s v="ACCION"/>
    <s v="SI"/>
    <s v="NO"/>
    <s v="NICOLAS GOMEZ"/>
    <s v="WLADIMIR CALDERON "/>
    <m/>
  </r>
  <r>
    <n v="2023"/>
    <s v="ABRIL"/>
    <s v="EL PAICO"/>
    <s v="GUIÑEZ GARRIDO"/>
    <s v="PATRICIO"/>
    <s v="MASCULINO"/>
    <s v="14008724-6"/>
    <d v="2022-11-15T00:00:00"/>
    <n v="5"/>
    <d v="2023-04-24T00:00:00"/>
    <s v="NUEVO"/>
    <s v="N/A"/>
    <s v="N/A"/>
    <s v="N/A"/>
    <n v="0"/>
    <s v="STP"/>
    <s v="N/A"/>
    <s v="N/A"/>
    <x v="1"/>
    <s v="CALIBRADO"/>
    <s v="OPERARIO"/>
    <s v="EMPAQUE"/>
    <s v="N/A"/>
    <s v="MAÑANA"/>
    <d v="1899-12-30T08:00:00"/>
    <s v="LUNES"/>
    <s v="SEMANA 17"/>
    <m/>
    <m/>
    <s v="GUILLERMO NARVAEZ"/>
    <x v="1"/>
    <n v="41"/>
    <s v="Materiales"/>
    <s v="Rostro"/>
    <s v="Contusión"/>
    <s v="Golpeado por"/>
    <s v="COLABORADOR SUFRE GOLPE EN POMULO IZQUIERDO POR TAPA DE CAJA CUANDO SE ENCONTRABA SACANDO ZUNCHOS EN EL AREA DE EMPAQUE"/>
    <s v="ACCION"/>
    <s v="SI"/>
    <s v="NO"/>
    <s v="NICOLAS GOMEZ"/>
    <s v="CARLOS CARTAGENA"/>
    <m/>
  </r>
  <r>
    <n v="2023"/>
    <s v="ABRIL"/>
    <s v="EL PAICO"/>
    <s v="GONZALEZ MEDINA"/>
    <s v="ERIKA"/>
    <s v="FEMENINO"/>
    <s v="15624346-9"/>
    <d v="1993-01-06T00:00:00"/>
    <n v="363"/>
    <d v="2023-04-27T00:00:00"/>
    <s v="ANTIGUO"/>
    <s v="N/A"/>
    <s v="N/A"/>
    <s v="N/A"/>
    <n v="0"/>
    <s v="STP"/>
    <s v="N/A"/>
    <s v="N/A"/>
    <x v="5"/>
    <s v="PROLIJADO"/>
    <s v="OPERARIO"/>
    <s v="LINEA PROLIJADO"/>
    <s v="N/A"/>
    <s v="MAÑANA"/>
    <d v="1899-12-30T12:30:00"/>
    <s v="VIERNES"/>
    <s v="SEMANA 17"/>
    <m/>
    <m/>
    <s v="DANIEL GARRIDO"/>
    <x v="10"/>
    <n v="55"/>
    <s v="Materiales"/>
    <s v="Manos / dedos"/>
    <s v="Herida cortante"/>
    <s v="Contacto con cuerpo punzante"/>
    <s v="COLABORADORA SUFRE CORTE EN DEDO ANULAR DE MANO DERECHA CON CUCHILLO, EN LINEA PROLIJADO DE PECHUGAS"/>
    <s v="ACCION"/>
    <s v="SI"/>
    <s v="NO"/>
    <s v="ALAN CARRASCO"/>
    <s v="CARLOS CARTAGENA"/>
    <s v="REALIZANDO LABORES DE CORTE "/>
  </r>
  <r>
    <n v="2023"/>
    <s v="ABRIL"/>
    <s v="EL PAICO"/>
    <s v="GONALEZ NIDA"/>
    <s v="MAURICIO"/>
    <s v="MASCULINO"/>
    <s v="20122752-6"/>
    <d v="2023-03-14T00:00:00"/>
    <n v="0"/>
    <d v="2023-04-10T00:00:00"/>
    <s v="NUEVO"/>
    <d v="2023-04-11T00:00:00"/>
    <d v="2023-04-12T00:00:00"/>
    <s v="N/A"/>
    <n v="1"/>
    <s v="CTP"/>
    <s v="N/A"/>
    <s v="N/A"/>
    <x v="5"/>
    <s v="DESHUESADO"/>
    <s v="OPERARIO"/>
    <s v="DESHUESADO"/>
    <s v="N/A"/>
    <s v="MAÑANA"/>
    <d v="1899-12-30T08:30:00"/>
    <s v="LUNES"/>
    <s v="SEMANA 15"/>
    <n v="15618"/>
    <s v="NC-50-23"/>
    <s v="DANIEL GARRIDO"/>
    <x v="10"/>
    <n v="24"/>
    <s v="Materia Prima"/>
    <s v="Ojos"/>
    <s v="Conjuntivitis"/>
    <s v="Proyeccion de particulas"/>
    <s v="COLABORADOR SUFRE INFLAMACION EN OJO IZQUIERDO POR SALPICADURA DE PRODUCTO AL ESTAR LIMPIANDO PECHUGAS EN LINEA DE PROLIJADO"/>
    <s v="ACCION"/>
    <s v="SI"/>
    <s v="SI"/>
    <s v="NICOLAS GOMEZ"/>
    <s v="CARLOS CARTAGENA"/>
    <s v="MANIPULACION DE MATERIA PRIMA"/>
  </r>
  <r>
    <n v="2023"/>
    <s v="ABRIL"/>
    <s v="EL PAICO"/>
    <s v="ESPINOZA PINTO"/>
    <s v="JORGE"/>
    <s v="MASCULINO"/>
    <s v="19849137-3"/>
    <d v="2022-11-14T00:00:00"/>
    <n v="5"/>
    <d v="2023-04-24T00:00:00"/>
    <s v="NUEVO"/>
    <d v="2023-04-24T00:00:00"/>
    <d v="2023-04-24T00:00:00"/>
    <s v="N/A"/>
    <n v="0"/>
    <s v="STP"/>
    <s v="N/A"/>
    <s v="N/A"/>
    <x v="5"/>
    <s v="TROZADO AUTOMATICO"/>
    <s v="OPERARIO"/>
    <s v="TROZADO AUTOMATICO"/>
    <s v="N/A"/>
    <s v="TARDE"/>
    <d v="1899-12-30T16:00:00"/>
    <s v="LUNES"/>
    <s v="SEMANA 17"/>
    <n v="15646"/>
    <s v="NC-53-23"/>
    <s v="DANIEL GARRIDO"/>
    <x v="6"/>
    <n v="24"/>
    <s v="Materiales"/>
    <s v="Pie"/>
    <s v="Herida cortante"/>
    <s v="Contacto con cuerpo punzante"/>
    <s v="COLABORADOR SUFRE HERIDA PUNZANTE AL PISAR TABLA CON CLAVO QUE SE ENCONTRABA EN SUELO DE PASILLO C "/>
    <s v="CONDICION"/>
    <s v="SI"/>
    <s v="SI"/>
    <s v="ALAN CARRASCO"/>
    <s v="CARLOS CARTAGENA"/>
    <s v="MOVIMIENTO DE MATERIALES (BINS, PALLET, BANDEJAS)"/>
  </r>
  <r>
    <n v="2023"/>
    <s v="ABRIL"/>
    <s v="EL PAICO"/>
    <s v="DURAN OYANEDEL"/>
    <s v="CRISTIAN"/>
    <s v="MASCULINO"/>
    <s v="13334407-1"/>
    <d v="2005-12-01T00:00:00"/>
    <n v="208"/>
    <d v="2023-04-29T00:00:00"/>
    <s v="ANTIGUO"/>
    <d v="2023-04-29T00:00:00"/>
    <d v="2023-05-05T00:00:00"/>
    <s v="N/A"/>
    <n v="7"/>
    <s v="CTP"/>
    <s v="N/A"/>
    <s v="N/A"/>
    <x v="6"/>
    <s v="ASEO OPERACIONAL"/>
    <s v="ENCARGADO DE LINEA"/>
    <s v="PASILLO SALA DE JUEGOS"/>
    <s v="N/A"/>
    <s v="MAÑANA"/>
    <d v="1899-12-30T10:40:00"/>
    <s v="SABADO"/>
    <s v="SEMANA 17"/>
    <n v="15654"/>
    <s v="NC-63-23"/>
    <s v="CARLOS JIMENEZ"/>
    <x v="22"/>
    <n v="47"/>
    <s v="Infraestructura"/>
    <s v="Pie"/>
    <s v="Torsión"/>
    <s v="Caida de mismo nivel"/>
    <s v="COLABORADOR DE SSGG SUFRE TORSION DE SU PIERNA IZQUIERDA POR CAIDA A MISMO NIVEL AL REBALAR FUERA DE SALA DE CAPACITACION POR EL PASILLO DE LA SALA DE JUEGOS PRODUCTO DE AGUA EN EL PISO A RAIZ DE UNA GOTERA, ESTO MIENTRAS SE DIRIGIA AL PROCESO POR EL LLAMADO DE UNA CONTINGENCIA."/>
    <s v="CONDICION"/>
    <s v="SI"/>
    <s v="SI"/>
    <s v="NICOLAS GOMEZ"/>
    <s v="CHISTIAN JHONS"/>
    <s v="TRANSITO POR AREAS COMUNES"/>
  </r>
  <r>
    <n v="2023"/>
    <s v="ABRIL"/>
    <s v="EL PAICO"/>
    <s v="CASTILLO TRIVIÑO"/>
    <s v="PABLO"/>
    <s v="MASCULINO"/>
    <s v="19409089-7"/>
    <d v="2020-03-16T00:00:00"/>
    <n v="37"/>
    <d v="2023-04-18T00:00:00"/>
    <s v="ANTIGUO"/>
    <d v="2023-04-19T00:00:00"/>
    <d v="2023-04-24T00:00:00"/>
    <s v="N/A"/>
    <n v="6"/>
    <s v="CTP"/>
    <s v="N/A"/>
    <s v="N/A"/>
    <x v="8"/>
    <s v="MANTENCION"/>
    <s v="OPERARIO"/>
    <s v="POZO DE PLUMAS"/>
    <s v="N/A"/>
    <s v="TARDE"/>
    <d v="1899-12-30T18:00:00"/>
    <s v="MARTES"/>
    <s v="SEMANA 16"/>
    <n v="15632"/>
    <s v="NC-51-23"/>
    <s v="VICTOR GOMEZ"/>
    <x v="23"/>
    <n v="27"/>
    <s v="Otros"/>
    <s v="Pie"/>
    <s v="Herida cortante"/>
    <s v="Otros"/>
    <s v="COLABORADOR SUFRE HERIDA EN PIE IZQUIERDO POR ROCE CON ZAPATO DE SEGURIDAD AL REALIZAR SUS LABORES EN POZO DE PLUMAS "/>
    <s v="ACCION"/>
    <s v="SI"/>
    <s v="SI"/>
    <s v="ALAN CARRASCO "/>
    <s v="MICHELLE SANCHEZ"/>
    <s v="LABORES DE MANTENCIÓN"/>
  </r>
  <r>
    <n v="2023"/>
    <s v="ABRIL"/>
    <s v="EL PAICO"/>
    <s v="CARRASCO CACERES"/>
    <s v="VICTOR"/>
    <s v="MASCULINO"/>
    <s v="16985231-6"/>
    <d v="2008-07-18T00:00:00"/>
    <n v="176"/>
    <d v="2023-04-12T00:00:00"/>
    <s v="ANTIGUO"/>
    <s v="N/A"/>
    <s v="N/A"/>
    <s v="N/A"/>
    <n v="0"/>
    <s v="STP"/>
    <s v="N/A"/>
    <s v="N/A"/>
    <x v="5"/>
    <s v="TROZADO AUTOMATICO"/>
    <s v="OPERARIO"/>
    <s v="ANDENES"/>
    <s v="N/A"/>
    <s v="TARDE"/>
    <d v="1899-12-30T15:10:00"/>
    <s v="MIERCOLES"/>
    <s v="SEMANA 15"/>
    <m/>
    <m/>
    <s v="DANIEL GARRIDO"/>
    <x v="30"/>
    <n v="34"/>
    <s v="Bins"/>
    <s v="Espalda"/>
    <s v="Otros"/>
    <s v="Sobreesfuerzo"/>
    <s v="COLABORADOR SUFRE DOLOR EN ESPALDA POR SOBREESFUERZOAL ESTAR MOVIENDO BINS QUE SE ENCONTRABAN APRETADOS EN SECTOR DE ANDENES."/>
    <s v="ACCION"/>
    <s v="SI"/>
    <s v="NO"/>
    <s v="NICOLAS GOMEZ"/>
    <s v="CARLOS CARTAGENA"/>
    <s v="MOVIMIENTO DE MATERIALES (BINS, PALLET, BANDEJAS)"/>
  </r>
  <r>
    <n v="2023"/>
    <s v="ABRIL"/>
    <s v="EL PAICO"/>
    <s v="CAMACHO CASTELLANOS"/>
    <s v="JESUS"/>
    <s v="MASCULINO"/>
    <s v="27001301-5"/>
    <d v="2021-04-26T00:00:00"/>
    <n v="23"/>
    <d v="2023-04-04T00:00:00"/>
    <s v="ANTIGUO"/>
    <d v="2023-04-05T00:00:00"/>
    <d v="2023-04-21T00:00:00"/>
    <s v="N/A"/>
    <n v="17"/>
    <s v="CTP"/>
    <s v="N/A"/>
    <s v="N/A"/>
    <x v="5"/>
    <s v="DESHUESADO"/>
    <s v="OPERARIO"/>
    <s v="DESHUESADO"/>
    <s v="N/A"/>
    <s v="TARDE"/>
    <d v="1899-12-30T16:20:00"/>
    <s v="MARTES"/>
    <s v="SEMANA 14"/>
    <n v="15605"/>
    <s v="NC-33-23"/>
    <s v="DANIEL GARRIDO"/>
    <x v="10"/>
    <n v="24"/>
    <s v="Maquinarias"/>
    <s v="Manos / dedos"/>
    <s v="Herida cortante"/>
    <s v="Contacto con cuerpo punzante"/>
    <s v="COLABORADOR SUFRE HERIDA PENETRANTE EN PALMA DE MANO IZQUERDA AL ESTAR COLGANDO PECHUGAS DE POLLO ENTERAS"/>
    <s v="ACCION"/>
    <s v="SI"/>
    <s v="SI"/>
    <s v="ALAN CARRASCO "/>
    <s v="CARLOS CARTAGENA"/>
    <s v="MANIPULACION DE MATERIA PRIMA"/>
  </r>
  <r>
    <n v="2023"/>
    <s v="ABRIL"/>
    <s v="EL PAICO"/>
    <s v="COELHO DE SAUCE"/>
    <s v="SILVIO"/>
    <s v="MASCULINO"/>
    <s v="27133909-7"/>
    <d v="2021-09-13T00:00:00"/>
    <n v="19"/>
    <d v="2023-04-21T00:00:00"/>
    <s v="ANTIGUO"/>
    <s v="N/A"/>
    <s v="N/A"/>
    <s v="N/A"/>
    <n v="0"/>
    <s v="STP"/>
    <s v="LGF"/>
    <s v="LGF4"/>
    <x v="4"/>
    <s v="FRIGORIFICO"/>
    <s v="OPERARIO"/>
    <s v="SALA EMPAQUE TUNEL"/>
    <s v="EQUIPO PARA MOVIMIENTO DE CARGA (GRUAS O TRANSPALETAS)"/>
    <s v="TARDE"/>
    <d v="1899-12-30T14:30:00"/>
    <s v="VIERNES"/>
    <s v="SEMANA 16"/>
    <m/>
    <s v="NC-54-23"/>
    <s v="FRANCISCO QUEZADA"/>
    <x v="29"/>
    <n v="40"/>
    <s v="Equipos Transporte de carga"/>
    <s v="Multiples"/>
    <s v="Contusión"/>
    <s v="Golpeado por"/>
    <s v="COLABORADOR SUFRE GOLPE EN BRAZO Y PIERNA POR ATRAPAMIENTO ENTRE DOS PALLET CON CAJAS EN SALA DE PALLETIZADO EN EL AREA DE FRIGORIFICO "/>
    <s v="ACCION"/>
    <s v="SI"/>
    <s v="SI"/>
    <s v="NICOLAS GOMEZ"/>
    <s v="CHISTIAN JHONS"/>
    <s v="ARMADO DE PALLET"/>
  </r>
  <r>
    <n v="2023"/>
    <s v="ABRIL"/>
    <s v="EL PAICO"/>
    <s v="BERNARD "/>
    <s v="ROSE-CARINE"/>
    <s v="FEMENINO"/>
    <s v="26225281-7"/>
    <d v="2021-12-29T00:00:00"/>
    <n v="15"/>
    <d v="2023-04-04T00:00:00"/>
    <s v="INTERMEDIO"/>
    <s v="N/A"/>
    <s v="N/A"/>
    <s v="N/A"/>
    <n v="0"/>
    <s v="STP"/>
    <s v="N/A"/>
    <s v="N/A"/>
    <x v="6"/>
    <s v="ASEO OPERACIONAL"/>
    <s v="OPERARIO"/>
    <s v="DESHUESADO"/>
    <s v="N/A"/>
    <s v="TARDE"/>
    <d v="1899-12-30T08:45:00"/>
    <s v="MARTES"/>
    <s v="SEMANA 14"/>
    <n v="15606"/>
    <s v="NC-31-23"/>
    <s v="CARLOS JIMENES"/>
    <x v="22"/>
    <n v="28"/>
    <s v="Superficies de trabajo"/>
    <s v="Brazo"/>
    <s v="Contusión"/>
    <s v="Caida de mismo nivel"/>
    <s v="COLABORADORA SUFRE CAIDA EN SALA DE PROCESO GOLPEANDOSE EN HOMBRO IZQUERDO"/>
    <s v="CONDICION"/>
    <s v="SI"/>
    <s v="SI"/>
    <s v="ALAN CARRASCO"/>
    <s v="CARLOS CARTAGENA"/>
    <s v="TRANSITO POR AREAS DE PROCESO"/>
  </r>
  <r>
    <n v="2023"/>
    <s v="ABRIL"/>
    <s v="EL PAICO"/>
    <s v="ARAYA MOYANO"/>
    <s v="MARIA INES"/>
    <s v="FEMENINO"/>
    <s v="10999607-6"/>
    <d v="2014-11-10T00:00:00"/>
    <n v="100"/>
    <d v="2023-04-06T00:00:00"/>
    <s v="ANTIGUO"/>
    <d v="2023-04-08T00:00:00"/>
    <d v="2023-04-15T00:00:00"/>
    <s v="N/A"/>
    <n v="8"/>
    <s v="CTP"/>
    <s v="LGF"/>
    <s v="LGF3"/>
    <x v="6"/>
    <s v="ASEO OPERACIONAL"/>
    <s v="OPERARIO"/>
    <s v="FAENA"/>
    <s v="N/A"/>
    <s v="NOCHE"/>
    <d v="1899-12-30T19:30:00"/>
    <s v="JUEVES"/>
    <s v="SEMANA 14"/>
    <n v="15615"/>
    <s v="NC-32-23"/>
    <s v="CARLOS JIMENES"/>
    <x v="9"/>
    <n v="56"/>
    <s v="Producto quimico"/>
    <s v="Manos / dedos"/>
    <s v="Quemadura"/>
    <s v="Contacto con sustancias toxicas"/>
    <s v="COLABORA SUFRE QUEMADURA EN EN DEDO INDICE Y PULGAR DE MANO DERECHA Y DEDO PULGAR DE MANO IZQUERDA POR CONTACTO CON PRODUCTO QUIMICO AL ESTAR LAVANDO CORTINAS PLASTICAS EN EL PASILLO DE FAENA"/>
    <s v="ACCION"/>
    <s v="SI"/>
    <s v="SI"/>
    <s v="NICOLAS GOMEZ"/>
    <m/>
    <s v="MANIPULACION DE PRODUCTO QUIMICO"/>
  </r>
  <r>
    <n v="2023"/>
    <s v="ABRIL"/>
    <s v="EL PAICO"/>
    <s v="ALLENDE FROST"/>
    <s v="ANA "/>
    <s v="FEMENINO"/>
    <s v="14246215-K"/>
    <d v="2019-09-09T00:00:00"/>
    <n v="43"/>
    <d v="2023-04-24T00:00:00"/>
    <s v="ANTIGUO"/>
    <s v="N/A"/>
    <s v="N/A"/>
    <s v="N/A"/>
    <n v="0"/>
    <s v="STP"/>
    <s v="N/A"/>
    <s v="N/A"/>
    <x v="5"/>
    <s v="DESHUESADO"/>
    <s v="OPERARIO"/>
    <s v="DESHUESADO"/>
    <s v="N/A"/>
    <s v="TARDE"/>
    <d v="1899-12-30T14:50:00"/>
    <s v="LUNES"/>
    <s v="SEMANA 17"/>
    <m/>
    <m/>
    <s v="DANIEL GARRIDO"/>
    <x v="31"/>
    <n v="48"/>
    <s v="Materiales"/>
    <s v="Manos / dedos"/>
    <s v="Contusión"/>
    <s v="Golpeado contra"/>
    <s v="COLABORADORA SUFRE CONTUSION EN DEDO MEDIUM DE MANO IZQUIERDA AL DEJAR ROLLO DE LAMINA SOBRE MESA DE FILETILLO EN DESHUESADO DE PECHUGA"/>
    <s v="ACCION"/>
    <s v="SI"/>
    <s v="NO"/>
    <s v="NICOLAS GOMEZ"/>
    <s v="CARLOS CARTAGENA"/>
    <s v="MANIPULACION DE MATERIALES DE TRABAJO"/>
  </r>
  <r>
    <n v="2023"/>
    <s v="MAYO"/>
    <s v="EL PAICO"/>
    <s v="VILLALOBOS VALENZUELA"/>
    <s v="PABLO"/>
    <s v="MASCULINO"/>
    <s v="19382613-K"/>
    <d v="2022-08-18T00:00:00"/>
    <n v="8"/>
    <d v="2023-05-13T00:00:00"/>
    <s v="INTERMEDIO"/>
    <s v="N/A"/>
    <s v="N/A"/>
    <s v="N/A"/>
    <n v="0"/>
    <s v="STP"/>
    <s v="N/A"/>
    <s v="N/A"/>
    <x v="5"/>
    <s v="DESHUESADO"/>
    <s v="OPERARIO"/>
    <s v="DESHUESADO"/>
    <s v="N/A"/>
    <s v="MAÑANA"/>
    <d v="1899-12-30T10:00:00"/>
    <s v="SABADO"/>
    <s v="SEMANA 19"/>
    <m/>
    <m/>
    <s v="DANIEL GARRIDO"/>
    <x v="10"/>
    <n v="27"/>
    <s v="Cajas"/>
    <s v="Brazo"/>
    <s v="Torsión"/>
    <s v="Otros"/>
    <s v="COLABORADOR SUFRE DOLENCIA EN MUÑECA DERECHA POR TORSION AL AFIRMAR CAJA CON PRODUCTO EN DESHUESADO"/>
    <s v="ACCION"/>
    <s v="SI"/>
    <s v="NO"/>
    <s v="ALAN CARRASCO"/>
    <s v="WLADIMIR CALDERON "/>
    <s v="MOVIMIENTO DE MATERIALES (BINS, PALLET, BANDEJAS)"/>
  </r>
  <r>
    <n v="2023"/>
    <s v="MAYO"/>
    <s v="EL PAICO"/>
    <s v="VICENCIO ARAYA"/>
    <s v="MARIANEL"/>
    <s v="FEMENINO"/>
    <s v="20424728-5"/>
    <d v="2022-01-19T00:00:00"/>
    <n v="15"/>
    <d v="2023-05-08T00:00:00"/>
    <s v="INTERMEDIO"/>
    <d v="2023-05-08T00:00:00"/>
    <d v="2023-05-15T00:00:00"/>
    <s v="N/A"/>
    <n v="8"/>
    <s v="CTP"/>
    <s v="LGF"/>
    <s v="LGF2"/>
    <x v="6"/>
    <s v="ASEO OPERACIONAL"/>
    <s v="OPERARIO"/>
    <s v="CINTA TRIMIN"/>
    <s v="CINTA TRIMIN"/>
    <s v="NOCHE"/>
    <d v="1899-12-30T01:05:00"/>
    <s v="LUNES"/>
    <s v="SEMANA 19"/>
    <n v="15681"/>
    <s v="NC-7-23."/>
    <s v="CARLOS JIMENES"/>
    <x v="7"/>
    <n v="22"/>
    <s v="Maquinarias"/>
    <s v="Manos / dedos"/>
    <s v="Contusión"/>
    <s v="Atrapamiento"/>
    <s v="COLABORADORA SUFRE CONTUSION EN MANO IZQUIERDA,  POR ATRAPAMIENTO CUANDO SE ENCONTRABA LIMPIANDO CINTA TRIMIN EN EL AREA DESHUESADO "/>
    <s v="ACCION"/>
    <s v="SI"/>
    <s v="SI"/>
    <s v="NICOLAS GOMEZ"/>
    <s v="CHISTIAN JHONS"/>
    <s v="MANIPULACION DE MATERIA PRIMA"/>
  </r>
  <r>
    <n v="2023"/>
    <s v="MAYO"/>
    <s v="EL PAICO"/>
    <s v="VAZQUEZ RIVEROS"/>
    <s v="PAMELA"/>
    <s v="FEMENINO"/>
    <s v="16985189-1"/>
    <d v="2022-12-13T00:00:00"/>
    <n v="4"/>
    <d v="2023-05-09T00:00:00"/>
    <s v="NUEVO"/>
    <s v="N/A"/>
    <s v="N/A"/>
    <s v="N/A"/>
    <n v="0"/>
    <s v="STP"/>
    <s v="N/A"/>
    <s v="N/A"/>
    <x v="5"/>
    <s v="DESHUESADO"/>
    <s v="OPERARIO"/>
    <s v="TROZADO DE PAVO"/>
    <s v="N/A"/>
    <s v="MAÑANA"/>
    <d v="1899-12-30T13:40:00"/>
    <s v="MARTES"/>
    <s v="SEMANA 19"/>
    <m/>
    <m/>
    <s v="DANIEL GARRIDO"/>
    <x v="10"/>
    <n v="37"/>
    <s v="Materia Prima"/>
    <s v="Multiples"/>
    <s v="Contusión"/>
    <s v="Caida de mismo nivel"/>
    <s v="COLABORADORA SUFRE CAIDA A NIVEL AL PISAR RESTOS DE PRODUCTOS QUE SE ENCONTRABAN EN EL PISO, CUANDO PASABA POR EL AREA DE TROZADO DE PAVO"/>
    <s v="CONDICION"/>
    <s v="SI"/>
    <s v="NO"/>
    <s v="NICOLAS GOMEZ"/>
    <s v="WLADIMIR CALDERON "/>
    <s v="TRANSITO POR AREAS DE PROCESO"/>
  </r>
  <r>
    <n v="2023"/>
    <s v="MAYO"/>
    <s v="EL PAICO"/>
    <s v="VARGAS ROJAS"/>
    <s v="TOMAS"/>
    <s v="MASCULINO"/>
    <s v="21171568-5"/>
    <d v="2023-03-14T00:00:00"/>
    <n v="2"/>
    <d v="2023-05-22T00:00:00"/>
    <s v="NUEVO"/>
    <s v="N/A"/>
    <s v="N/A"/>
    <s v="N/A"/>
    <n v="0"/>
    <s v="STP"/>
    <s v="N/A"/>
    <s v="N/A"/>
    <x v="5"/>
    <s v="DESHUESADO"/>
    <s v="OPERARIO"/>
    <s v="DESHUESADO"/>
    <s v="EQUIPO PARA MOVIMIENTO DE CARGA (GRUAS O TRANSPALETAS)"/>
    <s v="MAÑANA"/>
    <d v="1899-12-30T08:30:00"/>
    <s v="LUNES"/>
    <s v="SEMANA 21"/>
    <m/>
    <m/>
    <s v="DANIEL GARRIDO"/>
    <x v="10"/>
    <n v="19"/>
    <s v="Equipos Transporte de carga"/>
    <s v="Pie"/>
    <s v="Contusión"/>
    <s v="Golpeado por"/>
    <s v="COLABORADOR SUFRE CONTUSION EN PIE IZQUIERDO POR TRANSPALETA ELECTRICA MANEJADA POR COMPAÑERO, MIENTRAS ARREGLABA UNA CAJA EN EL AREA DE DESHUESADO"/>
    <s v="ACCION"/>
    <s v="SI"/>
    <s v="NO"/>
    <s v="NICOLAS GOMEZ"/>
    <s v="CARLOS CARTAGENA"/>
    <m/>
  </r>
  <r>
    <n v="2023"/>
    <s v="MAYO"/>
    <s v="EL PAICO"/>
    <s v="TORRES JARA"/>
    <s v="JOSE"/>
    <s v="MASCULINO"/>
    <s v="16519060-2"/>
    <d v="2023-05-22T00:00:00"/>
    <n v="0"/>
    <d v="2023-05-24T00:00:00"/>
    <s v="NUEVO"/>
    <s v="N/A"/>
    <s v="N/A"/>
    <s v="N/A"/>
    <n v="0"/>
    <s v="STP"/>
    <s v="N/A"/>
    <s v="N/A"/>
    <x v="2"/>
    <s v="COLGADO DE POLLO"/>
    <s v="OPERARIO"/>
    <s v="FAENA"/>
    <s v="N/A"/>
    <s v="MAÑANA"/>
    <d v="1899-12-30T06:30:00"/>
    <s v="MIERCOLES"/>
    <s v="SEMANA 21"/>
    <m/>
    <m/>
    <s v="NICOLAS MOYANO"/>
    <x v="2"/>
    <n v="36"/>
    <s v="Infraestructura"/>
    <s v="Brazo"/>
    <s v="Contusión"/>
    <s v="Golpeado por"/>
    <s v="COLABORADOR SUFRE CONTUSION EN ANTEBRAZO IZQUIERDO AL SER GOLPEADO POR LLAVE METALICA CUANDO SE ENCONTABA RECOGIENDO PRODUCTO PARA COLGARLO."/>
    <s v="ACCION"/>
    <s v="SI"/>
    <s v="NO"/>
    <s v="NICOLAS GOMEZ"/>
    <s v="MICHELLE SANCHEZ"/>
    <m/>
  </r>
  <r>
    <n v="2023"/>
    <s v="MAYO"/>
    <s v="EL PAICO"/>
    <s v="TAPIA GUERRA"/>
    <s v="MARIA"/>
    <s v="FEMENINO"/>
    <s v="15404921-5"/>
    <d v="2018-11-12T00:00:00"/>
    <n v="53"/>
    <d v="2023-05-02T00:00:00"/>
    <s v="ANTIGUO"/>
    <s v="N/A"/>
    <s v="N/A"/>
    <s v="N/A"/>
    <n v="0"/>
    <s v="STP"/>
    <s v="N/A"/>
    <s v="N/A"/>
    <x v="1"/>
    <s v="CALIBRADO"/>
    <s v="OPERARIO"/>
    <s v="IQF 4"/>
    <s v="N/A"/>
    <s v="MAÑANA"/>
    <d v="1899-12-30T05:35:00"/>
    <s v="MARTES"/>
    <s v="SEMANA 18"/>
    <m/>
    <m/>
    <s v="GUILLERMO NARVAEZ"/>
    <x v="17"/>
    <n v="41"/>
    <s v="Producto quimico"/>
    <s v="Multiples"/>
    <s v="Otros"/>
    <s v="Contacto con sustancias toxicas"/>
    <s v="COLABORADORA SUFRE MOLESTIAS, EN OJOS, NARIZ Y BOCA, POR EXPOSICION A ACIDO PERACETICO EN IQF 4"/>
    <s v="CONDICION"/>
    <s v="SI"/>
    <s v="NO"/>
    <s v="ALAN CARRASCO"/>
    <s v="CARLOS CARTAGENA"/>
    <m/>
  </r>
  <r>
    <n v="2023"/>
    <s v="MAYO"/>
    <s v="EL PAICO"/>
    <s v="SILVA CATALAN "/>
    <s v="SEBASTIAN "/>
    <s v="MASCULINO"/>
    <s v="16291172-4"/>
    <d v="2022-12-19T00:00:00"/>
    <n v="4"/>
    <d v="2023-05-11T00:00:00"/>
    <s v="NUEVO"/>
    <d v="2023-05-11T00:00:00"/>
    <d v="2023-05-17T00:00:00"/>
    <s v="N/A"/>
    <n v="7"/>
    <s v="CTP"/>
    <s v="N/A"/>
    <s v="N/A"/>
    <x v="6"/>
    <s v="ASEO OPERACIONAL"/>
    <s v="OPERARIO"/>
    <s v="SALA ACOPIO DE BINS"/>
    <s v="BINS"/>
    <s v="TARDE"/>
    <d v="1899-12-30T18:25:00"/>
    <s v="JUEVES"/>
    <s v="SEMANA 19"/>
    <n v="15692"/>
    <s v="NC-59-23"/>
    <s v="CARLOS JIMENES"/>
    <x v="32"/>
    <n v="37"/>
    <s v="Bins"/>
    <s v="Manos / dedos"/>
    <s v="Contusión"/>
    <s v="Golpeado contra"/>
    <s v="COLABORADOR SUFRE GOLPE EN DEDO PULGAR DE MANO DE MANO DERECHA AL ESTAR MOVILIZANDO BINS VACIOS CON TRANSPALETA MANUAL A SAL DE ACOPIO DE BINS SALA LIMPIA"/>
    <s v="ACCION"/>
    <s v="SI"/>
    <s v="SI"/>
    <s v="ALAN CARRASCO"/>
    <s v="CARLOS CARTAGENA"/>
    <s v="MOVIMIENTO DE MATERIALES (BINS, PALLET, BANDEJAS)"/>
  </r>
  <r>
    <n v="2023"/>
    <s v="MAYO"/>
    <s v="EL PAICO"/>
    <s v="SANTIS GONZÁLEZ"/>
    <s v="MAURICIO"/>
    <s v="MASCULINO"/>
    <s v="13771697-6"/>
    <d v="2005-06-01T00:00:00"/>
    <n v="215"/>
    <d v="2023-05-13T00:00:00"/>
    <s v="ANTIGUO"/>
    <s v="N/A"/>
    <s v="N/A"/>
    <s v="N/A"/>
    <n v="0"/>
    <s v="STP"/>
    <s v="N/A"/>
    <s v="N/A"/>
    <x v="7"/>
    <s v="SALA DE PULPA"/>
    <s v="OPERARIO"/>
    <s v="SALA DE PULPA"/>
    <s v="N/A"/>
    <s v="TARDE"/>
    <d v="1899-12-30T16:55:00"/>
    <s v="SABADO"/>
    <s v="SEMANA 19"/>
    <m/>
    <m/>
    <s v="OCTAVIO MUÑOZ"/>
    <x v="14"/>
    <n v="43"/>
    <s v="Maquinarias"/>
    <s v="Manos / dedos"/>
    <s v="Herida cortante"/>
    <s v="Contacto con cuerpo cortante"/>
    <s v="COLABORADOR SUFRE HERIDA CORTANTE EN DEDO INDICE SUPERIOR IZQUIERDO AL ESTAR SACANDO RINES EN SALA DE PULPA "/>
    <s v="ACCION"/>
    <s v="SI"/>
    <s v="NO"/>
    <s v="ALAN CARRASCO"/>
    <s v="WLADIMIR CALDERON "/>
    <m/>
  </r>
  <r>
    <n v="2023"/>
    <s v="MAYO"/>
    <s v="EL PAICO"/>
    <s v="SANTIBAÑEZ MARIN"/>
    <s v="KARLA"/>
    <s v="FEMENINO"/>
    <s v="17802999-1"/>
    <d v="2020-05-29T00:00:00"/>
    <n v="35"/>
    <d v="2023-05-03T00:00:00"/>
    <s v="ANTIGUO"/>
    <s v="N/A"/>
    <s v="N/A"/>
    <s v="N/A"/>
    <n v="0"/>
    <s v="STP"/>
    <s v="N/A"/>
    <s v="N/A"/>
    <x v="1"/>
    <s v="IQF 2"/>
    <s v="OPERARIO"/>
    <s v="IQF 2"/>
    <s v="TAPA DE CABEZAL DE INYECTORA IQF 2"/>
    <s v="MAÑANA"/>
    <d v="1899-12-30T05:39:00"/>
    <s v="MIERCOLES"/>
    <s v="SEMANA 18"/>
    <m/>
    <m/>
    <s v="GUILLERMO NARVAEZ"/>
    <x v="17"/>
    <n v="32"/>
    <s v="Maquinarias"/>
    <s v="Manos / dedos"/>
    <s v="Contusión"/>
    <s v="Golpeado por"/>
    <s v="COLABORADORA DE IQF-CALIBRADO SUFRE CONTUSION EN MANO DERECHA POR APLASTAMIENTO DE TAPA AL MOMENTO SE REALIZAR LIMPIENZA DE MAQUINA INYECTORA IQF-4 SE BAJA LA TAPA DEL CABEZAL GOLPEANDO SU MANO."/>
    <s v="ACCION"/>
    <s v="SI"/>
    <s v="NO"/>
    <s v="CARLOS ORELLANA"/>
    <s v="CHISTIAN JHONS"/>
    <m/>
  </r>
  <r>
    <n v="2023"/>
    <s v="MAYO"/>
    <s v="EL PAICO"/>
    <s v="ROJAS PAVEZ"/>
    <s v="FERNANDO"/>
    <s v="MASCULINO"/>
    <s v="19503953-4"/>
    <d v="2017-06-12T00:00:00"/>
    <n v="71"/>
    <d v="2023-05-26T00:00:00"/>
    <s v="ANTIGUO"/>
    <s v="N/A"/>
    <s v="N/A"/>
    <s v="N/A"/>
    <n v="0"/>
    <s v="STP"/>
    <s v="N/A"/>
    <s v="N/A"/>
    <x v="9"/>
    <s v="TROZADO DE PAVOS"/>
    <s v="OPERARIO"/>
    <s v="PASILLO C "/>
    <s v="N/A"/>
    <s v="TARDE"/>
    <d v="1899-12-30T15:30:00"/>
    <s v="VIERNES"/>
    <s v="SEMANA 21"/>
    <m/>
    <m/>
    <s v="GUILLERMO NARVAEZ"/>
    <x v="33"/>
    <n v="26"/>
    <s v="Cajas"/>
    <s v="Manos / dedos"/>
    <s v="Contusión"/>
    <s v="Golpeado por"/>
    <s v="COLABORADOR SUFRE CONTUSION EN DEDO MEÑIQUE DE MANO DERECHA CON CAJA CUANDO SE ENCONTRABA MOVILIZANDO "/>
    <s v="ACCION"/>
    <s v="SI"/>
    <s v="NO"/>
    <s v="NICOLAS GOMEZ"/>
    <s v="CARLOS CARTAGENA"/>
    <m/>
  </r>
  <r>
    <n v="2023"/>
    <s v="MAYO"/>
    <s v="EL PAICO"/>
    <s v="RIVEROS CONTRERAS"/>
    <s v="ROMANETT"/>
    <s v="FEMENINO"/>
    <s v="19211635-K"/>
    <d v="2023-04-13T00:00:00"/>
    <n v="1"/>
    <d v="2023-05-16T00:00:00"/>
    <s v="NUEVO"/>
    <d v="2023-05-16T00:00:00"/>
    <s v="N/A"/>
    <s v="N/A"/>
    <n v="0"/>
    <s v="STP"/>
    <s v="N/A"/>
    <s v="N/A"/>
    <x v="5"/>
    <s v="DESHUESADO"/>
    <s v="OPERARIO"/>
    <s v="BAÑO"/>
    <s v="N/A"/>
    <s v="TARDE"/>
    <d v="1899-12-30T18:15:00"/>
    <s v="MARTES"/>
    <s v="SEMANA 20"/>
    <n v="15700"/>
    <s v="NC-67-23"/>
    <s v="DANIEL GARRIDO"/>
    <x v="10"/>
    <n v="27"/>
    <s v="Otros"/>
    <s v="Manos / dedos"/>
    <s v="Herida cortante"/>
    <s v="Contacto con cuerpo cortante"/>
    <s v="COLABORADORA SUFRE CORTE EN MANO IZQUIERA POR CONTACTO CON TROZO DE LATA QUE SE ENCUENTRA AL INTERIOR DE ZIPER."/>
    <s v="CONDICION"/>
    <s v="NO"/>
    <s v="SI"/>
    <s v="NICOLAS GOMEZ"/>
    <s v="MICHELLE SANCHEZ"/>
    <m/>
  </r>
  <r>
    <n v="2023"/>
    <s v="MAYO"/>
    <s v="EL PAICO"/>
    <s v="REYES BUSTOS"/>
    <s v="ALEXIS"/>
    <s v="MASCULINO"/>
    <s v="20345227-6"/>
    <d v="2023-05-08T00:00:00"/>
    <n v="0"/>
    <d v="2023-05-11T00:00:00"/>
    <s v="NUEVO"/>
    <s v="N/A"/>
    <s v="N/A"/>
    <s v="N/A"/>
    <n v="0"/>
    <s v="STP"/>
    <s v="N/A"/>
    <s v="N/A"/>
    <x v="7"/>
    <s v="REPORTE DE CAJAS"/>
    <s v="OPERARIO"/>
    <s v="REPORTE DE CAJAS"/>
    <s v="CINTA DE TRANSPORTE"/>
    <s v="MAÑANA"/>
    <d v="1900-01-04T03:25:00"/>
    <s v="JUEVES"/>
    <s v="SEMANA 19"/>
    <m/>
    <m/>
    <s v="OCTAVIO MUÑOZ"/>
    <x v="12"/>
    <m/>
    <s v="Infraestructura"/>
    <s v="Manos / dedos"/>
    <s v="Contusión"/>
    <s v="Golpeado contra"/>
    <s v="COLABORADOR SUFRE CONTUSION EN DEDO ANULAR DE MANO DERECHA CUANDO SE ENCONTRABA SACANDO CAJAS DE CINTA DE TRANS`PORTE EN AREA DE REPORTE DE CAJAS "/>
    <s v="ACCION"/>
    <s v="SI"/>
    <s v="NO"/>
    <s v="NICOLAS GOMEZ"/>
    <s v="CARLOS CARTAGENA"/>
    <m/>
  </r>
  <r>
    <n v="2023"/>
    <s v="MAYO"/>
    <s v="EL PAICO"/>
    <s v="RAMIRES SOTO"/>
    <s v="RAMIRO"/>
    <s v="MASCULINO"/>
    <s v="12178535-8"/>
    <d v="1999-03-01T00:00:00"/>
    <n v="290"/>
    <d v="2023-05-19T00:00:00"/>
    <s v="ANTIGUO"/>
    <s v="N/A"/>
    <s v="N/A"/>
    <s v="N/A"/>
    <n v="0"/>
    <s v="STP"/>
    <s v="N/A"/>
    <s v="N/A"/>
    <x v="5"/>
    <s v="TROZADO AUTOMATICO"/>
    <s v="SUPERVISOR"/>
    <s v="TROZADO AUTOMATICO"/>
    <s v="N/A"/>
    <s v="MAÑANA"/>
    <d v="1899-12-30T11:00:00"/>
    <s v="VIERNES"/>
    <s v="SEMANA 20"/>
    <m/>
    <m/>
    <s v="DANIEL GARRIDO"/>
    <x v="6"/>
    <n v="51"/>
    <s v="Materia Prima"/>
    <s v="Cabeza"/>
    <s v="Contusión"/>
    <s v="Golpeado por"/>
    <s v="COLABORAOR SUFRE GOLP EN ZONA OCCIPITAL DEL CRANEO AL CAER PRODUCTO DESDE LINEA DEL PROCESO"/>
    <s v="CONDICION"/>
    <s v="SI"/>
    <s v="NO"/>
    <s v="NICOLAS GOMEZ"/>
    <s v="MICHELLE SANCHEZ"/>
    <m/>
  </r>
  <r>
    <n v="2023"/>
    <s v="MAYO"/>
    <s v="EL PAICO"/>
    <s v="ORTUBIA PAVEZ"/>
    <s v="MARIA ISABEL"/>
    <s v="FEMENINO"/>
    <s v="18960205-7"/>
    <d v="2017-04-10T00:00:00"/>
    <n v="72"/>
    <d v="2023-05-02T00:00:00"/>
    <s v="ANTIGUO"/>
    <d v="2023-05-02T00:00:00"/>
    <d v="2023-05-02T00:00:00"/>
    <s v="N/A"/>
    <n v="0"/>
    <s v="STP"/>
    <s v="N/A"/>
    <s v="N/A"/>
    <x v="5"/>
    <s v="DESHUESADO"/>
    <s v="OPERARIO"/>
    <s v="ESTACIONAMIENTO PLANTA"/>
    <s v="N/A"/>
    <s v="MAÑANA"/>
    <d v="1899-12-30T06:15:00"/>
    <s v="MARTES"/>
    <s v="SEMANA 18"/>
    <n v="155661"/>
    <s v="NC-65-23"/>
    <s v="DANIEL GARRIDO"/>
    <x v="31"/>
    <n v="28"/>
    <s v="Vehículos"/>
    <s v="Pie"/>
    <s v="Contusión"/>
    <s v="Golpeado contra"/>
    <s v="COLABORADORA SUFRE CONTUSION EN PIE IZQUIERDO AL GOLPEARSE CON SOPORTE DE ASIENTO CUANDO SE ENCONTRABA BAJANDO DE VANS DE TRANSPORTE EN ESTACIONAMIENTO DE PLANTA"/>
    <s v="ACCION"/>
    <s v="NO"/>
    <s v="SI"/>
    <s v="ALAN CARRASCO"/>
    <s v="CARLOS CARTAGENA"/>
    <s v="TRANSITO POR AREAS COMUNES"/>
  </r>
  <r>
    <n v="2023"/>
    <s v="MAYO"/>
    <s v="EL PAICO"/>
    <s v="OROZCO MENDIBURRE"/>
    <s v="KAREN"/>
    <s v="FEMENINO"/>
    <s v="15327303-0"/>
    <d v="2022-12-13T00:00:00"/>
    <n v="4"/>
    <d v="2023-05-12T00:00:00"/>
    <s v="NUEVO"/>
    <s v="N/A"/>
    <s v="N/A"/>
    <s v="N/A"/>
    <n v="0"/>
    <s v="STP"/>
    <s v="N/A"/>
    <s v="N/A"/>
    <x v="5"/>
    <s v="DESHUESADO"/>
    <s v="OPERARIO"/>
    <s v="IQF 2"/>
    <s v="N/A"/>
    <s v="TARDE"/>
    <d v="1899-12-30T20:05:00"/>
    <s v="VIERNES"/>
    <s v="SEMANA 19"/>
    <m/>
    <m/>
    <s v="DANIEL GARRIDO"/>
    <x v="31"/>
    <n v="41"/>
    <s v="Superficies de transito"/>
    <s v="Multiples"/>
    <s v="Contusión"/>
    <s v="Caida de mismo nivel"/>
    <s v="COLABORADORA SUFRE CONTUSIÓN EN ZONA ESCAPULAR, CODO Y MUÑECA DERECHA AL TRANSITITAR POR IQF 2 YA QUE SE ENCONTRABA ESCARCHA EN EL PISO. "/>
    <s v="CONDICION"/>
    <s v="SI"/>
    <s v="NO"/>
    <s v="ALAN CARRASCO"/>
    <s v="MICHELLE SANCHEZ"/>
    <s v="TRANSITO POR AREAS DE PROCESO"/>
  </r>
  <r>
    <n v="2023"/>
    <s v="MAYO"/>
    <s v="EL PAICO"/>
    <s v="MUÑOZ MARQUEZ"/>
    <s v="RAIMUNDO"/>
    <s v="MASCULINO"/>
    <s v="17008287-7"/>
    <d v="2022-11-14T00:00:00"/>
    <n v="6"/>
    <d v="2023-05-29T00:00:00"/>
    <s v="NUEVO"/>
    <s v="N/A"/>
    <s v="N/A"/>
    <s v="N/A"/>
    <n v="0"/>
    <s v="STP"/>
    <s v="N/A"/>
    <s v="N/A"/>
    <x v="2"/>
    <s v="MENUDENCIAS"/>
    <s v="OPERARIO"/>
    <s v="FAENA"/>
    <s v="N/A"/>
    <s v="TARDE"/>
    <d v="1899-12-30T16:45:00"/>
    <s v="LUNES"/>
    <s v="SEMANA 22"/>
    <m/>
    <m/>
    <s v="NICOLAS MOYANO"/>
    <x v="2"/>
    <n v="34"/>
    <s v="Materia Prima"/>
    <s v="Ojos"/>
    <s v="Conjuntivitis"/>
    <s v="Proyeccion de particulas"/>
    <s v="COLABORADOR SUFRE MOLESTIA OCULAR POR PROYECCION DE PARTICULAS (BILIS) EN OJO DERECHO AL LIMPIAR MENUDENCIAS EN EL AREA DE FAENA"/>
    <s v="ACCION"/>
    <s v="SI"/>
    <s v="NO"/>
    <s v="ALAN CARRASCO"/>
    <s v="WLADIMIR CALDERON "/>
    <m/>
  </r>
  <r>
    <n v="2023"/>
    <s v="MAYO"/>
    <s v="EL PAICO"/>
    <s v="MORENO VERGARA"/>
    <s v="NICOLE"/>
    <s v="MASCULINO"/>
    <s v="17781406-7"/>
    <d v="2023-01-24T00:00:00"/>
    <n v="3"/>
    <d v="2023-05-23T00:00:00"/>
    <s v="NUEVO"/>
    <d v="2023-05-29T00:00:00"/>
    <d v="2023-05-29T00:00:00"/>
    <s v="N/A"/>
    <n v="0"/>
    <s v="STP"/>
    <s v="N/A"/>
    <s v="N/A"/>
    <x v="6"/>
    <s v="ASEO ZONA LIMPIA"/>
    <s v="OPERARIO"/>
    <s v="DRONT POINT"/>
    <s v="N/A"/>
    <s v="NOCHE"/>
    <d v="1899-12-30T04:10:00"/>
    <s v="MARTES"/>
    <s v="SEMANA 21"/>
    <m/>
    <m/>
    <s v="CARLOS JIMENES"/>
    <x v="34"/>
    <n v="32"/>
    <s v="Materiales"/>
    <s v="Manos / dedos"/>
    <s v="Contusión"/>
    <s v="Golpeado por"/>
    <s v="COLABORADORA SUFRE CONTUSION EN MANO DERECHA AL SER GOLPEADA POR FIERRO CUANDO SE ENCONTRABA ENJUAGANDO ISHIDA"/>
    <s v="ACCION"/>
    <s v="SI"/>
    <s v="NO"/>
    <s v="NICOLAS GOMEZ"/>
    <s v="CARLOS CARTAGENA"/>
    <m/>
  </r>
  <r>
    <n v="2023"/>
    <s v="MAYO"/>
    <s v="EL PAICO"/>
    <s v="MONTOYA MONSALVE"/>
    <s v="LONDY"/>
    <s v="MASCULINO"/>
    <s v="26201884-9"/>
    <d v="2020-09-22T00:00:00"/>
    <n v="31"/>
    <d v="2023-05-02T00:00:00"/>
    <s v="ANTIGUO"/>
    <d v="2023-05-03T00:00:00"/>
    <s v="N/A"/>
    <s v="N/A"/>
    <n v="0"/>
    <s v="STP"/>
    <s v="N/A"/>
    <s v="N/A"/>
    <x v="6"/>
    <s v="ASEO OPERACIONAL"/>
    <s v="OPERARIO"/>
    <s v="DESPLUMADO"/>
    <s v="N/A"/>
    <s v="NOCHE"/>
    <d v="1899-12-30T03:10:00"/>
    <s v="MARTES"/>
    <s v="SEMANA 18"/>
    <n v="15673"/>
    <s v="NC-64-23"/>
    <s v="CARLOS JIMENEZ"/>
    <x v="9"/>
    <n v="34"/>
    <s v="Producto quimico"/>
    <s v="Ojos"/>
    <s v="Conjuntivitis"/>
    <s v="Proyeccion de particulas"/>
    <s v="COLABORADORA SUFRE MOLESTIA OCULAR POR PROYECCION DE PARTICULAS LIQUIDAS AL ROPERSE LLAVE QUE SE ENCONTRABA SANITIZANDO EN SALA DE DESPLUMADO"/>
    <s v="CONDICION"/>
    <s v="SI"/>
    <s v="SI"/>
    <s v="NICOLAS GOMEZ"/>
    <s v="WLADIMIR CALDERON "/>
    <s v="REALIZANDO LABORES DE ASEO"/>
  </r>
  <r>
    <n v="2023"/>
    <s v="MAYO"/>
    <s v="EL PAICO"/>
    <s v="LOYOLA CASTRO"/>
    <s v="MANUEL"/>
    <s v="MASCULINO"/>
    <s v="12238115-2"/>
    <d v="2000-07-06T00:00:00"/>
    <n v="274"/>
    <d v="2023-05-16T00:00:00"/>
    <s v="ANTIGUO"/>
    <s v="N/A"/>
    <s v="N/A"/>
    <s v="N/A"/>
    <n v="0"/>
    <s v="STP"/>
    <s v="N/A"/>
    <s v="N/A"/>
    <x v="9"/>
    <s v="LÍNEA DE CONOS"/>
    <s v="OPERARIO"/>
    <s v="LINEA DE CONOS"/>
    <s v="N/A"/>
    <s v="MAÑANA"/>
    <d v="1899-12-30T05:10:00"/>
    <s v="MARTES"/>
    <s v="SEMANA 20"/>
    <m/>
    <m/>
    <s v="GUILLERMO NARVAEZ"/>
    <x v="15"/>
    <n v="51"/>
    <s v="Materiales"/>
    <s v="Pie"/>
    <s v="Contusión"/>
    <s v="Golpeado por"/>
    <s v="COLABORADOR SUFRE CONTUSION EN PIE DERECHO AL CAER PISO METALICO SOBRE SU PIE CUANDO SE ENCONTRABA ORDENANDO SU 'PUESTO DE TRABAJO EN LÍNEA DE CONOS "/>
    <s v="ACCION"/>
    <s v="SI"/>
    <s v="NO"/>
    <s v="ALAN CARRASCO"/>
    <s v="MICHELLE SANCHEZ"/>
    <m/>
  </r>
  <r>
    <n v="2023"/>
    <s v="MAYO"/>
    <s v="EL PAICO"/>
    <s v="LLANTEN MELO"/>
    <s v="JONATHAN"/>
    <s v="MASCULINO"/>
    <s v="16181057-6"/>
    <d v="2007-02-01T00:00:00"/>
    <n v="195"/>
    <d v="2023-05-17T00:00:00"/>
    <s v="ANTIGUO"/>
    <d v="2023-05-18T00:00:00"/>
    <d v="2023-05-24T00:00:00"/>
    <s v="N/A"/>
    <n v="7"/>
    <s v="CTP"/>
    <s v="LGF"/>
    <s v="LGF2"/>
    <x v="5"/>
    <s v="DESHUESADO"/>
    <s v="OPERARADOR TECNICO "/>
    <s v="Carrusel HQ sur"/>
    <s v="HQ sur"/>
    <s v="TARDE"/>
    <d v="1899-12-30T22:55:00"/>
    <s v="JUEVES"/>
    <s v="SEMANA 20"/>
    <n v="15701"/>
    <s v="NC-71-23"/>
    <s v="DANIEL GARRIDO"/>
    <x v="10"/>
    <n v="37"/>
    <s v="Maquinarias"/>
    <s v="Manos / dedos"/>
    <s v="Atrición"/>
    <s v="Atrapamiento"/>
    <s v="COLABORADOR SUFRE ATRISION EN DEDO ANULAR DE MANO DERECHA POR ATRAPAMIENTO MIENTRAS SE ENCONTRABA REALIZABNDO GIRO EN CARRUSEL DE MAQUINA HQ DE MANERA MANUAL "/>
    <s v="ACCION"/>
    <s v="SI"/>
    <s v="SI"/>
    <s v="NICOLAS GOMEZ"/>
    <s v="CARLOS CARTAGENA"/>
    <m/>
  </r>
  <r>
    <n v="2023"/>
    <s v="MAYO"/>
    <s v="EL PAICO"/>
    <s v="HUINAO CARTAGENA"/>
    <s v="MANUEL"/>
    <s v="MASCULINO"/>
    <s v="15403657-1"/>
    <d v="2022-11-04T00:00:00"/>
    <n v="6"/>
    <d v="2023-05-30T00:00:00"/>
    <s v="NUEVO"/>
    <s v="N/A"/>
    <s v="N/A"/>
    <s v="N/A"/>
    <n v="0"/>
    <s v="STP"/>
    <s v="N/A"/>
    <s v="N/A"/>
    <x v="1"/>
    <s v="IQF"/>
    <s v="OPERARIO"/>
    <s v="IQF 1"/>
    <s v="N/A"/>
    <s v="TARDE"/>
    <d v="1899-12-30T17:50:00"/>
    <s v="MARTES"/>
    <s v="SEMANA 22"/>
    <m/>
    <m/>
    <s v="GUILLERMO NARVAEZ"/>
    <x v="21"/>
    <n v="40"/>
    <s v="Animales - Insectos"/>
    <s v="Brazo"/>
    <s v="Otros"/>
    <s v="Picadura"/>
    <s v="COLABORADOR SUFRE PICADURA DE INSECTO EN BRAZO DERECHO CUANDO SE ENCONTRABA PASANDO BANDEJAS EN IQF 1"/>
    <s v="ACCION"/>
    <s v="SI"/>
    <s v="NO"/>
    <s v="NICOLAS GOMEZ"/>
    <s v="CARLOS CARTAGENA"/>
    <m/>
  </r>
  <r>
    <n v="2023"/>
    <s v="MAYO"/>
    <s v="EL PAICO"/>
    <s v="GONZALEZ ESCARATE"/>
    <s v="PABLO"/>
    <s v="MASCULINO"/>
    <s v="20880331-K"/>
    <d v="2023-03-13T00:00:00"/>
    <n v="2"/>
    <d v="2023-05-13T00:00:00"/>
    <s v="NUEVO"/>
    <s v="N/A"/>
    <s v="N/A"/>
    <s v="N/A"/>
    <n v="0"/>
    <s v="STP"/>
    <s v="N/A"/>
    <s v="N/A"/>
    <x v="2"/>
    <s v="CHILLER"/>
    <s v="OPERARIO"/>
    <s v="CHILLER CORAZON"/>
    <s v="N/A"/>
    <s v="MAÑANA"/>
    <d v="1899-12-30T08:25:00"/>
    <s v="SABADO"/>
    <s v="SEMANA 19"/>
    <m/>
    <m/>
    <s v="NICOLAS MOYANO"/>
    <x v="2"/>
    <n v="21"/>
    <s v="Materia Prima"/>
    <s v="Ojos"/>
    <s v="Conjuntivitis"/>
    <s v="Proyeccion de particulas"/>
    <s v="COLABIORADOR SUFRE MOLESTIA OCULAR POR PROYECCION DE PARTICULAS LIQUIDAS, MIENTRAS SE ENCONTRABA SEPARANDO PRODUCTO EN CHILLER DE CORAZON"/>
    <s v="ACCION"/>
    <s v="SI"/>
    <s v="NO"/>
    <s v="ALAN CARRASCO"/>
    <s v="WLADIMIR CALDERON "/>
    <m/>
  </r>
  <r>
    <n v="2023"/>
    <s v="MAYO"/>
    <s v="EL PAICO"/>
    <s v="ESPINOZA PADILLA"/>
    <s v="PAULINA"/>
    <s v="FEMENINO"/>
    <s v="17133880-8"/>
    <d v="2022-06-14T00:00:00"/>
    <n v="10"/>
    <d v="2023-05-03T00:00:00"/>
    <s v="INTERMEDIO"/>
    <s v="N/A"/>
    <s v="N/A"/>
    <s v="N/A"/>
    <n v="0"/>
    <s v="STP"/>
    <s v="N/A"/>
    <s v="N/A"/>
    <x v="1"/>
    <s v="CALIBRADO"/>
    <s v="OPERARIO"/>
    <s v="CALIBRADO"/>
    <s v="N/A"/>
    <s v="TARDE"/>
    <d v="1899-12-30T22:30:00"/>
    <s v="MIERCOLES"/>
    <s v="SEMANA 18"/>
    <m/>
    <m/>
    <s v="GUILLERMO NARVAEZ"/>
    <x v="1"/>
    <n v="34"/>
    <s v="Cajas"/>
    <s v="Tronco"/>
    <s v="Contusión"/>
    <s v="Golpeado por"/>
    <s v="COLABORADORA DE IQF-CALIBRADO SUFRE CONTUSION EN ZONA TORAXICA AL MOMENTO DE RETIRAR UNA CAJA DE LA LINEA DE TRABAJO"/>
    <s v="ACCION"/>
    <s v="SI"/>
    <s v="NO"/>
    <s v="NICOLAS GOMEZ"/>
    <s v="CHISTIAN JHONS"/>
    <m/>
  </r>
  <r>
    <n v="2023"/>
    <s v="MAYO"/>
    <s v="EL PAICO"/>
    <s v="DIAZ ROJAS"/>
    <s v="KATIUSKA "/>
    <s v="FEMENINO"/>
    <s v="16817017-3"/>
    <d v="2023-01-17T00:00:00"/>
    <n v="3"/>
    <d v="2023-05-03T00:00:00"/>
    <s v="NUEVO"/>
    <s v="N/A"/>
    <s v="N/A"/>
    <s v="N/A"/>
    <n v="0"/>
    <s v="STP"/>
    <s v="N/A"/>
    <s v="N/A"/>
    <x v="5"/>
    <s v="DESHUESADO"/>
    <s v="OPERARIO"/>
    <s v="DESHUESADO"/>
    <s v="N/A"/>
    <s v="TARDE"/>
    <d v="1899-12-30T18:30:00"/>
    <s v="MIERCOLES"/>
    <s v="SEMANA 18"/>
    <m/>
    <m/>
    <s v="DANIEL GARRIDO"/>
    <x v="10"/>
    <n v="35"/>
    <s v="Bandejas"/>
    <s v="Manos / dedos"/>
    <s v="Contusión"/>
    <s v="Sobreesfuerzo"/>
    <s v="COLABORADORA DE TPO SUFRE CONTUSION E INFLAMACION EN MANO DERECHA AL MOMENTO DE LEVANTAR BANDEJA EN SALA DE DESHUEZADO MIENTRAS REALIZABA LABORES DE PROLIJADO"/>
    <s v="ACCION"/>
    <s v="SI"/>
    <s v="NO"/>
    <s v="NICOLAS GOMEZ"/>
    <s v="CHISTIAN JHONS"/>
    <s v="LABORES DE PROLIJADO DE PECHUGA"/>
  </r>
  <r>
    <n v="2023"/>
    <s v="MAYO"/>
    <s v="EL PAICO"/>
    <s v="DIAZ ALABARCE"/>
    <s v="YERCO"/>
    <s v="MASCULINO"/>
    <s v="16241507-7"/>
    <d v="2023-01-16T00:00:00"/>
    <n v="4"/>
    <d v="2023-05-16T00:00:00"/>
    <s v="NUEVO"/>
    <d v="2023-05-16T00:00:00"/>
    <s v="N/A"/>
    <s v="N/A"/>
    <n v="0"/>
    <s v="STP"/>
    <s v="N/A"/>
    <s v="N/A"/>
    <x v="2"/>
    <s v="CALIBRADO DE PAVOS"/>
    <s v="OPERARIO"/>
    <s v="BAÑO"/>
    <s v="N/A"/>
    <s v="MAÑANA"/>
    <d v="1899-12-30T12:10:00"/>
    <s v="MARTES"/>
    <s v="SEMANA 20"/>
    <n v="15699"/>
    <s v="NC-68-23"/>
    <s v="NICOLAS MOYANO"/>
    <x v="11"/>
    <n v="37"/>
    <s v="Infraestructura"/>
    <s v="Pie"/>
    <s v="Herida cortante"/>
    <s v="Caida de mismo nivel"/>
    <s v="COLABORADOR SUFRE HERIDA CORTANTE EN PIE DERECHO POR CERAMICA EN MALAS CONDICIONES AL CAER EN BAÑO DE LA PLANTA"/>
    <s v="CONDICION"/>
    <s v="NO"/>
    <s v="SI"/>
    <s v="ALAN CARRASCO"/>
    <s v="MICHELLE SANCHEZ"/>
    <m/>
  </r>
  <r>
    <n v="2023"/>
    <s v="MAYO"/>
    <s v="EL PAICO"/>
    <s v="CHACON "/>
    <s v="SOLEDAD"/>
    <s v="FEMENINO"/>
    <s v="15325840-6"/>
    <d v="2014-05-02T00:00:00"/>
    <n v="108"/>
    <d v="2023-05-08T00:00:00"/>
    <s v="ANTIGUO"/>
    <d v="2023-05-08T00:00:00"/>
    <d v="2023-05-08T00:00:00"/>
    <s v="N/A"/>
    <n v="0"/>
    <s v="STP"/>
    <s v="N/A"/>
    <s v="N/A"/>
    <x v="5"/>
    <s v="AUTOMATICO"/>
    <s v="OPERARIO"/>
    <s v="LÍNEA ALA MEDIA"/>
    <s v="N/A"/>
    <s v="MAÑANA"/>
    <d v="1899-12-30T09:30:00"/>
    <s v="LUNES"/>
    <s v="SEMANA 19"/>
    <m/>
    <m/>
    <s v="DANIEL GARRIDO"/>
    <x v="28"/>
    <n v="41"/>
    <s v="Cajas"/>
    <s v="Espalda"/>
    <s v="Otros"/>
    <s v="Sobreesfuerzo"/>
    <s v="COLABORADORA SUFRE DOLOR EN ZONA DORSAL DERECHA CUANDO SE ENCONTRABA MOVIENDO BANDEJAS CON PRODUCTO EN LÍNEA DE ALA MEDIA "/>
    <s v="ACCION"/>
    <s v="SI"/>
    <s v="NO"/>
    <s v="NICOLAS GOMEZ"/>
    <s v="MICHELLE SANCHEZ"/>
    <s v="MOVIMIENTO DE MATERIALES (BINS, PALLET, BANDEJAS)"/>
  </r>
  <r>
    <n v="2023"/>
    <s v="MAYO"/>
    <s v="EL PAICO"/>
    <s v="CASTILLO GUICO"/>
    <s v="JOSE"/>
    <s v="MASCULINO"/>
    <s v="19213143-K"/>
    <d v="2022-08-18T00:00:00"/>
    <n v="8"/>
    <d v="2023-05-03T00:00:00"/>
    <s v="INTERMEDIO"/>
    <s v="N/A"/>
    <s v="N/A"/>
    <s v="N/A"/>
    <n v="0"/>
    <s v="STP"/>
    <s v="N/A"/>
    <s v="N/A"/>
    <x v="2"/>
    <s v="EVICERADO"/>
    <s v="OPERARIO"/>
    <s v="EVICERADO"/>
    <s v="N/A"/>
    <s v="MAÑANA"/>
    <d v="1899-12-30T15:55:00"/>
    <s v="MIERCOLES"/>
    <s v="SEMANA 18"/>
    <m/>
    <m/>
    <s v="NICOLAS MOYANO"/>
    <x v="4"/>
    <n v="26"/>
    <s v="Materia Prima"/>
    <s v="Ojos"/>
    <s v="Conjuntivitis"/>
    <s v="Proyeccion de particulas"/>
    <s v="COLABORADOR SUFRE PROYECCION DE BILIS EN OJO IZQUIERDO CUANDO SE ENCONTRABA  COLGANDO PANAS EN EL AREA DE EVICERADO"/>
    <s v="ACCION"/>
    <s v="SI"/>
    <s v="NO"/>
    <s v="NICOLAS GOMEZ"/>
    <s v="CHISTIAN JHONS"/>
    <m/>
  </r>
  <r>
    <n v="2023"/>
    <s v="MAYO"/>
    <s v="EL PAICO"/>
    <s v="CACERES PALMA"/>
    <s v="CRISTOPHER"/>
    <s v="MASCULINO"/>
    <s v="19211902-2"/>
    <d v="2016-11-21T00:00:00"/>
    <n v="77"/>
    <d v="2023-05-20T00:00:00"/>
    <s v="ANTIGUO"/>
    <d v="2023-05-22T00:00:00"/>
    <d v="2023-06-02T00:00:00"/>
    <s v="N/A"/>
    <n v="12"/>
    <s v="CTP"/>
    <s v="LGF"/>
    <s v="LGF8"/>
    <x v="6"/>
    <s v="ASEO ZONA LIMPIA"/>
    <s v="OPERARIO"/>
    <s v="DESHUESADO"/>
    <s v="HQ "/>
    <s v="NOCHE"/>
    <d v="1899-12-30T05:00:00"/>
    <s v="SABADO"/>
    <s v="SEMANA 20"/>
    <n v="15707"/>
    <s v="NC-70-23"/>
    <s v="CARLOS JIMENES"/>
    <x v="7"/>
    <n v="27"/>
    <s v="Gases - vapores"/>
    <s v="Pierna"/>
    <s v="Quemadura"/>
    <s v="Otros"/>
    <s v="COLABORADOR SUFRE QUEMADURA EN PIERNA DERECHA POR VAPOR, AL ESTAR CERRANDO LLAVE DE PASO DE DUCTO EN SALA DE DESHUESADO."/>
    <s v="ACCION"/>
    <s v="SI"/>
    <s v="SI"/>
    <s v="ALAN CARRASCO"/>
    <s v="WLADIMIR CALDERON "/>
    <m/>
  </r>
  <r>
    <n v="2023"/>
    <s v="MAYO"/>
    <s v="EL PAICO"/>
    <s v="ARAVENA NUÑEZ"/>
    <s v="ROCÍO"/>
    <s v="FEMENINO"/>
    <s v="20060554-3"/>
    <d v="1999-07-18T00:00:00"/>
    <n v="285"/>
    <d v="2023-05-02T00:00:00"/>
    <s v="ANTIGUO"/>
    <s v="N/A"/>
    <s v="N/A"/>
    <s v="N/A"/>
    <n v="0"/>
    <s v="STP"/>
    <s v="N/A"/>
    <s v="N/A"/>
    <x v="4"/>
    <s v="CAMARA"/>
    <s v="OPERARIO"/>
    <s v="DESPACHO"/>
    <s v="N/A"/>
    <s v="NOCHE"/>
    <d v="1899-12-30T22:10:00"/>
    <s v="MARTES"/>
    <s v="SEMANA 18"/>
    <m/>
    <m/>
    <s v="FRANCISCO QUEZADA"/>
    <x v="35"/>
    <n v="23"/>
    <s v="Cajas"/>
    <s v="Brazo"/>
    <s v="Contusión"/>
    <s v="Golpeado contra"/>
    <s v="COLABORADORA SUFRE CONTUSION EN BRAZO IZQUIERDO AL SER GOLPEADA POR EL CONTRARIO CAJA DE PRODUCTO (12KILOS) EN SECTOR DESPACHO DEL AREA DE FRIGORIFICO"/>
    <s v="ACCION"/>
    <s v="SI"/>
    <s v="NO"/>
    <s v="NICOLAS GOMEZ"/>
    <s v="CARLOS CARTAGENA"/>
    <m/>
  </r>
  <r>
    <n v="2023"/>
    <s v="MAYO"/>
    <s v="EL PAICO"/>
    <s v="AHUMADA CASTILLO"/>
    <s v="JUAN "/>
    <s v="MASCULINO"/>
    <s v="18096461-4"/>
    <d v="2022-07-12T00:00:00"/>
    <n v="10"/>
    <d v="2023-05-16T00:00:00"/>
    <s v="INTERMEDIO"/>
    <s v="N/A"/>
    <s v="N/A"/>
    <s v="N/A"/>
    <n v="0"/>
    <s v="STP"/>
    <s v="N/A"/>
    <s v="N/A"/>
    <x v="8"/>
    <s v="MANTENCION"/>
    <s v="OPERARIO"/>
    <s v="MONTESA"/>
    <s v="EQUIPO PARA MOVIMIENTO DE CARGA (GRUAS O TRANSPALETAS)"/>
    <s v="MAÑANA"/>
    <d v="1899-12-30T11:30:00"/>
    <s v="SABADO"/>
    <s v="SEMANA 18"/>
    <m/>
    <m/>
    <s v="VICTOR GOMEZ"/>
    <x v="36"/>
    <n v="31"/>
    <s v="Equipos Transporte de carga"/>
    <s v="Pie"/>
    <s v="Contusión"/>
    <s v="Golpeado por"/>
    <s v="COLABORADOR SUFRE CONTUSION EN PIE DERECHO AL SER GOLPEADO POR TRANSPALETA MANUAL, CUANDO SE DIRIGIA HA MAQUINA ESMIPACK "/>
    <s v="ACCION"/>
    <s v="SI"/>
    <s v="NO"/>
    <s v="ALAN CARRASCO"/>
    <s v="CARLOS CARTAGENA"/>
    <m/>
  </r>
  <r>
    <n v="2023"/>
    <s v="JUNIO"/>
    <s v="EL PAICO"/>
    <s v="ZURITA LEIVA"/>
    <s v="JORGE"/>
    <s v="MASCULINO"/>
    <s v="13771226-1"/>
    <d v="2000-10-18T00:00:00"/>
    <n v="271"/>
    <d v="2023-06-13T00:00:00"/>
    <s v="ANTIGUO"/>
    <s v="N/A"/>
    <s v="N/A"/>
    <s v="N/A"/>
    <n v="0"/>
    <s v="STP"/>
    <s v="N/A"/>
    <s v="N/A"/>
    <x v="4"/>
    <s v="CAMARA"/>
    <s v="OPERADOR DE MAQUINA"/>
    <s v="SALA BATERIAS"/>
    <s v="N/A"/>
    <s v="TARDE"/>
    <d v="1899-12-30T17:50:00"/>
    <s v="MARTES"/>
    <s v="SEMANA 24"/>
    <m/>
    <m/>
    <s v="FRANCISCO QUEZADA"/>
    <x v="29"/>
    <n v="43"/>
    <s v="Otros"/>
    <s v="Ojos"/>
    <s v="Conjuntivitis"/>
    <s v="Proyeccion de particulas"/>
    <s v="COLABORADOR SUFRE MOLESTIA OCULAR POR PROYECCION DE PARTICULAS LIQUIDAS CUANDO SE ENCONTRABA REALIZANDO CAMBIO DE BATERIA."/>
    <s v="ACCION"/>
    <s v="SI"/>
    <s v="NO"/>
    <s v="ALAN CARRASCO"/>
    <s v="WLADIMIR CALDERON "/>
    <m/>
  </r>
  <r>
    <n v="2023"/>
    <s v="JUNIO"/>
    <s v="EL PAICO"/>
    <s v="VARGAS HERNANDEZ"/>
    <s v="LUIS"/>
    <s v="MASCULINO"/>
    <s v="9947369-K"/>
    <d v="2015-04-20T00:00:00"/>
    <n v="97"/>
    <d v="2023-06-17T00:00:00"/>
    <s v="ANTIGUO"/>
    <d v="2023-06-19T00:00:00"/>
    <d v="2023-06-23T00:00:00"/>
    <s v="N/A"/>
    <n v="5"/>
    <s v="CTP"/>
    <s v="N/A"/>
    <s v="N/A"/>
    <x v="2"/>
    <s v="EVICERADO PAVOS"/>
    <s v="OPERARIO"/>
    <s v="CHILLER MENUDENCIA"/>
    <s v="N/A"/>
    <s v="MAÑANA"/>
    <d v="1899-12-30T10:20:00"/>
    <s v="SABADO"/>
    <s v="SEMANA 24"/>
    <n v="15761"/>
    <s v="NC-101-23"/>
    <s v="NICOLAS MOYANO"/>
    <x v="11"/>
    <n v="58"/>
    <s v="Superficies de transito"/>
    <s v="Espalda"/>
    <s v="Contusión"/>
    <s v="Caida de mismo nivel"/>
    <s v="COLABORADOR SUFRE GOLPE EN ESPALDA POR CAIDA MISMO NIVEL CUANDO TRANSITABA POR PASILLO DE CHILLER MENUDENCIAS "/>
    <s v="CONDICION"/>
    <s v="SI"/>
    <s v="SI"/>
    <s v="ALAN CARRASCO"/>
    <s v="SANDRA LAYANA"/>
    <m/>
  </r>
  <r>
    <n v="2023"/>
    <s v="JUNIO"/>
    <s v="EL PAICO"/>
    <s v="TORRES ALVARADO"/>
    <s v="BRYAN"/>
    <s v="MASCULINO"/>
    <s v="20722483-9"/>
    <d v="2021-04-12T00:00:00"/>
    <n v="25"/>
    <d v="2023-06-08T00:00:00"/>
    <s v="ANTIGUO"/>
    <s v="N/A"/>
    <s v="N/A"/>
    <s v="N/A"/>
    <n v="0"/>
    <s v="STP"/>
    <s v="N/A"/>
    <s v="N/A"/>
    <x v="2"/>
    <s v="EVISCERADO POLLOS"/>
    <s v="OPERARIO"/>
    <s v="EVICERADO"/>
    <s v="N/A"/>
    <s v="MAÑANA"/>
    <d v="1899-12-30T11:50:00"/>
    <s v="JUEVES"/>
    <s v="SEMANA 23"/>
    <m/>
    <m/>
    <s v="NICOLAS MOYANO"/>
    <x v="4"/>
    <n v="21"/>
    <s v="Materia Prima"/>
    <s v="Ojos"/>
    <s v="Conjuntivitis"/>
    <s v="Proyeccion de particulas"/>
    <s v="COLABORADOR SUFRE MOLESTIA OCULAR POR PROYECCION DE PARTICULAS CUANDO ESTABA ASPIRANDO POLLO "/>
    <s v="ACCION"/>
    <s v="SI"/>
    <s v="NO"/>
    <s v="NICOLAS GOMEZ"/>
    <s v="CHISTIAN JHONS"/>
    <m/>
  </r>
  <r>
    <n v="2023"/>
    <s v="JUNIO"/>
    <s v="EL PAICO"/>
    <s v="TORRES ALVARADO"/>
    <s v="BRYAN"/>
    <s v="MASCULINO"/>
    <s v="20722483-9"/>
    <d v="2021-04-12T00:00:00"/>
    <n v="26"/>
    <d v="2023-06-14T00:00:00"/>
    <s v="ANTIGUO"/>
    <s v="N/A"/>
    <s v="N/A"/>
    <s v="N/A"/>
    <n v="0"/>
    <s v="STP"/>
    <s v="N/A"/>
    <s v="N/A"/>
    <x v="2"/>
    <s v="EVISCERADO POLLOS"/>
    <s v="OPERARIO"/>
    <s v="EVICERADO"/>
    <s v="N/A"/>
    <s v="MAÑANA"/>
    <m/>
    <s v="MIERCOLES"/>
    <s v="SEMANA 24"/>
    <m/>
    <m/>
    <s v="NICOLAS MOYANO"/>
    <x v="37"/>
    <n v="21"/>
    <s v="Materiales"/>
    <s v="Brazo"/>
    <s v="Herida cortante"/>
    <s v="Contacto con cuerpo cortante"/>
    <s v="COLABORADOR SUFRE HERIDA CORTANTE LEVE EN BRAZO IZQUIERDO POR CUCHILLO AL ESTAR CORTANDO PECHUGA DE POLLO "/>
    <s v="ACCION"/>
    <s v="SI"/>
    <s v="NO"/>
    <s v="NICOLAS GOMEZ"/>
    <s v="CARLOS CARTAGENA"/>
    <m/>
  </r>
  <r>
    <n v="2023"/>
    <s v="JUNIO"/>
    <s v="EL PAICO"/>
    <s v="TORO OROSCO"/>
    <s v="GIANINA"/>
    <s v="FEMENINO"/>
    <s v="17518601-8"/>
    <d v="2019-01-14T00:00:00"/>
    <n v="52"/>
    <d v="2023-06-01T00:00:00"/>
    <s v="ANTIGUO"/>
    <d v="2023-06-07T00:00:00"/>
    <d v="2023-06-07T00:00:00"/>
    <s v="N/A"/>
    <n v="0"/>
    <s v="STP"/>
    <s v="N/A"/>
    <s v="N/A"/>
    <x v="6"/>
    <s v="ASEO"/>
    <s v="OPERARIO"/>
    <s v="DROP POINT"/>
    <s v="N/A"/>
    <s v="NOCHE"/>
    <d v="1899-12-30T02:50:00"/>
    <s v="JUEVES"/>
    <s v="SEMANA 22"/>
    <n v="15749"/>
    <s v="NC-106-23"/>
    <s v="CARLOS JIMENEZ"/>
    <x v="7"/>
    <n v="34"/>
    <s v="Superficies de trabajo"/>
    <s v="Manos / dedos"/>
    <s v="Contusión"/>
    <s v="Caida de mismo nivel"/>
    <s v="COLABORADORA SUFRE CONTUSIÓN EN MANO IZQUIERDA POR CAIDA MISMO NIVEL MIENTRAS TRASLADABA MANGUERA EN MAQUINA DROP POINT EN CALIBRADO AL ENCONTRASERSE REALIZANDO ASEO PRE-OPERACIONAL"/>
    <s v="ACCION"/>
    <s v="SI"/>
    <s v="SI"/>
    <s v="ALAN CARRASCO"/>
    <s v="WLADIMIR CALDERON "/>
    <m/>
  </r>
  <r>
    <n v="2023"/>
    <s v="JUNIO"/>
    <s v="EL PAICO"/>
    <s v="RUBIO LOPEZ"/>
    <s v="CLAUDIA"/>
    <s v="FEMENINO"/>
    <s v="12723602-K"/>
    <d v="2007-06-01T00:00:00"/>
    <n v="192"/>
    <d v="2023-06-02T00:00:00"/>
    <s v="ANTIGUO"/>
    <d v="2023-06-05T00:00:00"/>
    <d v="2023-06-05T00:00:00"/>
    <s v="N/A"/>
    <n v="0"/>
    <s v="STP"/>
    <s v="N/A"/>
    <s v="N/A"/>
    <x v="7"/>
    <s v="REPORTE LINEA ISHIDA B"/>
    <s v="OPERARIO"/>
    <s v="REPORTE DE CAJAS"/>
    <s v="N/A"/>
    <s v="MAÑANA"/>
    <d v="1899-12-30T07:40:00"/>
    <s v="VIERNES"/>
    <s v="SEMANA 22"/>
    <n v="15729"/>
    <s v="NC-107-23"/>
    <s v="OCTAVIO MUÑOZ"/>
    <x v="38"/>
    <n v="48"/>
    <s v="Materiales"/>
    <s v="Manos / dedos"/>
    <s v="Contusión"/>
    <s v="Golpeado por"/>
    <s v="COLABORADORA SUFRE CONTUSIÓN EN DEDO INDICE DERECHO POR ROLLO DE LAMINAS CUANDO SE ENCONTRABA SACANDO ESTE DE MUEBLE CON EL OBJETIVO DE SER CAMBIADO"/>
    <s v="ACCION"/>
    <s v="SI"/>
    <s v="SI"/>
    <s v="NICOLAS GOMEZ"/>
    <s v="WLADIMIR CALDERON "/>
    <m/>
  </r>
  <r>
    <n v="2023"/>
    <s v="JUNIO"/>
    <s v="EL PAICO"/>
    <s v="RODRIGUEZ MONJES"/>
    <s v="ANYBEL"/>
    <s v="FEMENINO"/>
    <s v="27091787-9"/>
    <d v="2020-03-16T00:00:00"/>
    <n v="38"/>
    <d v="2023-06-02T00:00:00"/>
    <s v="ANTIGUO"/>
    <s v="N/A"/>
    <s v="N/A"/>
    <s v="N/A"/>
    <n v="0"/>
    <s v="STP"/>
    <s v="N/A"/>
    <s v="N/A"/>
    <x v="5"/>
    <s v="DESHUESADO"/>
    <s v="OPERARIO"/>
    <s v="DESHUESADO"/>
    <s v="N/A"/>
    <s v="MAÑANA"/>
    <d v="1899-12-30T07:45:00"/>
    <s v="VIERNES"/>
    <s v="SEMANA 22"/>
    <m/>
    <m/>
    <s v="DANIEL GARRIDO"/>
    <x v="31"/>
    <n v="32"/>
    <s v="Materia Prima"/>
    <s v="Ojos"/>
    <s v="Conjuntivitis"/>
    <s v="Proyeccion de particulas"/>
    <s v="COLABORADOR SUFRE MOLESTIA OCULAR POR PROYECCION DE PARTICULAS AL ESTAR SELECCIONANDO PECHUGA EN LINEA DESHUESADO "/>
    <s v="ACCION"/>
    <s v="SI"/>
    <s v="NO"/>
    <s v="NICOLAS GOMEZ"/>
    <s v="WLADIMIR CALDERON "/>
    <m/>
  </r>
  <r>
    <n v="2023"/>
    <s v="JUNIO"/>
    <s v="EL PAICO"/>
    <s v="QUISPE CHASIQUIZA"/>
    <s v="MARIA FERNANDA"/>
    <s v="FEMENINO"/>
    <s v="26068322-5"/>
    <d v="2023-01-09T00:00:00"/>
    <n v="5"/>
    <d v="2023-06-28T00:00:00"/>
    <s v="NUEVO"/>
    <d v="2023-06-29T00:00:00"/>
    <d v="2023-07-04T00:00:00"/>
    <s v="N/A"/>
    <n v="6"/>
    <s v="CTP"/>
    <s v="N/A"/>
    <s v="N/A"/>
    <x v="4"/>
    <s v="CAMARA"/>
    <s v="OPERARIO"/>
    <s v="CAMARA"/>
    <s v="N/A"/>
    <s v="MAÑANA"/>
    <d v="1899-12-30T10:30:00"/>
    <s v="MIERCOLES"/>
    <s v="SEMANA 26"/>
    <n v="15779"/>
    <s v="NC-102-23"/>
    <s v="FRANCISCO QUEZADA"/>
    <x v="39"/>
    <n v="40"/>
    <s v="Materia Prima"/>
    <s v="Manos / dedos"/>
    <s v="Contusión"/>
    <s v="Golpeado por"/>
    <s v="COLABORADORA SUFRE CONTUSION EN DEDO MEÑIQUE DE MANO IZQUIERDA AL SER GOLPEADA POR BLOQUE DE PECHUGA DE POLLO CONGELADA CUANDO SE ENCONTRABA VOLTEANDO ESTOS EN SALA DE EMPAQUE "/>
    <s v="ACCION"/>
    <s v="SI"/>
    <s v="SI"/>
    <s v="NICOLAS GOMEZ"/>
    <s v="CHISTIAN JHONS"/>
    <m/>
  </r>
  <r>
    <n v="2023"/>
    <s v="JUNIO"/>
    <s v="EL PAICO"/>
    <s v="MONTENEGRO GALLARDO"/>
    <s v="RAUL"/>
    <s v="MASCULINO"/>
    <s v="21623760-9"/>
    <d v="2022-11-29T00:00:00"/>
    <n v="6"/>
    <d v="2023-06-12T00:00:00"/>
    <s v="NUEVO"/>
    <d v="2023-06-12T00:00:00"/>
    <d v="2023-06-12T00:00:00"/>
    <s v="N/A"/>
    <n v="0"/>
    <s v="STP"/>
    <s v="N/A"/>
    <s v="N/A"/>
    <x v="5"/>
    <s v="DESHUESADO"/>
    <s v="OPERARIO"/>
    <s v="CAMARA 208"/>
    <s v="N/A"/>
    <s v="MAÑANA"/>
    <d v="1899-12-30T07:45:00"/>
    <s v="LUNES"/>
    <s v="SEMANA 24"/>
    <n v="15748"/>
    <s v="NC-108-23"/>
    <s v="DANIEL GARRIDO"/>
    <x v="31"/>
    <n v="19"/>
    <s v="Superficies de transito"/>
    <s v="Multiples"/>
    <s v="Contusión"/>
    <s v="Caida de mismo nivel"/>
    <s v="COLABORADOR SUFRE CONTUSION EN TOBILLO Y RODILLA DERECHA, POR CAIDA MISMO NIVEL PRODUTO DE PRESENCIA DE HIELO EN SUPERFICIE DE TRANSITO EN CAMARA 208"/>
    <s v="CONDICION"/>
    <s v="SI"/>
    <s v="SI"/>
    <s v="ALAN CARRASCO"/>
    <s v="CHISTIAN JHONS"/>
    <m/>
  </r>
  <r>
    <n v="2023"/>
    <s v="JUNIO"/>
    <s v="EL PAICO"/>
    <s v="MALDONADO ACEVEDO"/>
    <s v="FELIPE"/>
    <s v="MASCULINO"/>
    <s v="18667787-0"/>
    <d v="2023-06-01T00:00:00"/>
    <n v="0"/>
    <d v="2023-06-30T00:00:00"/>
    <s v="NUEVO"/>
    <d v="2023-07-03T00:00:00"/>
    <d v="2023-07-03T00:00:00"/>
    <s v="N/A"/>
    <n v="0"/>
    <s v="STP"/>
    <s v="N/A"/>
    <s v="N/A"/>
    <x v="1"/>
    <s v="CALIBRADO"/>
    <s v="OPERARIO"/>
    <s v="CALIBRADO"/>
    <s v="N/A"/>
    <s v="MAÑANA"/>
    <d v="1899-12-30T10:30:00"/>
    <s v="VIERNES"/>
    <s v="SEMANA 26"/>
    <n v="15784"/>
    <s v="NC-98-23"/>
    <s v="GUILLERMO NARVAEZ"/>
    <x v="21"/>
    <m/>
    <s v="Infraestructura"/>
    <s v="Pie"/>
    <s v="Contusión"/>
    <s v="Golpeado contra"/>
    <s v="COLABORADOR SUFRE CONTUSION EN PIE IZQUIERDO POR GOLPE CONTRA ESTRUCTURA METALICA AL ENCONTRARSE PESADNO BOLSAS DE PRODUCTO EN EL AREA DE CALIBRADO"/>
    <s v="ACCION"/>
    <s v="SI"/>
    <s v="SI"/>
    <s v="NICOLAS GOMEZ"/>
    <s v="WLADIMIR CALDERON "/>
    <m/>
  </r>
  <r>
    <n v="2023"/>
    <s v="JUNIO"/>
    <s v="EL PAICO"/>
    <s v="LOYOLA CARVAJAL"/>
    <s v="NATALIA"/>
    <s v="FEMENINO"/>
    <s v="18623311-5"/>
    <d v="2022-05-24T00:00:00"/>
    <n v="12"/>
    <d v="2023-06-21T00:00:00"/>
    <s v="INTERMEDIO"/>
    <s v="N/A"/>
    <s v="N/A"/>
    <s v="N/A"/>
    <n v="0"/>
    <s v="STP"/>
    <s v="N/A"/>
    <s v="N/A"/>
    <x v="4"/>
    <s v="CAMARA"/>
    <s v="OPERADOR DE MAQUINA"/>
    <s v="CAMARA"/>
    <s v="N/A"/>
    <s v="MAÑANA"/>
    <d v="1899-12-30T07:00:00"/>
    <s v="MIERCOLES"/>
    <s v="SEMANA 25"/>
    <m/>
    <m/>
    <s v="FRANCISCO QUEZADA"/>
    <x v="29"/>
    <n v="29"/>
    <s v="Materia Prima"/>
    <s v="Manos / dedos"/>
    <s v="Contusión"/>
    <s v="Golpeado por"/>
    <s v="COLABORADORA SUFRE CONTUSION EN DEDO ANULAR SUPERIOR IZQUIERDO AL SEL GOLPEADA POR BLOQUE EN TUNEL DE CAMARA "/>
    <s v="ACCION"/>
    <s v="SI"/>
    <s v="NO"/>
    <s v="NICOLAS GOMEZ"/>
    <s v="WLADIMIR CALDERON "/>
    <m/>
  </r>
  <r>
    <n v="2023"/>
    <s v="JUNIO"/>
    <s v="EL PAICO"/>
    <s v="HUINAO CARTAGENA"/>
    <s v="MANUEL"/>
    <s v="MASCULINO"/>
    <s v="15403657-1"/>
    <d v="2022-11-04T00:00:00"/>
    <n v="7"/>
    <d v="2023-06-14T00:00:00"/>
    <s v="INTERMEDIO"/>
    <d v="2023-06-14T00:00:00"/>
    <d v="2023-06-14T00:00:00"/>
    <d v="2023-06-20T00:00:00"/>
    <n v="0"/>
    <s v="STP"/>
    <s v="N/A"/>
    <s v="N/A"/>
    <x v="1"/>
    <s v="IQF CALIBRADO C"/>
    <s v="OPERARIO"/>
    <s v="PASILLO PRINCIPAL"/>
    <s v="N/A"/>
    <s v="TARDE"/>
    <d v="1899-12-30T22:10:00"/>
    <s v="MIERCOLES"/>
    <s v="SEMANA 24"/>
    <n v="15564"/>
    <s v="NC-100-23"/>
    <s v="GUILLERMO NARVAEZ"/>
    <x v="21"/>
    <n v="40"/>
    <s v="Superficies de transito"/>
    <s v="Pierna"/>
    <s v="Contusión"/>
    <s v="Caida de mismo nivel"/>
    <s v="COLABORADOR SUFRE CONTUSION EN RODILLA DERECHA POR CAIDA MISMO EN PASILLO PRINCIPAL"/>
    <s v="CONDICION"/>
    <s v="NO"/>
    <s v="SI"/>
    <s v="NICOLAS GOMEZ"/>
    <s v="MICHELLE SANCHEZ"/>
    <m/>
  </r>
  <r>
    <n v="2023"/>
    <s v="JUNIO"/>
    <s v="EL PAICO"/>
    <s v="GONZALEZ MENDOZA"/>
    <s v="CINTIA"/>
    <s v="FEMENINO"/>
    <s v="15778582-6"/>
    <d v="2017-04-03T00:00:00"/>
    <n v="74"/>
    <d v="2023-06-09T00:00:00"/>
    <s v="ANTIGUO"/>
    <d v="2023-06-09T00:00:00"/>
    <s v="N/A"/>
    <d v="2023-06-12T00:00:00"/>
    <n v="2"/>
    <s v="CTP"/>
    <s v="LGF"/>
    <s v="LGF4"/>
    <x v="7"/>
    <s v="REPORTE DE CAJAS"/>
    <s v="OPERARIO"/>
    <s v="REPORTE DE CAJAS"/>
    <s v="EQUIPO PARA MOVIMIENTO DE CARGA (GRUAS O TRANSPALETAS)"/>
    <s v="MAÑANA"/>
    <d v="1899-12-30T14:00:00"/>
    <s v="VIERNES"/>
    <s v="SEMANA 23"/>
    <n v="15745"/>
    <s v="NC-73-23"/>
    <s v="OCTAVIO MUÑOZ"/>
    <x v="12"/>
    <n v="39"/>
    <s v="Equipos Transporte de carga"/>
    <s v="Multiples"/>
    <s v="Contusión"/>
    <s v="Golpeado por"/>
    <s v="TRABAJADORA DE P.POSTERIORES SUFRE CONTUSION EN COSTADO DERECHO DEL CUERPO POR APLASTAMIENTO OCACIONADO POR EQUIPO DE MOVIMIENTO DE CARGA, EL HECHO OCURRIO EN REPORTE DE CAJAS AL MOMENTO DE QUE LA TRABAJADORA SE ENCONTRARA VALIDANDO PALLETS FRENTE A ROMANA"/>
    <s v="ACCION"/>
    <s v="SI"/>
    <s v="SI"/>
    <s v="ALAN CARRASCO"/>
    <s v="MICHELLE SANCHEZ"/>
    <m/>
  </r>
  <r>
    <n v="2023"/>
    <s v="JUNIO"/>
    <s v="EL PAICO"/>
    <s v="ESCOBAR HUANCA"/>
    <s v="MIRIAM "/>
    <s v="FEMENINO"/>
    <s v="27616460-0"/>
    <d v="2022-05-16T00:00:00"/>
    <n v="12"/>
    <d v="2023-06-06T00:00:00"/>
    <s v="INTERMEDIO"/>
    <s v="NA"/>
    <s v="N/A"/>
    <s v="N/A"/>
    <n v="0"/>
    <s v="STP"/>
    <s v="N/A"/>
    <s v="N/A"/>
    <x v="6"/>
    <s v="ASEO ZONA LIMPIA"/>
    <s v="OPERARIO"/>
    <s v="EMBALAJE Y ETIQUEDADO"/>
    <s v="N/A"/>
    <s v="NOCHE"/>
    <d v="1899-12-30T03:15:00"/>
    <s v="MARTES"/>
    <s v="SEMANA 23"/>
    <m/>
    <m/>
    <s v="CARLOS JIMENEZ"/>
    <x v="7"/>
    <n v="25"/>
    <s v="Producto quimico"/>
    <s v="Lesion Interna"/>
    <s v="Otros"/>
    <s v="Exposicion a humo y gases"/>
    <s v="COLABORADORA SUFRE DISNEA POR EXPOSICIÓN A PRODUCTO QUIMICO CUANDO SE ENCONTRABA REALIZANDO ASEO PRE-OPERACIONAL EN SALA."/>
    <s v="ACCION"/>
    <s v="SI"/>
    <s v="NO"/>
    <s v="NICOLAS GOMEZ"/>
    <s v="MICHELLE SANCHEZ"/>
    <m/>
  </r>
  <r>
    <n v="2023"/>
    <s v="JUNIO"/>
    <s v="EL PAICO"/>
    <s v="CESPEDES SANZANA"/>
    <s v="DANIEL"/>
    <s v="MASCULINO"/>
    <s v="20345018-4"/>
    <d v="2023-05-22T00:00:00"/>
    <n v="0"/>
    <d v="2023-06-07T00:00:00"/>
    <s v="NUEVO"/>
    <s v="N/A"/>
    <s v="N/A"/>
    <s v="N/A"/>
    <n v="0"/>
    <s v="STP"/>
    <s v="N/A"/>
    <s v="N/A"/>
    <x v="2"/>
    <s v="EVISERADO"/>
    <s v="OPERARIO"/>
    <s v="MAQUINA DE CONTRES"/>
    <s v="MAQUINA DE CONTRES"/>
    <s v="TARDE"/>
    <d v="1899-12-30T08:40:00"/>
    <s v="MIERCOLES"/>
    <s v="SEMANA 23"/>
    <m/>
    <m/>
    <s v="NICOLAS MOYANO"/>
    <x v="11"/>
    <n v="23"/>
    <s v="Maquinarias"/>
    <s v="Manos / dedos"/>
    <s v="Herida cortante"/>
    <s v="Otros"/>
    <s v="COLABORADOR SUFRE HERIDA EN DEDO MEÑIQUE DE MANO DERECHA POR RODILLO DE CINTA CUANRO SE ENCONTRABA LIANDO CONTRES"/>
    <s v="ACCION"/>
    <s v="SI"/>
    <s v="NO"/>
    <s v="ALAN CARRASCO"/>
    <s v="CARLOS CARTAGENA"/>
    <m/>
  </r>
  <r>
    <n v="2023"/>
    <s v="JUNIO"/>
    <s v="EL PAICO"/>
    <s v="CATALAN ALVARADO"/>
    <s v="ERIK "/>
    <s v="MASCULINO"/>
    <s v="20871209-8"/>
    <d v="2022-10-24T00:00:00"/>
    <n v="7"/>
    <d v="2023-06-14T00:00:00"/>
    <s v="INTERMEDIO"/>
    <s v="N/A"/>
    <s v="N/A"/>
    <s v="N/A"/>
    <n v="0"/>
    <s v="STP"/>
    <s v="N/A"/>
    <s v="N/A"/>
    <x v="1"/>
    <s v="IQF CALIBRADO C"/>
    <s v="OPERARIO"/>
    <s v="IQF"/>
    <s v="N/A"/>
    <s v="NOCHE"/>
    <d v="1899-12-30T04:45:00"/>
    <s v="MIERCOLES"/>
    <s v="SEMANA 24"/>
    <m/>
    <m/>
    <s v="GUILLERMO NARVAEZ"/>
    <x v="21"/>
    <n v="21"/>
    <s v="Materiales"/>
    <s v="Manos / dedos"/>
    <s v="Contusión"/>
    <s v="Golpeado por"/>
    <s v="COLABORADOR SUFRE CONTUSION EN DEDO MEDIO SUPERIOR DERECHO CON OBJETO METALICO AL ESTAR REALIZANDO CAMBIO DE ROLLO EN MAQUINA SUPER CONTAC"/>
    <s v="ACCION"/>
    <s v="SI"/>
    <s v="NO"/>
    <s v="NICOLAS GOMEZ"/>
    <s v="WLADIMIR CALDERON "/>
    <m/>
  </r>
  <r>
    <n v="2023"/>
    <s v="JUNIO"/>
    <s v="EL PAICO"/>
    <s v="BARRERA PEREZ"/>
    <s v="KATHERINE"/>
    <s v="FEMENINO"/>
    <s v="18454833-K"/>
    <d v="2015-01-12T00:00:00"/>
    <n v="100"/>
    <d v="2023-05-31T00:00:00"/>
    <s v="ANTIGUO"/>
    <s v="N/A"/>
    <s v="N/A"/>
    <s v="N/A"/>
    <n v="0"/>
    <s v="STP"/>
    <s v="N/A"/>
    <s v="N/A"/>
    <x v="5"/>
    <s v="DESHUESADO"/>
    <s v="OPERARIO"/>
    <s v="DESHUESADO DE POLLO"/>
    <s v="N/A"/>
    <s v="TARDE"/>
    <d v="1899-12-30T00:20:00"/>
    <s v="JUEVES"/>
    <s v="SEMANA 23"/>
    <m/>
    <m/>
    <s v="DANIEL GARRIDO"/>
    <x v="10"/>
    <n v="30"/>
    <s v="Superficies de transito"/>
    <s v="Pierna"/>
    <s v="Contusión"/>
    <s v="Caida de mismo nivel"/>
    <s v="COLABORADORA SUFRE CONTUSION EN RODILLA POR CAIDA MISMO NIVEL POR PRESENCIA DE RESTOS CARNICOS EN SUPERFICIE DE TRABAJO"/>
    <s v="CONDICION"/>
    <s v="NO"/>
    <s v="NO"/>
    <s v="ALAN CARRASCO"/>
    <s v="CHISTIAN JHONS"/>
    <m/>
  </r>
  <r>
    <n v="2023"/>
    <s v="JULIO"/>
    <s v="EL PAICO"/>
    <s v="VILLEGAS VALECILLOS"/>
    <s v="ALI"/>
    <s v="MASCULINO"/>
    <s v="27131221-0"/>
    <d v="2023-07-10T00:00:00"/>
    <n v="0"/>
    <d v="2023-07-19T00:00:00"/>
    <s v="NUEVO"/>
    <d v="2023-07-19T00:00:00"/>
    <d v="2023-07-23T00:00:00"/>
    <s v="N/A"/>
    <n v="5"/>
    <s v="CTP"/>
    <s v="N/A"/>
    <s v="N/A"/>
    <x v="5"/>
    <s v="DESHUESADO"/>
    <s v="OPERARIO"/>
    <s v="LINEA HQ "/>
    <s v="N/A"/>
    <s v="MAÑANA"/>
    <d v="1899-12-30T07:30:00"/>
    <s v="MIERCOLES"/>
    <s v="SEMANA 29"/>
    <n v="15810"/>
    <s v="NC-88-23"/>
    <s v="DANIEL GARRIDO"/>
    <x v="10"/>
    <n v="35"/>
    <s v="Infraestructura"/>
    <s v="Manos / dedos"/>
    <s v="Herida cortante"/>
    <s v="Contacto con cuerpo punzante"/>
    <s v="COLABORDOR SUFRE HERIDA CORTANTE EN MANO DERECHA, POR CONTACTO CON OBJETO PUNZANTE, CUANDO SE ENCONTRBA REALIZANDO LABOR DE COLGADO DE PECHUGA EN LINEA DE MAQUINA HQ NORTE"/>
    <s v="ACCION"/>
    <s v="SI"/>
    <s v="SI"/>
    <s v="NICOLAS GOMEZ"/>
    <s v="MICHELLE SANCHEZ"/>
    <m/>
  </r>
  <r>
    <n v="2023"/>
    <s v="JULIO"/>
    <s v="EL PAICO"/>
    <s v="VELASQUEZ RUZ"/>
    <s v="LUIS"/>
    <s v="MASCULINO"/>
    <s v="9841139-9"/>
    <d v="2022-03-04T00:00:00"/>
    <n v="16"/>
    <d v="2023-07-21T00:00:00"/>
    <s v="INTERMEDIO"/>
    <s v="N/A"/>
    <s v="N/A"/>
    <s v="N/A"/>
    <n v="0"/>
    <s v="STP"/>
    <s v="N/A"/>
    <s v="N/A"/>
    <x v="7"/>
    <s v="PULPA"/>
    <s v="OPERARIO"/>
    <s v="PULPA"/>
    <s v="N/A"/>
    <s v="TARDE"/>
    <d v="1899-12-30T21:00:00"/>
    <s v="VIERNES"/>
    <s v="SEMANA 29"/>
    <m/>
    <m/>
    <s v="OCTAVIO MUÑOZ"/>
    <x v="40"/>
    <n v="60"/>
    <s v="Materia Prima"/>
    <s v="Rostro"/>
    <s v="Herida cortante"/>
    <s v="Golpeado por"/>
    <s v="COLABORADOR SUFRE CONTUSION CON HERIDA CORTANTE EN NARIZ AL SER GOLPEADO POR BANDEJA PLASTICA CON PRODUCTO CONGELADO "/>
    <s v="ACCION"/>
    <s v="SI"/>
    <s v="NO"/>
    <s v="ALAN CARRASCO"/>
    <s v="CARLOS CARTAGENA"/>
    <m/>
  </r>
  <r>
    <n v="2023"/>
    <s v="JULIO"/>
    <s v="EL PAICO"/>
    <s v="TORRES ALVARADO"/>
    <s v="BRYAN"/>
    <s v="MASCULINO"/>
    <s v="20722483-9"/>
    <d v="2021-04-12T00:00:00"/>
    <n v="27"/>
    <d v="2023-07-22T00:00:00"/>
    <s v="ANTIGUO"/>
    <d v="2023-07-22T00:00:00"/>
    <m/>
    <s v="N/A"/>
    <n v="108"/>
    <s v="CTP"/>
    <s v="N/A"/>
    <s v="N/A"/>
    <x v="2"/>
    <s v="EVISCERADO PAVO"/>
    <s v="OPERARIO"/>
    <s v="EVISCERADO PAVO"/>
    <s v="N/A"/>
    <s v="MAÑANA"/>
    <d v="1899-12-30T10:00:00"/>
    <s v="SABADO"/>
    <s v="SEMANA 29"/>
    <n v="15818"/>
    <s v="NC-90-23"/>
    <s v="NICOLAS MOYANO"/>
    <x v="2"/>
    <n v="21"/>
    <s v="Cuchillo"/>
    <s v="Manos / dedos"/>
    <s v="Herida cortante"/>
    <s v="Contacto con cuerpo cortante"/>
    <s v="COLABORADOR SUFRE HERIDA CORTANTE EN DEDO PULGAR DERECHO AL REALIZAR UNA MALA MANIOBRA CUANDO IBA A TOMAR SU CHUCHILLO PARA COMENZAR SUS LABORES."/>
    <s v="ACCION"/>
    <s v="SI"/>
    <s v="SI"/>
    <s v="NICOLAS GOMEZ"/>
    <s v="CHISTIAN JHONS"/>
    <m/>
  </r>
  <r>
    <n v="2023"/>
    <s v="JULIO"/>
    <s v="EL PAICO"/>
    <s v="ROSALES MALDONADO"/>
    <s v="JESUS"/>
    <s v="MASCULINO"/>
    <s v="17225475-6"/>
    <d v="2022-09-22T00:00:00"/>
    <n v="9"/>
    <d v="2023-07-17T00:00:00"/>
    <s v="INTERMEDIO"/>
    <s v="N/A"/>
    <s v="N/A"/>
    <s v="N/A"/>
    <n v="0"/>
    <s v="STP"/>
    <s v="N/A"/>
    <s v="N/A"/>
    <x v="8"/>
    <s v="MANTENCION"/>
    <s v="ELECTRICO"/>
    <s v="CHILLER DE AGUA "/>
    <s v="N/A"/>
    <s v="NOCHE"/>
    <d v="1899-12-30T05:00:00"/>
    <s v="LUNES"/>
    <s v="SEMANA 29"/>
    <m/>
    <m/>
    <s v="VICTOR GOMEZ"/>
    <x v="41"/>
    <n v="34"/>
    <s v="Materiales"/>
    <s v="Ojos"/>
    <s v="Conjuntivitis"/>
    <s v="Proyeccion de particulas"/>
    <s v="COLABORADOR SUFRE MOLESTIA OCULAR POR PROYECCION DE PARTICULAS LIQUIDAS (OXIDO), CUANDO SE ENCONTRABA REALIZANDO LIMPIEZA DE CABLES DE ENCHUFE QUE SE ENCONTRABA CON OXIDO, EN CHILLER DE AGUA."/>
    <s v="ACCION"/>
    <s v="SI"/>
    <s v="NO"/>
    <s v="ALAN CARRASCO"/>
    <s v="CARLOS CARTAGENA"/>
    <m/>
  </r>
  <r>
    <n v="2023"/>
    <s v="JULIO"/>
    <s v="EL PAICO"/>
    <s v="ROJAS ZAMORA"/>
    <s v="DIEGO"/>
    <s v="MASCULINO"/>
    <s v="19848137-8"/>
    <d v="2023-07-10T00:00:00"/>
    <n v="0"/>
    <d v="2023-07-27T00:00:00"/>
    <s v="NUEVO"/>
    <d v="2023-07-27T00:00:00"/>
    <d v="2023-07-27T00:00:00"/>
    <s v="N/A"/>
    <n v="0"/>
    <s v="STP"/>
    <s v="N/A"/>
    <s v="N/A"/>
    <x v="7"/>
    <s v="PULPA"/>
    <s v="OPERARIO"/>
    <s v="PULPA"/>
    <s v="EQUIPO PARA MOVIMIENTO DE CARGA (GRUAS O TRANSPALETAS)"/>
    <s v="MAÑANA"/>
    <d v="1899-12-30T11:30:00"/>
    <s v="JUEVES"/>
    <s v="SEMANA 30"/>
    <n v="15826"/>
    <s v="NC-110-23"/>
    <s v="OCTAVIO MUÑOZ"/>
    <x v="14"/>
    <n v="25"/>
    <s v="Superficies de transito"/>
    <s v="Brazo"/>
    <s v="Torsión"/>
    <s v="Caida de mismo nivel"/>
    <s v="COLABORADOR SUFRE TORSION EN MUÑECA IZQUIERDA POR CAIDA MISMO NIVEL PRODUCTO DE PISO RESBALADIZO CUANDO SE ENCONTRABA MOVILIZANDO BINS CON PRODUCTO CON TRANSPALETA MANUAL."/>
    <s v="CONDICION"/>
    <s v="SI"/>
    <s v="SI"/>
    <s v="NICOLAS GOMEZ"/>
    <s v="MICHELLE SANCHEZ"/>
    <m/>
  </r>
  <r>
    <n v="2023"/>
    <s v="JULIO"/>
    <s v="EL PAICO"/>
    <s v="ROA SILVA"/>
    <s v="CRISTIAN"/>
    <s v="MASCULINO"/>
    <s v="18960494-7"/>
    <d v="2020-06-02T00:00:00"/>
    <n v="36"/>
    <d v="2023-06-30T00:00:00"/>
    <s v="ANTIGUO"/>
    <d v="2023-07-03T00:00:00"/>
    <d v="2023-07-05T00:00:00"/>
    <s v="N/A"/>
    <n v="3"/>
    <s v="CTP"/>
    <s v="N/A"/>
    <s v="N/A"/>
    <x v="1"/>
    <s v="CALIBRADO"/>
    <s v="OPERARIO"/>
    <s v="CALIBRADO"/>
    <s v="N/A"/>
    <s v="MAÑANA"/>
    <d v="1899-12-30T16:30:00"/>
    <s v="VIERNES"/>
    <s v="SEMANA 26"/>
    <n v="15785"/>
    <s v="NC-103-23"/>
    <s v="GUILLERMO NARVAEZ"/>
    <x v="42"/>
    <n v="28"/>
    <s v="Otros"/>
    <s v="Pierna"/>
    <s v="Contusión"/>
    <s v="Golpeado por"/>
    <s v="COLABORADOR SUFRE CONTUSION EN RODILLA IZQUIERDA AL RECIBIR GOLPE EN CAMPEONATO DE FUTBOL DENTRO DE LA EMPRESA"/>
    <s v="ACCION"/>
    <s v="NO"/>
    <s v="SI"/>
    <s v="ALAN CARRASCO"/>
    <s v="CHISTIAN JHONS"/>
    <m/>
  </r>
  <r>
    <n v="2023"/>
    <s v="JULIO"/>
    <s v="EL PAICO"/>
    <s v="PULGAR ORTIZ"/>
    <s v="DAGOBERTO"/>
    <s v="MASCULINO"/>
    <s v="20879659-3"/>
    <d v="2023-03-20T00:00:00"/>
    <n v="3"/>
    <d v="2023-07-11T00:00:00"/>
    <s v="NUEVO"/>
    <d v="2023-07-12T00:00:00"/>
    <d v="2023-07-14T00:00:00"/>
    <s v="N/A"/>
    <n v="3"/>
    <s v="CTP"/>
    <s v="N/A"/>
    <s v="N/A"/>
    <x v="5"/>
    <s v="DESHUESADO"/>
    <s v="OPERARIO"/>
    <s v="TAMBORES LINEA HQ"/>
    <s v="N/A"/>
    <s v="TARDE"/>
    <d v="1899-12-30T20:00:00"/>
    <s v="MARTES"/>
    <s v="SEMANA 28"/>
    <n v="15798"/>
    <s v="NC-86-23"/>
    <s v="DANIEL GARRIDO"/>
    <x v="10"/>
    <n v="21"/>
    <s v="Superficies de trabajo"/>
    <s v="Pierna"/>
    <s v="Contusión"/>
    <s v="Caida de mismo nivel"/>
    <s v="COLABORADOR SUFRE CONTUSION EN EXTREMIDAD INFERIOR DERECHA POR CAIDA MISMO NIVEL, CUANDO SE DIRIGIA A TAMBORES DE LINEA HQ."/>
    <s v="CONDICION"/>
    <s v="SI"/>
    <s v="SI"/>
    <s v="NICOLAS GOMEZ"/>
    <s v="MICHELLE SANCHEZ"/>
    <m/>
  </r>
  <r>
    <n v="2023"/>
    <s v="JULIO"/>
    <s v="EL PAICO"/>
    <s v="PEREZ OVALLE"/>
    <s v="ALEJANDRA"/>
    <s v="FEMENINO"/>
    <s v="14321846-5"/>
    <d v="2013-07-10T00:00:00"/>
    <n v="120"/>
    <d v="2023-07-28T00:00:00"/>
    <s v="ANTIGUO"/>
    <s v="N/A"/>
    <s v="N/A"/>
    <s v="N/A"/>
    <n v="0"/>
    <s v="STP"/>
    <s v="N/A"/>
    <s v="N/A"/>
    <x v="7"/>
    <s v="REPORTE DE CAJAS"/>
    <s v="OPERARIO"/>
    <s v="REPORTE DE CAJAS"/>
    <s v="N/A"/>
    <s v="TARDE"/>
    <d v="1899-12-30T21:40:00"/>
    <s v="VIERNES"/>
    <s v="SEMANA 30"/>
    <m/>
    <m/>
    <s v="OCTAVIO MUÑOZ"/>
    <x v="12"/>
    <n v="47"/>
    <s v="Cajas"/>
    <s v="Brazo"/>
    <s v="Otros"/>
    <s v="Sobreesfuerzo"/>
    <s v="COLABORADORA SUFRE DOLENCIA EN ANTEBRAZO DERECHO AL ESTAR REALIZANDO LABORES CON CAJAS EN LINEA DE EMPAQUE FRESCO "/>
    <s v="ACCION"/>
    <s v="SI"/>
    <s v="NO"/>
    <s v="ALAN CARRASCO"/>
    <s v="WLADIMIR CALDERON "/>
    <m/>
  </r>
  <r>
    <n v="2023"/>
    <s v="JULIO"/>
    <s v="EL PAICO"/>
    <s v="NAVARRO GONZALEZ"/>
    <s v="XIMENA"/>
    <s v="FEMENINO"/>
    <s v="16266713-0"/>
    <d v="2016-12-05T00:00:00"/>
    <n v="79"/>
    <d v="2023-07-26T00:00:00"/>
    <s v="ANTIGUO"/>
    <s v="N/A"/>
    <s v="N/A"/>
    <s v="N/A"/>
    <n v="0"/>
    <s v="STP"/>
    <s v="N/A"/>
    <s v="N/A"/>
    <x v="6"/>
    <s v="ASEO ZONA LIMPIA"/>
    <s v="OPERARIO"/>
    <s v="EMPACADORA DE TRUTOS"/>
    <s v="MAQUINA EMPACADORA DE TRUTOS"/>
    <s v="NOCHE"/>
    <d v="1899-12-30T00:00:00"/>
    <s v="MIERCOLES"/>
    <s v="SEMANA 30"/>
    <m/>
    <m/>
    <s v="CARLOS JIMENEZ"/>
    <x v="7"/>
    <n v="38"/>
    <s v="Bandejas"/>
    <s v="Multiples"/>
    <s v="Contusión"/>
    <s v="Golpeado por"/>
    <s v="COLABORADORA SUFRE CONTUSION EN ANTEBRAZO Y DEDO INDICE Y MANO DERECHA AL SER GOLPEADA POR BANDEJA DE MAQUINA EMPACADORA DE TRUTOS CUANDO SE ENCONTRABA SACANDO RESTOS CARNICOS PRESENTES EN DICHA BANDEJA."/>
    <s v="ACCION"/>
    <s v="SI"/>
    <s v="NO"/>
    <s v="ALAN CARRASCO"/>
    <s v="CARLOS CARTAGENA"/>
    <m/>
  </r>
  <r>
    <n v="2023"/>
    <s v="JULIO"/>
    <s v="EL PAICO"/>
    <s v="MIRANDA LOYOLA"/>
    <s v="CAMILA "/>
    <s v="FEMENINO"/>
    <s v="21797530-1"/>
    <d v="2023-03-27T00:00:00"/>
    <n v="3"/>
    <d v="2023-07-05T00:00:00"/>
    <s v="NUEVO"/>
    <d v="2023-07-06T00:00:00"/>
    <d v="2023-07-06T00:00:00"/>
    <s v="N/A"/>
    <n v="0"/>
    <s v="STP"/>
    <s v="N/A"/>
    <s v="N/A"/>
    <x v="4"/>
    <s v="CAMARA"/>
    <s v="OPERARIO"/>
    <s v="SALA EMPAQUE TUNEL"/>
    <s v="N/A"/>
    <s v="MAÑANA"/>
    <d v="1899-12-30T09:10:00"/>
    <s v="MIERCOLES"/>
    <s v="SEMANA 27"/>
    <n v="15793"/>
    <s v="NC-109-23"/>
    <s v="FRANCISCO QUEZADA"/>
    <x v="29"/>
    <n v="18"/>
    <s v="Cajas"/>
    <s v="Brazo"/>
    <s v="Contusión"/>
    <s v="Golpeado por"/>
    <s v="COLABORAORA SUFRE CONTUSION EN HOMBRO DERECHO AL SER GOLPEADAPOR CAJA CON PRODUCTO CUANDO SE ENCONTRABA BAJANDO CAJAS DE PALLETS EN SALA DE EMPAQUE DE TUNEL"/>
    <s v="ACCION"/>
    <s v="SI "/>
    <s v="SI"/>
    <s v="ALAN CARRASCO"/>
    <s v="CHISTIAN JHONS"/>
    <m/>
  </r>
  <r>
    <n v="2023"/>
    <s v="JULIO"/>
    <s v="EL PAICO"/>
    <s v="LUCERO GUAJARDO"/>
    <s v="BENITO"/>
    <s v="MASCULINO"/>
    <s v="17902888-3"/>
    <d v="2020-03-09T00:00:00"/>
    <n v="40"/>
    <d v="2023-07-10T00:00:00"/>
    <s v="ANTIGUO"/>
    <d v="2023-07-10T00:00:00"/>
    <d v="2023-07-10T00:00:00"/>
    <s v="N/A"/>
    <n v="0"/>
    <s v="STP"/>
    <s v="N/A"/>
    <s v="N/A"/>
    <x v="7"/>
    <s v="REPORTE LINEA ISHIDA A"/>
    <s v="OPERARIO"/>
    <s v="CAMARA 202"/>
    <s v="N/A"/>
    <s v="MAÑANA"/>
    <d v="1899-12-30T15:30:00"/>
    <s v="LUNES"/>
    <s v="SEMANA 28"/>
    <n v="15796"/>
    <s v="NC-104-23"/>
    <s v="OCTAVIO MUÑOZ"/>
    <x v="12"/>
    <n v="32"/>
    <s v="Pallet"/>
    <s v="Pie"/>
    <s v="Herida cortante"/>
    <s v="Contacto con cuerpo punzante"/>
    <s v="COLABORADOR SUFRE HERIDA PUNZANTE EN PIE DERECHO AL PISAR CLAVO QUE SE ENCONTRABA EN TABLA DE PALLETS. "/>
    <s v="ACCION"/>
    <s v="SI"/>
    <s v="SI"/>
    <s v="NICOLAS GOMEZ"/>
    <s v="CHISTIAN JHONS"/>
    <m/>
  </r>
  <r>
    <n v="2023"/>
    <s v="JULIO"/>
    <s v="EL PAICO"/>
    <s v="LOPEZ TEJERINA"/>
    <s v="ROSMERY"/>
    <s v="FEMENINO"/>
    <s v="22622736-9"/>
    <d v="2020-09-22T00:00:00"/>
    <n v="33"/>
    <d v="2023-07-03T00:00:00"/>
    <s v="ANTIGUO"/>
    <s v="N/A"/>
    <s v="N/A"/>
    <s v="N/A"/>
    <n v="0"/>
    <s v="STP"/>
    <s v="N/A"/>
    <s v="N/A"/>
    <x v="6"/>
    <s v="ASEO OPERACIONAL"/>
    <s v="OPERARIO"/>
    <s v="PASILLO PRINCIPAL"/>
    <s v="N/A"/>
    <s v="TARDE"/>
    <d v="1899-12-30T19:45:00"/>
    <s v="LUNES"/>
    <s v="SEMANA 27"/>
    <m/>
    <m/>
    <s v="CARLOS JIMENES"/>
    <x v="43"/>
    <n v="54"/>
    <s v="Materiales"/>
    <s v="Brazo"/>
    <s v="Otros"/>
    <s v="Sobreesfuerzo"/>
    <s v="COLABORADORA SUFRE DOLOR EN HOMBRO IZQUIERDO POR MOVIMIENTO AL MAL EJECUTADO CUANDO SE ENCONTRABA SACANDO BOLSAS DE BASURA EN EL PASILLO PRINCIPAL"/>
    <s v="ACCION"/>
    <s v="SI"/>
    <s v="NO"/>
    <s v="ALAN CARRASCO"/>
    <s v="MICHELLE SANCHEZ"/>
    <m/>
  </r>
  <r>
    <n v="2023"/>
    <s v="JULIO"/>
    <s v="EL PAICO"/>
    <s v="ESCOBAR HUANCA"/>
    <s v="MIRIAM "/>
    <s v="FEMENINO"/>
    <s v="27616460-0"/>
    <d v="2022-05-16T00:00:00"/>
    <n v="13"/>
    <d v="2023-07-03T00:00:00"/>
    <s v="INTERMEDIO"/>
    <s v="N/A"/>
    <s v="N/A"/>
    <s v="N/A"/>
    <n v="0"/>
    <s v="STP"/>
    <s v="N/A"/>
    <s v="N/A"/>
    <x v="6"/>
    <s v="ASEO ZONA LIMPIA"/>
    <s v="OPERARIO"/>
    <s v="BAJADA ESCALERA EMBALAJE Y ETIQUETADO"/>
    <s v="N/A"/>
    <s v="NOCHE"/>
    <d v="1899-12-30T03:00:00"/>
    <s v="LUNES"/>
    <s v="SEMANA 27"/>
    <m/>
    <m/>
    <s v="CARLOS JIMENEZ"/>
    <x v="7"/>
    <n v="25"/>
    <s v="Infraestructura"/>
    <s v="Pierna"/>
    <s v="Contusión"/>
    <s v="Caida de distinto nivel"/>
    <s v="COLABORADORA SUFRE CONTUSION EN PIERNA DERECHA POR CAIDA DISTINTO NIVEL AL RESBALARSE CUANDO BAJABA ESCALERA EN SALA DE EMBALAJE Y ETIQUETADO MIENTRAS REALIZABA LABORES DE ASEO PREOPERACIONAL"/>
    <s v="CONDICION"/>
    <s v="SI"/>
    <s v="NO"/>
    <s v="NICOLAS GOMEZ"/>
    <s v="CARLOS CARTAGENA"/>
    <m/>
  </r>
  <r>
    <n v="2023"/>
    <s v="JULIO"/>
    <s v="EL PAICO"/>
    <s v="DEVIA JIMENEZ"/>
    <s v="LUIS"/>
    <s v="MASCULINO"/>
    <s v="11280722-5"/>
    <d v="2020-09-22T00:00:00"/>
    <n v="33"/>
    <d v="2023-07-17T00:00:00"/>
    <s v="ANTIGUO"/>
    <s v="N/A"/>
    <s v="N/A"/>
    <s v="N/A"/>
    <n v="0"/>
    <s v="STP"/>
    <s v="N/A"/>
    <s v="N/A"/>
    <x v="6"/>
    <s v="ASEO OPERACIONAL"/>
    <s v="OPERARIO"/>
    <s v="CASINO EMPRESA"/>
    <s v="N/A"/>
    <s v="MAÑANA"/>
    <d v="1899-12-30T08:45:00"/>
    <s v="LUNES"/>
    <s v="SEMANA 29"/>
    <m/>
    <m/>
    <s v="CARLOS JIMENEZ"/>
    <x v="44"/>
    <n v="55"/>
    <s v="Otros"/>
    <s v="Manos / dedos"/>
    <s v="Quemadura"/>
    <s v="Contacto con temperaturas extremas"/>
    <s v="COLABORADOR SUFRE LEVE QUEMADURA EN MANO IZQUIERDA, POR CONTACTO CON AGUA CALIENTE, CUANDO SE ENCONTRABA CERRANDO TAPA DE TERMO EN CASINO QUE DE LA EMPRESA"/>
    <s v="ACCION"/>
    <s v="NO"/>
    <s v="NO"/>
    <s v="ALAN CARRASCO"/>
    <s v="CARLOS CARTAGENA"/>
    <m/>
  </r>
  <r>
    <n v="2023"/>
    <s v="JULIO"/>
    <s v="EL PAICO"/>
    <s v="DARISSANTE"/>
    <s v="WILTHON"/>
    <s v="MASCULINO"/>
    <s v="26281940-K"/>
    <d v="2022-03-07T00:00:00"/>
    <n v="16"/>
    <d v="2023-07-27T00:00:00"/>
    <s v="INTERMEDIO"/>
    <s v="N/A"/>
    <s v="N/A"/>
    <s v="N/A"/>
    <n v="0"/>
    <s v="STP"/>
    <s v="N/A"/>
    <s v="N/A"/>
    <x v="5"/>
    <s v="DESHUESADO"/>
    <s v="OPERARIO"/>
    <s v="ESCALERA ACCESO PRINCIPAL"/>
    <s v="N/A"/>
    <s v="TARDE"/>
    <d v="1899-12-30T14:35:00"/>
    <s v="JUEVES"/>
    <s v="SEMANA 30"/>
    <m/>
    <m/>
    <s v="DANIEL GARRIDO"/>
    <x v="10"/>
    <n v="41"/>
    <s v="Superficies de transito"/>
    <s v="Brazo"/>
    <s v="Contusión"/>
    <s v="Caida de distinto nivel"/>
    <s v="COLABORADOR SUFRE CONTUSION EN CODO IZQUIERDO POR CAIDA DE DISTINTO  NIVEL CUANDO SE ENCONTRABA BAJANDO ESTALERAS DE ACCESO PRINCIPAL"/>
    <s v="CONDICION"/>
    <s v="NO"/>
    <s v="NO"/>
    <s v="ALAN CARRASCO"/>
    <s v="MICHELLE SANCHEZ"/>
    <m/>
  </r>
  <r>
    <n v="2023"/>
    <s v="JULIO"/>
    <s v="EL PAICO"/>
    <s v="CONTRERAS PERALTA"/>
    <s v="JUAN CARLOS"/>
    <s v="MASCULINO"/>
    <s v="14006777-6"/>
    <d v="2021-09-01T00:00:00"/>
    <n v="22"/>
    <d v="2023-07-04T00:00:00"/>
    <s v="ANTIGUO"/>
    <s v="N/A"/>
    <s v="N/A"/>
    <s v="N/A"/>
    <n v="0"/>
    <s v="STP"/>
    <s v="N/A"/>
    <s v="N/A"/>
    <x v="1"/>
    <s v="CALIBRADO"/>
    <s v="OPERARIO"/>
    <s v="CALIBRADO"/>
    <s v="N/A"/>
    <s v="MAÑANA"/>
    <d v="1899-12-30T12:20:00"/>
    <s v="MARTES"/>
    <s v="SEMANA 27"/>
    <m/>
    <m/>
    <s v="GUILLERMO NARVAEZ"/>
    <x v="1"/>
    <n v="43"/>
    <s v="Cajas"/>
    <s v="Rostro"/>
    <s v="Herida cortante"/>
    <s v="Golpeado por"/>
    <s v="COLABORADOR SUFRE HERIDA CORTANTE EN NARIZ AL SER GOLPEADO POR CAJA DE CARTON VACIA, CUANDO SE ENCONTRABA CARGANDO CAJAS EN EL AREA DE CALIBRADO."/>
    <s v="ACCION"/>
    <s v="SI"/>
    <s v="NO"/>
    <s v="NICOLAS GOMEZ"/>
    <s v="WLADIMIR CALDERON "/>
    <m/>
  </r>
  <r>
    <n v="2023"/>
    <s v="JULIO"/>
    <s v="EL PAICO"/>
    <s v="ATABALES MORALES"/>
    <s v="MANUEL"/>
    <s v="MASCULINO"/>
    <s v="15405907-5"/>
    <d v="2022-07-12T00:00:00"/>
    <n v="12"/>
    <d v="2023-07-19T00:00:00"/>
    <s v="INTERMEDIO"/>
    <d v="2023-07-19T00:00:00"/>
    <d v="2023-07-21T00:00:00"/>
    <s v="N/A"/>
    <n v="3"/>
    <s v="CTP"/>
    <s v="N/A"/>
    <s v="N/A"/>
    <x v="5"/>
    <s v="DESHUESADO"/>
    <s v="OPERARIO"/>
    <s v="DESHUESADO DE PECEHUGA"/>
    <s v="EQUIPO PARA MOVIMIENTO DE CARGA (GRUAS O TRANSPALETAS)"/>
    <s v="MAÑANA"/>
    <d v="1899-12-30T09:30:00"/>
    <s v="MIERCOLES"/>
    <s v="SEMANA 29"/>
    <n v="15808"/>
    <s v="NC-89-23"/>
    <s v="DANIEL GARRIDO"/>
    <x v="10"/>
    <n v="40"/>
    <s v="Equipos Transporte de carga"/>
    <s v="Pie"/>
    <s v="Contusión"/>
    <s v="Golpeado por"/>
    <s v="COLABORADOR SUFRE CONTUSION EN TOBILLO DE PIE IZQUIERDO AL SER GOLPEADO POR TRANSPALETA MANUAL CUANDO SE ENCONTRABA MOVILIZANDO BINS CON PRODUCTO EN SALA DE DESHUESADO DE PECHUGA."/>
    <s v="CONDICION"/>
    <s v="SI"/>
    <s v="SI"/>
    <s v="NICOLAS GOMEZ"/>
    <s v="MICHELLE SANCHEZ"/>
    <m/>
  </r>
  <r>
    <n v="2023"/>
    <s v="AGOSTO"/>
    <s v="EL PAICO"/>
    <s v="VILCHES SOTO"/>
    <s v="VIVIANA"/>
    <s v="FEMENINO"/>
    <s v="16789251-5"/>
    <d v="2015-09-28T00:00:00"/>
    <n v="94"/>
    <d v="2023-08-11T00:00:00"/>
    <s v="ANTIGUO"/>
    <d v="2023-08-11T00:00:00"/>
    <d v="2023-08-11T00:00:00"/>
    <s v="N/A"/>
    <n v="0"/>
    <s v="STP"/>
    <s v="N/A"/>
    <s v="N/A"/>
    <x v="5"/>
    <s v="DESHUESADO"/>
    <s v="OPERARIO"/>
    <s v="MAQUINA HQ SUR"/>
    <s v="MAQUINA HQ SUR"/>
    <s v="MAÑANA"/>
    <d v="1902-07-18T00:00:00"/>
    <s v="VIERNES"/>
    <s v="SEMANA 32"/>
    <n v="15857"/>
    <s v="NC-117-23"/>
    <s v="DANIEL GARRIDO"/>
    <x v="31"/>
    <n v="35"/>
    <s v="Maquinarias"/>
    <s v="Manos / dedos"/>
    <s v="Herida cortante"/>
    <s v="Contacto con cuerpo cortante"/>
    <s v="COLABORADORA SUFRE HERIDA   CORTANTE EN DEDO ANULAR DERECHO POR CONTACTO CON OBJETO CORTANTE, ESTRUCTURA FIJA DE MAQUINA HQ SUR, EL EVENTO SE PRODUJO CUANDO SE ENCONTRABA REALIZANDO RETIRO DE PRODUCTO CARNICO DESDE LÍNEA DE COLGADO"/>
    <s v="CONDICION"/>
    <s v="S"/>
    <s v="SI"/>
    <s v="NICOLAS GOMEZ"/>
    <s v="CHISTIAN JHONS"/>
    <m/>
  </r>
  <r>
    <n v="2023"/>
    <s v="AGOSTO"/>
    <s v="EL PAICO"/>
    <s v="SILVA OSORIO"/>
    <s v="IRIS"/>
    <s v="FEMENINO"/>
    <s v="13772577-0"/>
    <d v="2013-08-07T00:00:00"/>
    <n v="120"/>
    <d v="2023-08-18T00:00:00"/>
    <s v="ANTIGUO"/>
    <s v="N/A"/>
    <s v="N/A"/>
    <s v="N/A"/>
    <n v="0"/>
    <s v="STP"/>
    <s v="N/A"/>
    <s v="N/A"/>
    <x v="5"/>
    <s v="TROZADO AUTOMATICO"/>
    <s v="OPERARIO"/>
    <s v="TROZADO DE POLLO"/>
    <s v="N/A"/>
    <s v="MAÑANA"/>
    <d v="1899-12-30T11:45:00"/>
    <s v="VIERNES"/>
    <s v="SEMANA 33"/>
    <m/>
    <m/>
    <s v="DANIEL GARRIDO"/>
    <x v="28"/>
    <n v="43"/>
    <s v="Bins"/>
    <s v="Manos / dedos"/>
    <s v="Atrición"/>
    <s v="Golpeado por"/>
    <s v="COLABORADORA SUFRE CONTUSION EN DEDO PULGAR DERECHO POR ATRISIÓN AL SUFRIR GOLP ENTRE DOS BINS CON PRODUCTO CUANDO SE ENCONTRABA EMPUJANDO BINS QUE IBA A SER RETIRADO"/>
    <s v="ACCION"/>
    <s v="SI"/>
    <s v="NO"/>
    <s v="ALAN CARRASCO "/>
    <s v="CARLOS CARTAGENA"/>
    <m/>
  </r>
  <r>
    <n v="2023"/>
    <s v="AGOSTO"/>
    <s v="EL PAICO"/>
    <s v="SAAVEDA ADASME"/>
    <s v="FRANCISCO"/>
    <s v="MASCULINO"/>
    <s v="16576716-0"/>
    <d v="2018-05-14T00:00:00"/>
    <n v="63"/>
    <d v="2023-08-24T00:00:00"/>
    <s v="ANTIGUO"/>
    <s v="N/A"/>
    <s v="N/A"/>
    <s v="N/A"/>
    <n v="0"/>
    <s v="STP"/>
    <s v="N/A"/>
    <s v="N/A"/>
    <x v="5"/>
    <s v="TROZADO AUTOMATICO"/>
    <s v="OPERARIO"/>
    <s v="SALA DE PULPA"/>
    <s v="EQUIPO PARA MOVIMIENTO DE CARGA (GRUAS O TRANSPALETAS)"/>
    <s v="TARDE"/>
    <d v="1899-12-30T23:15:00"/>
    <s v="JUEVES"/>
    <s v="SEMANA 34"/>
    <m/>
    <m/>
    <s v="DANIEL GARRIDO"/>
    <x v="28"/>
    <n v="36"/>
    <s v="Equipos Transporte de carga"/>
    <s v="Manos / dedos"/>
    <s v="Contusión"/>
    <s v="Golpeado contra"/>
    <s v="COLABORADOR SUFRE CONTUSION EN MANO DERECHA AL SER GOLPEADO CONTRA MANURIO DE TRANSPALETA ELECTRICA CUANDO SE ENCONTRABA EMPUJANDO DOS BINS CON PRODUCTO EN SALA DE PULPA "/>
    <s v="ACCION"/>
    <s v="SI"/>
    <s v="NO"/>
    <s v="NICOLAS GOMEZ"/>
    <s v="MICHELLE SANCHEZ"/>
    <m/>
  </r>
  <r>
    <n v="2023"/>
    <s v="AGOSTO"/>
    <s v="EL PAICO"/>
    <s v="RODRIGUEZ MONJES"/>
    <s v="ANYIBEL"/>
    <s v="FEMENINO"/>
    <s v="27091787-9"/>
    <d v="2020-03-16T00:00:00"/>
    <n v="41"/>
    <d v="2023-08-25T00:00:00"/>
    <s v="ANTIGUO"/>
    <s v="N/A"/>
    <s v="N/A"/>
    <s v="N/A"/>
    <n v="0"/>
    <s v="STP"/>
    <s v="N/A"/>
    <s v="N/A"/>
    <x v="5"/>
    <s v="DESHUESADO"/>
    <s v="OPERARIO"/>
    <s v="PASILLO IQF 4"/>
    <s v="N/A"/>
    <s v="MAÑANA"/>
    <d v="1899-12-30T10:45:00"/>
    <s v="VIERNES"/>
    <s v="SEMANA 34"/>
    <m/>
    <m/>
    <s v="DANIEL GARRIDO"/>
    <x v="31"/>
    <n v="32"/>
    <s v="Superficies de transito"/>
    <s v="Pierna"/>
    <s v="Contusión"/>
    <s v="Caida de mismo nivel"/>
    <s v="COLABORADORA SUFRE CONTUSION EN RODILLA IZQUIERDA PRODUCTO DE CAÍDA MISMO NIVEL EN PASILLO DE IQF 4, POR PRESENCIA DE HIELO Y RESTOS CÁRNICOS EN SUPERFICIE DE TRANSITO"/>
    <s v="ACCION"/>
    <s v="SI"/>
    <s v="NO"/>
    <s v="NICOLAS GOMEZ"/>
    <s v="WLADIMIR CALDERON "/>
    <m/>
  </r>
  <r>
    <n v="2023"/>
    <s v="AGOSTO"/>
    <s v="EL PAICO"/>
    <s v="REYES AHUE"/>
    <s v="KELY"/>
    <s v="FEMENINO"/>
    <s v="25370294-K"/>
    <d v="2022-02-07T00:00:00"/>
    <n v="17"/>
    <d v="2023-08-01T00:00:00"/>
    <s v="INTERMEDIO"/>
    <s v="N/A"/>
    <s v="N/A"/>
    <s v="N/A"/>
    <n v="0"/>
    <s v="STP"/>
    <s v="N/A"/>
    <s v="N/A"/>
    <x v="4"/>
    <s v="CAMARA"/>
    <s v="OPERARIO"/>
    <s v="SALA DESPACHO CONGELADO"/>
    <s v="N/A"/>
    <s v="TARDE"/>
    <d v="1899-12-30T16:05:00"/>
    <s v="MARTES"/>
    <s v="SEMANA 31"/>
    <m/>
    <m/>
    <s v="FRANCISCO QUEZADA"/>
    <x v="18"/>
    <n v="36"/>
    <s v="Superficies de trabajo"/>
    <s v="Espalda"/>
    <s v="Otros"/>
    <s v="Otros"/>
    <s v="COLABORADORA SUFRE DOLOR LUMBAR POR RESBALARSE AL PISAR UN TROZO DE HIELO CUANDO SE ENCONTRABAJA ARMANDO PALLETS EN SALA SALA DE DESPACHO CONGELADO"/>
    <s v="CONDICION"/>
    <s v="SI"/>
    <s v="NO"/>
    <s v="ALAN CARRASCO"/>
    <s v="WLADIMIR CALDERON "/>
    <m/>
  </r>
  <r>
    <n v="2023"/>
    <s v="AGOSTO"/>
    <s v="EL PAICO"/>
    <s v="RAMOS VARGAS"/>
    <s v="IRMA"/>
    <s v="FEMENINO"/>
    <s v="10259422-3"/>
    <d v="2023-06-01T00:00:00"/>
    <n v="2"/>
    <d v="2023-08-29T00:00:00"/>
    <s v="NUEVO"/>
    <s v="N/A"/>
    <s v="N/A"/>
    <s v="N/A"/>
    <n v="0"/>
    <s v="STP"/>
    <s v="LGF"/>
    <s v="LGF8"/>
    <x v="1"/>
    <s v="CALIBRADO"/>
    <s v="OPERARIO"/>
    <s v="SELLADO DE PRODUCTO"/>
    <s v="SELADORA DE BOLSA"/>
    <s v="INTERMEDIO"/>
    <d v="1899-12-30T18:10:00"/>
    <s v="MARTES"/>
    <s v="SEMANA 35"/>
    <m/>
    <m/>
    <s v="OCTAVIO MUÑOZ"/>
    <x v="17"/>
    <n v="57"/>
    <s v="Maquinarias"/>
    <s v="Manos / dedos"/>
    <s v="Quemadura"/>
    <s v="Contacto con temperaturas extremas"/>
    <s v="COLABORADORA SUFRE QUEMADURA EN DEDO INDICE, MEDIO Y ANULAR DE MANO IZQUIERDA POR CONTACT CON MAQUINA SELLADORA DE BOLSAS EN EL AREA DE CALIBRADO"/>
    <s v="ACCION"/>
    <s v="SI"/>
    <s v="NO"/>
    <s v="ALAN CARARSCO"/>
    <s v="WLADIMIR CALDERON "/>
    <m/>
  </r>
  <r>
    <n v="2023"/>
    <s v="AGOSTO"/>
    <s v="EL PAICO"/>
    <s v="POSTIGO VILCHES"/>
    <s v="BRYAN"/>
    <s v="MASCULINO"/>
    <s v="19501136-2"/>
    <d v="2023-07-17T00:00:00"/>
    <n v="1"/>
    <d v="2023-08-30T00:00:00"/>
    <s v="NUEVO"/>
    <s v="N/A"/>
    <s v="N/A"/>
    <s v="N/A"/>
    <n v="0"/>
    <s v="STP"/>
    <s v="N/A"/>
    <s v="N/A"/>
    <x v="5"/>
    <s v="DESHUESADO"/>
    <s v="OPERARIO"/>
    <s v="BAÑO DE HOMBRES"/>
    <s v="N/A"/>
    <s v="TARDE"/>
    <d v="1899-12-30T18:45:00"/>
    <s v="MIERCOLES"/>
    <s v="SEMANA 35"/>
    <m/>
    <m/>
    <s v="DANIEL GARRIDO"/>
    <x v="45"/>
    <n v="26"/>
    <s v="Superficies de transito"/>
    <s v="Manos / dedos"/>
    <s v="Contusión"/>
    <s v="Caida de mismo nivel"/>
    <s v="COLABORADOR SUFRE CONTUSION EN MUÑECA DERECHA POR GOLPE CONTRA MESON DE ENTREGA DE CIPER EN BAÑO DE HOMBRES"/>
    <s v="ACCION"/>
    <s v="NO"/>
    <s v="NO"/>
    <s v="ALAN CARRASCO"/>
    <s v="CARLOS CARTAGENA"/>
    <m/>
  </r>
  <r>
    <n v="2023"/>
    <s v="AGOSTO"/>
    <s v="EL PAICO"/>
    <s v="MORALES NUÑEZ"/>
    <s v="JAIME"/>
    <s v="MASCULINO"/>
    <s v="10410053-8"/>
    <d v="1999-08-14T00:00:00"/>
    <n v="287"/>
    <d v="2023-08-09T00:00:00"/>
    <s v="ANTIGUO"/>
    <d v="2023-08-10T00:00:00"/>
    <d v="2023-08-11T00:00:00"/>
    <s v="N/A"/>
    <n v="1"/>
    <s v="CTP"/>
    <s v="N/A"/>
    <s v="N/A"/>
    <x v="4"/>
    <s v="CAMARA"/>
    <s v="ENCARGADO DE LINEA"/>
    <s v="PASILLO D"/>
    <s v="N/A"/>
    <s v="MAÑANA"/>
    <d v="1899-12-30T10:20:00"/>
    <s v="MIERCOLES"/>
    <s v="SEMANA 32"/>
    <n v="15854"/>
    <s v="NC-115-23"/>
    <s v="FRANCISCO QUEZADA"/>
    <x v="18"/>
    <n v="57"/>
    <s v="Superficies de transito"/>
    <s v="Multiples"/>
    <s v="Contusión"/>
    <s v="Caida de mismo nivel"/>
    <s v="COLABORADOR SUFRE CONTUSIÓN EN MANO Y BRAZO IZQUIERDO POR CAIDA MISMO NIVEL PRODUCTO DE PRESENCIA DE RESTOS CARNICOS EN SUPERFICIE DE TRANSITO, CUANDO SE ENCONTRABA TRANSITANDO POR PASILLLO D"/>
    <s v="CONDICION"/>
    <s v="SI"/>
    <s v="SI"/>
    <s v="ALAN CARRASCO"/>
    <s v="WLADIMIR CALDERON "/>
    <m/>
  </r>
  <r>
    <n v="2023"/>
    <s v="AGOSTO"/>
    <s v="EL PAICO"/>
    <s v="MELLADO DELGADO"/>
    <s v="NICOLAS"/>
    <s v="MASCULINO"/>
    <s v="18960555-2"/>
    <d v="2022-04-04T00:00:00"/>
    <n v="16"/>
    <d v="2023-08-21T00:00:00"/>
    <s v="INTERMEDIO"/>
    <s v="N/A"/>
    <s v="N/A"/>
    <s v="N/A"/>
    <n v="0"/>
    <s v="STP"/>
    <s v="N/A"/>
    <s v="N/A"/>
    <x v="5"/>
    <s v="TROZADO AUTOMATICO"/>
    <s v="TECNICO"/>
    <s v="TROZADO DE POLLO AUTOMATICO"/>
    <s v="N/A"/>
    <s v="MAÑANA"/>
    <d v="1899-12-30T10:40:00"/>
    <s v="LUNES"/>
    <s v="SEMANA 34"/>
    <m/>
    <m/>
    <s v="DANIEL GARRIDO"/>
    <x v="6"/>
    <n v="28"/>
    <s v="Superficies de trabajo"/>
    <s v="Manos / dedos"/>
    <s v="Contusión"/>
    <s v="Caida de mismo nivel"/>
    <s v="COLABORADOR SUFRE CONTUSION EN MANO DERECHA POR CAIDA MISMO NIVEL PRODUCTO DE RESTOR CARNICOS EN SUPERFICIE DDE TRABAJO CUANDO SE ENCONTRABA AJUSTANDO MODULO PROCESADOR DE TRUTO"/>
    <s v="CONDICION"/>
    <s v="SI"/>
    <s v="NO"/>
    <s v="ALAN CARRASCO"/>
    <s v="WLADIMIR CALDERON "/>
    <m/>
  </r>
  <r>
    <n v="2023"/>
    <s v="AGOSTO"/>
    <s v="EL PAICO"/>
    <s v="MAULEN MAULEN "/>
    <s v="ALDO"/>
    <s v="MASCULINO"/>
    <s v="20136430-2"/>
    <d v="2019-10-07T00:00:00"/>
    <n v="45"/>
    <d v="2023-08-01T00:00:00"/>
    <s v="ANTIGUO"/>
    <d v="2023-08-01T00:00:00"/>
    <s v="N/A"/>
    <s v="N/A"/>
    <n v="0"/>
    <s v="STP"/>
    <s v="N/A"/>
    <s v="N/A"/>
    <x v="1"/>
    <s v="IQF/CALIBRADO A"/>
    <s v="OPERARIO"/>
    <s v="SALA METALQUIMIA"/>
    <s v="N/A"/>
    <s v="NOCHE"/>
    <d v="1899-12-30T01:00:00"/>
    <s v="MARTES"/>
    <s v="SEMANA 31"/>
    <n v="15833"/>
    <s v="NC-111-23"/>
    <s v="OCTAVIO MUÑOZ"/>
    <x v="17"/>
    <n v="24"/>
    <s v="Producto quimico"/>
    <s v="Ojos"/>
    <s v="Conjuntivitis"/>
    <s v="Proyeccion de particulas"/>
    <s v="COLABORADOR SUFRE MOLESTIA OCULAR POR PROYECCION DE PARTILUCAS LIQUIDAS (AGUA MAS TEC-500) CUANDO SE ENCONTRABA REALIZANDO ASEO A MAQUINA METALQUIMIA"/>
    <s v="ACCION"/>
    <s v="SI"/>
    <s v="SI"/>
    <s v="ALAN CARRASCO"/>
    <s v="SANDRA LAYANA"/>
    <m/>
  </r>
  <r>
    <n v="2023"/>
    <s v="AGOSTO"/>
    <s v="EL PAICO"/>
    <s v="MAULEN MALDONADO"/>
    <s v="JOSE"/>
    <s v="MASCULINO"/>
    <s v="7327744-2"/>
    <d v="2007-08-01T00:00:00"/>
    <n v="192"/>
    <d v="2023-08-09T00:00:00"/>
    <s v="ANTIGUO"/>
    <d v="2023-08-10T00:00:00"/>
    <d v="2023-08-14T00:00:00"/>
    <s v="N/A"/>
    <n v="5"/>
    <s v="CTP"/>
    <s v="N/A"/>
    <s v="N/A"/>
    <x v="6"/>
    <s v="ASEO"/>
    <s v="OPERARIO"/>
    <s v="CAMARIN "/>
    <s v="N/A"/>
    <s v="MAÑANA"/>
    <d v="1899-12-30T05:45:00"/>
    <s v="MIERCOLES"/>
    <s v="SEMANA 32"/>
    <n v="15853"/>
    <s v="NC-116-23"/>
    <s v="CARLOS JIMENEZ"/>
    <x v="46"/>
    <n v="70"/>
    <s v="Infraestructura"/>
    <s v="Manos / dedos"/>
    <s v="Herida cortante"/>
    <s v="Golpeado contra"/>
    <s v="COLABORADOR SUFRE HERIDA CORTANTE EN DEDO INDICE SUPERIOR IZQUIERDO AL GOLPEARSE CONTRA SILLA QUE SE ENCONTRABA EN CAMARIN, CUANDO SE ENCONTRABA CAMBIANDO SU VESTIMENTA PARA INGREZAR A TRABAJAR "/>
    <s v="CONDICION"/>
    <s v="NO"/>
    <s v="SI"/>
    <s v="ALAN CARRASCO"/>
    <s v="WLADIMIR CALDERON "/>
    <m/>
  </r>
  <r>
    <n v="2023"/>
    <s v="AGOSTO"/>
    <s v="EL PAICO"/>
    <s v="MALAGUEÑO VILLALOBOS"/>
    <s v="PABLO"/>
    <s v="MASCULINO"/>
    <s v="18957463-0"/>
    <d v="2023-03-13T00:00:00"/>
    <n v="4"/>
    <d v="2023-08-02T00:00:00"/>
    <s v="NUEVO"/>
    <s v="N/A"/>
    <s v="N/A"/>
    <s v="N/A"/>
    <n v="0"/>
    <s v="STP"/>
    <s v="LGF"/>
    <s v="LGF8"/>
    <x v="8"/>
    <s v="MANTENCION"/>
    <s v="ELECTRICO"/>
    <s v="SALA BOMBA PERACETICO"/>
    <s v="N/A"/>
    <s v="TARDE"/>
    <d v="1899-12-30T18:30:00"/>
    <s v="MIERCOLES"/>
    <s v="SEMANA 31"/>
    <m/>
    <m/>
    <s v="VICTOR GOMEZ"/>
    <x v="23"/>
    <n v="28"/>
    <s v="Producto quimico"/>
    <s v="Pierna"/>
    <s v="Quemadura"/>
    <s v="Contacto con sustancias toxicas"/>
    <s v="COLABORADOR SUFRE QUEMADURA EN ZONA GEMERAL DE PIERNA IZQUIERDA POR CONTACTO CON PRODUCTO QUÍMICO,CUANDO SE ENCONTRABA REALIZANDO LABORES DE REVISION DE BOMBA DE PERACETICO"/>
    <s v="ACCION"/>
    <s v="SI"/>
    <s v="NO"/>
    <s v="ALAN CARRASCO"/>
    <s v="CARLOS CARTAGENA"/>
    <m/>
  </r>
  <r>
    <n v="2023"/>
    <s v="AGOSTO"/>
    <s v="EL PAICO"/>
    <s v="LUCERO ROJAS"/>
    <s v="SEBASTIAN"/>
    <s v="MASCULINO"/>
    <s v="18628732-0"/>
    <d v="2023-06-19T00:00:00"/>
    <n v="2"/>
    <d v="2023-08-21T00:00:00"/>
    <s v="NUEVO"/>
    <s v="N/A"/>
    <s v="N/A"/>
    <s v="N/A"/>
    <n v="0"/>
    <s v="STP"/>
    <s v="N/A"/>
    <s v="N/A"/>
    <x v="7"/>
    <s v="REPORTE DE CAJAS"/>
    <s v="OPERARIO"/>
    <s v="PULPA"/>
    <s v="N/A"/>
    <s v="MAÑANA"/>
    <d v="1899-12-30T12:40:00"/>
    <s v="LUNES"/>
    <s v="SEMANA 34"/>
    <m/>
    <m/>
    <s v="OCTAVIO MUÑOZ"/>
    <x v="38"/>
    <n v="29"/>
    <s v="Bins"/>
    <s v="Pie"/>
    <s v="Contusión"/>
    <s v="Golpeado por"/>
    <s v="COLABORADOR SUFRE CONTUSION EN DEDO PULGAR INFERIOR DERECHO AL SER GOLPEADO POR BINS QUE ERA LLEVADO POR COMPAÑERO DE TRABAJO"/>
    <s v="ACCION"/>
    <s v="SI"/>
    <s v="NO"/>
    <s v="ALAN CARRASCO"/>
    <s v="WLADIMIR CALDERON "/>
    <m/>
  </r>
  <r>
    <n v="2023"/>
    <s v="AGOSTO"/>
    <s v="EL PAICO"/>
    <s v="IBARRA"/>
    <s v="JOSE"/>
    <s v="MASCULINO"/>
    <s v="11170619-0"/>
    <d v="2022-11-04T00:00:00"/>
    <n v="9"/>
    <d v="2023-08-22T00:00:00"/>
    <s v="INTERMEDIO"/>
    <s v="N/A"/>
    <s v="N/A"/>
    <s v="N/A"/>
    <n v="0"/>
    <s v="STP"/>
    <s v="N/A"/>
    <s v="N/A"/>
    <x v="2"/>
    <s v="CALIBRADO PAVOS"/>
    <s v="OPERARIO"/>
    <s v="EVISCERADO"/>
    <s v="N/A"/>
    <s v="TARDE"/>
    <d v="1899-12-30T17:10:00"/>
    <s v="MARTES"/>
    <s v="SEMAN 34"/>
    <m/>
    <m/>
    <s v="NICOLAS MOYANO"/>
    <x v="37"/>
    <n v="59"/>
    <s v="Materia Prima"/>
    <s v="Ojos"/>
    <s v="Conjuntivitis"/>
    <s v="Proyeccion de particulas"/>
    <s v="COLABORADOR SUFRE MOLESTIA OCULAR POR PROYECCION DE PARTICULAS EN OJO IZQUIERDO CUANDO DE ENCONTRABA SACANDO VICESAR QUE ESTABAN ENRREDADAS"/>
    <s v="ACCION"/>
    <s v="SI"/>
    <s v="NO"/>
    <s v="NICOLAS GOMEZ"/>
    <s v="CARLOS CARTAGENA"/>
    <m/>
  </r>
  <r>
    <n v="2023"/>
    <s v="AGOSTO"/>
    <s v="EL PAICO"/>
    <s v="HERNANDEZ DIAZ"/>
    <s v="SERGIO"/>
    <s v="MASCULINO"/>
    <s v="19212501-4"/>
    <d v="2023-07-10T00:00:00"/>
    <n v="0"/>
    <d v="2023-08-07T00:00:00"/>
    <s v="NUEVO"/>
    <s v="N/A"/>
    <s v="N/A"/>
    <s v="N/A"/>
    <n v="0"/>
    <s v="STP"/>
    <s v="N/A"/>
    <s v="N/A"/>
    <x v="5"/>
    <s v="AUTOMATICO"/>
    <s v="OPERARIO"/>
    <s v="COLAGADO DE POLLO"/>
    <s v="N/A"/>
    <s v="TARDE"/>
    <d v="1899-12-30T19:00:00"/>
    <s v="LUNES"/>
    <s v="SEMANA 32"/>
    <m/>
    <m/>
    <s v="DANIEL GARRIDO"/>
    <x v="28"/>
    <n v="27"/>
    <s v="Materia Prima"/>
    <s v="Espalda"/>
    <s v="Otros"/>
    <s v="Sobreesfuerzo"/>
    <s v="COLABORADOR SUFRE DOLENCIA EN ESPALDA POR MOVIMIENTO REPETITIVO AL REALIZAR LABOR DE GOLGADO DE PRODUCTO EN TROZADO DE POLLO AUTOMATICO"/>
    <s v="ACCION"/>
    <s v="SI"/>
    <s v="NO"/>
    <s v="NICOLAS GOMEZ"/>
    <s v="WLADIMIR CALDERON "/>
    <m/>
  </r>
  <r>
    <n v="2023"/>
    <s v="AGOSTO"/>
    <s v="EL PAICO"/>
    <s v="GUERRA CABRERA"/>
    <s v="JORGE"/>
    <s v="MASCULINO"/>
    <s v="17987132-7"/>
    <d v="2010-04-23T00:00:00"/>
    <n v="160"/>
    <d v="2023-08-30T00:00:00"/>
    <s v="ANTIGUO"/>
    <d v="2023-08-30T00:00:00"/>
    <d v="2023-08-31T00:00:00"/>
    <s v="N/A"/>
    <n v="13"/>
    <s v="CTP"/>
    <s v="N/A"/>
    <s v="N/A"/>
    <x v="5"/>
    <s v="DESHUESADO"/>
    <s v="OPERARIO"/>
    <s v="AFUERA DE PORTERIA"/>
    <s v="N/A"/>
    <s v="MAÑANA"/>
    <d v="1899-12-30T06:00:00"/>
    <s v="MIERCOLES"/>
    <s v="SEMANA 35"/>
    <n v="15892"/>
    <s v="NC-127-23"/>
    <s v="DANIEL GARRIDO"/>
    <x v="10"/>
    <n v="31"/>
    <s v="Vehículos"/>
    <s v="Pie"/>
    <s v="Torsión"/>
    <s v="Caida de distinto nivel"/>
    <s v="COLABORADOR SUFRE TORSION EN PIE DERECHO POR CAIDA DISTINTO NIVEL CUANDO SE ECONTRABA BAJANDO DE FURGON DE TRANSPORTE"/>
    <s v="ACCION"/>
    <s v="NO"/>
    <s v="SI"/>
    <s v="NICOLAS GOMEZ"/>
    <s v="CARLOS CARTAGENA"/>
    <m/>
  </r>
  <r>
    <n v="2023"/>
    <s v="AGOSTO"/>
    <s v="EL PAICO"/>
    <s v="GONZALEZ FERNANDEZ"/>
    <s v="DENISSE"/>
    <s v="FEMENINO"/>
    <s v="15542013-8"/>
    <d v="2019-07-01T00:00:00"/>
    <n v="49"/>
    <d v="2023-08-29T00:00:00"/>
    <s v="ANTIGUO"/>
    <s v="N/A"/>
    <s v="N/A"/>
    <s v="N/A"/>
    <n v="0"/>
    <s v="STP"/>
    <s v="N/A"/>
    <s v="N/A"/>
    <x v="10"/>
    <s v="ROMANA PULPAS"/>
    <s v="ROMANERO"/>
    <s v="ROMANA DE PULPAS"/>
    <s v="N/A"/>
    <s v="MAÑANA "/>
    <d v="1899-12-30T05:40:00"/>
    <s v="MARTES"/>
    <s v="SEMANA 35"/>
    <m/>
    <m/>
    <s v="LUIS ESPEJO"/>
    <x v="47"/>
    <n v="40"/>
    <s v="Materia Prima"/>
    <s v="Ojos"/>
    <s v="Conjuntivitis"/>
    <s v="Proyeccion de particulas"/>
    <s v="COLABORA SUFRE  MOLESTIA OCULAR EN OJO DERECHOPOR PROYECCIÓN DE PARTICULAS LIQUIDAS CUANDO SE ENCONTRABA ORDENANDO SU PUESTO DE TRABAJO PARA COMENZAR EL TURNO"/>
    <s v="ACCION"/>
    <s v="SI"/>
    <s v="NO"/>
    <s v="NICOLAS GOMEZ"/>
    <s v="WLADIMIR CALDERON "/>
    <m/>
  </r>
  <r>
    <n v="2023"/>
    <s v="AGOSTO"/>
    <s v="EL PAICO"/>
    <s v="GOMEZ FARIAS"/>
    <s v="VICTOR"/>
    <s v="MASCULINO"/>
    <s v="16341630-1"/>
    <d v="2004-09-13T00:00:00"/>
    <n v="226"/>
    <d v="2023-07-21T00:00:00"/>
    <s v="ANTIGUO"/>
    <d v="2023-08-21T00:00:00"/>
    <d v="2023-08-21T00:00:00"/>
    <s v="N/A"/>
    <n v="0"/>
    <s v="STP"/>
    <s v="N/A"/>
    <s v="N/A"/>
    <x v="8"/>
    <s v="MANTENIMIENTO"/>
    <s v="JEFE DE MANTENCION"/>
    <s v="CHILLER DE AIRE"/>
    <s v="N/A"/>
    <s v="MAÑANA"/>
    <d v="1899-12-30T19:00:00"/>
    <s v="VIERNES"/>
    <s v="SEMANA 29"/>
    <n v="15878"/>
    <s v="NC-124-23"/>
    <s v="VICTOR GOMEZ"/>
    <x v="48"/>
    <n v="37"/>
    <s v="Superficies de transito"/>
    <s v="Brazo"/>
    <s v="Contusión"/>
    <s v="Caida de mismo nivel"/>
    <s v="COLABORADOR SUFRE CONTUSIÓN EN CODO IZQUIERDO POR CAIDA MISMO NIVEL PRODUCTO DE HIELO PRESENTE EN SUPERFCIE DE TRANSITO EN EL SECTOR DE CHILER DE AIRE "/>
    <s v="CONDICION"/>
    <s v="SI"/>
    <s v="SI"/>
    <s v="ALAN CARRASCO"/>
    <s v="N/A"/>
    <m/>
  </r>
  <r>
    <n v="2023"/>
    <s v="AGOSTO"/>
    <s v="EL PAICO"/>
    <s v="CONTRERAS PERALTA"/>
    <s v="JUAN "/>
    <s v="MASCULINO"/>
    <s v="14006777-6"/>
    <d v="2021-09-01T00:00:00"/>
    <n v="23"/>
    <d v="2023-08-21T00:00:00"/>
    <s v="ANTIGUO"/>
    <s v="N/A"/>
    <s v="N/A"/>
    <s v="N/A"/>
    <n v="0"/>
    <s v="STP"/>
    <s v="N/A"/>
    <s v="N/A"/>
    <x v="1"/>
    <s v="DROPPOINT"/>
    <s v="OPERARIO"/>
    <s v="LINEA DROPPOINT"/>
    <s v="N/A"/>
    <s v="TARDE"/>
    <d v="1899-12-30T18:25:00"/>
    <s v="LUNES"/>
    <s v="SEMANA 34"/>
    <m/>
    <m/>
    <s v="OCTAVIO MUÑOZ"/>
    <x v="1"/>
    <n v="43"/>
    <s v="Infraestructura"/>
    <s v="Rostro"/>
    <s v="Herida cortante"/>
    <s v="Golpeado contra"/>
    <s v="COLABORADOR SUFRE HERIDA SUPERFICIAL EN ROSTRO AL SER GOLPEADO CONTRA LATA DE ESTRUCTURA DE MAQUINA DROPPOINT CUANDO SE ENCONTRABA SACANDO UN ATASCO DE CAJAS "/>
    <s v="ACCION"/>
    <s v="SI"/>
    <s v="NO"/>
    <s v="NICOLAS GOMEZ"/>
    <s v="WLADIMIR CALDERON "/>
    <m/>
  </r>
  <r>
    <n v="2023"/>
    <s v="AGOSTO"/>
    <s v="EL PAICO"/>
    <s v="CID ARAOS"/>
    <s v="CLAUDIO"/>
    <s v="MASCULINO"/>
    <s v="19212600-2"/>
    <d v="2017-10-23T00:00:00"/>
    <n v="69"/>
    <d v="2023-08-22T00:00:00"/>
    <s v="ANTIGUO"/>
    <d v="2023-08-22T00:00:00"/>
    <d v="2023-08-22T00:00:00"/>
    <s v="N/A"/>
    <n v="0"/>
    <s v="STP"/>
    <s v="N/A"/>
    <s v="N/A"/>
    <x v="8"/>
    <s v="MANTENIMIENTO"/>
    <s v="COORDINADOR"/>
    <s v="RECEPCIÓN DE POLLO"/>
    <s v="N/A"/>
    <s v="MAÑANA"/>
    <d v="1899-12-30T13:50:00"/>
    <s v="MARTES"/>
    <s v="SEMANA 34"/>
    <n v="15877"/>
    <s v="NC-123-23"/>
    <s v="VICTOR GOMEZ"/>
    <x v="36"/>
    <n v="27"/>
    <s v="Infraestructura"/>
    <s v="Espalda"/>
    <s v="Herida cortante"/>
    <s v="Contacto con cuerpo cortante"/>
    <s v="COLABORADOR SUFRE HERIDA CORTANTE EN ZONA LUMBAR AL TENER CONTACTO CON PERFIL DE ESTRUCTURA METALICA AL PASAR POR BAJO DE CINTA TRANSPORTADORA."/>
    <s v="ACCION"/>
    <s v="SI"/>
    <s v="SI"/>
    <s v="ALAN CARRASCO"/>
    <s v="CARLOS CARTAGENA"/>
    <m/>
  </r>
  <r>
    <n v="2023"/>
    <s v="AGOSTO"/>
    <s v="EL PAICO"/>
    <s v="CARVAJAL CEPEDA "/>
    <s v="MICHEL HERNAN"/>
    <s v="MASCULINO"/>
    <s v="17081441-K"/>
    <d v="2017-08-01T00:00:00"/>
    <n v="72"/>
    <d v="2023-08-08T00:00:00"/>
    <s v="ANTIGUO"/>
    <d v="2023-08-08T00:00:00"/>
    <d v="2023-08-13T00:00:00"/>
    <d v="2023-08-14T00:00:00"/>
    <n v="11"/>
    <s v="CTP"/>
    <s v="LGF"/>
    <s v="LGF2"/>
    <x v="8"/>
    <s v="MANTENIMIENTO"/>
    <s v="COODINADOR"/>
    <s v="IQF4"/>
    <s v="N/A"/>
    <s v="MAÑANA"/>
    <d v="1899-12-30T14:45:00"/>
    <s v="MARTES"/>
    <s v="SEMANA 32"/>
    <n v="15847"/>
    <s v="NC-113-24"/>
    <s v="VICTOR GOMEZ"/>
    <x v="13"/>
    <n v="35"/>
    <s v="Maquinarias"/>
    <s v="Manos / dedos"/>
    <s v="Atrición"/>
    <s v="Atrapamiento"/>
    <s v="COLABORADOR SUFRE HERIDA CORTANTE POR ATRAPAMIENTO EN DEDO MEDIO DERECHO, CUANDO SE ENCONTRABA REALIZANDO INSPECCION EN INYECTORA CFS650 EN EL IQF 4"/>
    <s v="ACCION"/>
    <s v="SI"/>
    <s v="SI"/>
    <s v="ALAN CARRASCO"/>
    <s v="MICHELLE SANCHEZ"/>
    <m/>
  </r>
  <r>
    <n v="2023"/>
    <s v="AGOSTO"/>
    <s v="EL PAICO"/>
    <s v="CARANCIO NUÑEZ"/>
    <s v="CRISTIAN "/>
    <s v="MASCULINO"/>
    <s v="13247799-K"/>
    <d v="2023-06-01T00:00:00"/>
    <n v="2"/>
    <d v="2023-08-23T00:00:00"/>
    <s v="NUEVO"/>
    <s v="N/A"/>
    <s v="N/A"/>
    <s v="N/A"/>
    <n v="0"/>
    <s v="STP"/>
    <s v="N/A"/>
    <s v="N/A"/>
    <x v="1"/>
    <s v="IQF CALIBRADO C"/>
    <s v="OPERARIO"/>
    <s v="SALA DE PROCESO"/>
    <s v="N/A"/>
    <s v="INTERMEDIO"/>
    <d v="1899-12-30T16:30:00"/>
    <s v="MIERCOLES"/>
    <s v="SEMANA 34"/>
    <m/>
    <m/>
    <s v="OCTAVIO MUÑOZ"/>
    <x v="42"/>
    <n v="45"/>
    <s v="Bandejas"/>
    <s v="Manos / dedos"/>
    <s v="Torsión"/>
    <s v="Golpeado contra"/>
    <s v="COLABORADOR SUFRE TORSION DE DEDO PULGAR IZQUIERDO AL SER GOLPEADO CONTRA BANDEJA CUANDO SE ENCONTRABA ARMANDO PALLETS CON BLOQUES"/>
    <s v="ACCION"/>
    <s v="SI"/>
    <s v="NO"/>
    <s v="NICOLAS GOMEZ"/>
    <s v="CHISTIAN JHONS"/>
    <m/>
  </r>
  <r>
    <n v="2023"/>
    <s v="AGOSTO"/>
    <s v="EL PAICO"/>
    <s v="CANTILLANA CARDENAS"/>
    <s v="ACLICIO"/>
    <s v="MASCULINO"/>
    <s v="9868246-5"/>
    <d v="2019-06-24T00:00:00"/>
    <n v="49"/>
    <d v="2023-08-14T00:00:00"/>
    <s v="ANTIGUO"/>
    <s v="N/A"/>
    <s v="N/A"/>
    <s v="N/A"/>
    <n v="0"/>
    <s v="STP"/>
    <s v="N/A"/>
    <s v="N/A"/>
    <x v="7"/>
    <s v="REPORTE LINEA ISHIDA "/>
    <s v="OPERARIO"/>
    <s v="ANDEN "/>
    <s v="N/A"/>
    <s v="TARDE"/>
    <d v="1899-12-30T21:00:00"/>
    <s v="LUNES"/>
    <s v="SEMANA 33"/>
    <m/>
    <m/>
    <s v="OCTAVIO MUÑOZ"/>
    <x v="38"/>
    <n v="60"/>
    <s v="Materiales"/>
    <s v="Pierna"/>
    <s v="Herida cortante"/>
    <s v="Golpeado por"/>
    <s v="COLABORADOR SUFRE HERIDA ABRASIVA EN PIERNA IZQUIERDA AL SER GOLPEADO POR PALLET QUE CAE DESDE ALTURA CUANDO SE ENCONTRABA MOVILIZANDO ESTOS HACIA ANDEN UTILIZANDO TRANSPALETA MANUAL"/>
    <s v="ACCION"/>
    <s v="SI"/>
    <s v="NO"/>
    <s v="ALAN CARRASCO "/>
    <s v="MICHELLE SANCHEZ"/>
    <m/>
  </r>
  <r>
    <n v="2023"/>
    <s v="AGOSTO"/>
    <s v="EL PAICO"/>
    <s v="CANALES NAVARRO"/>
    <s v="AILIN"/>
    <s v="FEMENINO"/>
    <s v="20424089-2"/>
    <d v="2023-08-01T00:00:00"/>
    <n v="0"/>
    <d v="2023-08-21T00:00:00"/>
    <s v="NUEVO"/>
    <s v="N/A"/>
    <s v="N/A"/>
    <s v="N/A"/>
    <n v="0"/>
    <s v="STP"/>
    <s v="N/A"/>
    <s v="N/A"/>
    <x v="1"/>
    <s v="CALIBRADO"/>
    <s v="OPERARIO"/>
    <s v="CALIBRADO"/>
    <s v="N/A"/>
    <s v="MAÑANA"/>
    <d v="1899-12-30T12:50:00"/>
    <s v="LUNES"/>
    <s v="SEMANA 34"/>
    <m/>
    <m/>
    <s v="OCTAVIO MUÑOZ"/>
    <x v="42"/>
    <n v="23"/>
    <s v="Materia Prima"/>
    <s v="Manos / dedos"/>
    <s v="Contusión"/>
    <s v="Golpeado por"/>
    <s v="COLABORADORA DE IQF-CALIBRADO SUFRIO GOLPE EN DEDO ANULAR DE MANO DERECHA POR CAIDA DE UNA PECHIGA CONGELADA DESDE EL CAPACHO UEGO DE QUE ESTE SE LLENARA EN LINEA DE EMPACADO"/>
    <s v="CONDICION"/>
    <s v="SI"/>
    <s v="NO"/>
    <s v="ALAN CARRASCO"/>
    <s v="WLADIMIR CALDERON "/>
    <m/>
  </r>
  <r>
    <n v="2023"/>
    <s v="AGOSTO"/>
    <s v="EL PAICO"/>
    <s v="CAMPOS DIAZ"/>
    <s v="PATRICIO"/>
    <s v="MASCULINO"/>
    <s v="11696586-0"/>
    <d v="2018-10-16T00:00:00"/>
    <n v="57"/>
    <d v="2023-08-04T00:00:00"/>
    <s v="ANTIGUO"/>
    <d v="2023-08-04T00:00:00"/>
    <d v="2023-08-04T00:00:00"/>
    <s v="N/A"/>
    <n v="0"/>
    <s v="STP"/>
    <s v="N/A"/>
    <s v="N/A"/>
    <x v="6"/>
    <s v="ASEO OPERACIONAL"/>
    <s v="ENCARGADO SSGG"/>
    <s v="ECORILES"/>
    <s v="N/A"/>
    <s v="TARDE"/>
    <d v="1899-12-30T13:45:00"/>
    <s v="VIERNES"/>
    <s v="SEMANA 31"/>
    <n v="15840"/>
    <s v="NC-112-23"/>
    <s v="CARLOS JIMENEZ"/>
    <x v="49"/>
    <n v="52"/>
    <s v="Animales - Insectos"/>
    <s v="Multiples"/>
    <s v="Otros"/>
    <s v="Picadura"/>
    <s v="COLABORADOR SUFRE PICADURA DE AVEJA EN ROSTRO Y ESPALDA CUANDO SE ENCONTRABA MOVIENDO CARRO QUE SE ENCONTRABA SOBRE PASTO EN SECTOR DE ECORILES"/>
    <s v="CONDICION"/>
    <s v="SI"/>
    <s v="SI"/>
    <s v="NICOLAS GOMEZ"/>
    <s v="MICHELLE SANCHEZ"/>
    <m/>
  </r>
  <r>
    <n v="2023"/>
    <s v="AGOSTO"/>
    <s v="EL PAICO"/>
    <s v="CAMACHO CASTELLANOS"/>
    <s v="JESUS"/>
    <s v="MASCULINO"/>
    <s v="27001301-5"/>
    <d v="2021-04-26T00:00:00"/>
    <n v="28"/>
    <d v="2023-09-04T00:00:00"/>
    <s v="ANTIGUO"/>
    <s v="N/A"/>
    <s v="N/A"/>
    <s v="N/A"/>
    <n v="0"/>
    <s v="STP"/>
    <s v="N/A"/>
    <s v="N/A"/>
    <x v="5"/>
    <s v="DESHUESADO"/>
    <s v="OPERADOR DE MAQUINA"/>
    <s v="MAQUINA HQ NORTE"/>
    <s v="MAQUINA HQ NORTE"/>
    <s v="TARDE"/>
    <d v="1899-12-30T21:57:00"/>
    <s v="LUNES"/>
    <s v="SEMANA 36"/>
    <m/>
    <m/>
    <s v="DANIEL GARRIDO"/>
    <x v="10"/>
    <n v="25"/>
    <s v="Maquinarias"/>
    <s v="Pie"/>
    <s v="Otros"/>
    <s v="Contacto con cuerpo cortante"/>
    <s v="COLABORADOR SUFRE CORTE EN BOTA DE IZQUIERDA CON CUCHILLO DE TENDON PRESENTE EN MAQUINA HQ NORTE AL MOMENTO DE EMPUJAR UN CARRO DE MAQUINA QUE SE ENCONTRABA ATASCADO "/>
    <s v="ACCION"/>
    <s v="SI"/>
    <s v="NO"/>
    <s v="NICOLAS GOMEZ"/>
    <s v="WLADIMIR CALDERON "/>
    <m/>
  </r>
  <r>
    <n v="2023"/>
    <s v="AGOSTO"/>
    <s v="EL PAICO"/>
    <s v="BRAVO SAEZ"/>
    <s v="ALEXIS"/>
    <s v="MASCULINO"/>
    <s v="14006048-8"/>
    <d v="2019-07-29T00:00:00"/>
    <n v="48"/>
    <d v="2023-08-07T00:00:00"/>
    <s v="ANTIGUO"/>
    <s v="N/A"/>
    <s v="N/A"/>
    <s v="N/A"/>
    <n v="0"/>
    <s v="STP"/>
    <s v="N/A"/>
    <s v="N/A"/>
    <x v="7"/>
    <s v="PULPAS A"/>
    <s v="MOVILIZADOR"/>
    <s v="DESPACHO FRESCO"/>
    <s v="N/A"/>
    <s v="MAÑANA"/>
    <d v="1899-12-30T12:15:00"/>
    <s v="LUNES"/>
    <s v="SEMANA 32"/>
    <m/>
    <m/>
    <s v="OCTAVIO MUÑOZ"/>
    <x v="14"/>
    <n v="46"/>
    <s v="Equipos Transporte de carga"/>
    <s v="Rostro"/>
    <s v="Herida cortante"/>
    <s v="Golpeado contra"/>
    <s v="COLABORADOR SUFRE HERIDA CORTANTE EN NARIZ AL SER GOLPEADO CONTRA ESTRUCTURA METALICA SOBRESALIENTE DE CARRO METALICO CUANDO SE ENCONTRABA AYUDANDO A GRUERO A SACAR FIERRO DE CARRO QUE SE ENCONTRABA ATASCADO "/>
    <s v="ACCION"/>
    <s v="SI"/>
    <s v="NO"/>
    <s v="NICOLAS GOMEZ"/>
    <s v="CHISTIAN JHONS"/>
    <m/>
  </r>
  <r>
    <n v="2023"/>
    <s v="AGOSTO"/>
    <s v="EL PAICO"/>
    <s v="BENOIT"/>
    <s v="RINEL"/>
    <s v="MASCULINO"/>
    <s v="26237764-4"/>
    <d v="2021-11-03T00:00:00"/>
    <n v="21"/>
    <d v="2023-08-10T00:00:00"/>
    <s v="ANTIGUO"/>
    <s v="N/A"/>
    <s v="N/A"/>
    <s v="N/A"/>
    <n v="0"/>
    <s v="STP"/>
    <s v="N/A"/>
    <s v="N/A"/>
    <x v="5"/>
    <s v="DESHUESADO"/>
    <s v="OPERARIO"/>
    <s v="DROP POINT"/>
    <s v="EQUIPO PARA MOVIMIENTO DE CARGA (GRUAS O TRANSPALETAS)"/>
    <s v="TARDE"/>
    <d v="1899-12-30T16:45:00"/>
    <s v="JUEVES"/>
    <s v="SEMANA 32"/>
    <m/>
    <m/>
    <s v="DANIEL GARRIDO"/>
    <x v="10"/>
    <n v="37"/>
    <s v="Equipos Transporte de carga"/>
    <s v="Manos / dedos"/>
    <s v="Contusión"/>
    <s v="Golpeado por"/>
    <s v="COLABORADOR SUFRE CONTUSION EN RODILLA DERECHA AL SER GOLPEADO POR EQUIPO DE MOVIMIENTO DE CARGA"/>
    <s v="ACCION"/>
    <s v="SI"/>
    <s v="NO"/>
    <s v="NICOLAS GOMEZ"/>
    <s v="MICHELLE SANCHEZ"/>
    <m/>
  </r>
  <r>
    <n v="2023"/>
    <s v="AGOSTO"/>
    <s v="EL PAICO"/>
    <s v="BALLADARES VILLAVICENCIO"/>
    <s v="JORGE"/>
    <s v="MASCULINO"/>
    <s v="17398280-1"/>
    <d v="2008-01-10T00:00:00"/>
    <n v="187"/>
    <d v="2023-08-23T00:00:00"/>
    <s v="ANTIGUO"/>
    <s v="N/A"/>
    <s v="N/A"/>
    <s v="N/A"/>
    <n v="0"/>
    <s v="STP"/>
    <s v="N/A"/>
    <s v="N/A"/>
    <x v="4"/>
    <s v="CAMARA"/>
    <s v="OPERARIO"/>
    <s v="DESPACHO CONGELADO"/>
    <s v="N/A"/>
    <s v="MAÑANA"/>
    <d v="1899-12-30T12:30:00"/>
    <s v="MIERCOLES"/>
    <s v="SEMANA 34"/>
    <m/>
    <m/>
    <s v="FRANCISCO QUEZADA"/>
    <x v="29"/>
    <n v="33"/>
    <s v="Cajas"/>
    <s v="Manos / dedos"/>
    <s v="Torsión"/>
    <s v="Golpeado por"/>
    <s v="COLABORADOR SUFRE TORSIÓN EN MUÑECA IZQUIERDA AL SER GOLPEADO POR CAJA QUE CAE DESDE PALLETS CUANDO SE ENCONTRABA REPARANDO CAJAS"/>
    <s v="ACCION"/>
    <s v="SI"/>
    <s v="NO"/>
    <s v="ALAN CARRASCO"/>
    <s v="CHISTIAN JHONS"/>
    <m/>
  </r>
  <r>
    <n v="2023"/>
    <s v="AGOSTO"/>
    <s v="EL PAICO"/>
    <s v="AHUMADA CASTILLO"/>
    <s v="JUAN"/>
    <s v="MASCULINO"/>
    <s v="18096461-4"/>
    <d v="2022-07-12T00:00:00"/>
    <n v="13"/>
    <d v="2023-08-12T00:00:00"/>
    <s v="INTERMEDIO"/>
    <s v="N/A"/>
    <s v="N/A"/>
    <s v="N/A"/>
    <n v="0"/>
    <s v="STP"/>
    <s v="LGF"/>
    <s v="LGF6"/>
    <x v="8"/>
    <s v="MANTENIMIENTO"/>
    <s v="ELECTRICO"/>
    <s v="TALLER MANTENIMIENTO"/>
    <s v="N/A"/>
    <s v="TARDE"/>
    <d v="1899-12-30T21:40:00"/>
    <s v="SABADO"/>
    <s v="SEMANA 32"/>
    <m/>
    <m/>
    <s v="VICTOR GOMEZ"/>
    <x v="36"/>
    <n v="31"/>
    <s v="Equipo electricos"/>
    <s v="Brazo"/>
    <s v="Otros"/>
    <s v="Contacto con electricidad"/>
    <s v="COLABORADOR SUFRE GOLPE DE CORRIENTE EN MANO IZQUIERDA POR CONTACTO CON TABLERO DE PRUEBA"/>
    <s v="ACCION"/>
    <s v="SI"/>
    <s v="NO"/>
    <s v="ALAN CARRASCO"/>
    <s v="MICHELLE SANCHEZ"/>
    <m/>
  </r>
  <r>
    <n v="2023"/>
    <s v="AGOSTO"/>
    <s v="EL PAICO"/>
    <s v="AHUMADA CARRASCO "/>
    <s v="BENJAMIN"/>
    <s v="MASCULINO"/>
    <s v="20783005-4"/>
    <d v="2022-11-11T00:00:00"/>
    <n v="9"/>
    <d v="2023-08-21T00:00:00"/>
    <s v="INTERMEDIO"/>
    <s v="N/A"/>
    <s v="N/A"/>
    <s v="N/A"/>
    <n v="0"/>
    <s v="STP"/>
    <s v="N/A"/>
    <s v="N/A"/>
    <x v="2"/>
    <s v="EVISCERADO"/>
    <s v="OPERARIO"/>
    <s v="EVISCERADO  "/>
    <s v="N/A"/>
    <s v="TARDE"/>
    <d v="1899-12-30T17:30:00"/>
    <s v="LUNES"/>
    <s v="SEMANA 34"/>
    <m/>
    <m/>
    <s v="NICOLAS MOYANO"/>
    <x v="2"/>
    <n v="22"/>
    <s v="Superficies de transito"/>
    <s v="Manos / dedos"/>
    <s v="Torsión"/>
    <s v="Golpeado por"/>
    <s v="COLABORADOR SUFRE TORSION EN MUÑECA DERECHA AL GOLPEARSE CONTRA BARANDA DE ESCALERA QUE SE ENCUENTRA EN SALA DE EVISCERADO"/>
    <s v="ACCION"/>
    <s v="SI"/>
    <s v="NO"/>
    <s v="NICOLAS GOMEZ"/>
    <s v="WLADIMIR CALDERON "/>
    <m/>
  </r>
  <r>
    <n v="2023"/>
    <s v="AGOSTO"/>
    <s v="EL PAICO"/>
    <s v="AGUILERA SERRANO"/>
    <s v="MARITZA"/>
    <s v="FEMENINO"/>
    <s v="12859577-5"/>
    <d v="2016-12-16T00:00:00"/>
    <n v="80"/>
    <d v="2023-08-17T00:00:00"/>
    <s v="ANTIGUO"/>
    <d v="2023-08-17T00:00:00"/>
    <d v="2023-08-17T00:00:00"/>
    <d v="2023-08-23T00:00:00"/>
    <n v="3"/>
    <s v="CTP"/>
    <s v="LGF"/>
    <s v="LGF8"/>
    <x v="7"/>
    <s v="REPORTE LINEA ISHIDA"/>
    <s v="OPERARIO"/>
    <s v="REPORTE DE CAJAS"/>
    <s v="MAQUINA MONTEZA"/>
    <s v="MAÑANA"/>
    <d v="1899-12-30T12:20:00"/>
    <s v="JUEVES"/>
    <s v="SEMANA 33"/>
    <n v="15872"/>
    <s v="NC-120-23"/>
    <s v="OCTAVIO MUÑOZ"/>
    <x v="14"/>
    <n v="48"/>
    <s v="Maquinarias"/>
    <s v="Brazo"/>
    <s v="Quemadura"/>
    <s v="Contacto con temperaturas extremas"/>
    <s v="COLABORADORA SUFRE QUEMADURA EN ANTE BRAZO DERECHO POR CONTACTO CON ESTRUCTURA METALICA AL SACAR CAJA DE PRDUCTO QUE SE ENCONTRABA DENTRO DE MAQUINA MONTEZA ESTO DEBIDO AL CORTE DE ENERGIA EN LA PLANTA."/>
    <s v="ACCION"/>
    <s v="SI"/>
    <s v="SI"/>
    <s v="NICOLAS GOMEZ"/>
    <s v="MICHELLE SANCHEZ"/>
    <m/>
  </r>
  <r>
    <n v="2023"/>
    <s v="SEPTIEMBRE"/>
    <s v="EL PAICO"/>
    <s v="SEPULVEDA SOTO"/>
    <s v="NELLY"/>
    <s v="FEMENINO"/>
    <s v="9455533-7"/>
    <d v="2019-12-09T00:00:00"/>
    <n v="45"/>
    <d v="2023-09-12T00:00:00"/>
    <s v="ANTIGUO"/>
    <d v="2023-09-13T00:00:00"/>
    <d v="2023-09-13T00:00:00"/>
    <s v="N/A"/>
    <n v="0"/>
    <s v="STP"/>
    <s v="N/A"/>
    <s v="N/A"/>
    <x v="6"/>
    <s v="ASEO OPERACIONAL"/>
    <s v="OPERARIO"/>
    <s v="IQF 4"/>
    <s v="N/A"/>
    <s v="TARDE"/>
    <d v="1899-12-30T17:20:00"/>
    <s v="MARTES"/>
    <s v="SEMANA 37"/>
    <n v="15917"/>
    <s v="NC-132-23"/>
    <s v="CARLOS JIMENEZ"/>
    <x v="44"/>
    <n v="58"/>
    <s v="Superficies de transito"/>
    <s v="Espalda"/>
    <s v="Contusión"/>
    <s v="Caida de mismo nivel"/>
    <s v="COLABORADORA SUFRE CAIDA MISMO NIVEL CUANDO AL PISAR SUPERFICIE DE TRANSITO QUE SE ENCONTRABA SIN REJA DE PROTECCION DE DESAHUE EN PASILLO DE IQF4"/>
    <s v="CONDICION"/>
    <s v="SI"/>
    <s v="SI"/>
    <s v="ALAN CARRASCO"/>
    <s v="CHISTIAN JHONS"/>
    <m/>
  </r>
  <r>
    <n v="2023"/>
    <s v="SEPTIEMBRE"/>
    <s v="EL PAICO"/>
    <s v="ROSALES MALDONADO"/>
    <s v="JESUS"/>
    <s v="MASCULINO"/>
    <s v="17225475-6"/>
    <d v="2022-09-22T00:00:00"/>
    <n v="11"/>
    <d v="2023-09-11T00:00:00"/>
    <s v="INTERMEDIO"/>
    <s v="N/A"/>
    <s v="N/A"/>
    <s v="N/A"/>
    <n v="0"/>
    <s v="STP"/>
    <s v="N/A"/>
    <s v="N/A"/>
    <x v="8"/>
    <s v="MANTENCION"/>
    <s v="ELECTRICO"/>
    <s v="ESACALERA MAQUINA HQ NORTE"/>
    <s v="N/A"/>
    <s v="MAÑANA"/>
    <d v="1899-12-30T14:45:00"/>
    <s v="LUNES"/>
    <s v="SEMANA 37"/>
    <m/>
    <m/>
    <s v="VICTOR GOMEZ"/>
    <x v="41"/>
    <n v="34"/>
    <s v="Superficies de transito"/>
    <s v="Pierna"/>
    <s v="Otros"/>
    <s v="Otros"/>
    <s v="COLABORADOR SUFRE DOLOR EN PIERNA IZQUIERDA AL RESBALAR CUANDO SE ENCONTRABA BAJANDO DE ESCALERA EN MAQUINA HQ NORTE"/>
    <s v="CONDICION"/>
    <s v="SI"/>
    <s v="NO"/>
    <s v="NICOLAS GOMEZ"/>
    <s v="CARLOS CARTAGENA"/>
    <m/>
  </r>
  <r>
    <n v="2023"/>
    <s v="SEPTIEMBRE"/>
    <s v="EL PAICO"/>
    <s v="ROJAS QUINTERO"/>
    <s v="MARIO"/>
    <s v="MASCULINO"/>
    <s v="16342271-9"/>
    <d v="2023-07-03T00:00:00"/>
    <n v="2"/>
    <d v="2023-09-14T00:00:00"/>
    <s v="NUEVO"/>
    <s v="N/A"/>
    <s v="N/A"/>
    <s v="N/A"/>
    <n v="0"/>
    <s v="STP"/>
    <s v="N/A"/>
    <s v="N/A"/>
    <x v="4"/>
    <s v="CAMARA"/>
    <s v="OPERARIO"/>
    <s v="SALA DE EMPAQUE"/>
    <s v="N/A"/>
    <s v="TARDE"/>
    <d v="1899-12-30T15:00:00"/>
    <s v="JUEVES"/>
    <s v="SEMANA 37"/>
    <m/>
    <m/>
    <s v="FRANCISCO QUEZADA"/>
    <x v="18"/>
    <n v="43"/>
    <s v="Cajas"/>
    <s v="Espalda"/>
    <s v="Otros"/>
    <s v="Sobreesfuerzo"/>
    <s v="CLABORADOR SUFRE DOLOR EN PARILLA COSTAL DERECHA POR SOBREESFUERZO CUANDO SE ENCONTRABA REARMANDO PALLETS CON CAJAS"/>
    <s v="ACCION"/>
    <s v="SI"/>
    <s v="NO"/>
    <s v="ALAN CARRASCO"/>
    <s v="WLADIMIR CALDERON "/>
    <m/>
  </r>
  <r>
    <n v="2023"/>
    <s v="SEPTIEMBRE"/>
    <s v="EL PAICO"/>
    <s v="RIQUELME ZUÑIGA"/>
    <s v="VICTOR"/>
    <s v="MASCULINO"/>
    <s v="20654845-2"/>
    <d v="2022-02-03T00:00:00"/>
    <n v="19"/>
    <d v="2023-09-12T00:00:00"/>
    <s v="ANTIGUO"/>
    <s v="N/A"/>
    <s v="N/A"/>
    <s v="N/A"/>
    <n v="0"/>
    <s v="STP"/>
    <s v="N/A"/>
    <s v="N/A"/>
    <x v="4"/>
    <s v="CAMARA"/>
    <s v="MOVILIZADOR"/>
    <s v="PUERTA DE TUNEL 6"/>
    <s v="N/A"/>
    <s v="MAÑANA"/>
    <d v="1899-12-30T06:30:00"/>
    <s v="MARTES"/>
    <s v="SEMANA 37"/>
    <m/>
    <m/>
    <s v="FRANCISCO QUEZADA"/>
    <x v="29"/>
    <n v="22"/>
    <s v="Infraestructura"/>
    <s v="Manos / dedos"/>
    <s v="Contusión"/>
    <s v="Golpeado contra"/>
    <s v="COLABORADOR SUFRE CONTUSION EN DEDO INDICE DERECHO AL SER GOLPEADO CONTRA PUERTA DE TUNEL 6, CUANDO SE ENCONTRABA ABRIENDO ESTA QUE SE ENCONTRABA CON HIELO."/>
    <s v="ACCION"/>
    <s v="SI"/>
    <s v="NO"/>
    <s v="NICOLAS GOMEZ"/>
    <s v="CHISTIAN JHONS"/>
    <m/>
  </r>
  <r>
    <n v="2023"/>
    <s v="SEPTIEMBRE"/>
    <s v="EL PAICO"/>
    <s v="ACEVEDO VIDAL"/>
    <s v="KEVIN"/>
    <s v="MASCULINO"/>
    <s v="17802680-1"/>
    <d v="2023-09-04T00:00:00"/>
    <n v="0"/>
    <d v="2023-09-15T00:00:00"/>
    <s v="NUEVO"/>
    <s v="N/A"/>
    <s v="N/A"/>
    <s v="N/A"/>
    <n v="0"/>
    <s v="STP"/>
    <s v="N/A"/>
    <s v="N/A"/>
    <x v="7"/>
    <s v="PULPA"/>
    <s v="OPERARIO"/>
    <s v="SALA DE PULPA"/>
    <s v="EQUIPO PARA MOVIMIENTO DE CARGA (GRUAS O TRANSPALETAS)"/>
    <s v="TARDE"/>
    <d v="1899-12-30T14:30:00"/>
    <s v="VIERNES"/>
    <s v="SEMANA 37"/>
    <m/>
    <m/>
    <s v="OCTAVIO MUÑOZ"/>
    <x v="14"/>
    <n v="33"/>
    <s v="Equipos Transporte de carga"/>
    <s v="Pierna"/>
    <s v="Contusión"/>
    <s v="Golpeado contra"/>
    <s v="COLABORADOR SUFRE CONTUSION EN PIERNA DERECHA A SER GOLPEADO CONTRA TRANSPALETA MANUAL CUANDO SE ENCONTRABA POSICIONANDO PALLETS"/>
    <s v="ACCION"/>
    <s v="SI"/>
    <s v="NO"/>
    <s v="ALAN CARRASCO"/>
    <s v="CARLOS CARTAGENA"/>
    <m/>
  </r>
  <r>
    <n v="2023"/>
    <s v="SEPTIEMBRE"/>
    <s v="EL PAICO"/>
    <s v="MIRANDA LOYOLA"/>
    <s v="CAMILA "/>
    <s v="FEMENINO"/>
    <s v="21797530-1"/>
    <d v="2023-03-27T00:00:00"/>
    <n v="5"/>
    <d v="2023-09-21T00:00:00"/>
    <s v="NUEVO"/>
    <s v="N/A"/>
    <s v="N/A"/>
    <s v="N/A"/>
    <n v="0"/>
    <s v="STP"/>
    <s v="N/A"/>
    <s v="N/A"/>
    <x v="4"/>
    <s v="CAMARA"/>
    <s v="OPERARIO"/>
    <s v="SALA DE EMPAQUE"/>
    <s v="EQUIPO PARA MOVIMIENTO DE CARGA (GRUAS O TRANSPALETAS)"/>
    <s v="TARDE"/>
    <d v="1899-12-30T14:55:00"/>
    <s v="JUEVES"/>
    <s v="SEMANA 38"/>
    <m/>
    <m/>
    <s v="FRANCISCO QUEZADA"/>
    <x v="29"/>
    <n v="18"/>
    <s v="Equipos Transporte de carga"/>
    <s v="Tronco"/>
    <s v="Contusión"/>
    <s v="Golpeado contra"/>
    <s v="COLABORADORA SUFRE CONTUSION EN REGION DERECHO SUPERIOR DEL TORAX AL SER GOLPEADO CONTRA MANILLA DE TRANSPALETA "/>
    <s v="ACCION"/>
    <s v="SI"/>
    <s v="NO"/>
    <s v="NICOLAS GOMEZ"/>
    <s v="MICHELLE SANCHEZ"/>
    <m/>
  </r>
  <r>
    <n v="2023"/>
    <s v="SEPTIEMBRE"/>
    <s v="EL PAICO"/>
    <s v="PAREDES JEREZ"/>
    <s v="MARIA"/>
    <s v="FEMENINO"/>
    <s v="8390041-5"/>
    <d v="2021-06-01T00:00:00"/>
    <n v="27"/>
    <d v="2023-09-21T00:00:00"/>
    <s v="ANTIGUO"/>
    <s v="N/A"/>
    <s v="N/A"/>
    <s v="N/A"/>
    <n v="0"/>
    <s v="STP"/>
    <s v="N/A"/>
    <s v="N/A"/>
    <x v="5"/>
    <s v="DESHUESADO"/>
    <s v="OPERARIO"/>
    <s v="LINEA DE PROLIJADO"/>
    <s v="N/A"/>
    <s v="TARDE"/>
    <d v="1899-12-30T14:55:00"/>
    <s v="JUEVES"/>
    <s v="SEMANA 38"/>
    <m/>
    <m/>
    <s v="DANIEL GARRIDO"/>
    <x v="10"/>
    <n v="55"/>
    <s v="Superficies de transito"/>
    <s v="Multiples"/>
    <s v="Contusión"/>
    <s v="Caida de mismo nivel"/>
    <s v="COLABORADORA SUFRE CONTUSION EN ANTEBRAZO DERECHO Y ZONA LUMABAR POR CAIDA MISMO NIVEL AL RESBALAR CON RESTOS CARNICOS QUE SE ENCONTRABAN EN SUPERFICIE DE TRANSITO "/>
    <s v="CONDICION"/>
    <s v="NO"/>
    <s v="NO"/>
    <s v="NICOLAS GOMEZ"/>
    <s v="MICHELLE SANCHEZ"/>
    <m/>
  </r>
  <r>
    <n v="2023"/>
    <s v="SEPTIEMBRE"/>
    <s v="EL PAICO"/>
    <s v="MIRANDA LOYOLA"/>
    <s v="CAMILA "/>
    <s v="FEMENINO"/>
    <s v="21797530-1"/>
    <d v="2023-03-27T00:00:00"/>
    <n v="5"/>
    <d v="2023-09-21T00:00:00"/>
    <s v="NUEVO"/>
    <s v="N/A"/>
    <s v="N/A"/>
    <s v="N/A"/>
    <n v="0"/>
    <s v="STP"/>
    <s v="N/A"/>
    <s v="N/A"/>
    <x v="4"/>
    <s v="CAMARA"/>
    <s v="OPERARIO"/>
    <s v="SALA DE EMPAQUE"/>
    <s v="N/A"/>
    <s v="TARDE"/>
    <d v="1899-12-30T20:45:00"/>
    <s v="JUEVES"/>
    <s v="SEMANA 38"/>
    <m/>
    <m/>
    <s v="FRANCISCO QUEZADA"/>
    <x v="29"/>
    <n v="18"/>
    <s v="Cajas"/>
    <s v="Cabeza"/>
    <s v="Contusión"/>
    <s v="Golpeado por"/>
    <s v="COLABORADORA SUFRE CONTUSION EN ZONA PARIETAL DERECHA AL SER GOLPEADA POR CAJA QUE CAE DESDE PALLETS CUANDO SE ENCONTRABA SACANDO UNA CAJA QUE SE ENCONTRABA ROTA"/>
    <s v="ACCION"/>
    <s v="SI"/>
    <s v="NO"/>
    <s v="NICOLAS GOMEZ"/>
    <s v="MICHELLE SANCHEZ"/>
    <m/>
  </r>
  <r>
    <n v="2023"/>
    <s v="SEPTIEMBRE"/>
    <s v="EL PAICO"/>
    <s v="MARTINEZ ARIAS"/>
    <s v="FRANCISCO"/>
    <s v="MASCULINO"/>
    <s v="18216441-0"/>
    <d v="2019-12-02T00:00:00"/>
    <n v="45"/>
    <d v="2023-09-22T00:00:00"/>
    <s v="ANTIGUO"/>
    <s v="N/A"/>
    <s v="N/A"/>
    <s v="N/A"/>
    <n v="0"/>
    <s v="STP"/>
    <s v="N/A"/>
    <s v="N/A"/>
    <x v="2"/>
    <s v="EVISCERADO"/>
    <s v="OPERARIO"/>
    <s v="EVISCERADO"/>
    <s v="N/A"/>
    <s v="TARDE"/>
    <d v="1899-12-30T15:30:00"/>
    <s v="VIERNES"/>
    <s v="SEMANA 39"/>
    <m/>
    <m/>
    <s v="NICOLAS MOYANO"/>
    <x v="50"/>
    <n v="31"/>
    <s v="Cuchillo"/>
    <s v="Manos / dedos"/>
    <s v="Herida cortante"/>
    <s v="Contacto con cuerpo cortante"/>
    <s v="COLABORADOR SUFRE HERIDA CORTANTE EN MANO DERECHA AL TENER CONTACTO CON CUCHILLO CUANDO SE ENCONTRABA LAVANDO SUS MANOS"/>
    <s v="ACCION"/>
    <s v="SI"/>
    <s v="NO"/>
    <s v="NICOLAS GOMEZ"/>
    <s v="WLADIMIR CALDERON "/>
    <m/>
  </r>
  <r>
    <n v="2023"/>
    <s v="SEPTIEMBRE"/>
    <s v="EL PAICO"/>
    <s v="FREMIAU"/>
    <s v="MYRTHIL"/>
    <s v="MASCULINO"/>
    <s v="26431200-0"/>
    <d v="2022-11-07T00:00:00"/>
    <n v="10"/>
    <d v="2023-09-23T00:00:00"/>
    <s v="INTERMEDIO"/>
    <s v="N/A"/>
    <s v="N/A"/>
    <s v="N/A"/>
    <n v="0"/>
    <s v="STP"/>
    <s v="N/A"/>
    <s v="N/A"/>
    <x v="6"/>
    <s v="ASEO ZONA LIMPIA"/>
    <s v="OPERARIO"/>
    <s v="TROZADOD DE POLLO"/>
    <s v="N/A"/>
    <s v="NOCHE"/>
    <d v="1899-12-30T02:34:00"/>
    <s v="SABADO"/>
    <s v="SEMANA 39"/>
    <m/>
    <m/>
    <s v="CARLOS JIMENEZ"/>
    <x v="7"/>
    <n v="46"/>
    <s v="Otros"/>
    <s v="Manos / dedos"/>
    <s v="Herida cortante"/>
    <s v="Otros"/>
    <s v="COLABORADOR SUFRE HERIDA CORTANTE EN MUÑECA IZQUIERDA AL TENER CONTACTO CON CHORRO DE AGUA PROVENIENTE DESDE HIDROLAVADORA MIENTRAS REALIZABA ASEO PREOPERACIONAL"/>
    <s v="ACCION"/>
    <s v="SI"/>
    <s v="NO"/>
    <s v="ALAN CARRASCO"/>
    <s v="WLADIMIR CALDERON "/>
    <m/>
  </r>
  <r>
    <n v="2023"/>
    <s v="SEPTIEMBRE"/>
    <s v="EL PAICO"/>
    <s v="OTAROLA OGALDE"/>
    <s v="CAROLINA"/>
    <s v="FEMENINO"/>
    <s v="13919701-1"/>
    <d v="2021-05-03T00:00:00"/>
    <n v="28"/>
    <d v="2023-09-23T00:00:00"/>
    <s v="ANTIGUO"/>
    <s v="N/A"/>
    <s v="N/A"/>
    <s v="N/A"/>
    <n v="0"/>
    <s v="STP"/>
    <s v="N/A"/>
    <s v="N/A"/>
    <x v="5"/>
    <s v="TROZADO AUTOMATICO"/>
    <s v="OPERARIO"/>
    <s v="LINEA 2 SELECCIÓN DE ALA MEDIA"/>
    <s v="N/A"/>
    <s v="MAÑANA"/>
    <d v="1899-12-30T14:45:00"/>
    <s v="SABADO"/>
    <s v="SEMANA 39"/>
    <m/>
    <m/>
    <s v="DANIEL GARRIDO"/>
    <x v="6"/>
    <n v="42"/>
    <s v="Infraestructura"/>
    <s v="Cabeza"/>
    <s v="Contusión"/>
    <s v="Golpeado por"/>
    <s v="COLABORADORA SUFRE CONTUSION EN ZONA PARIETAL IZQUIERDA AL SER GOLPEADA POR GANCHO METALICO QUE CAE DESDE LINEA 2 CUANDO SE ENCONTRABA DESARROLLANDO LABORES DE SELECCIÓN DE ALA MEDIA"/>
    <s v="CONDICION"/>
    <s v="SI"/>
    <s v="NO"/>
    <s v="ALAN CARRASCO"/>
    <s v="CHISTIAN JHONS"/>
    <m/>
  </r>
  <r>
    <n v="2023"/>
    <s v="SEPTIEMBRE"/>
    <s v="EL PAICO"/>
    <s v="TORO CANIULAO"/>
    <s v="JUAN"/>
    <s v="MASCULINO"/>
    <s v="20464275-3"/>
    <d v="2020-06-16T00:00:00"/>
    <n v="39"/>
    <d v="2023-09-25T00:00:00"/>
    <s v="ANTIGUO"/>
    <d v="2023-09-25T00:00:00"/>
    <d v="2023-09-25T00:00:00"/>
    <s v="N/A"/>
    <n v="0"/>
    <s v="STP"/>
    <s v="N/A"/>
    <s v="N/A"/>
    <x v="1"/>
    <s v="IQF CALIBRADO B"/>
    <s v="OPERARIO"/>
    <s v="IQF 1"/>
    <s v="N/A"/>
    <s v="MAÑANA"/>
    <d v="1899-12-30T13:30:00"/>
    <s v="LUNES"/>
    <s v="SEMANA 39"/>
    <n v="15930"/>
    <s v="NC-133-23"/>
    <s v="OCTAVIO MUÑOZ"/>
    <x v="21"/>
    <n v="23"/>
    <s v="Herramientas de mano"/>
    <s v="Manos / dedos"/>
    <s v="Herida cortante"/>
    <s v="Contacto con cuerpo cortante"/>
    <s v="COLABORADOR SUFRE HERIDA CORTANTE EN DEDO ANULAR IZQUIERDO POR CONTACTO CON HERRAMIENTA DE MANO CARTONERO DE SEGURIDAD EL EVENTO SE PRODUJO CUANDO SE ENCONTRABA CAMBIANDO ROLLLO DE FILMS DE CINTA SUPER CONTAC"/>
    <s v="ACCION"/>
    <s v="SI"/>
    <s v="SI"/>
    <s v="NICOLAS GOMEZ"/>
    <s v="MICHELLE SANCHEZ"/>
    <m/>
  </r>
  <r>
    <n v="2023"/>
    <s v="SEPTIEMBRE"/>
    <s v="EL PAICO"/>
    <s v="ARAVENA NUÑEZ"/>
    <s v="ROCÍO"/>
    <s v="FEMENINO"/>
    <s v="20060554-3"/>
    <d v="2023-03-20T00:00:00"/>
    <n v="6"/>
    <d v="2023-09-26T00:00:00"/>
    <s v="NUEVO"/>
    <s v="N/A"/>
    <s v="N/A"/>
    <s v="N/A"/>
    <n v="0"/>
    <s v="STP"/>
    <s v="N/A"/>
    <s v="N/A"/>
    <x v="4"/>
    <s v="CÁMARA"/>
    <s v="OPERARIO"/>
    <s v="SALA DE EMPAQUE"/>
    <s v="N/A"/>
    <s v="MAÑANA"/>
    <d v="1899-12-30T09:45:00"/>
    <s v="SABADO"/>
    <s v="SEMANA 39"/>
    <m/>
    <m/>
    <s v="FRANCISCO QUEZADA"/>
    <x v="29"/>
    <n v="24"/>
    <s v="Materiales"/>
    <s v="Ojos"/>
    <s v="Conjuntivitis"/>
    <s v="Proyeccion de particulas"/>
    <s v="COLABORADORA SUFRE MOLESTIA OCULAR POR PROYECCION DE PARTICULAS SOLIDAS EN OJO IZQUIERDO CUANDO SE ENCONTRABA ARMANDO UN PALLETS"/>
    <s v="ACCION"/>
    <s v="SI"/>
    <s v="NO"/>
    <s v="NICOLAS GOMEZ"/>
    <s v="WLADIMIR CALDERON "/>
    <m/>
  </r>
  <r>
    <n v="2023"/>
    <s v="OCTUBRE"/>
    <s v="EL PAICO"/>
    <s v="ESPINOZA ORELLANA"/>
    <s v="BENJAMIN"/>
    <s v="MASCULINO"/>
    <s v="21389844-2"/>
    <d v="2023-08-28T00:00:00"/>
    <n v="1"/>
    <d v="2023-10-02T00:00:00"/>
    <s v="NUEVO"/>
    <d v="2023-10-02T00:00:00"/>
    <d v="2023-10-07T00:00:00"/>
    <s v="N/A"/>
    <n v="6"/>
    <s v="CTP"/>
    <s v="LGF"/>
    <s v="LGF2"/>
    <x v="2"/>
    <s v="EVISERADO"/>
    <s v="OPERARIO"/>
    <s v="EVISCERADO"/>
    <s v="REPASADORA DE CONTRES"/>
    <s v="MAÑANA"/>
    <d v="1899-12-30T11:15:00"/>
    <s v="LUNES"/>
    <s v="SEMANA 40"/>
    <n v="15945"/>
    <s v="NC-135-23"/>
    <s v="NICOLAS MOYANO"/>
    <x v="11"/>
    <n v="20"/>
    <s v="Maquinarias"/>
    <s v="Manos / dedos"/>
    <s v="Atrición"/>
    <s v="Atrapamiento"/>
    <s v="COLABORADOR SUFRE HERIDA POR ATRICIÓN EN PALMA DE MANO IZQUIERDA POR ATRAPAMIENTO CON RODILLOS DE MAQUINA REPASADORA DE CONTRES"/>
    <s v="CONDICION"/>
    <s v="SI"/>
    <s v="SI"/>
    <s v="ALAN CARRASCO"/>
    <s v="CHRISTIAN JHONS"/>
    <m/>
  </r>
  <r>
    <n v="2023"/>
    <s v="OCTUBRE"/>
    <s v="EL PAICO"/>
    <s v="ARAVENA NUÑEZ"/>
    <s v="ROCÍO"/>
    <s v="FEMENINO"/>
    <s v="20060554-3"/>
    <d v="2023-03-20T00:00:00"/>
    <n v="6"/>
    <d v="2023-10-02T00:00:00"/>
    <s v="NUEVO"/>
    <s v="N/A"/>
    <s v="N/A"/>
    <s v="N/A"/>
    <n v="0"/>
    <s v="STP"/>
    <s v="N/A"/>
    <s v="N/A"/>
    <x v="4"/>
    <s v="CÁMARA"/>
    <s v="OPERARIO"/>
    <s v="SALA DE EMPAQUE"/>
    <s v="N/A"/>
    <s v="TARDE"/>
    <d v="1899-12-30T21:20:00"/>
    <s v="LUNES"/>
    <s v="SEMANA 40"/>
    <m/>
    <m/>
    <s v="FRANCISCO QUEZADA"/>
    <x v="29"/>
    <n v="24"/>
    <s v="Superficies de trabajo"/>
    <s v="Pierna"/>
    <s v="Contusión"/>
    <s v="Caida de mismo nivel"/>
    <s v="COLABORADORA SUFRE CONTUSION EN RODILLA IZQUIERDA POR CAIDA MISMO NIVEL AL RESBALAR PROPUCTO DE HIELO PRESENTE EN SUPERFICIE DE TRABAJO CUANDO SE ENCONTRABA ENVOLVIENDO PALLETS CON FILMS"/>
    <s v="CONDICION"/>
    <s v="SI"/>
    <s v="NO"/>
    <s v="NICOLAS GOMEZ"/>
    <s v="CARLOS CARTAGENA"/>
    <m/>
  </r>
  <r>
    <n v="2023"/>
    <s v="OCTUBRE"/>
    <s v="EL PAICO"/>
    <s v="MIRANDA LOYOLA"/>
    <s v="CAMILA "/>
    <s v="FEMENINO"/>
    <s v="21797530-1"/>
    <d v="2023-03-27T00:00:00"/>
    <n v="6"/>
    <d v="2023-10-17T00:00:00"/>
    <s v="NUEVO"/>
    <d v="2023-10-18T00:00:00"/>
    <d v="2023-10-18T00:00:00"/>
    <s v="N/A"/>
    <n v="0"/>
    <s v="STP"/>
    <s v="N/A"/>
    <s v="N/A"/>
    <x v="4"/>
    <s v="CÁMARA"/>
    <s v="OPERARIO"/>
    <s v="SALA DE EMPAQUE"/>
    <s v="N/A"/>
    <s v="TARDE"/>
    <d v="1899-12-30T21:55:00"/>
    <s v="MARTES"/>
    <s v="SEMANA 42"/>
    <n v="15970"/>
    <s v="NC-148-23"/>
    <s v="FRANCISCO QUEZADA"/>
    <x v="29"/>
    <n v="18"/>
    <s v="Cajas"/>
    <s v="Cabeza"/>
    <s v="Contusión"/>
    <s v="Golpeado por"/>
    <s v="COLABORADORA SUFRE CONTUSIÓN EN CABEZA AL SER GOLPEADA POR CAJA CON PRODUCTO QUE CAE DESDE PALLETS CUANDO SE ENCONTRABA ACOMODANDO PALLETS EN SALA DE EMPAQUE "/>
    <s v="ACCION"/>
    <s v="SI"/>
    <s v="SI"/>
    <s v="NICOLAS GOMEZ"/>
    <s v="WLADIMIR CALDERON "/>
    <m/>
  </r>
  <r>
    <n v="2023"/>
    <s v="OCTUBRE"/>
    <s v="EL PAICO"/>
    <s v="BENOIT"/>
    <s v="RINEL"/>
    <s v="MASCULINO"/>
    <s v="26237764-4"/>
    <d v="2021-11-03T00:00:00"/>
    <n v="23"/>
    <d v="2023-10-19T00:00:00"/>
    <s v="ANTIGUO"/>
    <s v="N/A"/>
    <s v="N/A"/>
    <s v="N/A"/>
    <n v="0"/>
    <s v="STP"/>
    <s v="N/A"/>
    <s v="N/A"/>
    <x v="5"/>
    <s v="DESHUESADO"/>
    <s v="OPERARIO"/>
    <s v="SALA DE DESHUESADO"/>
    <s v="N/A"/>
    <s v="TARDE"/>
    <d v="1899-12-30T20:00:00"/>
    <s v="JUEVES"/>
    <s v="SEMANA 42"/>
    <m/>
    <m/>
    <s v="DANIEL GARRIDO"/>
    <x v="10"/>
    <n v="37"/>
    <s v="Bandejas"/>
    <s v="Pierna"/>
    <s v="Contusión"/>
    <s v="Golpeado por"/>
    <s v="COLABORADOR SUFRE CONTUSÓN EN PIERNA DERECHA AL SER GOLPEADO POR BANDEJAS Y BARRERA DE CONTECIÓN"/>
    <s v="ACCION"/>
    <s v="SI"/>
    <s v="NO"/>
    <s v="NICOLAS GOMEZ"/>
    <s v="CHISTIAN JHONS"/>
    <m/>
  </r>
  <r>
    <n v="2023"/>
    <s v="OCTUBRE"/>
    <s v="EL PAICO"/>
    <s v="ROSALES MALDONADO"/>
    <s v="JESUS"/>
    <s v="MASCULINO"/>
    <s v="17225475-6"/>
    <d v="2022-09-22T00:00:00"/>
    <n v="13"/>
    <d v="2023-10-22T00:00:00"/>
    <s v="INTERMEDIO"/>
    <s v="N/A"/>
    <s v="N/A"/>
    <s v="N/A"/>
    <n v="0"/>
    <s v="STP"/>
    <s v="N/A"/>
    <s v="N/A"/>
    <x v="8"/>
    <s v="MANTENCION"/>
    <s v="ELECTRICO"/>
    <s v="RECEPCIÓN DE POLLO"/>
    <s v="N/A"/>
    <s v="MAÑANA"/>
    <d v="1899-12-30T12:00:00"/>
    <s v="DOMINGO"/>
    <s v="SEMANA 42"/>
    <m/>
    <m/>
    <s v="VICTOR GOMEZ"/>
    <x v="36"/>
    <n v="34"/>
    <s v="Maquinarias"/>
    <s v="Manos / dedos"/>
    <s v="Torsión"/>
    <s v="Golpeado por"/>
    <s v="COLABOROR SUFRE TORSION EN MUÑECA DERECHA AL SER GOLPEADO POR MOTOR CUANDO SE ENCONTRABA TRANSLADANDOLO POR ESACALERAS EN SALA DE RECEPCION DE POLLO"/>
    <s v="ACCION"/>
    <s v="SI"/>
    <s v="NO"/>
    <s v="NICOLAS GOMEZ"/>
    <s v="ERIKA AGUILAR"/>
    <m/>
  </r>
  <r>
    <n v="2023"/>
    <s v="OCTUBRE"/>
    <s v="EL PAICO"/>
    <s v="ARAVENA NUÑEZ"/>
    <s v="ROCIO"/>
    <s v="FEMENINO"/>
    <s v="20060554-3"/>
    <d v="2023-03-20T00:00:00"/>
    <n v="7"/>
    <d v="2023-10-23T00:00:00"/>
    <s v="INTERMEDIO"/>
    <s v="N/A"/>
    <s v="N/A"/>
    <s v="N/A"/>
    <n v="0"/>
    <s v="STP"/>
    <s v="N/A"/>
    <s v="N/A"/>
    <x v="4"/>
    <s v="CAMARA"/>
    <s v="OPERARIO"/>
    <s v="SALA DE EMPAQUE"/>
    <s v="EQUIPO PARA MOVIMIENTO DE CARGA (GRUAS O TRANSPALETAS)"/>
    <s v="MAÑANA"/>
    <d v="1899-12-30T12:40:00"/>
    <s v="LUNES"/>
    <s v="SEMANA 43"/>
    <m/>
    <m/>
    <s v="FRANCISCO QUEZADA"/>
    <x v="29"/>
    <n v="24"/>
    <s v="Equipos Transporte de carga"/>
    <s v="Pie"/>
    <s v="Contusión"/>
    <s v="Golpeado por"/>
    <s v="COLABORADORA SUFRE CONTUSIÓN EN TOBILLO DERECHO AL SER GOLPEADA POR TRANSPALETA CUANDO SE ENCONTRABA DE PIE JUNTO A UN PALLET EN SALA DE EMPAQUE DE TUNEL"/>
    <s v="ACCION"/>
    <s v="SI"/>
    <s v="NO"/>
    <s v="NICOLAS GOMEZ"/>
    <s v="MICHELLE SANCHEZ"/>
    <m/>
  </r>
  <r>
    <n v="2023"/>
    <s v="OCTUBRE"/>
    <s v="EL PAICO"/>
    <s v="MENDOZA ROJAS"/>
    <s v="JOSE"/>
    <s v="MASCULINO"/>
    <s v="17082025-8"/>
    <d v="2023-03-13T00:00:00"/>
    <n v="7"/>
    <d v="2023-10-25T00:00:00"/>
    <s v="INTERMEDIO"/>
    <d v="2023-10-25T00:00:00"/>
    <d v="2023-10-25T00:00:00"/>
    <s v="N/A"/>
    <n v="0"/>
    <s v="STP"/>
    <s v="LGF"/>
    <s v="LGF8"/>
    <x v="6"/>
    <s v="ASEO ZONA SUCIA"/>
    <s v="OPERARIO"/>
    <s v="DESPLUMADO"/>
    <s v="N/A"/>
    <s v="NOCHE"/>
    <d v="1899-12-30T01:00:00"/>
    <s v="MIERCOLES"/>
    <s v="SEMANA 43"/>
    <n v="15990"/>
    <s v="NC-149-23"/>
    <s v="CARLOS JIMENES"/>
    <x v="9"/>
    <n v="33"/>
    <s v="Producto quimico"/>
    <s v="Cabeza"/>
    <s v="Quemadura"/>
    <s v="Contacto con sustancias toxicas"/>
    <s v="COLABORADOR SUFRE QUEMADURA EN ZONA POSTERIOR DEL CUELLO AL TENER CONTACTO CON DETERGENTE (PRODUCTO QUIMICO), CUANDO SE ENCONTRABA REALIZANDO LIMPIEZA  A MAQUINA REPAZADORA EN SALA DESPLUMADO DE POLLO."/>
    <s v="ACCION"/>
    <s v="SI"/>
    <s v="SI"/>
    <s v="ALAN CARRASCO"/>
    <s v="MICHELLE SANCHEZ"/>
    <m/>
  </r>
  <r>
    <n v="2023"/>
    <s v="OCTUBRE"/>
    <s v="EL PAICO"/>
    <s v="FARFAN BENAVIDES"/>
    <s v="ALVARO"/>
    <s v="MASCULINO"/>
    <s v="19601610-4"/>
    <d v="2023-04-13T00:00:00"/>
    <n v="6"/>
    <d v="2023-10-25T00:00:00"/>
    <s v="NUEVO"/>
    <s v="N/A"/>
    <s v="N/A"/>
    <s v="N/A"/>
    <n v="0"/>
    <s v="STP"/>
    <s v="N/A"/>
    <s v="N/A"/>
    <x v="5"/>
    <s v="AUTOMATICO"/>
    <s v="OPERARIO"/>
    <s v="TROZADO AUTOMATICO"/>
    <s v="N/A"/>
    <s v="MAÑANA"/>
    <d v="1899-12-30T13:30:00"/>
    <s v="MIERCOLES"/>
    <s v="SEMAN 43"/>
    <m/>
    <m/>
    <s v="DANIEL GARRIDO"/>
    <x v="28"/>
    <n v="26"/>
    <s v="Materia Prima"/>
    <s v="Ojos"/>
    <s v="Conjuntivitis"/>
    <s v="Proyeccion de particulas"/>
    <s v="COLABORADOR SUFRE MOLESTIA OCULAR POR PROYECCION DE PARTICULAS (PRODUCTO CÁRNICO) EN OJO DERECHO, CUANDO SE ENCONTRABA ESPERANDOLLENADO DE BINS CON PRODUCTO EN SALA DE TROZADO AUTOMATICO"/>
    <s v="CONDICION"/>
    <s v="SI"/>
    <s v="NO"/>
    <s v="ALAN CARRASCO"/>
    <s v="CHISTIAN JHONS"/>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n v="2023"/>
    <s v="ENERO"/>
    <s v="EL PAICO"/>
    <s v="VERA CATALAN"/>
    <s v="IVAN "/>
    <s v="MASCULINO"/>
    <s v="18488665-0 "/>
    <d v="2019-04-08T00:00:00"/>
    <n v="45"/>
    <d v="2023-01-18T00:00:00"/>
    <s v="ANTIGUO"/>
    <d v="2023-01-18T00:00:00"/>
    <s v="N/A"/>
    <s v="N/A"/>
    <n v="0"/>
    <s v="STP"/>
    <s v="N/A"/>
    <s v="N/A"/>
    <s v="BODEGA"/>
    <s v="BODEGA"/>
    <s v="OPERARIO"/>
    <s v="BODEGA"/>
    <s v="N/A"/>
    <s v="MAÑANA"/>
    <d v="1899-12-30T13:30:00"/>
    <s v="MIERCOLES"/>
    <s v="SEMANA 3"/>
    <m/>
    <m/>
    <s v="BORIS PONCE"/>
    <s v="VICTORIA MILLANERS"/>
    <n v="28"/>
    <s v="Materiales"/>
    <s v="Manos / dedos"/>
    <s v="Otros"/>
    <s v="Sobreesfuerzo"/>
    <s v="TRABAJADOR SUBRE TIRON AL ESTAR CORTANDO LAS AMARRAS (VARIAS) DEL PALLET Y AL MOVERLAS SIENTE DOLOR QUE VA DESDE LA MITAD DE LA PALMA HASTA EL CODO, EL CUAL VA EN AUMENTO Y AVISA A SU SUPERVISOR "/>
    <s v="ACCION"/>
    <s v="SI"/>
    <s v="NO"/>
    <s v="ALAN CARRASCO"/>
    <s v="GABRIELA CABEZAS "/>
  </r>
  <r>
    <n v="2023"/>
    <s v="ENERO"/>
    <s v="EL PAICO"/>
    <s v="ROCHA VARELA"/>
    <s v="MARIANA"/>
    <s v="FEMENINO"/>
    <s v="15596634-3"/>
    <d v="2021-02-09T00:00:00"/>
    <n v="23"/>
    <d v="2023-01-19T00:00:00"/>
    <s v="ANTIGUO"/>
    <s v="N/A"/>
    <s v="N/A"/>
    <s v="N/A"/>
    <n v="0"/>
    <s v="STP"/>
    <s v="N/A"/>
    <s v="N/A"/>
    <s v="IQF Y CALIBRADO"/>
    <s v="CALIBRADO"/>
    <s v="OPERARIO"/>
    <s v="BAÑO MUJERES"/>
    <s v="N/A"/>
    <s v="MAÑANA"/>
    <d v="1899-12-30T11:20:00"/>
    <s v="JUEVES"/>
    <s v="SEMANA 3"/>
    <m/>
    <m/>
    <s v="GUILLERMO NARVAEZ"/>
    <s v="FERNANDO FUENTEALBA"/>
    <n v="39"/>
    <s v="Superficies de transito"/>
    <s v="Manos / dedos"/>
    <s v="Contusión"/>
    <s v="Caida de mismo nivel"/>
    <s v="COLABORADOR AL ESTAR DESPLAZANDOSE AL INTERIOR DEL BAÑO DE MUJERES, RESBALA PROBOCANDOLE UNA CONTUSION EN LA MUQUEÑA IZQUIERDA."/>
    <s v="ACCION"/>
    <s v="SI"/>
    <s v="NO"/>
    <s v="NICOLAS GOMEZ"/>
    <s v="CHRISTIAN JHONS"/>
  </r>
  <r>
    <n v="2023"/>
    <s v="ENERO"/>
    <s v="EL PAICO"/>
    <s v="QUIROZ SAAVEDRA"/>
    <s v="JORGE"/>
    <s v="MASCULINO"/>
    <s v="10261648-0"/>
    <d v="2002-08-23T00:00:00"/>
    <n v="244"/>
    <d v="2023-01-21T00:00:00"/>
    <s v="ANTIGUO"/>
    <d v="2023-01-23T00:00:00"/>
    <d v="2023-02-04T00:00:00"/>
    <s v="N/A"/>
    <n v="13"/>
    <s v="CTP"/>
    <s v="LGF"/>
    <s v="LGF2"/>
    <s v="FAENACION"/>
    <s v="CHILLER DE AGUA"/>
    <s v="OPERARIO"/>
    <s v="CHILLER DE AGUA "/>
    <s v="CINTA DE TRANSPORTE"/>
    <s v="MAÑANA"/>
    <d v="1899-12-30T12:10:00"/>
    <s v="SABADO"/>
    <s v="SEMANA 3"/>
    <n v="15430"/>
    <s v="NC-11-23"/>
    <s v="NICOLAS MOYANO"/>
    <s v="ERWIN GATICA"/>
    <n v="58"/>
    <s v="Maquinarias"/>
    <s v="Manos / dedos"/>
    <s v="Atrición"/>
    <s v="Atrapamiento"/>
    <s v="TRABAJADOR EL CUAL SE ENCONTRABA TRANSLANDO LA CINTA TRANSPORTADORA PARA TRABAJAR EN LA HEMBRA SE APRETA EL DEDO  PULGAR DE MANO DERECHA"/>
    <s v="ACCION"/>
    <s v="SI"/>
    <s v="SI"/>
    <s v="NICOLAS GOMEZ"/>
    <s v="CARLOS CARTAGENA"/>
  </r>
  <r>
    <n v="2023"/>
    <s v="ENERO"/>
    <s v="EL PAICO"/>
    <s v="PEREZ CAMPOS"/>
    <s v="CARMEN"/>
    <s v="FEMENINO"/>
    <s v="11608562-3"/>
    <d v="1998-04-01T00:00:00"/>
    <n v="297"/>
    <d v="2023-01-13T00:00:00"/>
    <s v="ANTIGUO"/>
    <s v="N/A"/>
    <s v="N/A"/>
    <s v="N/A"/>
    <n v="0"/>
    <s v="STP"/>
    <s v="N/A"/>
    <s v="N/A"/>
    <s v="CALIDAD"/>
    <s v="SANGRADO DE POLLOS"/>
    <s v="OPERARIO"/>
    <s v="SALA DE SANGRADO"/>
    <s v="N/A"/>
    <s v="MAÑANA"/>
    <d v="1899-12-30T04:00:00"/>
    <s v="VIERNES"/>
    <s v="SEMANA 2"/>
    <m/>
    <m/>
    <s v="JAIME JORQUERA"/>
    <s v="HECNIMAR URDANETA"/>
    <n v="52"/>
    <s v="Infraestructura"/>
    <s v="Manos / dedos"/>
    <s v="Otros"/>
    <s v="Contacto con cuerpo punzante"/>
    <s v="TRABAJADORA SE ENCONTRABA REALIZANDO INSPECCION DE ASEO PREOPERACIONAL EN SALA DE SANGRADO, AL MOMENTO DE PASAR MANO POR GUIAS SE ENTIERRA UNA ESCIRLA DE METAL EN DEDO ANULAR EL CUAL FUE RETIRADO AL MOMENTO"/>
    <s v="CONDICION"/>
    <s v="SI"/>
    <s v="NO"/>
    <s v="CARLOS ORELLANA"/>
    <s v="CARLOS CARTAGENA"/>
  </r>
  <r>
    <n v="2023"/>
    <s v="ENERO"/>
    <s v="EL PAICO"/>
    <s v="PEÑA ASTORGA"/>
    <s v="GUSTAVO"/>
    <s v="MASCULINO"/>
    <s v="17225054-8"/>
    <d v="2019-11-11T00:00:00"/>
    <n v="37"/>
    <d v="2023-01-03T00:00:00"/>
    <s v="ANTIGUO"/>
    <s v="N/A"/>
    <s v="N/A"/>
    <s v="N/A"/>
    <n v="0"/>
    <s v="STP"/>
    <s v="N/A"/>
    <s v="N/A"/>
    <s v="FAENACION"/>
    <s v="EVISCERADO"/>
    <s v="OPERARIO"/>
    <s v="LINEA DESCOLGADO DE BANDEJAS"/>
    <s v="N/A"/>
    <s v="MAÑANA"/>
    <d v="1899-12-30T13:45:00"/>
    <s v="MARTES"/>
    <s v="SEMANA 1"/>
    <m/>
    <m/>
    <s v="NICOLAS MOYANO"/>
    <m/>
    <n v="33"/>
    <s v="Materiales"/>
    <s v="Rostro"/>
    <s v="Herida cortante"/>
    <s v="Golpeado por"/>
    <s v="ESTABA BAJANDO BANDEJA DE LINEA DE DESCOLGADO AL MOMENTO DE RETIRAR UNA BANDEJA LA QUE VENIA GOLPEA PARPADO DERECHO"/>
    <s v="ACCION"/>
    <s v="SI"/>
    <s v="NO"/>
    <s v="NICOLAS GOMEZ"/>
    <s v="CHRISTIAN JHONS"/>
  </r>
  <r>
    <n v="2023"/>
    <s v="ENERO"/>
    <s v="EL PAICO"/>
    <s v="MORENO LORCA"/>
    <s v="OSCAR"/>
    <s v="MASCULINO"/>
    <s v="10874086-8"/>
    <d v="2023-01-17T00:00:00"/>
    <n v="0"/>
    <d v="2023-01-23T00:00:00"/>
    <s v="NUEVO"/>
    <d v="2023-01-24T00:00:00"/>
    <d v="2023-03-25T00:00:00"/>
    <s v="N/A"/>
    <n v="2"/>
    <s v="CTP"/>
    <s v="N/A"/>
    <s v="N/A"/>
    <s v="FRIGORIFICO"/>
    <s v="EMPAQUE"/>
    <s v="OPERARIO"/>
    <s v="CAMARA 201 ORIENTE"/>
    <s v="N/A"/>
    <s v="MAÑANA"/>
    <d v="1899-12-30T11:30:00"/>
    <s v="LUNES"/>
    <s v="SEMANA 4"/>
    <n v="15435"/>
    <s v="NC-09-23"/>
    <s v="FRANCISCO QUEZADA"/>
    <s v="JUAN VILLAVICENCIO"/>
    <n v="52"/>
    <s v="Superficies de trabajo"/>
    <s v="Multiples"/>
    <s v="Contusión"/>
    <s v="Caida de mismo nivel"/>
    <s v="TRABAJADOR CUANDO SE TRANSLADABA A DEJAR INSUMOS DE TRABAJO (PISO DE ENCONTRABA CAPA DE HIELO) ESTE RESBALA CAYENDO DE ESPALDA GOLPEANDOSE LADO DERECHO A NIVEL DE LA CINTURA Y SU CODO IZQUERDO "/>
    <s v="CONDICION"/>
    <s v="SI"/>
    <s v="SI"/>
    <s v="ALAN CARRASCO"/>
    <s v="CHRISTIAN JHONS"/>
  </r>
  <r>
    <n v="2023"/>
    <s v="ENERO"/>
    <s v="EL PAICO"/>
    <s v="MIRANDA GOMEZ"/>
    <s v="JOSELYN"/>
    <s v="FEMENINO"/>
    <s v="18487450-4"/>
    <d v="2022-05-09T00:00:00"/>
    <n v="8"/>
    <d v="2023-01-23T00:00:00"/>
    <s v="INTERMEDIO"/>
    <d v="2023-01-24T00:00:00"/>
    <d v="2023-01-28T00:00:00"/>
    <s v="N/A"/>
    <n v="5"/>
    <s v="CTP"/>
    <s v="N/A"/>
    <s v="N/A"/>
    <s v="FRIGORIFICO"/>
    <s v="EMPAQUE"/>
    <s v="OPERARIO"/>
    <s v="CAMARINES DE MUJER"/>
    <s v="N/A"/>
    <s v="TARDE"/>
    <d v="1899-12-30T14:15:00"/>
    <s v="LUNES"/>
    <s v="SEMANA 4"/>
    <n v="15436"/>
    <s v="NC-10-23"/>
    <s v="FRANCISCO QUEZADA"/>
    <s v="JUAN VILLAVICENCIO"/>
    <n v="29"/>
    <s v="Infraestructura"/>
    <s v="Pie"/>
    <s v="Contusión"/>
    <s v="Golpeado contra"/>
    <s v="TRABAJADORA QUE SE ENCONTRABA CAMBIANDO SU VESTIMENTA EN CAMARINES DE MUJER SE GOLPEA DEDO MEÑIQUE DEL PIE DERECHO CON UNA SILLA DE FIERRO PRESENTE EN EL LUGAR"/>
    <s v="ACCION"/>
    <s v="SI"/>
    <s v="SI"/>
    <s v="ALAN CARRASCO"/>
    <s v="CHRISTIAN JHONS"/>
  </r>
  <r>
    <n v="2023"/>
    <s v="ENERO"/>
    <s v="EL PAICO"/>
    <s v="MENDEZ DEL CASTILLO"/>
    <s v="DANIELA"/>
    <s v="FEMENINO"/>
    <s v="15822820-3"/>
    <d v="2021-01-25T00:00:00"/>
    <n v="23"/>
    <d v="2023-01-03T00:00:00"/>
    <s v="ANTIGUO"/>
    <d v="2023-01-04T00:00:00"/>
    <d v="2023-01-12T00:00:00"/>
    <s v="N/A"/>
    <n v="9"/>
    <s v="CTP"/>
    <s v="N/A"/>
    <s v="N/A"/>
    <s v="TROZADO DE POLLO"/>
    <s v="TROZADO AUTOMATICO"/>
    <s v="OPERARIO"/>
    <s v="ESCALERA PRINCIPAL"/>
    <s v="N/A"/>
    <s v="TARDE"/>
    <d v="1899-12-30T19:50:00"/>
    <s v="MARTES"/>
    <s v="SEMANA 1"/>
    <n v="15412"/>
    <s v="NC-04-23"/>
    <s v="DANIEL GARRIDO"/>
    <s v="RAMIRO RAMIREZ"/>
    <n v="37"/>
    <s v="Superficies de transito"/>
    <s v="Pierna"/>
    <s v="Torsión"/>
    <s v="Caida de mismo nivel"/>
    <s v="TRABAJADORA SUFRE CAIDA AL BAJAR ESCALERA PRINCIPAL, EN EL DESCANSO HABIA TIERRA , LA CUAL PISA RESBALANDOSE Y SUFRIENDO UNA HIPEREXTENSION DE RODILLA IZQUIERDA"/>
    <s v="CONDICION"/>
    <s v="NO"/>
    <s v="SI"/>
    <s v="NICOLAS GOMEZ"/>
    <s v="CHRISTIAN JHONS"/>
  </r>
  <r>
    <n v="2023"/>
    <s v="ENERO"/>
    <s v="EL PAICO"/>
    <s v="INFANTE GUTIERREZ"/>
    <s v="TERESA"/>
    <s v="FEMENINO"/>
    <s v="16795621-1"/>
    <d v="2014-10-06T00:00:00"/>
    <n v="99"/>
    <d v="2023-01-07T00:00:00"/>
    <s v="ANTIGUO"/>
    <d v="2023-01-10T00:00:00"/>
    <d v="2023-01-17T00:00:00"/>
    <d v="2023-01-10T00:00:00"/>
    <n v="8"/>
    <s v="CTP"/>
    <s v="N/A"/>
    <s v="N/A"/>
    <s v="SSGG"/>
    <s v="SALA DE SALMUERA"/>
    <s v="OPERARIO"/>
    <s v="SALA DE SALMUERA "/>
    <s v="N/A"/>
    <s v="NOCHE"/>
    <d v="1899-12-30T22:40:00"/>
    <s v="SABADO"/>
    <s v="SEMANA 1"/>
    <n v="15413"/>
    <s v="NC-03-23"/>
    <s v="CARLOS JIMENEZ"/>
    <s v="PATRICIO PALACIOS"/>
    <n v="35"/>
    <s v="Infraestructura"/>
    <s v="Pierna"/>
    <s v="Contusión"/>
    <s v="Caida de distinto nivel"/>
    <s v="TRABAJADOR CUANDO LIMPIABA EN SALA SALMUERA SE CAE DE TARIMA GOLPEANDOSE LA RODILLA IZQUIERDA"/>
    <s v="CONDICION"/>
    <s v="SI"/>
    <s v="SI"/>
    <s v="CARLOS ORELLANA"/>
    <s v="CHRISTIAN JHONS"/>
  </r>
  <r>
    <n v="2023"/>
    <s v="ENERO"/>
    <s v="EL PAICO"/>
    <s v="HOSTIL"/>
    <s v="SMITH"/>
    <s v="MASCULINO"/>
    <s v="26204649-4"/>
    <d v="2022-11-14T00:00:00"/>
    <n v="1"/>
    <d v="2023-01-04T00:00:00"/>
    <s v="NUEVO"/>
    <s v="N/A"/>
    <s v="N/A"/>
    <s v="N/A"/>
    <n v="0"/>
    <s v="STP"/>
    <s v="N/A"/>
    <s v="N/A"/>
    <s v="SSGG"/>
    <s v="ASEO PREOPERACIONAL"/>
    <s v="OPERARIO"/>
    <s v="TROZADO DE POLLO"/>
    <s v="N/A"/>
    <s v="NOCHE"/>
    <d v="1899-12-30T02:00:00"/>
    <s v="MIERCOLES"/>
    <s v="SEMANA 1"/>
    <m/>
    <m/>
    <s v="CARLOS JIMENEZ"/>
    <s v="PATRICIO PALACIOS"/>
    <n v="34"/>
    <s v="Infraestructura"/>
    <s v="Pierna"/>
    <s v="Contusión"/>
    <s v="Caida de distinto nivel"/>
    <s v="TRABAJADOR SUFRE CAIDA DE DISTINTO NIVEL AL BAJAR UNA ESCALERA EN TROZADO DE POLLO LUEGO DE FINALIZAR LA LIMPIEZA DE UN EQUIPO"/>
    <s v="ACCION"/>
    <s v="SI"/>
    <s v="NO"/>
    <s v="NICOLAS GOMEZ"/>
    <s v="CHRISTIAN JHONS"/>
  </r>
  <r>
    <n v="2023"/>
    <s v="ENERO"/>
    <s v="EL PAICO"/>
    <s v="HIDALGO"/>
    <s v="ARISLEYDA"/>
    <s v="FEMENINO"/>
    <s v="26622517-2"/>
    <d v="2020-02-03T00:00:00"/>
    <n v="35"/>
    <d v="2023-01-19T00:00:00"/>
    <s v="ANTIGUO"/>
    <s v="N/A"/>
    <s v="N/A"/>
    <s v="N/A"/>
    <n v="0"/>
    <s v="STP"/>
    <s v="N/A"/>
    <s v="N/A"/>
    <s v="TROZADO DE POLLO"/>
    <s v="DESHUESADO"/>
    <s v="OPERARIO"/>
    <s v="DESPLUMADO"/>
    <s v="N/A"/>
    <s v="MAÑANA"/>
    <d v="1899-12-30T05:30:00"/>
    <s v="JUEVES"/>
    <s v="SEMANA 3"/>
    <m/>
    <m/>
    <s v="DANIEL GARRIDO"/>
    <s v="LUIS BUSTAMANTE"/>
    <n v="32"/>
    <s v="Materiales"/>
    <s v="Manos / dedos"/>
    <s v="Contusión"/>
    <s v="Golpeado por"/>
    <s v="TRABAJADORA AL COMENZAR SU TURNO, ORDENABA SU PUESTO DE TRABAJO CUANDO LE CAE UNA TABLA GOLPANDOLA EN DEDOS MEDIO Y ANULAR DE LA MANO IZQUERDA"/>
    <s v="ACCION"/>
    <s v="SI"/>
    <s v="NO"/>
    <s v="NICOLAS GOMEZ"/>
    <s v="CHRISTIAN JHONS"/>
  </r>
  <r>
    <n v="2023"/>
    <s v="ENERO"/>
    <s v="EL PAICO"/>
    <s v="GALVEZ MANZO"/>
    <s v="DAVID"/>
    <s v="MASCULINO "/>
    <s v="18029574-7"/>
    <d v="2021-12-13T00:00:00"/>
    <n v="13"/>
    <d v="2023-01-18T00:00:00"/>
    <s v="INTERMEDIO"/>
    <s v="N/A"/>
    <s v="N/A"/>
    <s v="N/A"/>
    <s v="O"/>
    <s v="STP"/>
    <s v="N/A"/>
    <s v="N/A"/>
    <s v="SSGG"/>
    <s v="FAENA"/>
    <s v="OPERARIO"/>
    <s v="DESPLUMADO"/>
    <s v="N/A"/>
    <s v="NOCHE"/>
    <d v="1899-12-30T22:25:00"/>
    <s v="MIERCOLES"/>
    <s v="SEMANA 3"/>
    <m/>
    <m/>
    <s v="CARLOS JIMENEZ"/>
    <s v="LUIS URBINA"/>
    <n v="31"/>
    <s v="Superficies de trabajo"/>
    <s v="Multiples"/>
    <s v="Contusión"/>
    <s v="Caida de distinto nivel"/>
    <s v="COLABORADOR SUFRE CAIDA DE DISTINTO NIVEL DESDE TARIMA DE TRABAJO, CUANDO SE ENCONTRABA REALIZANDO LABORESDE ASEO PREOPERACIONAL EN LA SALA DE DESPLUMADO ENTRE DOS MAQUINAS EN LA SALA, PROPBOCANDOLE LESIONES EN COSTILLAS Y RODILLA IZQUERDA."/>
    <s v="ACCION"/>
    <s v="SI"/>
    <s v="NO"/>
    <s v="ALAN CARRASCO"/>
    <s v="GABRIELA CABEZAS "/>
  </r>
  <r>
    <n v="2023"/>
    <s v="ENERO"/>
    <s v="EL PAICO"/>
    <s v="GALVEZ MANZO"/>
    <s v="DAVID"/>
    <s v="MASCULINO"/>
    <s v="18029574-7"/>
    <d v="2021-12-13T00:00:00"/>
    <n v="13"/>
    <d v="2023-01-18T00:00:00"/>
    <s v="INTERMEDIO"/>
    <d v="2023-01-20T00:00:00"/>
    <d v="2023-02-04T00:00:00"/>
    <s v="N/A"/>
    <n v="16"/>
    <s v="CTP"/>
    <s v="N/A"/>
    <s v="N/A"/>
    <s v="SSGG"/>
    <s v="ASEO PREOPERACIONAL"/>
    <s v="OPERARIO"/>
    <s v="SALA DE DESPLUMADO"/>
    <s v="N/A"/>
    <s v="TARDE"/>
    <d v="1899-12-30T22:25:00"/>
    <s v="MIERCOLES"/>
    <s v="SEMANA 3"/>
    <n v="15426"/>
    <s v="NC-08-23"/>
    <s v="CARLOS JIMENEZ"/>
    <s v="LUIS URBINA"/>
    <n v="31"/>
    <s v="Infraestructura"/>
    <s v="Multiples"/>
    <s v="Contusión"/>
    <s v="Caida de distinto nivel"/>
    <s v="TRABAJADOR AL ESTAR REALIZANDO LIMPIEZA EN SALA DE DESPLUMADO CAE DESDE UNA TARIMA GOLPEANDOSE PARILLA COSTAL DERECHA Y RODILLA IZQUERDA"/>
    <s v="ACCION"/>
    <s v="SI"/>
    <s v="SI"/>
    <s v="NICOLAS GOMEZ"/>
    <s v="GABRIELA CABEZAS "/>
  </r>
  <r>
    <n v="2023"/>
    <s v="FEBRERO"/>
    <s v="EL PAICO"/>
    <s v="ZUAZO GARAY"/>
    <s v="ALEJANDRO "/>
    <s v="MASCULINO"/>
    <s v="20403022-7"/>
    <d v="2022-08-18T00:00:00"/>
    <n v="5"/>
    <d v="2023-02-15T00:00:00"/>
    <s v="NUEVO"/>
    <d v="2023-02-15T00:00:00"/>
    <d v="2023-02-15T00:00:00"/>
    <s v="N/A"/>
    <n v="0"/>
    <s v="STP"/>
    <s v="N/A"/>
    <s v="N/A"/>
    <s v="TROZADO DE POLLO"/>
    <s v="T. AUTOMATICO"/>
    <s v="OPERARIO"/>
    <s v="BISN DE CARCASA"/>
    <s v="N/A"/>
    <s v="MAÑANA"/>
    <d v="1899-12-30T07:05:00"/>
    <s v="MIERCOLES"/>
    <s v="SEMANA 7"/>
    <n v="15478"/>
    <s v="NC-99-23"/>
    <s v="DANIEL GARRIDO"/>
    <s v="JOSE CARVALLO"/>
    <n v="22"/>
    <s v="Bins"/>
    <s v="Manos / dedos"/>
    <s v="Contusión"/>
    <s v="Golpeado contra"/>
    <s v="COLABORADOR AL RETIRAR BINS DE CARCASAS PARA SACARA BADEJAS, EL BINS SE DEVUELVE Y PROBOCA EL APICIONAMIENTO CONTRA LA ESTRUCTURA DE LA CINTA, PROBOCANDO UNA CONTUSION EN MANO DERECHA"/>
    <s v="ACCION"/>
    <s v="SI"/>
    <s v="SI"/>
    <s v="ALAN CARRASCO "/>
    <s v="CHRISTIAN JHONS"/>
  </r>
  <r>
    <n v="2023"/>
    <s v="FEBRERO"/>
    <s v="EL PAICO"/>
    <s v="ZARATE BALLESTEROS"/>
    <s v="MANUEL"/>
    <s v="MASCULINO"/>
    <s v="20123390-9"/>
    <d v="2021-11-22T00:00:00"/>
    <n v="14"/>
    <d v="2023-02-07T00:00:00"/>
    <s v="INTERMEDIO"/>
    <s v="N/A"/>
    <s v="N/A"/>
    <s v="N/A"/>
    <n v="0"/>
    <s v="STP"/>
    <s v="N/A"/>
    <s v="N/A"/>
    <s v="FAENACION"/>
    <s v="CHILLER DE PANAS"/>
    <s v="OPERARIO"/>
    <s v="CHILLER DE PANAS"/>
    <s v="N/A"/>
    <s v="TARDE"/>
    <d v="1899-12-30T22:30:00"/>
    <s v="MARTES"/>
    <s v="SEMANA 6"/>
    <m/>
    <m/>
    <s v="NICOLAS MOYANO"/>
    <s v="CESAR CARTAGENA"/>
    <n v="24"/>
    <s v="Materia Prima"/>
    <s v="Ojos"/>
    <s v="Conjuntivitis"/>
    <s v="Proyeccion de particulas"/>
    <s v="TRABAJADOR SE ENCONTRABA LIMPIANDO PANAS DE POLLO EN SALA DE CHILLER DE PANAS EN ESE MOMENTO SE PROYECTADA BILIS AL OJO DERECHO"/>
    <s v="ACCION"/>
    <s v="SI"/>
    <s v="NO"/>
    <s v="NICOLAS GOMEZ"/>
    <s v="CHRISTIAN JHONS"/>
  </r>
  <r>
    <n v="2023"/>
    <s v="FEBRERO"/>
    <s v="EL PAICO"/>
    <s v="ORTIZ GONZALEZ"/>
    <s v="AUGUSTO"/>
    <s v="MASCULINO"/>
    <s v="15532741-3"/>
    <d v="2022-07-25T00:00:00"/>
    <n v="6"/>
    <d v="2023-02-14T00:00:00"/>
    <s v="NUEVO"/>
    <s v="N/A"/>
    <s v="N/A"/>
    <s v="N/A"/>
    <n v="0"/>
    <s v="STP"/>
    <s v="N/A"/>
    <s v="N/A"/>
    <s v="P. POSTERIORES"/>
    <s v="PULPA"/>
    <s v="OPERARIO"/>
    <s v="PULPA"/>
    <s v="N/A"/>
    <s v="MAÑANA"/>
    <d v="1899-12-30T08:30:00"/>
    <s v="MARTES"/>
    <s v="SEMANA 7"/>
    <m/>
    <m/>
    <s v="OCTAVIO MUÑOZ"/>
    <s v="ALEJANDRO SALAS"/>
    <n v="41"/>
    <s v="Bins"/>
    <s v="Pelvis"/>
    <s v="Contusión"/>
    <s v="Golpeado contra"/>
    <s v="COLABORADOR SUFRE GOLPE EN TESTICULO POR BINS EL EVENTO SE PRODUJO CUANDO RESBALA AL MOMENTO DE ESTAR VACIANDO BANDEJAS. "/>
    <s v="ACCION"/>
    <s v="SI"/>
    <s v="NO"/>
    <s v="ALAN CARRASCO "/>
    <s v="WLADIMIR CALDERON "/>
  </r>
  <r>
    <n v="2023"/>
    <s v="FEBRERO"/>
    <s v="EL PAICO"/>
    <s v="OLATE CASTILLO"/>
    <s v="KATHERINE"/>
    <s v="FEMENINO"/>
    <s v="16181592-6"/>
    <d v="2012-05-07T00:00:00"/>
    <n v="129"/>
    <d v="2023-02-18T00:00:00"/>
    <s v="ANTIGUO"/>
    <s v="N/A"/>
    <s v="N/A"/>
    <s v="N/A"/>
    <n v="0"/>
    <s v="STP"/>
    <s v="N/A"/>
    <s v="N/A"/>
    <s v="TROZADO DE POLLO"/>
    <s v="DESHUESADO"/>
    <s v="OPERARIO"/>
    <s v="PORTERIA "/>
    <s v="N/A"/>
    <s v="MAÑANA"/>
    <d v="1899-12-30T06:15:00"/>
    <s v="SABADO"/>
    <s v="SEMANA 7"/>
    <m/>
    <m/>
    <s v="DANIEL GARRIDO"/>
    <s v="JOSE CARVALLO"/>
    <n v="38"/>
    <s v="Superficies de transito"/>
    <s v="Manos / dedos"/>
    <s v="Contusión"/>
    <s v="Caida de mismo nivel"/>
    <s v="COLABORADORA SUFRE CAIDA A NIVEL  APOYANDO AMBAS MANOS EN EL PISO, AL INGRESAR A LA PLANTA, ESTA TROPIEZA Y CAE "/>
    <s v="ACCION"/>
    <s v="SI"/>
    <s v="NO"/>
    <s v="ALAN CARRASCO "/>
    <s v="WLADIMIR CALDERON "/>
  </r>
  <r>
    <n v="2023"/>
    <s v="FEBRERO"/>
    <s v="EL PAICO"/>
    <s v="MENDEZ DEL CASTILLO"/>
    <s v="DANIELA "/>
    <s v="FEMENINO"/>
    <s v="15822820-3"/>
    <d v="2021-01-25T00:00:00"/>
    <n v="24"/>
    <d v="2023-02-18T00:00:00"/>
    <s v="ANTIGUO"/>
    <d v="2023-02-20T00:00:00"/>
    <d v="2023-02-25T00:00:00"/>
    <s v="N/A"/>
    <n v="6"/>
    <s v="CTP"/>
    <s v="N/A"/>
    <s v="N/A"/>
    <s v="TROZADO DE POLLO"/>
    <s v="T. AUTOMATICO"/>
    <s v="OPERARIO"/>
    <s v="DEHUESADO"/>
    <s v="N/A"/>
    <s v="TARDE"/>
    <d v="1899-12-30T22:45:00"/>
    <s v="VIERNES"/>
    <s v="SEMANA 7"/>
    <n v="15494"/>
    <s v="NC-16-2023"/>
    <s v="DANIEL GARRIDO"/>
    <s v="RAMIRO RAMIREZ"/>
    <n v="38"/>
    <s v="Materia Prima"/>
    <s v="Pierna"/>
    <s v="Contusión"/>
    <s v="Caida de mismo nivel"/>
    <s v="COLABORADORA  SUFRE CAIDA A NIVEL MAS CONTUSION EN RODILLA IZQUIERDA Y SENO DERECHO, AL PISAR MATERIA PRIMA CUANDO SE DIRIGIA A LOS CAMARINES EN T. AUTOMATICO"/>
    <s v="CONDICION"/>
    <s v="SI"/>
    <s v="SI"/>
    <s v="ALAN CARRASCO "/>
    <s v="MICHELLE SANCHEZ"/>
  </r>
  <r>
    <n v="2023"/>
    <s v="FEBRERO"/>
    <s v="EL PAICO"/>
    <s v="HERRERA PINTO"/>
    <s v="JHONY"/>
    <s v="MASCULINO"/>
    <s v="20789495-8"/>
    <d v="2022-11-29T00:00:00"/>
    <n v="2"/>
    <d v="2023-02-15T00:00:00"/>
    <s v="NUEVO"/>
    <s v="N/A"/>
    <s v="N/A"/>
    <s v="N/A"/>
    <n v="0"/>
    <s v="STP"/>
    <s v="N/A"/>
    <s v="N/A"/>
    <s v="TROZADO DE POLLO"/>
    <s v="TROZADO DE POLLO"/>
    <s v="OPERARIO"/>
    <s v="TROZADO DE POLLO AUTOMATICO"/>
    <m/>
    <s v="MAÑANA"/>
    <d v="1899-12-30T14:50:00"/>
    <s v="MIERCOLES"/>
    <s v="SEMANA 7"/>
    <m/>
    <m/>
    <s v="DANIEL GARRIDO"/>
    <s v="JOSE CARVALLO"/>
    <n v="22"/>
    <s v="Infraestructura"/>
    <s v="Espalda"/>
    <s v="Contusión"/>
    <s v="Golpeado por"/>
    <s v="TRABAJADOR QUE SE ENCONTRABA DE REGRESO DE SU HORARIO DE COLACION SE ENCONTRABA ALISTANDO SU PECHERA DE TRABAJO, CUANDO CAE SOBRE SU ESPALDA UN GANCHO METALICO. "/>
    <s v="CONDICION "/>
    <s v="SI"/>
    <s v="NO"/>
    <s v="ALAN CARRASCO"/>
    <s v="CARLOS CARTAGENA"/>
  </r>
  <r>
    <n v="2023"/>
    <s v="FEBRERO"/>
    <s v="EL PAICO"/>
    <s v="GUAJARDO VERA"/>
    <s v="SEBASTIAN"/>
    <s v="MASCULINO"/>
    <s v="19211824-7"/>
    <d v="2021-05-03T00:00:00"/>
    <n v="21"/>
    <d v="2023-02-03T00:00:00"/>
    <s v="ANTIGUO"/>
    <s v="N/A"/>
    <s v="N/A"/>
    <s v="N/A"/>
    <n v="0"/>
    <s v="STP"/>
    <s v="LGF"/>
    <s v="LGF4"/>
    <s v="MANTENCION"/>
    <s v="REPORTE DE CAJAS"/>
    <s v="MECANICO"/>
    <s v="REPORTE DE CAJAS"/>
    <s v="EQUIPO PARA MOVIMIENTO DE CARGA (GRUAS O TRANSPALETAS)"/>
    <s v="MAÑANA"/>
    <d v="1899-12-30T10:26:00"/>
    <s v="VIERNES"/>
    <s v="SEMANA 5"/>
    <m/>
    <m/>
    <s v="VICTOR GOMEZ"/>
    <s v="NICOLAS ROJAS"/>
    <n v="27"/>
    <s v="Equipos Transporte de carga"/>
    <s v="Pie"/>
    <s v="Contusión"/>
    <s v="Golpeado por"/>
    <s v="TRABAJADOR ESTEBA REPARANDO UNA MAQUINA AL COSTADO DE LA LINEA DE CONGELADO (PP) REVISANDO UNA MAQUINA CUANDO EL OPERADOR DE TRANPALETA RETROCEDE Y GOLPEA SU TOBILLO DERECHO"/>
    <s v="ACCION"/>
    <s v="SI"/>
    <s v="NO"/>
    <s v="NICOLAS GOMEZ"/>
    <s v="CARLOS CARTAGENA"/>
  </r>
  <r>
    <n v="2023"/>
    <s v="FEBRERO"/>
    <s v="EL PAICO"/>
    <s v="FIGUEROA RECABARREN"/>
    <s v="JASON "/>
    <s v="MASCULINO"/>
    <s v="21242262-2"/>
    <d v="2022-11-07T00:00:00"/>
    <n v="3"/>
    <d v="2023-02-16T00:00:00"/>
    <s v="NUEVO"/>
    <s v="N/A"/>
    <s v="N/A"/>
    <s v="N/A"/>
    <n v="0"/>
    <s v="STP"/>
    <s v="N/A"/>
    <s v="N/A"/>
    <s v="P. POSTERIORES"/>
    <s v="REPORTE DE CAJAS"/>
    <s v="OPERARIO"/>
    <s v="REPORTE DE CAJAS"/>
    <s v="N/A"/>
    <s v="MAÑANA"/>
    <d v="1899-12-30T08:28:00"/>
    <s v="JUEVES"/>
    <s v="SEMANA 7"/>
    <m/>
    <m/>
    <s v="OCTAVIO MUÑOZ"/>
    <s v="MARCOS QUINTANILLA"/>
    <n v="20"/>
    <s v="Pallet"/>
    <s v="Manos / dedos"/>
    <s v="Herida cortante"/>
    <s v="Contacto con cuerpo punzante"/>
    <s v="COLABORADOR AL BAJAR UN PALLET SE CORTA EL DEDO ANULAR IZQUIERDO , AL ESTAR BAJANDO CAJAS "/>
    <s v="CONDICION"/>
    <s v="SI"/>
    <s v="NO"/>
    <s v="ALAN CARRASCO "/>
    <s v="CHRISTIAN JHONS"/>
  </r>
  <r>
    <n v="2023"/>
    <s v="FEBRERO"/>
    <s v="EL PAICO"/>
    <s v="BAHAMONDEZ ABARCA"/>
    <s v="MARIA TERESA"/>
    <s v="FEMENINO"/>
    <s v="11527148-2"/>
    <d v="1998-03-17T00:00:00"/>
    <n v="299"/>
    <d v="2023-02-28T00:00:00"/>
    <s v="ANTIGUO"/>
    <s v="N/A"/>
    <s v="N/A"/>
    <s v="N/A"/>
    <n v="0"/>
    <s v="STP"/>
    <s v="N/A"/>
    <s v="N/A"/>
    <s v="P. POSTERIORES"/>
    <s v="REPORTE DE CAJAS"/>
    <s v="OPERARIO"/>
    <s v="REPORTE DE CAJAS"/>
    <s v="N/A"/>
    <s v="MAÑANA"/>
    <d v="1899-12-30T05:30:00"/>
    <s v="MARTES"/>
    <s v="SEMANA 9"/>
    <m/>
    <m/>
    <s v="OCTAVIO MUÑOZ"/>
    <s v="MARCOS QUINTANILLA"/>
    <n v="52"/>
    <s v="Materiales"/>
    <s v="Manos / dedos"/>
    <s v="Contusión"/>
    <s v="Golpeado contra"/>
    <s v="COLABORA SUFRE CONTUSION EN MANO DERECHA CUANDO SE ENCONTRABA CAMBIANDO ROLLO DE LAMINA EN MAQUINA ISHIDA"/>
    <s v="CONDICION"/>
    <s v="SI"/>
    <s v="NO"/>
    <s v="NICOLAS GOMEZ"/>
    <s v="CHISTIAN JHONS"/>
  </r>
  <r>
    <n v="2023"/>
    <s v="FEBRERO"/>
    <s v="EL PAICO"/>
    <s v="ARMIJO CORDERO"/>
    <s v="FRANCISCO"/>
    <s v="MASCULINO"/>
    <s v="7.885.635-1"/>
    <d v="2004-09-22T00:00:00"/>
    <n v="221"/>
    <d v="2023-02-25T00:00:00"/>
    <s v="ANTIGUO"/>
    <s v="N/A"/>
    <s v="N/A"/>
    <s v="N/A"/>
    <n v="0"/>
    <s v="STP"/>
    <s v="N/A"/>
    <s v="N/A"/>
    <s v="TROZADO DE PAVO"/>
    <s v="BAÑOS FAENA"/>
    <s v="OPERARIO"/>
    <s v="BAÑO EVISERADO"/>
    <s v="N/A"/>
    <s v="MAÑANA"/>
    <d v="1899-12-30T05:15:00"/>
    <s v="SABADO"/>
    <s v="SEMANA 8"/>
    <m/>
    <m/>
    <s v="DANIEL GARRIDO"/>
    <s v="JAQUELIN PAVEZ"/>
    <n v="64"/>
    <s v="Infraestructura"/>
    <s v="Manos / dedos"/>
    <s v="Herida cortante"/>
    <s v="Contacto con cuerpo cortante"/>
    <s v="COLABORADOR SUFRE CORTE EN DEDO INDICE DE MANO DERECHA AL APOYARSE EN PUERTA DE BAÑO DE EVISERADO"/>
    <s v="CONDICION"/>
    <s v="SI"/>
    <s v="NO"/>
    <s v="ALAN CARRASCO "/>
    <s v="CHRISTIAN JHONS"/>
  </r>
  <r>
    <n v="2023"/>
    <s v="FEBRERO"/>
    <s v="EL PAICO"/>
    <s v=" REYES FUENTES"/>
    <s v="JONHFER"/>
    <s v="MASCULINO"/>
    <s v="26466499-3"/>
    <d v="2020-02-24T00:00:00"/>
    <n v="35"/>
    <d v="2023-02-11T00:00:00"/>
    <s v="ANTIGUO"/>
    <s v="N/A"/>
    <s v="N/A"/>
    <s v="N/A"/>
    <n v="0"/>
    <s v="STP"/>
    <s v="N/A"/>
    <s v="N/A"/>
    <s v="SSGG"/>
    <s v="TRAZADO DE PAVO"/>
    <s v="OPERARIO"/>
    <s v="SALA JAPON "/>
    <s v="N/A"/>
    <s v="NOCHE"/>
    <d v="1899-12-30T03:30:00"/>
    <s v="SABADO"/>
    <s v="SEMANA 6"/>
    <m/>
    <m/>
    <s v="CARLOS JIMENEZ"/>
    <s v="PATRICIO MACIEL "/>
    <n v="39"/>
    <s v="Producto quimico"/>
    <s v="Ojos"/>
    <s v="Quemadura"/>
    <s v="Exposicion a humo y gases"/>
    <s v="COLABORADOR SUFRE INHALACION DE VAPOR DEL CLORO AL MEZACLAR AGUA CALIENTE, EN SALA JAPON "/>
    <s v="ACCION"/>
    <s v="SI"/>
    <s v="NO"/>
    <s v="ALAN CARRASCO "/>
    <s v="CHRISTIAN JHONS"/>
  </r>
  <r>
    <n v="2023"/>
    <s v="MARZO"/>
    <s v="EL PAICO"/>
    <s v="TRUJILLO ELGUETA "/>
    <s v="KEVIN"/>
    <s v="MASCULINO"/>
    <s v="18346564-6"/>
    <d v="2021-10-12T00:00:00"/>
    <n v="17"/>
    <d v="2023-03-24T00:00:00"/>
    <s v="INTERMEDIO"/>
    <s v="N/A"/>
    <s v="N/A"/>
    <s v="N/A"/>
    <n v="0"/>
    <s v="STP"/>
    <s v="N/A"/>
    <s v="N/A"/>
    <s v="MANTENCION"/>
    <s v="MANTENCION"/>
    <s v="COORDINADOR"/>
    <s v="CALIBRADO"/>
    <s v="N/A"/>
    <s v="MAÑANA"/>
    <d v="1899-12-30T09:50:00"/>
    <s v="VIERNES"/>
    <s v="SEMANA 12"/>
    <m/>
    <m/>
    <s v="VICTOR GOMEZ"/>
    <s v="NICOLAS ROJAS"/>
    <n v="31"/>
    <s v="Materiales"/>
    <s v="Manos / dedos"/>
    <s v="Herida cortante"/>
    <s v="Contacto con cuerpo cortante"/>
    <s v="COLABORADOR QUE SE ENCONTRABA REALIZANDO CAMBIO DE CINTA EN EL AREA DE CALIBRADO DE PECHUGAS SUFRE CORTE CON BORDE DE ESCALERA EN DEDO MEÑIQUE IZQUERDO"/>
    <s v="CONDICION"/>
    <s v="SI"/>
    <s v="NO"/>
    <s v="ALAN CARRASCO"/>
    <s v="CHISTIAN JHONS"/>
  </r>
  <r>
    <n v="2023"/>
    <s v="MARZO"/>
    <s v="EL PAICO"/>
    <s v="TRUJILLO ALARCON "/>
    <s v="ANGELA VERONICA"/>
    <s v="FEMENINO"/>
    <s v="15401811-5+tipo_acc+*-+"/>
    <d v="2014-10-06T00:00:00"/>
    <n v="101"/>
    <d v="2023-03-17T00:00:00"/>
    <s v="ANTIGUO"/>
    <s v="N/A"/>
    <s v="N/A"/>
    <s v="N/A"/>
    <n v="0"/>
    <s v="STP"/>
    <s v="N/A"/>
    <s v="N/A"/>
    <s v="TROZADO DE POLLO"/>
    <s v="DESHUESADO"/>
    <s v="OPERARIO"/>
    <s v="DESHUESADO"/>
    <s v="N/A"/>
    <s v="MAÑANA"/>
    <d v="1899-12-30T13:00:00"/>
    <s v="VIERNES"/>
    <s v="SEMANA 11"/>
    <m/>
    <m/>
    <s v="DANIEL GARRIDO"/>
    <s v="JOSE CARVALLO"/>
    <n v="40"/>
    <s v="Materiales"/>
    <s v="Multiples"/>
    <s v="Contusión"/>
    <s v="Golpeado contra"/>
    <s v="COLABORA SUFRE CAIDA DESDE ESCALON DE TARIMA DE TRABAJO, GOLPEANDOSE EN BRAZO Y ESPALDA"/>
    <s v="ACCION"/>
    <s v="SI"/>
    <s v="NO"/>
    <s v="NICOLAS GOMEZ"/>
    <s v="MICHELLE SANCHEZ"/>
  </r>
  <r>
    <n v="2023"/>
    <s v="MARZO"/>
    <s v="EL PAICO"/>
    <s v="SANTIBAÑEZ MARIN"/>
    <s v="KARLA"/>
    <s v="FEMENINO"/>
    <s v="17802999-1"/>
    <d v="2020-05-29T00:00:00"/>
    <n v="33"/>
    <d v="2023-03-01T00:00:00"/>
    <s v="ANTIGUO"/>
    <s v="N/A"/>
    <s v="N/A"/>
    <s v="N/A"/>
    <n v="0"/>
    <s v="STP"/>
    <s v="N/A"/>
    <s v="N/A"/>
    <s v="IQF Y CALIBRADO"/>
    <s v="METALQUIMIA"/>
    <s v="OPERARIO"/>
    <s v="METALQUIMIA"/>
    <s v="N/A"/>
    <s v="NOCHE"/>
    <d v="1899-12-30T01:20:00"/>
    <s v="MIERCOLES"/>
    <s v="SEMANA 9"/>
    <m/>
    <m/>
    <s v="GUILLERMO NARVAEZ"/>
    <s v="FRANCISCO SANCHEZ"/>
    <n v="32"/>
    <s v="Producto quimico"/>
    <s v="Ojos"/>
    <s v="Otros"/>
    <s v="Proyeccion de particulas"/>
    <s v="COLABORADORA QUE SE ENCONTRABAN ASEANDO MAQUINA METALQUIMIA, AL APLICAR  BIO REMOVE SUFRE SALPICADURA DE ESTE EN SU OJO DERECHO."/>
    <s v="ACCION"/>
    <s v="SI"/>
    <s v="NO"/>
    <s v="ALAN CARRASCO "/>
    <s v="CHISTIAN JHONS"/>
  </r>
  <r>
    <n v="2023"/>
    <s v="MARZO"/>
    <s v="EL PAICO"/>
    <s v="RODRIGUEZ ESPINOZA"/>
    <s v="LUIS MIGUEL"/>
    <s v="MASCULINO"/>
    <s v="18461734-K"/>
    <d v="2022-09-22T00:00:00"/>
    <n v="5"/>
    <d v="2023-03-15T00:00:00"/>
    <s v="NUEVO"/>
    <s v="N/A"/>
    <s v="N/A"/>
    <s v="N/A"/>
    <n v="0"/>
    <s v="STP"/>
    <s v="N/A"/>
    <s v="N/A"/>
    <s v="MANTENCION"/>
    <m/>
    <s v="MECANICO"/>
    <s v="DESPLUMADO DE PAVO"/>
    <s v="N/A"/>
    <s v="MAÑANA"/>
    <d v="1899-12-30T15:15:00"/>
    <s v="MIERCOLES"/>
    <s v="SEMANA 11"/>
    <m/>
    <m/>
    <s v="VICTOR GOMEZ"/>
    <m/>
    <n v="29"/>
    <s v="Infraestructura"/>
    <s v="Espalda"/>
    <s v="Quemadura"/>
    <s v="Contacto con temperaturas extremas"/>
    <s v="COLABORADOR SUFRE QUEMADURA EN CUELLO CUANDO CAMBIABA MANGUERA DE SOPLADORORES EN DESPLUMADO DE PAVO"/>
    <s v="CONDICION"/>
    <s v="SI"/>
    <s v="NO"/>
    <s v="ALAN CARRASCO"/>
    <s v="CHRISTIAN JHONS"/>
  </r>
  <r>
    <n v="2023"/>
    <s v="MARZO"/>
    <s v="EL PAICO"/>
    <s v="RIQUELME JARA"/>
    <s v="LUIS FELIPE"/>
    <s v="MASCULINO"/>
    <s v="20140706-0"/>
    <d v="2022-11-11T00:00:00"/>
    <n v="3"/>
    <d v="2023-03-10T00:00:00"/>
    <s v="NUEVO"/>
    <d v="2023-03-10T00:00:00"/>
    <d v="2023-03-10T00:00:00"/>
    <s v="N/A"/>
    <n v="0"/>
    <s v="STP"/>
    <s v="N/A"/>
    <s v="N/A"/>
    <s v="IQF Y CALIBRADO"/>
    <s v="IQF CALIBRADO A"/>
    <s v="OPERARIO"/>
    <s v="BICICLETERO"/>
    <s v="N/A"/>
    <s v="MAÑANA"/>
    <d v="1899-12-30T06:00:00"/>
    <s v="VIERNES"/>
    <s v="SEMANA 10"/>
    <s v="N/A"/>
    <s v="NC-22-2023"/>
    <s v="GUILLERMO NARVAEZ"/>
    <m/>
    <n v="23"/>
    <s v="Superficies de transito"/>
    <s v="Multiples"/>
    <s v="Contusión"/>
    <s v="Caida de mismo nivel"/>
    <s v="COLABORADOR SUFRE CAIDA AL INGRESO DE LA PLANTA "/>
    <s v="CONDICION"/>
    <s v="SI"/>
    <s v="SI"/>
    <s v="ALAN CARRASCO"/>
    <s v="CARLOS CARTAGENA"/>
  </r>
  <r>
    <n v="2023"/>
    <s v="MARZO"/>
    <s v="EL PAICO"/>
    <s v="PINTO VILLAGRA"/>
    <s v="XENDRIX"/>
    <s v="MASCULINO"/>
    <s v="17715504-7"/>
    <d v="2019-05-06T00:00:00"/>
    <n v="46"/>
    <d v="2023-03-17T00:00:00"/>
    <s v="ANTIGUO"/>
    <s v="N/A"/>
    <s v="N/A"/>
    <s v="N/A"/>
    <n v="0"/>
    <s v="STP"/>
    <s v="N/A"/>
    <s v="N/A"/>
    <s v="FRIGORIFICO"/>
    <s v="ROMANERO CAMARA"/>
    <s v="OPERARIO"/>
    <s v="TUNEL 234"/>
    <s v="N/A"/>
    <s v="MAÑANA"/>
    <d v="1899-12-30T18:00:00"/>
    <s v="VIERNES"/>
    <s v="SEMANA 11"/>
    <m/>
    <m/>
    <s v="FRANCISCO QUEZADA"/>
    <s v="MAURICIO HERNANDEZ"/>
    <n v="32"/>
    <s v="Materiales"/>
    <s v="Pie"/>
    <s v="Contusión"/>
    <s v="Golpeado contra"/>
    <s v="COLABORADOR SUFRE CONTUSION EN PIE DERECHO AL APRETARSE CON PALLET CUANDO SE ENCONTRABA CARGANDO TUNEL 234"/>
    <s v="CONDICION"/>
    <s v="SI"/>
    <s v="NO"/>
    <s v="NICOLAS GOMEZ"/>
    <s v="CARLOS CARTAGENA"/>
  </r>
  <r>
    <n v="2023"/>
    <s v="MARZO"/>
    <s v="EL PAICO"/>
    <s v="PAVEZ CARMONA"/>
    <s v="CAMILA "/>
    <s v="FEMENINO"/>
    <s v="19382606-7"/>
    <d v="2022-07-25T00:00:00"/>
    <n v="7"/>
    <d v="2023-03-02T00:00:00"/>
    <s v="INTERMEDIO"/>
    <d v="2023-03-09T00:00:00"/>
    <d v="2023-03-15T00:00:00"/>
    <s v="N/A"/>
    <n v="7"/>
    <s v="CTP"/>
    <s v="N/A"/>
    <s v="N/A"/>
    <s v="MANTENCION"/>
    <s v="SALA DE PINTURA"/>
    <s v="TECNICO"/>
    <s v="GALPON DE PINTURA"/>
    <s v="N/A"/>
    <s v="TARDE"/>
    <d v="1899-12-30T16:35:00"/>
    <s v="JUEVES"/>
    <s v="SEMANA 9"/>
    <n v="15554"/>
    <s v="NC-18-2023"/>
    <s v="VICTOR GOMEZ"/>
    <s v="FRANCISCO ACEVEDO"/>
    <n v="27"/>
    <s v="Superficies de transito"/>
    <s v="Pie"/>
    <s v="Contusión"/>
    <s v="Golpeado contra"/>
    <s v="COLABORADORA SE DIRIGIA A SALA DE PINTURAS Y NO VE GRUA ESTACIONADA EN EL PATIO, CON LA CUAL SE PORBOCA UN ATRAPAMIENTO CON SU PIE DERECHO, PROBOCANDO UNA CONTUSION "/>
    <s v="ACCION"/>
    <s v="SI"/>
    <s v="SI"/>
    <s v="ALAN CARRASCO"/>
    <s v="CARLOS CARTAGENA"/>
  </r>
  <r>
    <n v="2023"/>
    <s v="MARZO"/>
    <s v="EL PAICO"/>
    <s v="OLY"/>
    <s v="CHARLES"/>
    <s v="MASCULINO"/>
    <s v="25968215-0"/>
    <d v="2021-08-11T00:00:00"/>
    <n v="19"/>
    <d v="2023-03-31T00:00:00"/>
    <s v="ANTIGUO"/>
    <s v="N/A"/>
    <s v="N/A"/>
    <s v="N/A"/>
    <n v="0"/>
    <s v="STP"/>
    <s v="N/A"/>
    <s v="N/A"/>
    <s v="TROZADO DE POLLO"/>
    <s v="T. AUTOMATICO"/>
    <s v="OPERARIO"/>
    <s v="T. AUTOMATICO"/>
    <s v="N/A"/>
    <s v="MAÑANA"/>
    <d v="1899-12-30T08:45:00"/>
    <s v="VIERNES"/>
    <s v="SEMANA 13"/>
    <m/>
    <m/>
    <s v="DANIEL GARRIDO"/>
    <s v="MATIAS CASTRO"/>
    <n v="51"/>
    <s v="Materia Prima"/>
    <s v="Ojos"/>
    <s v="Conjuntivitis"/>
    <s v="Proyeccion de particulas"/>
    <s v="COLABORADOR SE ENCONTRABA EXPURGANDO PRODUCTO EN SU PUESTO DE TRABAJO SALPICANDO LIQUIDO EN AMBOS OJOS"/>
    <s v="ACCION"/>
    <s v="SI"/>
    <s v="NO"/>
    <s v="ALAN CARRASCO"/>
    <s v="CARLOS CARTAGENA"/>
  </r>
  <r>
    <n v="2023"/>
    <s v="MARZO"/>
    <s v="EL PAICO"/>
    <s v="NUÑEZ ESCARATE"/>
    <s v="VICTOR"/>
    <s v="MASCULINO"/>
    <s v="8649246-6"/>
    <d v="2006-03-10T00:00:00"/>
    <n v="204"/>
    <d v="2023-03-17T00:00:00"/>
    <s v="ANTIGUO"/>
    <s v="N/A"/>
    <s v="N/A"/>
    <s v="N/A"/>
    <n v="0"/>
    <s v="STP"/>
    <s v="N/A"/>
    <s v="N/A"/>
    <s v="TROZADO DE POLLO"/>
    <s v="T. AUTOMATICO"/>
    <s v="OPERARIO"/>
    <s v="T. AUTOMATICO"/>
    <s v="N/A"/>
    <s v="TARDE"/>
    <d v="1899-12-30T20:40:00"/>
    <s v="VIERNES"/>
    <s v="SEMANA 11"/>
    <m/>
    <m/>
    <s v="DANIEL GARRIDO"/>
    <s v="RAMIRO RAMIREZ"/>
    <n v="63"/>
    <s v="Producto quimico"/>
    <s v="Ojos"/>
    <s v="Conjuntivitis"/>
    <s v="Proyeccion de particulas"/>
    <s v="COLABORADOR SUFRE CAIDA DE LIQUIDO (ACIDO PERACETICO) EN OJO, ESTO OCURRE AL SACAR MATERIA PRIMA QUE SE ENCONTRABA ATASCADA EN LA LINEA"/>
    <s v="ACCION"/>
    <s v="NO"/>
    <s v="NO"/>
    <s v="ALAN CARRASCO"/>
    <s v="MICHELLE SANCHEZ"/>
  </r>
  <r>
    <n v="2023"/>
    <s v="MARZO"/>
    <s v="EL PAICO"/>
    <s v="MUÑOZ ISLA"/>
    <s v="JESSICA"/>
    <s v="FEMENINO"/>
    <s v="16669807-3"/>
    <d v="2020-01-20T00:00:00"/>
    <n v="38"/>
    <d v="2023-03-31T00:00:00"/>
    <s v="ANTIGUO"/>
    <d v="2023-03-31T00:00:00"/>
    <s v="06-042023"/>
    <s v="N/A"/>
    <n v="7"/>
    <s v="CTP"/>
    <s v="N/A"/>
    <s v="N/A"/>
    <s v="TROZADO DE POLLO"/>
    <s v="SALA DE PROCESO"/>
    <s v="OPERARIO"/>
    <s v="SALA DE PROCESO"/>
    <s v="N/A"/>
    <s v="MAÑANA"/>
    <d v="1899-12-30T12:55:00"/>
    <s v="VIERNES"/>
    <s v="SEMANA 13"/>
    <n v="15596"/>
    <s v="NC-29-2023"/>
    <s v="DANIEL GARRIDO"/>
    <s v="JOSE CARVALLO"/>
    <n v="36"/>
    <s v="Elemento cortante"/>
    <s v="Manos / dedos"/>
    <s v="Herida cortante"/>
    <s v="Contacto con cuerpo cortante"/>
    <s v="COLABORADORA SUFRE CORTE EN MANO DERECHA CUANDO SE ENCONTRABA SACANDO FILO A SU CUCHILLO JUNTO A COMPAÑERA DE TRABAJO."/>
    <s v="ACCION"/>
    <s v="SI"/>
    <s v="SI"/>
    <s v="ALAN CARRASCO"/>
    <s v="CARLOS CARTAGENA"/>
  </r>
  <r>
    <n v="2023"/>
    <s v="MARZO"/>
    <s v="EL PAICO"/>
    <s v="MIRANDA GOMEZ"/>
    <s v="ANA GABRIELA"/>
    <s v="FEMENINO"/>
    <s v="18778202-3"/>
    <d v="2022-07-26T00:00:00"/>
    <n v="7"/>
    <d v="2023-03-09T00:00:00"/>
    <s v="INTERMEDIO"/>
    <s v="N/A"/>
    <s v="N/A"/>
    <s v="N/A"/>
    <n v="0"/>
    <s v="STP"/>
    <s v="N/A"/>
    <s v="N/A"/>
    <s v="IQF Y CALIBRADO"/>
    <s v="CALIBRADO"/>
    <s v="OPERARIO"/>
    <s v="CALIBRADO"/>
    <s v="N/A"/>
    <s v="TARDE"/>
    <d v="1899-12-30T15:15:00"/>
    <s v="JUEVES"/>
    <s v="SEMANA 10"/>
    <m/>
    <m/>
    <s v="GUILLERMO NARVAEZ"/>
    <s v="MAXIMO CAMPOS"/>
    <n v="29"/>
    <s v="Infraestructura"/>
    <s v="Pierna"/>
    <s v="Contusión"/>
    <s v="Golpeado contra"/>
    <s v="COLABORADORA SE ENCONTRABA BAJANDO ESCALERAS EN CALIBRADO CUANDO SE GOLPEA LA RODILLLA IZQUIERDA CON PASAMANOS "/>
    <s v="ACCION"/>
    <s v="SI"/>
    <s v="NO"/>
    <s v="ALAN CARRASCO"/>
    <s v="WLADIMIR CALDERON "/>
  </r>
  <r>
    <n v="2023"/>
    <s v="MARZO"/>
    <s v="EL PAICO"/>
    <s v="MARIN VARGAS"/>
    <s v="CAROLINA"/>
    <s v="FEMENINO"/>
    <s v="19212976-1"/>
    <d v="2021-09-13T00:00:00"/>
    <n v="18"/>
    <d v="2023-03-31T00:00:00"/>
    <s v="INTERMEDIO"/>
    <s v="N/A"/>
    <s v="N/A"/>
    <s v="N/A"/>
    <n v="0"/>
    <s v="STP"/>
    <s v="N/A"/>
    <s v="N/A"/>
    <s v="FAENACION"/>
    <s v="EVISCERADO"/>
    <s v="OPERARIO"/>
    <s v="CAMARINES DE MUJER"/>
    <s v="N/A"/>
    <s v="MAÑANA"/>
    <d v="1899-12-30T11:30:00"/>
    <s v="VIERNES"/>
    <s v="SEMANA 13"/>
    <m/>
    <m/>
    <s v="NICOLAS MOYANO"/>
    <s v="CESAR CARTAGENA"/>
    <n v="26"/>
    <s v="Animales - Insectos"/>
    <s v="Pierna"/>
    <s v="Otros"/>
    <s v="Picadura"/>
    <s v="COLABORADORA SUFRE PICADURA DE INSECTO EN PIERNA DERECHA, CUANDO ESTABA COLOCANDO SU ROPA DE TRABAJO"/>
    <s v="CONDICION"/>
    <s v="SI"/>
    <s v="NO"/>
    <s v="ALAN CARRASCO"/>
    <s v="CARLOS CARTAGENA"/>
  </r>
  <r>
    <n v="2023"/>
    <s v="MARZO"/>
    <s v="EL PAICO"/>
    <s v="LARA SOTO"/>
    <s v="EDITH "/>
    <s v="FEMENINO"/>
    <s v="16670482-0"/>
    <d v="2020-01-13T00:00:00"/>
    <n v="38"/>
    <d v="2023-03-23T00:00:00"/>
    <s v="ANTIGUO"/>
    <s v="N/A"/>
    <s v="N/A"/>
    <s v="N/A"/>
    <n v="0"/>
    <s v="STP"/>
    <s v="N/A"/>
    <s v="N/A"/>
    <s v="SSGG"/>
    <s v="ASEO OPERACIONAL"/>
    <s v="OPERARIO"/>
    <s v="DESPLUMADO"/>
    <s v="N/A"/>
    <s v="TARDE"/>
    <d v="1899-12-30T04:30:00"/>
    <s v="JUEVES"/>
    <s v="SEMANA 12"/>
    <m/>
    <m/>
    <s v="CARLOS JIMENES"/>
    <s v="JORDAN FARIAS"/>
    <n v="35"/>
    <s v="Infraestructura"/>
    <s v="Manos / dedos"/>
    <s v="Contusión"/>
    <s v="Golpeado por"/>
    <s v="COLABORADORA QUE SE ENCONTRABA REALIZANDO ASEO EN PISOS SUFRE GOLPE EN MANO DERECHA CON PUERTA DE VAIVEN AL INGRESO DE DESPLUMADO "/>
    <s v="CONDICION"/>
    <s v="SI"/>
    <s v="NO"/>
    <s v="NICOLAS GOMEZ"/>
    <s v="WLADIMIR CALDERON "/>
  </r>
  <r>
    <n v="2023"/>
    <s v="MARZO"/>
    <s v="EL PAICO"/>
    <s v="HUINAO CARTAGENA"/>
    <s v="MANUEL"/>
    <s v="MASCULINO"/>
    <s v="15403657-1"/>
    <d v="2022-11-04T00:00:00"/>
    <n v="4"/>
    <d v="2023-03-08T00:00:00"/>
    <s v="NUEVO"/>
    <d v="2023-03-10T00:00:00"/>
    <d v="2023-03-10T00:00:00"/>
    <s v="N/A"/>
    <n v="0"/>
    <s v="STP"/>
    <s v="N/A"/>
    <s v="N/A"/>
    <s v="IQF Y CALIBRADO"/>
    <s v="IQF 1"/>
    <s v="OPERARIO"/>
    <s v="IQF1"/>
    <s v="N/A"/>
    <s v="TARDE"/>
    <d v="1899-12-30T18:35:00"/>
    <s v="MIERCOLES"/>
    <s v="SEMANA 10"/>
    <n v="15564"/>
    <s v="NC-21-2023"/>
    <s v="GUILLERMO NARVAEZ"/>
    <m/>
    <n v="39"/>
    <s v="Materiales"/>
    <s v="Manos / dedos"/>
    <s v="Contusión"/>
    <s v="Golpeado por"/>
    <s v="COLABORADOR SUFRE CONTUSION EN MUÑECA IZQUERDA CUANDO SE ENCONTRABA ARMANDO PALLET CON BANDEJAS DE FILETILLO DE POLLO "/>
    <s v="ACCION"/>
    <s v="SI"/>
    <s v="SI"/>
    <s v="NICOLAS GOMEZ"/>
    <s v="CHISTIAN JHONS"/>
  </r>
  <r>
    <n v="2023"/>
    <s v="MARZO"/>
    <s v="EL PAICO"/>
    <s v="HERRERA PINTO"/>
    <s v="JHONY"/>
    <s v="MASCULINO"/>
    <s v="20789495-8"/>
    <d v="2022-11-29T00:00:00"/>
    <n v="3"/>
    <d v="2023-03-14T00:00:00"/>
    <s v="NUEVO"/>
    <s v="N/A"/>
    <s v="N/A"/>
    <s v="N/A"/>
    <n v="0"/>
    <s v="STP"/>
    <s v="N/A"/>
    <s v="N/A"/>
    <s v="TROZADO DE POLLO"/>
    <s v="T. AUTOMATICO"/>
    <s v="OPERARIO"/>
    <s v="T. AUTOMATICO"/>
    <s v="N/A"/>
    <s v="MAÑANA"/>
    <d v="1899-12-30T09:45:00"/>
    <s v="MARTES"/>
    <s v="SEMANA 11"/>
    <m/>
    <m/>
    <s v="DANIEL GARRIDO"/>
    <s v="JOSE CARVALLO"/>
    <n v="22"/>
    <s v="Infraestructura"/>
    <s v="Pierna"/>
    <s v="Contusión"/>
    <s v="Golpeado por"/>
    <s v="COLABORADOR SUFRE GOLPE EN PIERNA DERECHA CON BASE METALICA DE GANCHO QUE SE DESPRENDE DE UNA CINTA "/>
    <s v="CONDICION"/>
    <s v="SI"/>
    <s v="NO"/>
    <s v="NICOLAS GOMEZ"/>
    <s v="WLADIMIR CALDERON "/>
  </r>
  <r>
    <n v="2023"/>
    <s v="MARZO"/>
    <s v="EL PAICO"/>
    <s v="HENRIQUEZ VARGAS"/>
    <s v="FERNANDO"/>
    <s v="MASCULINO"/>
    <s v="18538961-8"/>
    <d v="2022-11-04T00:00:00"/>
    <n v="4"/>
    <d v="2023-03-19T00:00:00"/>
    <s v="NUEVO"/>
    <s v="N/A"/>
    <s v="N/A"/>
    <s v="N/A"/>
    <n v="0"/>
    <s v="STP"/>
    <s v="N/A"/>
    <s v="N/A"/>
    <s v="MANTENCION"/>
    <s v="MANTENCION"/>
    <s v="COORDINADOR"/>
    <s v="T. AUTOMATICO"/>
    <s v="N/A"/>
    <s v="MAÑANA"/>
    <d v="1899-12-30T15:30:00"/>
    <s v="DOMINGO"/>
    <s v="SEMANA 11"/>
    <m/>
    <m/>
    <s v="VICTOR GOMEZ"/>
    <s v="DANIEL GONZALEZ"/>
    <n v="29"/>
    <s v="Materiales"/>
    <s v="Ojos"/>
    <s v="Contusión"/>
    <s v="Golpeado por"/>
    <s v="COLABORADOR SUFRE GOLPE EN OJO DERECHO CONLLAVE CUANDO SE ENCONTRABA APRETANDO LOS PERNOS DE ESTACION DE GIRO EN LINEA 2 DE TROZADO DE POLLO AUTOMATICO"/>
    <s v="ACCION"/>
    <s v="SI"/>
    <s v="NO"/>
    <s v="ALAN CARRASCO"/>
    <s v="CARLOS CARTAGENA"/>
  </r>
  <r>
    <n v="2023"/>
    <s v="MARZO"/>
    <s v="EL PAICO"/>
    <s v="ESPINOZA MALDONADO"/>
    <s v="ROMINA"/>
    <s v="FEMENINO"/>
    <s v="17986193-3"/>
    <d v="2017-08-16T00:00:00"/>
    <n v="66"/>
    <d v="2023-03-01T00:00:00"/>
    <s v="ANTIGUO"/>
    <d v="2023-03-01T00:00:00"/>
    <d v="2023-03-02T00:00:00"/>
    <s v="N/A"/>
    <n v="2"/>
    <s v="CTP"/>
    <s v="LGF"/>
    <s v="LGF3"/>
    <s v="SSGG"/>
    <s v="SALA DE TAMBLE"/>
    <s v="OPERARIO"/>
    <s v="SALA DE TAMBLE"/>
    <s v="N/A"/>
    <s v="NOCHE"/>
    <d v="1899-12-30T04:00:00"/>
    <s v="MIERCOLES"/>
    <s v="SEMANA 9"/>
    <n v="15530"/>
    <s v="NC-19-2023"/>
    <s v="CARLOS JIMENEZ"/>
    <s v="PATRICIO PALACIOS"/>
    <n v="31"/>
    <s v="Producto quimico"/>
    <s v="Pierna"/>
    <s v="Quemadura"/>
    <s v="Contacto con sustancias toxicas"/>
    <s v="COLABORADORA QUE SE ENCONTRABA ESPONJANDO TAMBLED, AL MOMENTO DEL ENJUAGE DERRAMA DETERGENTE BIO REMOVE EN PIERNA DERECHA."/>
    <s v="ACCION"/>
    <s v="SI"/>
    <s v="SI"/>
    <s v="ALAN CARRASCO "/>
    <s v="CHISTIAN JHONS"/>
  </r>
  <r>
    <n v="2023"/>
    <s v="MARZO"/>
    <s v="EL PAICO"/>
    <s v="CONTRERAS GARATE"/>
    <s v="SALVADOR"/>
    <s v="MASCULINO"/>
    <s v="14436436-8"/>
    <d v="2021-03-08T00:00:00"/>
    <n v="24"/>
    <d v="2023-03-27T00:00:00"/>
    <s v="ANTIGUO"/>
    <s v="N/A"/>
    <s v="N/A"/>
    <s v="N/A"/>
    <n v="0"/>
    <s v="STP"/>
    <s v="N/A"/>
    <s v="N/A"/>
    <s v="SSGG"/>
    <s v="ASEO OPERACIONAL"/>
    <s v="OPERARIO"/>
    <s v="VESTIDORES "/>
    <s v="N/A"/>
    <s v="TARDE"/>
    <d v="1899-12-30T14:30:00"/>
    <s v="LUNES"/>
    <s v="SEMANA 13"/>
    <m/>
    <m/>
    <s v="CARLOS JIMENES"/>
    <s v="JOSELINNE ALARCON"/>
    <n v="32"/>
    <s v="Otros"/>
    <s v="Espalda"/>
    <s v="Otros"/>
    <s v="Otros"/>
    <s v="COLABORADOR SIENTE FUERTE DOLOR EN LA CINTURA CUANDO SE VESTIA CON SU ROPA DE TRABAJO EN CAMARINES DE LA PLANTA "/>
    <s v="ACCION"/>
    <s v="SI"/>
    <s v="NO"/>
    <s v="ALAN CARRASCO"/>
    <s v="CARLOS CARTAGENA"/>
  </r>
  <r>
    <n v="2023"/>
    <s v="MARZO"/>
    <s v="EL PAICO"/>
    <s v="CHAVANNES"/>
    <s v="ESTILUS"/>
    <s v="MASCULINO"/>
    <s v="26172618-1"/>
    <d v="2019-10-14T00:00:00"/>
    <n v="40"/>
    <d v="2023-03-08T00:00:00"/>
    <s v="ANTIGUO"/>
    <s v="N/A"/>
    <s v="N/A"/>
    <s v="N/A"/>
    <n v="0"/>
    <s v="STP"/>
    <s v="N/A"/>
    <s v="N/A"/>
    <s v="FAENACION"/>
    <s v="EVISCERADO"/>
    <s v="OPERARIO"/>
    <s v="EVICERADO"/>
    <s v="N/A"/>
    <s v="TARDE"/>
    <d v="1899-12-30T18:20:00"/>
    <s v="MIERCOLES"/>
    <s v="SEMANA 10"/>
    <m/>
    <m/>
    <s v="NICOLAS MOYANO"/>
    <s v="ERWIN GATICA"/>
    <n v="34"/>
    <s v="Cuchillo"/>
    <s v="Pie"/>
    <s v="Herida cortante"/>
    <s v="Contacto con cuerpo cortante"/>
    <s v="COLABORADOR SE ENCONTRABA SACANDO FILO A CUCHILLO, CUANDO ESTE CAE EN SU PIE DERECHO PRODUCIENDO UNA HERIDA CORTANTE"/>
    <s v="CONDICION"/>
    <s v="SI"/>
    <s v="NO"/>
    <s v="NICOLAS GOMEZ"/>
    <s v="CHRISTIAN JHONS"/>
  </r>
  <r>
    <n v="2023"/>
    <s v="MARZO"/>
    <s v="EL PAICO"/>
    <s v="CASTRO CABRERA"/>
    <s v="ALEJANDRA"/>
    <s v="FEMENINO"/>
    <s v="13771008-0"/>
    <d v="2022-12-20T00:00:00"/>
    <n v="2"/>
    <d v="2023-03-04T00:00:00"/>
    <s v="NUEVO"/>
    <s v="N/A"/>
    <s v="N/A"/>
    <s v="N/A"/>
    <n v="0"/>
    <s v="STP"/>
    <s v="N/A"/>
    <s v="N/A"/>
    <s v="TROZADO DE POLLO"/>
    <s v="SELECCIÓN PECHUGA"/>
    <s v="OPERARIO"/>
    <s v="ESCALERAS COSTADO DE INGRESO PRINCIPAL"/>
    <s v="N/A"/>
    <s v="MAÑANA"/>
    <d v="1899-12-30T11:10:00"/>
    <s v="SABADO"/>
    <s v="SEMANA 9"/>
    <m/>
    <m/>
    <s v="DANIEL GARRIDO"/>
    <s v="JOSE CARVALLO"/>
    <n v="43"/>
    <s v="Superficies de transito"/>
    <s v="Espalda"/>
    <s v="Contusión"/>
    <s v="Caida de distinto nivel"/>
    <s v="COLABORADORA SE ENCONTRABA BAJANDO POR LAS ESCALERAS UBICADAS AL COSTADO DE ENTRADA PRINCIPAL, SE RESBALA PROBONCANDO UNA CONTUCION EN COXIS."/>
    <s v="ACCION"/>
    <s v="SI"/>
    <s v="NO"/>
    <s v="NICOLAS GOMEZ"/>
    <s v="CHISTIAN JHONS"/>
  </r>
  <r>
    <n v="2023"/>
    <s v="MARZO"/>
    <s v="EL PAICO"/>
    <s v="CARREÑO CERDA"/>
    <s v="FRANCISCO"/>
    <s v="MASCULINO"/>
    <s v="16340355-2"/>
    <d v="2022-10-17T00:00:00"/>
    <n v="4"/>
    <d v="2023-03-03T00:00:00"/>
    <s v="NUEVO"/>
    <d v="2023-03-03T00:00:00"/>
    <d v="2023-03-03T00:00:00"/>
    <s v="N/A"/>
    <n v="0"/>
    <s v="STP"/>
    <s v="N/A"/>
    <s v="N/A"/>
    <s v="FAENACION"/>
    <s v="COLGADO DE AVES"/>
    <s v="OPERARIO"/>
    <s v="COLGADO DE AVES"/>
    <s v="N/A"/>
    <s v="MAÑANA"/>
    <d v="1899-12-30T07:00:00"/>
    <s v="VIERNES"/>
    <s v="SEMANA 9"/>
    <n v="15542"/>
    <s v="NC-23-2023"/>
    <s v="NICOLAS MOYANO"/>
    <s v="CRISTIAN MESA"/>
    <n v="37"/>
    <s v="Animales - Insectos"/>
    <s v="Ojos"/>
    <s v="Conjuntivitis"/>
    <s v="Proyeccion de particulas"/>
    <s v="COLABORADOR SE ENCONTRABA EN LINEA COLGADO DE AVES, CUANDO SUFRE UNA PROYECCION DE PARTICULA EN OJO DERECHO PROVOCANDO INFLAMACION EN LA PARTE AFECTADA"/>
    <s v="CONDICION"/>
    <s v="SI"/>
    <s v="SI"/>
    <s v="NICOLAS GOMEZ"/>
    <s v="CARLOS CARTAGENA"/>
  </r>
  <r>
    <n v="2023"/>
    <s v="MARZO"/>
    <s v="EL PAICO"/>
    <s v="CARANCIO ALEGRIA"/>
    <s v="MARCELO"/>
    <s v="MASCULINO"/>
    <s v="14439094-6"/>
    <d v="2018-11-19T00:00:00"/>
    <n v="52"/>
    <d v="2023-03-23T00:00:00"/>
    <s v="ANTIGUO"/>
    <s v="N/A"/>
    <s v="N/A"/>
    <s v="N/A"/>
    <n v="0"/>
    <s v="STP"/>
    <s v="N/A"/>
    <s v="N/A"/>
    <s v="TROZADO DE POLLO"/>
    <s v="DESHUESADO"/>
    <s v="OPERARIO"/>
    <m/>
    <s v="N/A"/>
    <s v="MAÑANA"/>
    <m/>
    <s v="JUEVES"/>
    <s v="SEMANA 12"/>
    <m/>
    <m/>
    <s v="DANIEL GARRIDO"/>
    <m/>
    <n v="49"/>
    <s v="Materiales"/>
    <s v="Espalda"/>
    <s v="Otros"/>
    <s v="Sobreesfuerzo"/>
    <s v="COLABORADOR SE ENCONTRABA LEVANTANDO BANDEJAS CON POLLO, SIENTE DOLOR EN ESPALDA AL EJERCER FUERZA"/>
    <s v="ACCION"/>
    <s v="SI"/>
    <s v="NO"/>
    <s v="NICOLAS GOMEZ"/>
    <s v="CARLOS CARTAGENA"/>
  </r>
  <r>
    <n v="2023"/>
    <s v="MARZO"/>
    <s v="EL PAICO"/>
    <s v="BARRAZA PERALTA"/>
    <s v="ISABEL"/>
    <s v="FEMENINO"/>
    <s v="9683999-5"/>
    <d v="2013-11-18T00:00:00"/>
    <n v="112"/>
    <d v="2023-03-22T00:00:00"/>
    <s v="ANTIGUO"/>
    <d v="2023-03-10T00:00:00"/>
    <d v="2023-03-10T00:00:00"/>
    <s v="N/A"/>
    <n v="0"/>
    <s v="STP"/>
    <s v="N/A"/>
    <s v="N/A"/>
    <s v="SSGG"/>
    <s v="ASEO OPERACIONAL"/>
    <s v="OPERARIO"/>
    <s v="IQF4"/>
    <s v="N/A"/>
    <s v="MAÑANA"/>
    <d v="1899-12-30T11:40:00"/>
    <s v="MIERCOLES"/>
    <s v="SEMANA 12"/>
    <n v="15582"/>
    <s v="NC-20-2023"/>
    <s v="CARLOS JIMENES"/>
    <s v="ORLANDO FARIAS"/>
    <n v="58"/>
    <s v="Superficies de trabajo"/>
    <s v="Brazo"/>
    <s v="Contusión"/>
    <s v="Caida de mismo nivel"/>
    <s v="COLABORADORA SUFRE CAIDA MISMO NIVEL CUANDO SE ENCONTRABA SECANDO AGUA EN PISO DE IQF4"/>
    <s v="CONDICION"/>
    <s v="SI"/>
    <s v="SI"/>
    <s v="ALAN CARRASCO"/>
    <s v="WLADIMIR CALDERON "/>
  </r>
  <r>
    <n v="2023"/>
    <s v="MARZO"/>
    <s v="EL PAICO"/>
    <s v="AGUILAR CORTES"/>
    <s v="LUIS"/>
    <s v="MASCULINO"/>
    <s v="9886055-K"/>
    <d v="2019-06-17T00:00:00"/>
    <n v="44"/>
    <d v="2023-03-01T00:00:00"/>
    <s v="ANTIGUO"/>
    <s v="N/A"/>
    <s v="N/A"/>
    <s v="N/A"/>
    <n v="0"/>
    <s v="STP"/>
    <s v="N/A"/>
    <s v="N/A"/>
    <s v="SSGG"/>
    <s v="EVISCERADO"/>
    <s v="OPERARIO"/>
    <s v="EVICERADO"/>
    <s v="N/A"/>
    <s v="NOCHE"/>
    <d v="1899-12-30T22:05:00"/>
    <s v="MIERCOLES"/>
    <s v="SEMANA 9"/>
    <m/>
    <m/>
    <s v="CARLOS JIMENEZ"/>
    <s v="LUIS URBINA"/>
    <n v="59"/>
    <s v="Producto quimico"/>
    <s v="Ojos"/>
    <s v="Otros"/>
    <s v="Proyeccion de particulas"/>
    <s v="COLABORADOR QUE SE ENCONTRABA TRANVASIJANDO DETERGENTE, SUFRE SALPICADURA EN SU OJO IZQUERDO"/>
    <s v="ACCION"/>
    <s v="SI"/>
    <s v="NO"/>
    <s v="ALAN CARRASCO "/>
    <s v="WLADIMIR CALDERON "/>
  </r>
  <r>
    <n v="2023"/>
    <s v="ABRIL"/>
    <s v="EL PAICO"/>
    <s v="VILLALOBOS VALENZUELA"/>
    <s v="PABLO"/>
    <s v="MASCULINO"/>
    <s v="19382613-K"/>
    <d v="2022-08-18T00:00:00"/>
    <n v="7"/>
    <d v="2023-04-04T00:00:00"/>
    <s v="INTERMEDIO"/>
    <s v="N/A"/>
    <s v="N/A"/>
    <s v="N/A"/>
    <n v="0"/>
    <s v="STP"/>
    <s v="N/A"/>
    <s v="N/A"/>
    <s v="TROZADO DE POLLO"/>
    <s v="DESHUESADO"/>
    <s v="OPERARIO"/>
    <s v="PASILLO CAMARA 206"/>
    <s v="N/A"/>
    <s v="TARDE"/>
    <d v="1899-12-30T00:45:00"/>
    <s v="MIERCOLES"/>
    <s v="SEMANA 14"/>
    <m/>
    <m/>
    <s v="DANIEL GARRIDO"/>
    <s v="JOSE CARVALLO"/>
    <n v="27"/>
    <s v="Equipos Transporte de carga"/>
    <s v="Espalda"/>
    <s v="Otros"/>
    <s v="Sobreesfuerzo"/>
    <s v="COLABORADOR SUFRE TIRON EN ESPALDA Y CUELLO CUANDO SE ENCONTRABA MOVILIZANDO BINS CON PRODUCTO EN TRANSPALETA MANUAL "/>
    <s v="ACCION"/>
    <s v="SI"/>
    <s v="NO"/>
    <s v="NICOLAS GOMEZ"/>
    <s v="CHISTIAN JHONS"/>
  </r>
  <r>
    <n v="2023"/>
    <s v="ABRIL"/>
    <s v="EL PAICO"/>
    <s v="VIDAL ZAMBRANO"/>
    <s v="JAVIER"/>
    <s v="MASCULINO"/>
    <s v="21169027-5"/>
    <d v="2022-08-01T00:00:00"/>
    <n v="8"/>
    <d v="2023-04-12T00:00:00"/>
    <s v="INTERMEDIO"/>
    <s v="N/A"/>
    <s v="N/A"/>
    <s v="N/A"/>
    <n v="0"/>
    <s v="STP"/>
    <s v="LGF"/>
    <s v="LGF4"/>
    <s v="FRIGORIFICO"/>
    <s v="FRIGORIFICO"/>
    <s v="OPERARIO"/>
    <s v="TUNEL 4"/>
    <s v="EQUIPO PARA MOVIMIENTO DE CARGA (GRUAS O TRANSPALETAS)"/>
    <s v="MAÑANA"/>
    <d v="1899-12-30T09:45:00"/>
    <s v="MIERCOLES"/>
    <s v="SEMANA 15"/>
    <m/>
    <m/>
    <s v="FRANCISCO QUEZADA"/>
    <s v="NELSON PIZARRO"/>
    <n v="20"/>
    <s v="Maquinarias"/>
    <s v="Pie"/>
    <s v="Contusión"/>
    <s v="Golpeado por"/>
    <s v="COLABORADOR SUFRE CONTUSION EN PIE IZQUIERDO POR COLICION ENTRE DOS TRANSPALETAS EN TUNEL 4 "/>
    <s v="ACCION"/>
    <s v="SI"/>
    <s v="NO"/>
    <s v="NICOLAS GOMEZ"/>
    <s v="CARLOS CARTAGENA"/>
  </r>
  <r>
    <n v="2023"/>
    <s v="ABRIL"/>
    <s v="EL PAICO"/>
    <s v="VASQUEZ CORRAL"/>
    <s v="JOSE"/>
    <s v="MASCULINO"/>
    <s v="9029022-3"/>
    <d v="2004-06-15T00:00:00"/>
    <n v="226"/>
    <d v="2023-04-18T00:00:00"/>
    <s v="ANTIGUO"/>
    <s v="N/A"/>
    <s v="N/A"/>
    <s v="N/A"/>
    <n v="0"/>
    <s v="STP"/>
    <s v="N/A"/>
    <s v="N/A"/>
    <s v="IQF Y CALIBRADO"/>
    <s v="IQF"/>
    <s v="OPERARIO"/>
    <s v="IQF"/>
    <s v="N/A"/>
    <s v="TARDE"/>
    <d v="1899-12-30T15:30:00"/>
    <s v="MARTES"/>
    <s v="SEMANA 16"/>
    <m/>
    <m/>
    <s v="GUILLERMO NARVAEZ"/>
    <s v="MAXIMO CAMPOS"/>
    <n v="63"/>
    <s v="Cajas"/>
    <s v="Manos / dedos"/>
    <s v="Contusión"/>
    <s v="Sobreesfuerzo"/>
    <s v="COLABORADOR SUFRE DOLOR EN MUÑECA IZQUERDA AL TOMAR CAJA EN LINEA DE IQF"/>
    <s v="ACCION"/>
    <s v="SI"/>
    <s v="NO"/>
    <s v="ALAN CARRASCO"/>
    <s v="MICHELLE SANCHEZ"/>
  </r>
  <r>
    <n v="2023"/>
    <s v="ABRIL"/>
    <s v="EL PAICO"/>
    <s v="VALDIVIA PEÑALOZA"/>
    <s v="JAIME"/>
    <s v="MASCULINO"/>
    <s v="14140942-5"/>
    <d v="2021-06-01T00:00:00"/>
    <n v="22"/>
    <d v="2023-04-17T00:00:00"/>
    <s v="ANTIGUO"/>
    <s v="N/A"/>
    <s v="N/A"/>
    <s v="N/A"/>
    <n v="0"/>
    <s v="STP"/>
    <s v="LGF"/>
    <s v="LGF4"/>
    <s v="IQF Y CALIBRADO"/>
    <s v="IQF Y CALIBRADO"/>
    <s v="OPERARIO"/>
    <s v="CAMARA 208"/>
    <s v="EQUIPO PARA MOVIMIENTO DE CARGA (GRUAS O TRANSPALETAS)"/>
    <s v="MAÑANA"/>
    <d v="1899-12-30T10:06:00"/>
    <s v="LUNES"/>
    <s v="SEMANA 16"/>
    <m/>
    <m/>
    <s v="GUILLERMO NARVAEZ"/>
    <s v="FRANCISCO SANCHEZ"/>
    <n v="42"/>
    <s v="Equipos Transporte de carga"/>
    <s v="Manos / dedos"/>
    <s v="Contusión"/>
    <s v="Golpeado por"/>
    <s v="COLABORADOR SUFRE GOLPE EN MUÑECA IZQUERDA AL SER COLICIONADO POR OPERADOR DE TRANSPALETA ELECTRICA CUANDO ESTABA ENTRANDO A CAMARA 208"/>
    <s v="ACCION"/>
    <s v="SI"/>
    <s v="NO"/>
    <s v="ALAN CARRASCO"/>
    <s v="CHISTIAN JHONS"/>
  </r>
  <r>
    <n v="2023"/>
    <s v="ABRIL"/>
    <s v="EL PAICO"/>
    <s v="SANTIS RAMIREZ"/>
    <s v="JANIS"/>
    <s v="FEMENINO"/>
    <s v="19858836-9"/>
    <d v="2021-05-10T00:00:00"/>
    <n v="23"/>
    <d v="2023-04-11T00:00:00"/>
    <s v="ANTIGUO"/>
    <s v="N/A"/>
    <s v="N/A"/>
    <s v="N/A"/>
    <n v="0"/>
    <s v="STP"/>
    <s v="N/A"/>
    <s v="N/A"/>
    <s v="TROZADO DE POLLO"/>
    <s v="DESHUESADO"/>
    <s v="OPERARIO"/>
    <s v="CAMARA 208"/>
    <s v="N/A"/>
    <s v="MAÑANA"/>
    <d v="1899-12-30T08:55:00"/>
    <s v="MARTES"/>
    <s v="SEMANA 15"/>
    <m/>
    <m/>
    <s v="DANIEL GARRIDO"/>
    <s v="ARNALDO VERA"/>
    <n v="25"/>
    <s v="Superficies de trabajo"/>
    <s v="Multiples"/>
    <s v="Contusión"/>
    <s v="Caida de mismo nivel"/>
    <s v="COLABORADORA SUFRE CONTUSION EN ESPALDA Y CABEZA POR CAIDA MISMO NIVEL AL PISAR HIELO QUE SE ENCONTRABA EN PISO DE CAMARA 208 ROTULANDO BINS"/>
    <s v="CONDICION"/>
    <s v="SI"/>
    <s v="NO"/>
    <s v="NICOLAS GOMEZ"/>
    <s v="CARLOS CARTAGENA"/>
  </r>
  <r>
    <n v="2023"/>
    <s v="ABRIL"/>
    <s v="EL PAICO"/>
    <s v="RAGA VAZQUEZ"/>
    <s v="ELIZABETH"/>
    <s v="FEMENINO"/>
    <s v="26199492-5"/>
    <d v="2022-11-22T00:00:00"/>
    <n v="4"/>
    <d v="2023-04-19T00:00:00"/>
    <s v="NUEVO"/>
    <s v="N/A"/>
    <s v="N/A"/>
    <s v="N/A"/>
    <n v="0"/>
    <s v="STP"/>
    <s v="N/A"/>
    <s v="N/A"/>
    <s v="IQF Y CALIBRADO"/>
    <s v="IQF"/>
    <s v="OPERARIO"/>
    <s v="IQF"/>
    <s v="N/A"/>
    <s v="TARDE"/>
    <d v="1899-12-30T19:00:00"/>
    <s v="MIERCOLES"/>
    <s v="SEMANA 16"/>
    <m/>
    <m/>
    <s v="GUILLERMO NARVAEZ"/>
    <s v="MAXIMO CAMPOS"/>
    <n v="35"/>
    <s v="Materia Prima"/>
    <s v="Ojos"/>
    <s v="Conjuntivitis"/>
    <s v="Proyeccion de particulas"/>
    <s v="COLABORADORA SUFRE IRRITACION OCULAR EN OJO IZQUIERDO POR PROYECCION DE PARTICULAS CUANDO SE ENCONTRABA MANIPULANDO PRODUCTOS EN BANDEJAS EN LINEA IQF"/>
    <s v="ACCION"/>
    <s v="SI"/>
    <s v="NO"/>
    <s v="NICOLAS GOMEZ"/>
    <s v="WLADIMIR CALDERON "/>
  </r>
  <r>
    <n v="2023"/>
    <s v="ABRIL"/>
    <s v="EL PAICO"/>
    <s v="PAVEZ AGUILA"/>
    <s v="PAULA"/>
    <s v="FEMENINO"/>
    <s v="20424217-8"/>
    <d v="2023-01-09T00:00:00"/>
    <n v="3"/>
    <d v="2023-04-24T00:00:00"/>
    <s v="NUEVO"/>
    <s v="N/A"/>
    <s v="N/A"/>
    <s v="N/A"/>
    <n v="0"/>
    <s v="STP"/>
    <s v="N/A"/>
    <s v="N/A"/>
    <s v="IQF Y CALIBRADO"/>
    <s v="IQF"/>
    <s v="OPERARIO"/>
    <s v="IQF"/>
    <s v="N/A"/>
    <s v="TARDE"/>
    <d v="1899-12-30T22:30:00"/>
    <s v="LUNES"/>
    <s v="SEMANA 17"/>
    <m/>
    <m/>
    <s v="GUILLERMO NARVAEZ"/>
    <s v="FRANCISCO SANCHEZ"/>
    <n v="23"/>
    <s v="Superficies de trabajo"/>
    <s v="Pierna"/>
    <s v="Contusión"/>
    <s v="Caida de distinto nivel"/>
    <s v="COLABORADOR SUFRE GOLPE EN RODILLA IZQUIERDA POR CAIDA DE DISTINTO NIVEL CUANDO SE ENCONTRABA MOVILIZANDO BANDEJAS EN LINEA DE IQF."/>
    <s v="CONDICION"/>
    <s v="SI"/>
    <s v="NO"/>
    <s v="ALAN CARRASCO"/>
    <s v="CARLOS CARTAGENA"/>
  </r>
  <r>
    <n v="2023"/>
    <s v="ABRIL"/>
    <s v="EL PAICO"/>
    <s v="NORAMBUENA CARVAJAL"/>
    <s v="RODRIGO"/>
    <s v="MASCULINO"/>
    <s v="16788251-K"/>
    <d v="2012-02-01T00:00:00"/>
    <n v="134"/>
    <d v="2023-04-15T00:00:00"/>
    <s v="ANTIGUO"/>
    <d v="2023-04-15T00:00:00"/>
    <d v="2023-09-24T00:00:00"/>
    <s v="N/A"/>
    <n v="163"/>
    <s v="CTP"/>
    <s v="LGF"/>
    <s v="LGF2"/>
    <s v="P. POSTERIORES"/>
    <s v="SALA DE PULPA"/>
    <s v="OPERARIO"/>
    <s v="SALA DE PULPA"/>
    <s v="MAQUINA BAADER"/>
    <s v="MAÑANA"/>
    <d v="1899-12-30T11:40:00"/>
    <s v="SABADO"/>
    <s v="SEMANA 15"/>
    <n v="15621"/>
    <s v="NC-35-23"/>
    <s v="OCTAVIO MUÑOZ"/>
    <s v="MARCOS QUINTANILLA"/>
    <n v="35"/>
    <s v="Maquinarias"/>
    <s v="Manos / dedos"/>
    <s v="Fractura"/>
    <s v="Atrapamiento"/>
    <s v="COLABORADOR SUFRE DESPRENDIMIENTO EN DEDO ANULAR SUPERIOR DERECHO, POR ATRAPAMIENTO MIENTRAS OPERABA MAQUINA BAADER EN SALA DE PULPA."/>
    <s v="ACCION"/>
    <s v="SI"/>
    <s v="SI"/>
    <s v="ALAN CARRASCO"/>
    <s v="WLADIMIR CALDERON "/>
  </r>
  <r>
    <n v="2023"/>
    <s v="ABRIL"/>
    <s v="EL PAICO"/>
    <s v="MENA MATTA"/>
    <s v="NINOSHKA"/>
    <s v="FEMENINO"/>
    <s v="18528198-1"/>
    <d v="2023-03-27T00:00:00"/>
    <n v="0"/>
    <d v="2023-04-22T00:00:00"/>
    <s v="NUEVO"/>
    <d v="2023-04-24T00:00:00"/>
    <d v="2023-04-27T00:00:00"/>
    <s v="N/A"/>
    <n v="4"/>
    <s v="CTP"/>
    <s v="N/A"/>
    <s v="N/A"/>
    <s v="FRIGORIFICO"/>
    <s v="FRIGORIFICO"/>
    <s v="OPERARIO"/>
    <s v="PASILLO B CAMARA "/>
    <s v="N/A"/>
    <s v="MAÑANA"/>
    <d v="1899-12-30T06:35:00"/>
    <s v="SABADO"/>
    <s v="SEMANA 16"/>
    <n v="15645"/>
    <s v="NC-52-23"/>
    <s v="FRANCISCO QUEZADA"/>
    <s v="ALEJANDRO TORRES"/>
    <n v="30"/>
    <s v="Superficies de trabajo"/>
    <s v="Pierna"/>
    <s v="Contusión"/>
    <s v="Caida de mismo nivel"/>
    <s v="COLABORADORA SUFRE CONTUSION EN RODILLA DERECHA POR CAIDA DE MISMO EN PASILLO DE CAMARA EN EL AREA DE FRIGORIFICO"/>
    <s v="CONDICION"/>
    <s v="SI"/>
    <s v="SI"/>
    <s v="ALAN CARRASCO"/>
    <s v="MICHELLE SANCHEZ"/>
  </r>
  <r>
    <n v="2023"/>
    <s v="ABRIL"/>
    <s v="EL PAICO"/>
    <s v="MELLADO BARRIENTOS"/>
    <s v="POLONIA "/>
    <s v="FEMENINO"/>
    <s v="17422963-5"/>
    <d v="2021-02-22T00:00:00"/>
    <n v="25"/>
    <d v="2023-04-21T00:00:00"/>
    <s v="ANTIGUO"/>
    <d v="2023-04-24T00:00:00"/>
    <d v="2023-04-26T00:00:00"/>
    <s v="N/A"/>
    <n v="3"/>
    <s v="CTP"/>
    <s v="N/A"/>
    <s v="N/A"/>
    <s v="TROZADO DE POLLO"/>
    <s v="SALA DE PROCESO"/>
    <s v="OPERARIO"/>
    <s v="SALA DE PROCESO"/>
    <s v="N/A"/>
    <s v="TARDE"/>
    <m/>
    <s v="VIERNES"/>
    <s v="SEMANA 16"/>
    <n v="15647"/>
    <s v="NC-55-23"/>
    <s v="DANIEL GARRIDO"/>
    <s v="JOSE CARVALLO"/>
    <n v="32"/>
    <s v="Bins"/>
    <s v="Manos / dedos"/>
    <s v="Contusión"/>
    <s v="Golpeado contra"/>
    <s v="COLABORADORA DE TPO SUFRIO CONTUSION EN MANO DERECHA GOLPEADA POR UN BINS, LA TRABAJADORA TENIA LA MANO APOYADA EN UN BINS EN ESE MOMENTO UN MOVILIZADOR ARRASTRA UN BINS CERCANO PARA POSICIONARLO A UN LADO DEL OTRO, EN ESTE MOMENTO NO SE PERCATA DE LA TRABAJADORA Y GOLPEADA SU MANO DEJANDOLA ENTRE AMBOS BINS, EL ACC OCURRIO EN SALA DE PROCESO. "/>
    <s v="ACCION"/>
    <s v="SI"/>
    <s v="SI"/>
    <s v="NICOLAS GOMEZ"/>
    <m/>
  </r>
  <r>
    <n v="2023"/>
    <s v="ABRIL"/>
    <s v="EL PAICO"/>
    <s v="HUINAO CARTAGENA"/>
    <s v="MANUEL"/>
    <s v="MASCULINO"/>
    <s v="15403657-1"/>
    <d v="2022-11-04T00:00:00"/>
    <n v="5"/>
    <d v="2023-04-27T00:00:00"/>
    <s v="NUEVO"/>
    <s v="N/A"/>
    <s v="N/A"/>
    <d v="2023-04-28T00:00:00"/>
    <n v="0"/>
    <s v="STP"/>
    <s v="N/A"/>
    <s v="N/A"/>
    <s v="IQF Y CALIBRADO"/>
    <s v="CALIBRADO"/>
    <s v="OPERARIO"/>
    <s v="TROZADO DE POLLO"/>
    <s v="N/A"/>
    <s v="MAÑANA"/>
    <d v="1899-12-30T08:10:00"/>
    <s v="JUEVES"/>
    <s v="SEMANA 17"/>
    <m/>
    <m/>
    <s v="GUILLERMO NARVAEZ"/>
    <s v="MAXIMO CAMPOS"/>
    <n v="40"/>
    <s v="Bins"/>
    <s v="Pie"/>
    <s v="Contusión"/>
    <s v="Golpeado por"/>
    <s v="COLABORADOR SUFRE CONTUSION EN PIE DERECHO AL SE GOLPEADO POR COMPAÑERO QUE TRASLABA BINS CON PRODUCTO EN PASILLO DE TROZADO DE POLLO"/>
    <s v="ACCION"/>
    <s v="SI"/>
    <s v="NO"/>
    <s v="NICOLAS GOMEZ"/>
    <s v="WLADIMIR CALDERON "/>
  </r>
  <r>
    <n v="2023"/>
    <s v="ABRIL"/>
    <s v="EL PAICO"/>
    <s v="GUIÑEZ GARRIDO"/>
    <s v="PATRICIO"/>
    <s v="MASCULINO"/>
    <s v="14008724-6"/>
    <d v="2022-11-15T00:00:00"/>
    <n v="5"/>
    <d v="2023-04-24T00:00:00"/>
    <s v="NUEVO"/>
    <s v="N/A"/>
    <s v="N/A"/>
    <s v="N/A"/>
    <n v="0"/>
    <s v="STP"/>
    <s v="N/A"/>
    <s v="N/A"/>
    <s v="IQF Y CALIBRADO"/>
    <s v="CALIBRADO"/>
    <s v="OPERARIO"/>
    <s v="EMPAQUE"/>
    <s v="N/A"/>
    <s v="MAÑANA"/>
    <d v="1899-12-30T08:00:00"/>
    <s v="LUNES"/>
    <s v="SEMANA 17"/>
    <m/>
    <m/>
    <s v="GUILLERMO NARVAEZ"/>
    <s v="FERNANDO FUENTEALBA"/>
    <n v="41"/>
    <s v="Materiales"/>
    <s v="Rostro"/>
    <s v="Contusión"/>
    <s v="Golpeado por"/>
    <s v="COLABORADOR SUFRE GOLPE EN POMULO IZQUIERDO POR TAPA DE CAJA CUANDO SE ENCONTRABA SACANDO ZUNCHOS EN EL AREA DE EMPAQUE"/>
    <s v="ACCION"/>
    <s v="SI"/>
    <s v="NO"/>
    <s v="NICOLAS GOMEZ"/>
    <s v="CARLOS CARTAGENA"/>
  </r>
  <r>
    <n v="2023"/>
    <s v="ABRIL"/>
    <s v="EL PAICO"/>
    <s v="GONZALEZ MEDINA"/>
    <s v="ERIKA"/>
    <s v="FEMENINO"/>
    <s v="15624346-9"/>
    <d v="1993-01-06T00:00:00"/>
    <n v="363"/>
    <d v="2023-04-27T00:00:00"/>
    <s v="ANTIGUO"/>
    <s v="N/A"/>
    <s v="N/A"/>
    <s v="N/A"/>
    <n v="0"/>
    <s v="STP"/>
    <s v="N/A"/>
    <s v="N/A"/>
    <s v="TROZADO DE POLLO"/>
    <s v="PROLIJADO"/>
    <s v="OPERARIO"/>
    <s v="LINEA PROLIJADO"/>
    <s v="N/A"/>
    <s v="MAÑANA"/>
    <d v="1899-12-30T12:30:00"/>
    <s v="VIERNES"/>
    <s v="SEMANA 17"/>
    <m/>
    <m/>
    <s v="DANIEL GARRIDO"/>
    <s v="JOSE CARVALLO"/>
    <n v="55"/>
    <s v="Materiales"/>
    <s v="Manos / dedos"/>
    <s v="Herida cortante"/>
    <s v="Contacto con cuerpo punzante"/>
    <s v="COLABORADORA SUFRE CORTE EN DEDO ANULAR DE MANO DERECHA CON CUCHILLO, EN LINEA PROLIJADO DE PECHUGAS"/>
    <s v="ACCION"/>
    <s v="SI"/>
    <s v="NO"/>
    <s v="ALAN CARRASCO"/>
    <s v="CARLOS CARTAGENA"/>
  </r>
  <r>
    <n v="2023"/>
    <s v="ABRIL"/>
    <s v="EL PAICO"/>
    <s v="GONALEZ NIDA"/>
    <s v="MAURICIO"/>
    <s v="MASCULINO"/>
    <s v="20122752-6"/>
    <d v="2023-03-14T00:00:00"/>
    <n v="0"/>
    <d v="2023-04-10T00:00:00"/>
    <s v="NUEVO"/>
    <d v="2023-04-11T00:00:00"/>
    <d v="2023-04-12T00:00:00"/>
    <s v="N/A"/>
    <n v="1"/>
    <s v="CTP"/>
    <s v="N/A"/>
    <s v="N/A"/>
    <s v="TROZADO DE POLLO"/>
    <s v="DESHUESADO"/>
    <s v="OPERARIO"/>
    <s v="DESHUESADO"/>
    <s v="N/A"/>
    <s v="MAÑANA"/>
    <d v="1899-12-30T08:30:00"/>
    <s v="LUNES"/>
    <s v="SEMANA 15"/>
    <n v="15618"/>
    <s v="NC-50-23"/>
    <s v="DANIEL GARRIDO"/>
    <s v="JOSE CARVALLO"/>
    <n v="24"/>
    <s v="Materia Prima"/>
    <s v="Ojos"/>
    <s v="Conjuntivitis"/>
    <s v="Proyeccion de particulas"/>
    <s v="COLABORADOR SUFRE INFLAMACION EN OJO IZQUIERDO POR SALPICADURA DE PRODUCTO AL ESTAR LIMPIANDO PECHUGAS EN LINEA DE PROLIJADO"/>
    <s v="ACCION"/>
    <s v="SI"/>
    <s v="SI"/>
    <s v="NICOLAS GOMEZ"/>
    <s v="CARLOS CARTAGENA"/>
  </r>
  <r>
    <n v="2023"/>
    <s v="ABRIL"/>
    <s v="EL PAICO"/>
    <s v="ESPINOZA PINTO"/>
    <s v="JORGE"/>
    <s v="MASCULINO"/>
    <s v="19849137-3"/>
    <d v="2022-11-14T00:00:00"/>
    <n v="5"/>
    <d v="2023-04-24T00:00:00"/>
    <s v="NUEVO"/>
    <d v="2023-04-24T00:00:00"/>
    <d v="2023-04-24T00:00:00"/>
    <s v="N/A"/>
    <n v="0"/>
    <s v="STP"/>
    <s v="N/A"/>
    <s v="N/A"/>
    <s v="TROZADO DE POLLO"/>
    <s v="TROZADO AUTOMATICO"/>
    <s v="OPERARIO"/>
    <s v="TROZADO AUTOMATICO"/>
    <s v="N/A"/>
    <s v="TARDE"/>
    <d v="1899-12-30T16:00:00"/>
    <s v="LUNES"/>
    <s v="SEMANA 17"/>
    <n v="15646"/>
    <s v="NC-53-23"/>
    <s v="DANIEL GARRIDO"/>
    <s v="RAMIRO RAMIREZ"/>
    <n v="24"/>
    <s v="Materiales"/>
    <s v="Pie"/>
    <s v="Herida cortante"/>
    <s v="Contacto con cuerpo punzante"/>
    <s v="COLABORADOR SUFRE HERIDA PUNZANTE AL PISAR TABLA CON CLAVO QUE SE ENCONTRABA EN SUELO DE PASILLO C "/>
    <s v="CONDICION"/>
    <s v="SI"/>
    <s v="SI"/>
    <s v="ALAN CARRASCO"/>
    <s v="CARLOS CARTAGENA"/>
  </r>
  <r>
    <n v="2023"/>
    <s v="ABRIL"/>
    <s v="EL PAICO"/>
    <s v="DURAN OYANEDEL"/>
    <s v="CRISTIAN"/>
    <s v="MASCULINO"/>
    <s v="13334407-1"/>
    <d v="2005-12-01T00:00:00"/>
    <n v="208"/>
    <d v="2023-04-29T00:00:00"/>
    <s v="ANTIGUO"/>
    <d v="2023-04-29T00:00:00"/>
    <d v="2023-05-05T00:00:00"/>
    <s v="N/A"/>
    <n v="7"/>
    <s v="CTP"/>
    <s v="N/A"/>
    <s v="N/A"/>
    <s v="SSGG"/>
    <s v="ASEO OPERACIONAL"/>
    <s v="ENCARGADO DE LINEA"/>
    <s v="PASILLO SALA DE JUEGOS"/>
    <s v="N/A"/>
    <s v="MAÑANA"/>
    <d v="1899-12-30T10:40:00"/>
    <s v="SABADO"/>
    <s v="SEMANA 17"/>
    <n v="15654"/>
    <s v="NC-63-23"/>
    <s v="CARLOS JIMENEZ"/>
    <s v="JORDAN FARIAS"/>
    <n v="47"/>
    <s v="Infraestructura"/>
    <s v="Pie"/>
    <s v="Torsión"/>
    <s v="Caida de mismo nivel"/>
    <s v="COLABORADOR DE SSGG SUFRE TORSION DE SU PIERNA IZQUIERDA POR CAIDA A MISMO NIVEL AL REBALAR FUERA DE SALA DE CAPACITACION POR EL PASILLO DE LA SALA DE JUEGOS PRODUCTO DE AGUA EN EL PISO A RAIZ DE UNA GOTERA, ESTO MIENTRAS SE DIRIGIA AL PROCESO POR EL LLAMADO DE UNA CONTINGENCIA."/>
    <s v="CONDICION"/>
    <s v="SI"/>
    <s v="SI"/>
    <s v="NICOLAS GOMEZ"/>
    <s v="CHISTIAN JHONS"/>
  </r>
  <r>
    <n v="2023"/>
    <s v="ABRIL"/>
    <s v="EL PAICO"/>
    <s v="CASTILLO TRIVIÑO"/>
    <s v="PABLO"/>
    <s v="MASCULINO"/>
    <s v="19409089-7"/>
    <d v="2020-03-16T00:00:00"/>
    <n v="37"/>
    <d v="2023-04-18T00:00:00"/>
    <s v="ANTIGUO"/>
    <d v="2023-04-19T00:00:00"/>
    <d v="2023-04-24T00:00:00"/>
    <s v="N/A"/>
    <n v="6"/>
    <s v="CTP"/>
    <s v="N/A"/>
    <s v="N/A"/>
    <s v="MANTENCION"/>
    <s v="MANTENCION"/>
    <s v="OPERARIO"/>
    <s v="POZO DE PLUMAS"/>
    <s v="N/A"/>
    <s v="TARDE"/>
    <d v="1899-12-30T18:00:00"/>
    <s v="MARTES"/>
    <s v="SEMANA 16"/>
    <n v="15632"/>
    <s v="NC-51-23"/>
    <s v="VICTOR GOMEZ"/>
    <s v="DANIEL GONZALEZ"/>
    <n v="27"/>
    <s v="Otros"/>
    <s v="Pie"/>
    <s v="Herida cortante"/>
    <s v="Otros"/>
    <s v="COLABORADOR SUFRE HERIDA EN PIE IZQUIERDO POR ROCE CON ZAPATO DE SEGURIDAD AL REALIZAR SUS LABORES EN POZO DE PLUMAS "/>
    <s v="ACCION"/>
    <s v="SI"/>
    <s v="SI"/>
    <s v="ALAN CARRASCO "/>
    <s v="MICHELLE SANCHEZ"/>
  </r>
  <r>
    <n v="2023"/>
    <s v="ABRIL"/>
    <s v="EL PAICO"/>
    <s v="CARRASCO CACERES"/>
    <s v="VICTOR"/>
    <s v="MASCULINO"/>
    <s v="16985231-6"/>
    <d v="2008-07-18T00:00:00"/>
    <n v="176"/>
    <d v="2023-04-12T00:00:00"/>
    <s v="ANTIGUO"/>
    <s v="N/A"/>
    <s v="N/A"/>
    <s v="N/A"/>
    <n v="0"/>
    <s v="STP"/>
    <s v="N/A"/>
    <s v="N/A"/>
    <s v="TROZADO DE POLLO"/>
    <s v="TROZADO AUTOMATICO"/>
    <s v="OPERARIO"/>
    <s v="ANDENES"/>
    <s v="N/A"/>
    <s v="TARDE"/>
    <d v="1899-12-30T15:10:00"/>
    <s v="MIERCOLES"/>
    <s v="SEMANA 15"/>
    <m/>
    <m/>
    <s v="DANIEL GARRIDO"/>
    <s v="JONATHAN VERA"/>
    <n v="34"/>
    <s v="Bins"/>
    <s v="Espalda"/>
    <s v="Otros"/>
    <s v="Sobreesfuerzo"/>
    <s v="COLABORADOR SUFRE DOLOR EN ESPALDA POR SOBREESFUERZOAL ESTAR MOVIENDO BINS QUE SE ENCONTRABAN APRETADOS EN SECTOR DE ANDENES."/>
    <s v="ACCION"/>
    <s v="SI"/>
    <s v="NO"/>
    <s v="NICOLAS GOMEZ"/>
    <s v="CARLOS CARTAGENA"/>
  </r>
  <r>
    <n v="2023"/>
    <s v="ABRIL"/>
    <s v="EL PAICO"/>
    <s v="CAMACHO CASTELLANOS"/>
    <s v="JESUS"/>
    <s v="MASCULINO"/>
    <s v="27001301-5"/>
    <d v="2021-04-26T00:00:00"/>
    <n v="23"/>
    <d v="2023-04-04T00:00:00"/>
    <s v="ANTIGUO"/>
    <d v="2023-04-05T00:00:00"/>
    <d v="2023-04-21T00:00:00"/>
    <s v="N/A"/>
    <n v="17"/>
    <s v="CTP"/>
    <s v="N/A"/>
    <s v="N/A"/>
    <s v="TROZADO DE POLLO"/>
    <s v="DESHUESADO"/>
    <s v="OPERARIO"/>
    <s v="DESHUESADO"/>
    <s v="N/A"/>
    <s v="TARDE"/>
    <d v="1899-12-30T16:20:00"/>
    <s v="MARTES"/>
    <s v="SEMANA 14"/>
    <n v="15605"/>
    <s v="NC-33-23"/>
    <s v="DANIEL GARRIDO"/>
    <s v="JOSE CARVALLO"/>
    <n v="24"/>
    <s v="Maquinarias"/>
    <s v="Manos / dedos"/>
    <s v="Herida cortante"/>
    <s v="Contacto con cuerpo punzante"/>
    <s v="COLABORADOR SUFRE HERIDA PENETRANTE EN PALMA DE MANO IZQUERDA AL ESTAR COLGANDO PECHUGAS DE POLLO ENTERAS"/>
    <s v="ACCION"/>
    <s v="SI"/>
    <s v="SI"/>
    <s v="ALAN CARRASCO "/>
    <s v="CARLOS CARTAGENA"/>
  </r>
  <r>
    <n v="2023"/>
    <s v="ABRIL"/>
    <s v="EL PAICO"/>
    <s v="COELHO DE SAUCE"/>
    <s v="SILVIO"/>
    <s v="MASCULINO"/>
    <s v="27133909-7"/>
    <d v="2021-09-13T00:00:00"/>
    <n v="19"/>
    <d v="2023-04-21T00:00:00"/>
    <s v="ANTIGUO"/>
    <s v="N/A"/>
    <s v="N/A"/>
    <s v="N/A"/>
    <n v="0"/>
    <s v="STP"/>
    <s v="LGF"/>
    <s v="LGF4"/>
    <s v="FRIGORIFICO"/>
    <s v="FRIGORIFICO"/>
    <s v="OPERARIO"/>
    <s v="SALA EMPAQUE TUNEL"/>
    <s v="EQUIPO PARA MOVIMIENTO DE CARGA (GRUAS O TRANSPALETAS)"/>
    <s v="TARDE"/>
    <d v="1899-12-30T14:30:00"/>
    <s v="VIERNES"/>
    <s v="SEMANA 16"/>
    <m/>
    <s v="NC-54-23"/>
    <s v="FRANCISCO QUEZADA"/>
    <s v="ALEJANDRO TORRES"/>
    <n v="40"/>
    <s v="Equipos Transporte de carga"/>
    <s v="Multiples"/>
    <s v="Contusión"/>
    <s v="Golpeado por"/>
    <s v="COLABORADOR SUFRE GOLPE EN BRAZO Y PIERNA POR ATRAPAMIENTO ENTRE DOS PALLET CON CAJAS EN SALA DE PALLETIZADO EN EL AREA DE FRIGORIFICO "/>
    <s v="ACCION"/>
    <s v="SI"/>
    <s v="SI"/>
    <s v="NICOLAS GOMEZ"/>
    <s v="CHISTIAN JHONS"/>
  </r>
  <r>
    <n v="2023"/>
    <s v="ABRIL"/>
    <s v="EL PAICO"/>
    <s v="BERNARD "/>
    <s v="ROSE-CARINE"/>
    <s v="FEMENINO"/>
    <s v="26225281-7"/>
    <d v="2021-12-29T00:00:00"/>
    <n v="15"/>
    <d v="2023-04-04T00:00:00"/>
    <s v="INTERMEDIO"/>
    <s v="N/A"/>
    <s v="N/A"/>
    <s v="N/A"/>
    <n v="0"/>
    <s v="STP"/>
    <s v="N/A"/>
    <s v="N/A"/>
    <s v="SSGG"/>
    <s v="ASEO OPERACIONAL"/>
    <s v="OPERARIO"/>
    <s v="DESHUESADO"/>
    <s v="N/A"/>
    <s v="TARDE"/>
    <d v="1899-12-30T08:45:00"/>
    <s v="MARTES"/>
    <s v="SEMANA 14"/>
    <n v="15606"/>
    <s v="NC-31-23"/>
    <s v="CARLOS JIMENES"/>
    <s v="JORDAN FARIAS"/>
    <n v="28"/>
    <s v="Superficies de trabajo"/>
    <s v="Brazo"/>
    <s v="Contusión"/>
    <s v="Caida de mismo nivel"/>
    <s v="COLABORADORA SUFRE CAIDA EN SALA DE PROCESO GOLPEANDOSE EN HOMBRO IZQUERDO"/>
    <s v="CONDICION"/>
    <s v="SI"/>
    <s v="SI"/>
    <s v="ALAN CARRASCO"/>
    <s v="CARLOS CARTAGENA"/>
  </r>
  <r>
    <n v="2023"/>
    <s v="ABRIL"/>
    <s v="EL PAICO"/>
    <s v="ARAYA MOYANO"/>
    <s v="MARIA INES"/>
    <s v="FEMENINO"/>
    <s v="10999607-6"/>
    <d v="2014-11-10T00:00:00"/>
    <n v="100"/>
    <d v="2023-04-06T00:00:00"/>
    <s v="ANTIGUO"/>
    <d v="2023-04-08T00:00:00"/>
    <d v="2023-04-15T00:00:00"/>
    <s v="N/A"/>
    <n v="8"/>
    <s v="CTP"/>
    <s v="LGF"/>
    <s v="LGF3"/>
    <s v="SSGG"/>
    <s v="ASEO OPERACIONAL"/>
    <s v="OPERARIO"/>
    <s v="FAENA"/>
    <s v="N/A"/>
    <s v="NOCHE"/>
    <d v="1899-12-30T19:30:00"/>
    <s v="JUEVES"/>
    <s v="SEMANA 14"/>
    <n v="15615"/>
    <s v="NC-32-23"/>
    <s v="CARLOS JIMENES"/>
    <s v="LUIS URBINA"/>
    <n v="56"/>
    <s v="Producto quimico"/>
    <s v="Manos / dedos"/>
    <s v="Quemadura"/>
    <s v="Contacto con sustancias toxicas"/>
    <s v="COLABORA SUFRE QUEMADURA EN EN DEDO INDICE Y PULGAR DE MANO DERECHA Y DEDO PULGAR DE MANO IZQUERDA POR CONTACTO CON PRODUCTO QUIMICO AL ESTAR LAVANDO CORTINAS PLASTICAS EN EL PASILLO DE FAENA"/>
    <s v="ACCION"/>
    <s v="SI"/>
    <s v="SI"/>
    <s v="NICOLAS GOMEZ"/>
    <m/>
  </r>
  <r>
    <n v="2023"/>
    <s v="ABRIL"/>
    <s v="EL PAICO"/>
    <s v="ALLENDE FROST"/>
    <s v="ANA "/>
    <s v="FEMENINO"/>
    <s v="14246215-K"/>
    <d v="2019-09-09T00:00:00"/>
    <n v="43"/>
    <d v="2023-04-24T00:00:00"/>
    <s v="ANTIGUO"/>
    <s v="N/A"/>
    <s v="N/A"/>
    <s v="N/A"/>
    <n v="0"/>
    <s v="STP"/>
    <s v="N/A"/>
    <s v="N/A"/>
    <s v="TROZADO DE POLLO"/>
    <s v="DESHUESADO"/>
    <s v="OPERARIO"/>
    <s v="DESHUESADO"/>
    <s v="N/A"/>
    <s v="TARDE"/>
    <d v="1899-12-30T14:50:00"/>
    <s v="LUNES"/>
    <s v="SEMANA 17"/>
    <m/>
    <m/>
    <s v="DANIEL GARRIDO"/>
    <s v="JORGE MEZA"/>
    <n v="48"/>
    <s v="Materiales"/>
    <s v="Manos / dedos"/>
    <s v="Contusión"/>
    <s v="Golpeado contra"/>
    <s v="COLABORADORA SUFRE CONTUSION EN DEDO MEDIUM DE MANO IZQUIERDA AL DEJAR ROLLO DE LAMINA SOBRE MESA DE FILETILLO EN DESHUESADO DE PECHUGA"/>
    <s v="ACCION"/>
    <s v="SI"/>
    <s v="NO"/>
    <s v="NICOLAS GOMEZ"/>
    <s v="CARLOS CARTAGENA"/>
  </r>
  <r>
    <n v="2023"/>
    <s v="MAYO"/>
    <s v="EL PAICO"/>
    <s v="VILLALOBOS VALENZUELA"/>
    <s v="PABLO"/>
    <s v="MASCULINO"/>
    <s v="19382613-K"/>
    <d v="2022-08-18T00:00:00"/>
    <n v="8"/>
    <d v="2023-05-13T00:00:00"/>
    <s v="INTERMEDIO"/>
    <s v="N/A"/>
    <s v="N/A"/>
    <s v="N/A"/>
    <n v="0"/>
    <s v="STP"/>
    <s v="N/A"/>
    <s v="N/A"/>
    <s v="TROZADO DE POLLO"/>
    <s v="DESHUESADO"/>
    <s v="OPERARIO"/>
    <s v="DESHUESADO"/>
    <s v="N/A"/>
    <s v="MAÑANA"/>
    <d v="1899-12-30T10:00:00"/>
    <s v="SABADO"/>
    <s v="SEMANA 19"/>
    <m/>
    <m/>
    <s v="DANIEL GARRIDO"/>
    <s v="JOSE CARVALLO"/>
    <n v="27"/>
    <s v="Cajas"/>
    <s v="Brazo"/>
    <s v="Torsión"/>
    <s v="Otros"/>
    <s v="COLABORADOR SUFRE DOLENCIA EN MUÑECA DERECHA POR TORSION AL AFIRMAR CAJA CON PRODUCTO EN DESHUESADO"/>
    <s v="ACCION"/>
    <s v="SI"/>
    <s v="NO"/>
    <s v="ALAN CARRASCO"/>
    <s v="WLADIMIR CALDERON "/>
  </r>
  <r>
    <n v="2023"/>
    <s v="MAYO"/>
    <s v="EL PAICO"/>
    <s v="VICENCIO ARAYA"/>
    <s v="MARIANEL"/>
    <s v="FEMENINO"/>
    <s v="20424728-5"/>
    <d v="2022-01-19T00:00:00"/>
    <n v="15"/>
    <d v="2023-05-08T00:00:00"/>
    <s v="INTERMEDIO"/>
    <d v="2023-05-08T00:00:00"/>
    <d v="2023-05-15T00:00:00"/>
    <s v="N/A"/>
    <n v="8"/>
    <s v="CTP"/>
    <s v="LGF"/>
    <s v="LGF2"/>
    <s v="SSGG"/>
    <s v="ASEO OPERACIONAL"/>
    <s v="OPERARIO"/>
    <s v="CINTA TRIMIN"/>
    <s v="CINTA TRIMIN"/>
    <s v="NOCHE"/>
    <d v="1899-12-30T01:05:00"/>
    <s v="LUNES"/>
    <s v="SEMANA 19"/>
    <n v="15681"/>
    <s v="NC-7-23."/>
    <s v="CARLOS JIMENES"/>
    <s v="PATRICIO PALACIOS"/>
    <n v="22"/>
    <s v="Maquinarias"/>
    <s v="Manos / dedos"/>
    <s v="Contusión"/>
    <s v="Atrapamiento"/>
    <s v="COLABORADORA SUFRE CONTUSION EN MANO IZQUIERDA,  POR ATRAPAMIENTO CUANDO SE ENCONTRABA LIMPIANDO CINTA TRIMIN EN EL AREA DESHUESADO "/>
    <s v="ACCION"/>
    <s v="SI"/>
    <s v="SI"/>
    <s v="NICOLAS GOMEZ"/>
    <s v="CHISTIAN JHONS"/>
  </r>
  <r>
    <n v="2023"/>
    <s v="MAYO"/>
    <s v="EL PAICO"/>
    <s v="VAZQUEZ RIVEROS"/>
    <s v="PAMELA"/>
    <s v="FEMENINO"/>
    <s v="16985189-1"/>
    <d v="2022-12-13T00:00:00"/>
    <n v="4"/>
    <d v="2023-05-09T00:00:00"/>
    <s v="NUEVO"/>
    <s v="N/A"/>
    <s v="N/A"/>
    <s v="N/A"/>
    <n v="0"/>
    <s v="STP"/>
    <s v="N/A"/>
    <s v="N/A"/>
    <s v="TROZADO DE POLLO"/>
    <s v="DESHUESADO"/>
    <s v="OPERARIO"/>
    <s v="TROZADO DE PAVO"/>
    <s v="N/A"/>
    <s v="MAÑANA"/>
    <d v="1899-12-30T13:40:00"/>
    <s v="MARTES"/>
    <s v="SEMANA 19"/>
    <m/>
    <m/>
    <s v="DANIEL GARRIDO"/>
    <s v="JOSE CARVALLO"/>
    <n v="37"/>
    <s v="Materia Prima"/>
    <s v="Multiples"/>
    <s v="Contusión"/>
    <s v="Caida de mismo nivel"/>
    <s v="COLABORADORA SUFRE CAIDA A NIVEL AL PISAR RESTOS DE PRODUCTOS QUE SE ENCONTRABAN EN EL PISO, CUANDO PASABA POR EL AREA DE TROZADO DE PAVO"/>
    <s v="CONDICION"/>
    <s v="SI"/>
    <s v="NO"/>
    <s v="NICOLAS GOMEZ"/>
    <s v="WLADIMIR CALDERON "/>
  </r>
  <r>
    <n v="2023"/>
    <s v="MAYO"/>
    <s v="EL PAICO"/>
    <s v="VARGAS ROJAS"/>
    <s v="TOMAS"/>
    <s v="MASCULINO"/>
    <s v="21171568-5"/>
    <d v="2023-03-14T00:00:00"/>
    <n v="2"/>
    <d v="2023-05-22T00:00:00"/>
    <s v="NUEVO"/>
    <s v="N/A"/>
    <s v="N/A"/>
    <s v="N/A"/>
    <n v="0"/>
    <s v="STP"/>
    <s v="N/A"/>
    <s v="N/A"/>
    <s v="TROZADO DE POLLO"/>
    <s v="DESHUESADO"/>
    <s v="OPERARIO"/>
    <s v="DESHUESADO"/>
    <s v="EQUIPO PARA MOVIMIENTO DE CARGA (GRUAS O TRANSPALETAS)"/>
    <s v="MAÑANA"/>
    <d v="1899-12-30T08:30:00"/>
    <s v="LUNES"/>
    <s v="SEMANA 21"/>
    <m/>
    <m/>
    <s v="DANIEL GARRIDO"/>
    <s v="JOSE CARVALLO"/>
    <n v="19"/>
    <s v="Equipos Transporte de carga"/>
    <s v="Pie"/>
    <s v="Contusión"/>
    <s v="Golpeado por"/>
    <s v="COLABORADOR SUFRE CONTUSION EN PIE IZQUIERDO POR TRANSPALETA ELECTRICA MANEJADA POR COMPAÑERO, MIENTRAS ARREGLABA UNA CAJA EN EL AREA DE DESHUESADO"/>
    <s v="ACCION"/>
    <s v="SI"/>
    <s v="NO"/>
    <s v="NICOLAS GOMEZ"/>
    <s v="CARLOS CARTAGENA"/>
  </r>
  <r>
    <n v="2023"/>
    <s v="MAYO"/>
    <s v="EL PAICO"/>
    <s v="TORRES JARA"/>
    <s v="JOSE"/>
    <s v="MASCULINO"/>
    <s v="16519060-2"/>
    <d v="2023-05-22T00:00:00"/>
    <n v="0"/>
    <d v="2023-05-24T00:00:00"/>
    <s v="NUEVO"/>
    <s v="N/A"/>
    <s v="N/A"/>
    <s v="N/A"/>
    <n v="0"/>
    <s v="STP"/>
    <s v="N/A"/>
    <s v="N/A"/>
    <s v="FAENACION"/>
    <s v="COLGADO DE POLLO"/>
    <s v="OPERARIO"/>
    <s v="FAENA"/>
    <s v="N/A"/>
    <s v="MAÑANA"/>
    <d v="1899-12-30T06:30:00"/>
    <s v="MIERCOLES"/>
    <s v="SEMANA 21"/>
    <m/>
    <m/>
    <s v="NICOLAS MOYANO"/>
    <s v="ERWIN GATICA"/>
    <n v="36"/>
    <s v="Infraestructura"/>
    <s v="Brazo"/>
    <s v="Contusión"/>
    <s v="Golpeado por"/>
    <s v="COLABORADOR SUFRE CONTUSION EN ANTEBRAZO IZQUIERDO AL SER GOLPEADO POR LLAVE METALICA CUANDO SE ENCONTABA RECOGIENDO PRODUCTO PARA COLGARLO."/>
    <s v="ACCION"/>
    <s v="SI"/>
    <s v="NO"/>
    <s v="NICOLAS GOMEZ"/>
    <s v="MICHELLE SANCHEZ"/>
  </r>
  <r>
    <n v="2023"/>
    <s v="MAYO"/>
    <s v="EL PAICO"/>
    <s v="TAPIA GUERRA"/>
    <s v="MARIA"/>
    <s v="FEMENINO"/>
    <s v="15404921-5"/>
    <d v="2018-11-12T00:00:00"/>
    <n v="53"/>
    <d v="2023-05-02T00:00:00"/>
    <s v="ANTIGUO"/>
    <s v="N/A"/>
    <s v="N/A"/>
    <s v="N/A"/>
    <n v="0"/>
    <s v="STP"/>
    <s v="N/A"/>
    <s v="N/A"/>
    <s v="IQF Y CALIBRADO"/>
    <s v="CALIBRADO"/>
    <s v="OPERARIO"/>
    <s v="IQF 4"/>
    <s v="N/A"/>
    <s v="MAÑANA"/>
    <d v="1899-12-30T05:35:00"/>
    <s v="MARTES"/>
    <s v="SEMANA 18"/>
    <m/>
    <m/>
    <s v="GUILLERMO NARVAEZ"/>
    <s v="FRANCISCO SANCHEZ"/>
    <n v="41"/>
    <s v="Producto quimico"/>
    <s v="Multiples"/>
    <s v="Otros"/>
    <s v="Contacto con sustancias toxicas"/>
    <s v="COLABORADORA SUFRE MOLESTIAS, EN OJOS, NARIZ Y BOCA, POR EXPOSICION A ACIDO PERACETICO EN IQF 4"/>
    <s v="CONDICION"/>
    <s v="SI"/>
    <s v="NO"/>
    <s v="ALAN CARRASCO"/>
    <s v="CARLOS CARTAGENA"/>
  </r>
  <r>
    <n v="2023"/>
    <s v="MAYO"/>
    <s v="EL PAICO"/>
    <s v="SILVA CATALAN "/>
    <s v="SEBASTIAN "/>
    <s v="MASCULINO"/>
    <s v="16291172-4"/>
    <d v="2022-12-19T00:00:00"/>
    <n v="4"/>
    <d v="2023-05-11T00:00:00"/>
    <s v="NUEVO"/>
    <d v="2023-05-11T00:00:00"/>
    <d v="2023-05-17T00:00:00"/>
    <s v="N/A"/>
    <n v="7"/>
    <s v="CTP"/>
    <s v="N/A"/>
    <s v="N/A"/>
    <s v="SSGG"/>
    <s v="ASEO OPERACIONAL"/>
    <s v="OPERARIO"/>
    <s v="SALA ACOPIO DE BINS"/>
    <s v="BINS"/>
    <s v="TARDE"/>
    <d v="1899-12-30T18:25:00"/>
    <s v="JUEVES"/>
    <s v="SEMANA 19"/>
    <n v="15692"/>
    <s v="NC-59-23"/>
    <s v="CARLOS JIMENES"/>
    <s v="JOCELYN ALARCON"/>
    <n v="37"/>
    <s v="Bins"/>
    <s v="Manos / dedos"/>
    <s v="Contusión"/>
    <s v="Golpeado contra"/>
    <s v="COLABORADOR SUFRE GOLPE EN DEDO PULGAR DE MANO DE MANO DERECHA AL ESTAR MOVILIZANDO BINS VACIOS CON TRANSPALETA MANUAL A SAL DE ACOPIO DE BINS SALA LIMPIA"/>
    <s v="ACCION"/>
    <s v="SI"/>
    <s v="SI"/>
    <s v="ALAN CARRASCO"/>
    <s v="CARLOS CARTAGENA"/>
  </r>
  <r>
    <n v="2023"/>
    <s v="MAYO"/>
    <s v="EL PAICO"/>
    <s v="SANTIS GONZÁLEZ"/>
    <s v="MAURICIO"/>
    <s v="MASCULINO"/>
    <s v="13771697-6"/>
    <d v="2005-06-01T00:00:00"/>
    <n v="215"/>
    <d v="2023-05-13T00:00:00"/>
    <s v="ANTIGUO"/>
    <s v="N/A"/>
    <s v="N/A"/>
    <s v="N/A"/>
    <n v="0"/>
    <s v="STP"/>
    <s v="N/A"/>
    <s v="N/A"/>
    <s v="P. POSTERIORES"/>
    <s v="SALA DE PULPA"/>
    <s v="OPERARIO"/>
    <s v="SALA DE PULPA"/>
    <s v="N/A"/>
    <s v="TARDE"/>
    <d v="1899-12-30T16:55:00"/>
    <s v="SABADO"/>
    <s v="SEMANA 19"/>
    <m/>
    <m/>
    <s v="OCTAVIO MUÑOZ"/>
    <s v="MARCOS QUINTANILLA"/>
    <n v="43"/>
    <s v="Maquinarias"/>
    <s v="Manos / dedos"/>
    <s v="Herida cortante"/>
    <s v="Contacto con cuerpo cortante"/>
    <s v="COLABORADOR SUFRE HERIDA CORTANTE EN DEDO INDICE SUPERIOR IZQUIERDO AL ESTAR SACANDO RINES EN SALA DE PULPA "/>
    <s v="ACCION"/>
    <s v="SI"/>
    <s v="NO"/>
    <s v="ALAN CARRASCO"/>
    <s v="WLADIMIR CALDERON "/>
  </r>
  <r>
    <n v="2023"/>
    <s v="MAYO"/>
    <s v="EL PAICO"/>
    <s v="SANTIBAÑEZ MARIN"/>
    <s v="KARLA"/>
    <s v="FEMENINO"/>
    <s v="17802999-1"/>
    <d v="2020-05-29T00:00:00"/>
    <n v="35"/>
    <d v="2023-05-03T00:00:00"/>
    <s v="ANTIGUO"/>
    <s v="N/A"/>
    <s v="N/A"/>
    <s v="N/A"/>
    <n v="0"/>
    <s v="STP"/>
    <s v="N/A"/>
    <s v="N/A"/>
    <s v="IQF Y CALIBRADO"/>
    <s v="IQF 2"/>
    <s v="OPERARIO"/>
    <s v="IQF 2"/>
    <s v="TAPA DE CABEZAL DE INYECTORA IQF 2"/>
    <s v="MAÑANA"/>
    <d v="1899-12-30T05:39:00"/>
    <s v="MIERCOLES"/>
    <s v="SEMANA 18"/>
    <m/>
    <m/>
    <s v="GUILLERMO NARVAEZ"/>
    <s v="FRANCISCO SANCHEZ"/>
    <n v="32"/>
    <s v="Maquinarias"/>
    <s v="Manos / dedos"/>
    <s v="Contusión"/>
    <s v="Golpeado por"/>
    <s v="COLABORADORA DE IQF-CALIBRADO SUFRE CONTUSION EN MANO DERECHA POR APLASTAMIENTO DE TAPA AL MOMENTO SE REALIZAR LIMPIENZA DE MAQUINA INYECTORA IQF-4 SE BAJA LA TAPA DEL CABEZAL GOLPEANDO SU MANO."/>
    <s v="ACCION"/>
    <s v="SI"/>
    <s v="NO"/>
    <s v="CARLOS ORELLANA"/>
    <s v="CHISTIAN JHONS"/>
  </r>
  <r>
    <n v="2023"/>
    <s v="MAYO"/>
    <s v="EL PAICO"/>
    <s v="ROJAS PAVEZ"/>
    <s v="FERNANDO"/>
    <s v="MASCULINO"/>
    <s v="19503953-4"/>
    <d v="2017-06-12T00:00:00"/>
    <n v="71"/>
    <d v="2023-05-26T00:00:00"/>
    <s v="ANTIGUO"/>
    <s v="N/A"/>
    <s v="N/A"/>
    <s v="N/A"/>
    <n v="0"/>
    <s v="STP"/>
    <s v="N/A"/>
    <s v="N/A"/>
    <s v="TROZADO DE PAVO"/>
    <s v="TROZADO DE PAVOS"/>
    <s v="OPERARIO"/>
    <s v="PASILLO C "/>
    <s v="N/A"/>
    <s v="TARDE"/>
    <d v="1899-12-30T15:30:00"/>
    <s v="VIERNES"/>
    <s v="SEMANA 21"/>
    <m/>
    <m/>
    <s v="GUILLERMO NARVAEZ"/>
    <s v="JEAQUELINE PAVEZ"/>
    <n v="26"/>
    <s v="Cajas"/>
    <s v="Manos / dedos"/>
    <s v="Contusión"/>
    <s v="Golpeado por"/>
    <s v="COLABORADOR SUFRE CONTUSION EN DEDO MEÑIQUE DE MANO DERECHA CON CAJA CUANDO SE ENCONTRABA MOVILIZANDO "/>
    <s v="ACCION"/>
    <s v="SI"/>
    <s v="NO"/>
    <s v="NICOLAS GOMEZ"/>
    <s v="CARLOS CARTAGENA"/>
  </r>
  <r>
    <n v="2023"/>
    <s v="MAYO"/>
    <s v="EL PAICO"/>
    <s v="RIVEROS CONTRERAS"/>
    <s v="ROMANETT"/>
    <s v="FEMENINO"/>
    <s v="19211635-K"/>
    <d v="2023-04-13T00:00:00"/>
    <n v="1"/>
    <d v="2023-05-16T00:00:00"/>
    <s v="NUEVO"/>
    <d v="2023-05-16T00:00:00"/>
    <s v="N/A"/>
    <s v="N/A"/>
    <n v="0"/>
    <s v="STP"/>
    <s v="N/A"/>
    <s v="N/A"/>
    <s v="TROZADO DE POLLO"/>
    <s v="DESHUESADO"/>
    <s v="OPERARIO"/>
    <s v="BAÑO"/>
    <s v="N/A"/>
    <s v="TARDE"/>
    <d v="1899-12-30T18:15:00"/>
    <s v="MARTES"/>
    <s v="SEMANA 20"/>
    <n v="15700"/>
    <s v="NC-67-23"/>
    <s v="DANIEL GARRIDO"/>
    <s v="JOSE CARVALLO"/>
    <n v="27"/>
    <s v="Otros"/>
    <s v="Manos / dedos"/>
    <s v="Herida cortante"/>
    <s v="Contacto con cuerpo cortante"/>
    <s v="COLABORADORA SUFRE CORTE EN MANO IZQUIERA POR CONTACTO CON TROZO DE LATA QUE SE ENCUENTRA AL INTERIOR DE ZIPER."/>
    <s v="CONDICION"/>
    <s v="NO"/>
    <s v="SI"/>
    <s v="NICOLAS GOMEZ"/>
    <s v="MICHELLE SANCHEZ"/>
  </r>
  <r>
    <n v="2023"/>
    <s v="MAYO"/>
    <s v="EL PAICO"/>
    <s v="REYES BUSTOS"/>
    <s v="ALEXIS"/>
    <s v="MASCULINO"/>
    <s v="20345227-6"/>
    <d v="2023-05-08T00:00:00"/>
    <n v="0"/>
    <d v="2023-05-11T00:00:00"/>
    <s v="NUEVO"/>
    <s v="N/A"/>
    <s v="N/A"/>
    <s v="N/A"/>
    <n v="0"/>
    <s v="STP"/>
    <s v="N/A"/>
    <s v="N/A"/>
    <s v="P. POSTERIORES"/>
    <s v="REPORTE DE CAJAS"/>
    <s v="OPERARIO"/>
    <s v="REPORTE DE CAJAS"/>
    <s v="CINTA DE TRANSPORTE"/>
    <s v="MAÑANA"/>
    <d v="1900-01-04T03:25:00"/>
    <s v="JUEVES"/>
    <s v="SEMANA 19"/>
    <m/>
    <m/>
    <s v="OCTAVIO MUÑOZ"/>
    <s v="ALEJANDRO SALAS"/>
    <m/>
    <s v="Infraestructura"/>
    <s v="Manos / dedos"/>
    <s v="Contusión"/>
    <s v="Golpeado contra"/>
    <s v="COLABORADOR SUFRE CONTUSION EN DEDO ANULAR DE MANO DERECHA CUANDO SE ENCONTRABA SACANDO CAJAS DE CINTA DE TRANS`PORTE EN AREA DE REPORTE DE CAJAS "/>
    <s v="ACCION"/>
    <s v="SI"/>
    <s v="NO"/>
    <s v="NICOLAS GOMEZ"/>
    <s v="CARLOS CARTAGENA"/>
  </r>
  <r>
    <n v="2023"/>
    <s v="MAYO"/>
    <s v="EL PAICO"/>
    <s v="RAMIRES SOTO"/>
    <s v="RAMIRO"/>
    <s v="MASCULINO"/>
    <s v="12178535-8"/>
    <d v="1999-03-01T00:00:00"/>
    <n v="290"/>
    <d v="2023-05-19T00:00:00"/>
    <s v="ANTIGUO"/>
    <s v="N/A"/>
    <s v="N/A"/>
    <s v="N/A"/>
    <n v="0"/>
    <s v="STP"/>
    <s v="N/A"/>
    <s v="N/A"/>
    <s v="TROZADO DE POLLO"/>
    <s v="TROZADO AUTOMATICO"/>
    <s v="SUPERVISOR"/>
    <s v="TROZADO AUTOMATICO"/>
    <s v="N/A"/>
    <s v="MAÑANA"/>
    <d v="1899-12-30T11:00:00"/>
    <s v="VIERNES"/>
    <s v="SEMANA 20"/>
    <m/>
    <m/>
    <s v="DANIEL GARRIDO"/>
    <s v="RAMIRO RAMIREZ"/>
    <n v="51"/>
    <s v="Materia Prima"/>
    <s v="Cabeza"/>
    <s v="Contusión"/>
    <s v="Golpeado por"/>
    <s v="COLABORAOR SUFRE GOLP EN ZONA OCCIPITAL DEL CRANEO AL CAER PRODUCTO DESDE LINEA DEL PROCESO"/>
    <s v="CONDICION"/>
    <s v="SI"/>
    <s v="NO"/>
    <s v="NICOLAS GOMEZ"/>
    <s v="MICHELLE SANCHEZ"/>
  </r>
  <r>
    <n v="2023"/>
    <s v="MAYO"/>
    <s v="EL PAICO"/>
    <s v="ORTUBIA PAVEZ"/>
    <s v="MARIA ISABEL"/>
    <s v="FEMENINO"/>
    <s v="18960205-7"/>
    <d v="2017-04-10T00:00:00"/>
    <n v="72"/>
    <d v="2023-05-02T00:00:00"/>
    <s v="ANTIGUO"/>
    <d v="2023-05-02T00:00:00"/>
    <d v="2023-05-02T00:00:00"/>
    <s v="N/A"/>
    <n v="0"/>
    <s v="STP"/>
    <s v="N/A"/>
    <s v="N/A"/>
    <s v="TROZADO DE POLLO"/>
    <s v="DESHUESADO"/>
    <s v="OPERARIO"/>
    <s v="ESTACIONAMIENTO PLANTA"/>
    <s v="N/A"/>
    <s v="MAÑANA"/>
    <d v="1899-12-30T06:15:00"/>
    <s v="MARTES"/>
    <s v="SEMANA 18"/>
    <n v="155661"/>
    <s v="NC-65-23"/>
    <s v="DANIEL GARRIDO"/>
    <s v="JORGE MEZA"/>
    <n v="28"/>
    <s v="Vehículos"/>
    <s v="Pie"/>
    <s v="Contusión"/>
    <s v="Golpeado contra"/>
    <s v="COLABORADORA SUFRE CONTUSION EN PIE IZQUIERDO AL GOLPEARSE CON SOPORTE DE ASIENTO CUANDO SE ENCONTRABA BAJANDO DE VANS DE TRANSPORTE EN ESTACIONAMIENTO DE PLANTA"/>
    <s v="ACCION"/>
    <s v="NO"/>
    <s v="SI"/>
    <s v="ALAN CARRASCO"/>
    <s v="CARLOS CARTAGENA"/>
  </r>
  <r>
    <n v="2023"/>
    <s v="MAYO"/>
    <s v="EL PAICO"/>
    <s v="OROZCO MENDIBURRE"/>
    <s v="KAREN"/>
    <s v="FEMENINO"/>
    <s v="15327303-0"/>
    <d v="2022-12-13T00:00:00"/>
    <n v="4"/>
    <d v="2023-05-12T00:00:00"/>
    <s v="NUEVO"/>
    <s v="N/A"/>
    <s v="N/A"/>
    <s v="N/A"/>
    <n v="0"/>
    <s v="STP"/>
    <s v="N/A"/>
    <s v="N/A"/>
    <s v="TROZADO DE POLLO"/>
    <s v="DESHUESADO"/>
    <s v="OPERARIO"/>
    <s v="IQF 2"/>
    <s v="N/A"/>
    <s v="TARDE"/>
    <d v="1899-12-30T20:05:00"/>
    <s v="VIERNES"/>
    <s v="SEMANA 19"/>
    <m/>
    <m/>
    <s v="DANIEL GARRIDO"/>
    <s v="JORGE MEZA"/>
    <n v="41"/>
    <s v="Superficies de transito"/>
    <s v="Multiples"/>
    <s v="Contusión"/>
    <s v="Caida de mismo nivel"/>
    <s v="COLABORADORA SUFRE CONTUSIÓN EN ZONA ESCAPULAR, CODO Y MUÑECA DERECHA AL TRANSITITAR POR IQF 2 YA QUE SE ENCONTRABA ESCARCHA EN EL PISO. "/>
    <s v="CONDICION"/>
    <s v="SI"/>
    <s v="NO"/>
    <s v="ALAN CARRASCO"/>
    <s v="MICHELLE SANCHEZ"/>
  </r>
  <r>
    <n v="2023"/>
    <s v="MAYO"/>
    <s v="EL PAICO"/>
    <s v="MUÑOZ MARQUEZ"/>
    <s v="RAIMUNDO"/>
    <s v="MASCULINO"/>
    <s v="17008287-7"/>
    <d v="2022-11-14T00:00:00"/>
    <n v="6"/>
    <d v="2023-05-29T00:00:00"/>
    <s v="NUEVO"/>
    <s v="N/A"/>
    <s v="N/A"/>
    <s v="N/A"/>
    <n v="0"/>
    <s v="STP"/>
    <s v="N/A"/>
    <s v="N/A"/>
    <s v="FAENACION"/>
    <s v="MENUDENCIAS"/>
    <s v="OPERARIO"/>
    <s v="FAENA"/>
    <s v="N/A"/>
    <s v="TARDE"/>
    <d v="1899-12-30T16:45:00"/>
    <s v="LUNES"/>
    <s v="SEMANA 22"/>
    <m/>
    <m/>
    <s v="NICOLAS MOYANO"/>
    <s v="ERWIN GATICA"/>
    <n v="34"/>
    <s v="Materia Prima"/>
    <s v="Ojos"/>
    <s v="Conjuntivitis"/>
    <s v="Proyeccion de particulas"/>
    <s v="COLABORADOR SUFRE MOLESTIA OCULAR POR PROYECCION DE PARTICULAS (BILIS) EN OJO DERECHO AL LIMPIAR MENUDENCIAS EN EL AREA DE FAENA"/>
    <s v="ACCION"/>
    <s v="SI"/>
    <s v="NO"/>
    <s v="ALAN CARRASCO"/>
    <s v="WLADIMIR CALDERON "/>
  </r>
  <r>
    <n v="2023"/>
    <s v="MAYO"/>
    <s v="EL PAICO"/>
    <s v="MORENO VERGARA"/>
    <s v="NICOLE"/>
    <s v="MASCULINO"/>
    <s v="17781406-7"/>
    <d v="2023-01-24T00:00:00"/>
    <n v="3"/>
    <d v="2023-05-23T00:00:00"/>
    <s v="NUEVO"/>
    <d v="2023-05-29T00:00:00"/>
    <d v="2023-05-29T00:00:00"/>
    <s v="N/A"/>
    <n v="0"/>
    <s v="STP"/>
    <s v="N/A"/>
    <s v="N/A"/>
    <s v="SSGG"/>
    <s v="ASEO ZONA LIMPIA"/>
    <s v="OPERARIO"/>
    <s v="DRONT POINT"/>
    <s v="N/A"/>
    <s v="NOCHE"/>
    <d v="1899-12-30T04:10:00"/>
    <s v="MARTES"/>
    <s v="SEMANA 21"/>
    <m/>
    <m/>
    <s v="CARLOS JIMENES"/>
    <s v="PATRICIO PALACIOS "/>
    <n v="32"/>
    <s v="Materiales"/>
    <s v="Manos / dedos"/>
    <s v="Contusión"/>
    <s v="Golpeado por"/>
    <s v="COLABORADORA SUFRE CONTUSION EN MANO DERECHA AL SER GOLPEADA POR FIERRO CUANDO SE ENCONTRABA ENJUAGANDO ISHIDA"/>
    <s v="ACCION"/>
    <s v="SI"/>
    <s v="NO"/>
    <s v="NICOLAS GOMEZ"/>
    <s v="CARLOS CARTAGENA"/>
  </r>
  <r>
    <n v="2023"/>
    <s v="MAYO"/>
    <s v="EL PAICO"/>
    <s v="MONTOYA MONSALVE"/>
    <s v="LONDY"/>
    <s v="MASCULINO"/>
    <s v="26201884-9"/>
    <d v="2020-09-22T00:00:00"/>
    <n v="31"/>
    <d v="2023-05-02T00:00:00"/>
    <s v="ANTIGUO"/>
    <d v="2023-05-03T00:00:00"/>
    <s v="N/A"/>
    <s v="N/A"/>
    <n v="0"/>
    <s v="STP"/>
    <s v="N/A"/>
    <s v="N/A"/>
    <s v="SSGG"/>
    <s v="ASEO OPERACIONAL"/>
    <s v="OPERARIO"/>
    <s v="DESPLUMADO"/>
    <s v="N/A"/>
    <s v="NOCHE"/>
    <d v="1899-12-30T03:10:00"/>
    <s v="MARTES"/>
    <s v="SEMANA 18"/>
    <n v="15673"/>
    <s v="NC-64-23"/>
    <s v="CARLOS JIMENEZ"/>
    <s v="LUIS URBINA"/>
    <n v="34"/>
    <s v="Producto quimico"/>
    <s v="Ojos"/>
    <s v="Conjuntivitis"/>
    <s v="Proyeccion de particulas"/>
    <s v="COLABORADORA SUFRE MOLESTIA OCULAR POR PROYECCION DE PARTICULAS LIQUIDAS AL ROPERSE LLAVE QUE SE ENCONTRABA SANITIZANDO EN SALA DE DESPLUMADO"/>
    <s v="CONDICION"/>
    <s v="SI"/>
    <s v="SI"/>
    <s v="NICOLAS GOMEZ"/>
    <s v="WLADIMIR CALDERON "/>
  </r>
  <r>
    <n v="2023"/>
    <s v="MAYO"/>
    <s v="EL PAICO"/>
    <s v="LOYOLA CASTRO"/>
    <s v="MANUEL"/>
    <s v="MASCULINO"/>
    <s v="12238115-2"/>
    <d v="2000-07-06T00:00:00"/>
    <n v="274"/>
    <d v="2023-05-16T00:00:00"/>
    <s v="ANTIGUO"/>
    <s v="N/A"/>
    <s v="N/A"/>
    <s v="N/A"/>
    <n v="0"/>
    <s v="STP"/>
    <s v="N/A"/>
    <s v="N/A"/>
    <s v="TROZADO DE PAVO"/>
    <s v="LÍNEA DE CONOS"/>
    <s v="OPERARIO"/>
    <s v="LINEA DE CONOS"/>
    <s v="N/A"/>
    <s v="MAÑANA"/>
    <d v="1899-12-30T05:10:00"/>
    <s v="MARTES"/>
    <s v="SEMANA 20"/>
    <m/>
    <m/>
    <s v="GUILLERMO NARVAEZ"/>
    <s v="JAQUELIN PAVEZ"/>
    <n v="51"/>
    <s v="Materiales"/>
    <s v="Pie"/>
    <s v="Contusión"/>
    <s v="Golpeado por"/>
    <s v="COLABORADOR SUFRE CONTUSION EN PIE DERECHO AL CAER PISO METALICO SOBRE SU PIE CUANDO SE ENCONTRABA ORDENANDO SU 'PUESTO DE TRABAJO EN LÍNEA DE CONOS "/>
    <s v="ACCION"/>
    <s v="SI"/>
    <s v="NO"/>
    <s v="ALAN CARRASCO"/>
    <s v="MICHELLE SANCHEZ"/>
  </r>
  <r>
    <n v="2023"/>
    <s v="MAYO"/>
    <s v="EL PAICO"/>
    <s v="LLANTEN MELO"/>
    <s v="JONATHAN"/>
    <s v="MASCULINO"/>
    <s v="16181057-6"/>
    <d v="2007-02-01T00:00:00"/>
    <n v="195"/>
    <d v="2023-05-17T00:00:00"/>
    <s v="ANTIGUO"/>
    <d v="2023-05-18T00:00:00"/>
    <d v="2023-05-24T00:00:00"/>
    <s v="N/A"/>
    <n v="7"/>
    <s v="CTP"/>
    <s v="LGF"/>
    <s v="LGF2"/>
    <s v="TROZADO DE POLLO"/>
    <s v="DESHUESADO"/>
    <s v="OPERARADOR TECNICO "/>
    <s v="Carrusel HQ sur"/>
    <s v="HQ sur"/>
    <s v="TARDE"/>
    <d v="1899-12-30T22:55:00"/>
    <s v="JUEVES"/>
    <s v="SEMANA 20"/>
    <n v="15701"/>
    <s v="NC-71-23"/>
    <s v="DANIEL GARRIDO"/>
    <s v="JOSE CARVALLO"/>
    <n v="37"/>
    <s v="Maquinarias"/>
    <s v="Manos / dedos"/>
    <s v="Atrición"/>
    <s v="Atrapamiento"/>
    <s v="COLABORADOR SUFRE ATRISION EN DEDO ANULAR DE MANO DERECHA POR ATRAPAMIENTO MIENTRAS SE ENCONTRABA REALIZABNDO GIRO EN CARRUSEL DE MAQUINA HQ DE MANERA MANUAL "/>
    <s v="ACCION"/>
    <s v="SI"/>
    <s v="SI"/>
    <s v="NICOLAS GOMEZ"/>
    <s v="CARLOS CARTAGENA"/>
  </r>
  <r>
    <n v="2023"/>
    <s v="MAYO"/>
    <s v="EL PAICO"/>
    <s v="HUINAO CARTAGENA"/>
    <s v="MANUEL"/>
    <s v="MASCULINO"/>
    <s v="15403657-1"/>
    <d v="2022-11-04T00:00:00"/>
    <n v="6"/>
    <d v="2023-05-30T00:00:00"/>
    <s v="NUEVO"/>
    <s v="N/A"/>
    <s v="N/A"/>
    <s v="N/A"/>
    <n v="0"/>
    <s v="STP"/>
    <s v="N/A"/>
    <s v="N/A"/>
    <s v="IQF Y CALIBRADO"/>
    <s v="IQF"/>
    <s v="OPERARIO"/>
    <s v="IQF 1"/>
    <s v="N/A"/>
    <s v="TARDE"/>
    <d v="1899-12-30T17:50:00"/>
    <s v="MARTES"/>
    <s v="SEMANA 22"/>
    <m/>
    <m/>
    <s v="GUILLERMO NARVAEZ"/>
    <s v="MAXIMO CAMPOS"/>
    <n v="40"/>
    <s v="Animales - Insectos"/>
    <s v="Brazo"/>
    <s v="Otros"/>
    <s v="Picadura"/>
    <s v="COLABORADOR SUFRE PICADURA DE INSECTO EN BRAZO DERECHO CUANDO SE ENCONTRABA PASANDO BANDEJAS EN IQF 1"/>
    <s v="ACCION"/>
    <s v="SI"/>
    <s v="NO"/>
    <s v="NICOLAS GOMEZ"/>
    <s v="CARLOS CARTAGENA"/>
  </r>
  <r>
    <n v="2023"/>
    <s v="MAYO"/>
    <s v="EL PAICO"/>
    <s v="GONZALEZ ESCARATE"/>
    <s v="PABLO"/>
    <s v="MASCULINO"/>
    <s v="20880331-K"/>
    <d v="2023-03-13T00:00:00"/>
    <n v="2"/>
    <d v="2023-05-13T00:00:00"/>
    <s v="NUEVO"/>
    <s v="N/A"/>
    <s v="N/A"/>
    <s v="N/A"/>
    <n v="0"/>
    <s v="STP"/>
    <s v="N/A"/>
    <s v="N/A"/>
    <s v="FAENACION"/>
    <s v="CHILLER"/>
    <s v="OPERARIO"/>
    <s v="CHILLER CORAZON"/>
    <s v="N/A"/>
    <s v="MAÑANA"/>
    <d v="1899-12-30T08:25:00"/>
    <s v="SABADO"/>
    <s v="SEMANA 19"/>
    <m/>
    <m/>
    <s v="NICOLAS MOYANO"/>
    <s v="ERWIN GATICA"/>
    <n v="21"/>
    <s v="Materia Prima"/>
    <s v="Ojos"/>
    <s v="Conjuntivitis"/>
    <s v="Proyeccion de particulas"/>
    <s v="COLABIORADOR SUFRE MOLESTIA OCULAR POR PROYECCION DE PARTICULAS LIQUIDAS, MIENTRAS SE ENCONTRABA SEPARANDO PRODUCTO EN CHILLER DE CORAZON"/>
    <s v="ACCION"/>
    <s v="SI"/>
    <s v="NO"/>
    <s v="ALAN CARRASCO"/>
    <s v="WLADIMIR CALDERON "/>
  </r>
  <r>
    <n v="2023"/>
    <s v="MAYO"/>
    <s v="EL PAICO"/>
    <s v="ESPINOZA PADILLA"/>
    <s v="PAULINA"/>
    <s v="FEMENINO"/>
    <s v="17133880-8"/>
    <d v="2022-06-14T00:00:00"/>
    <n v="10"/>
    <d v="2023-05-03T00:00:00"/>
    <s v="INTERMEDIO"/>
    <s v="N/A"/>
    <s v="N/A"/>
    <s v="N/A"/>
    <n v="0"/>
    <s v="STP"/>
    <s v="N/A"/>
    <s v="N/A"/>
    <s v="IQF Y CALIBRADO"/>
    <s v="CALIBRADO"/>
    <s v="OPERARIO"/>
    <s v="CALIBRADO"/>
    <s v="N/A"/>
    <s v="TARDE"/>
    <d v="1899-12-30T22:30:00"/>
    <s v="MIERCOLES"/>
    <s v="SEMANA 18"/>
    <m/>
    <m/>
    <s v="GUILLERMO NARVAEZ"/>
    <s v="FERNANDO FUENTEALBA"/>
    <n v="34"/>
    <s v="Cajas"/>
    <s v="Tronco"/>
    <s v="Contusión"/>
    <s v="Golpeado por"/>
    <s v="COLABORADORA DE IQF-CALIBRADO SUFRE CONTUSION EN ZONA TORAXICA AL MOMENTO DE RETIRAR UNA CAJA DE LA LINEA DE TRABAJO"/>
    <s v="ACCION"/>
    <s v="SI"/>
    <s v="NO"/>
    <s v="NICOLAS GOMEZ"/>
    <s v="CHISTIAN JHONS"/>
  </r>
  <r>
    <n v="2023"/>
    <s v="MAYO"/>
    <s v="EL PAICO"/>
    <s v="DIAZ ROJAS"/>
    <s v="KATIUSKA "/>
    <s v="FEMENINO"/>
    <s v="16817017-3"/>
    <d v="2023-01-17T00:00:00"/>
    <n v="3"/>
    <d v="2023-05-03T00:00:00"/>
    <s v="NUEVO"/>
    <s v="N/A"/>
    <s v="N/A"/>
    <s v="N/A"/>
    <n v="0"/>
    <s v="STP"/>
    <s v="N/A"/>
    <s v="N/A"/>
    <s v="TROZADO DE POLLO"/>
    <s v="DESHUESADO"/>
    <s v="OPERARIO"/>
    <s v="DESHUESADO"/>
    <s v="N/A"/>
    <s v="TARDE"/>
    <d v="1899-12-30T18:30:00"/>
    <s v="MIERCOLES"/>
    <s v="SEMANA 18"/>
    <m/>
    <m/>
    <s v="DANIEL GARRIDO"/>
    <s v="JOSE CARVALLO"/>
    <n v="35"/>
    <s v="Bandejas"/>
    <s v="Manos / dedos"/>
    <s v="Contusión"/>
    <s v="Sobreesfuerzo"/>
    <s v="COLABORADORA DE TPO SUFRE CONTUSION E INFLAMACION EN MANO DERECHA AL MOMENTO DE LEVANTAR BANDEJA EN SALA DE DESHUEZADO MIENTRAS REALIZABA LABORES DE PROLIJADO"/>
    <s v="ACCION"/>
    <s v="SI"/>
    <s v="NO"/>
    <s v="NICOLAS GOMEZ"/>
    <s v="CHISTIAN JHONS"/>
  </r>
  <r>
    <n v="2023"/>
    <s v="MAYO"/>
    <s v="EL PAICO"/>
    <s v="DIAZ ALABARCE"/>
    <s v="YERCO"/>
    <s v="MASCULINO"/>
    <s v="16241507-7"/>
    <d v="2023-01-16T00:00:00"/>
    <n v="4"/>
    <d v="2023-05-16T00:00:00"/>
    <s v="NUEVO"/>
    <d v="2023-05-16T00:00:00"/>
    <s v="N/A"/>
    <s v="N/A"/>
    <n v="0"/>
    <s v="STP"/>
    <s v="N/A"/>
    <s v="N/A"/>
    <s v="FAENACION"/>
    <s v="CALIBRADO DE PAVOS"/>
    <s v="OPERARIO"/>
    <s v="BAÑO"/>
    <s v="N/A"/>
    <s v="MAÑANA"/>
    <d v="1899-12-30T12:10:00"/>
    <s v="MARTES"/>
    <s v="SEMANA 20"/>
    <n v="15699"/>
    <s v="NC-68-23"/>
    <s v="NICOLAS MOYANO"/>
    <s v="CESAR CARTAGENA"/>
    <n v="37"/>
    <s v="Infraestructura"/>
    <s v="Pie"/>
    <s v="Herida cortante"/>
    <s v="Caida de mismo nivel"/>
    <s v="COLABORADOR SUFRE HERIDA CORTANTE EN PIE DERECHO POR CERAMICA EN MALAS CONDICIONES AL CAER EN BAÑO DE LA PLANTA"/>
    <s v="CONDICION"/>
    <s v="NO"/>
    <s v="SI"/>
    <s v="ALAN CARRASCO"/>
    <s v="MICHELLE SANCHEZ"/>
  </r>
  <r>
    <n v="2023"/>
    <s v="MAYO"/>
    <s v="EL PAICO"/>
    <s v="CHACON "/>
    <s v="SOLEDAD"/>
    <s v="FEMENINO"/>
    <s v="15325840-6"/>
    <d v="2014-05-02T00:00:00"/>
    <n v="108"/>
    <d v="2023-05-08T00:00:00"/>
    <s v="ANTIGUO"/>
    <d v="2023-05-08T00:00:00"/>
    <d v="2023-05-08T00:00:00"/>
    <s v="N/A"/>
    <n v="0"/>
    <s v="STP"/>
    <s v="N/A"/>
    <s v="N/A"/>
    <s v="TROZADO DE POLLO"/>
    <s v="AUTOMATICO"/>
    <s v="OPERARIO"/>
    <s v="LÍNEA ALA MEDIA"/>
    <s v="N/A"/>
    <s v="MAÑANA"/>
    <d v="1899-12-30T09:30:00"/>
    <s v="LUNES"/>
    <s v="SEMANA 19"/>
    <m/>
    <m/>
    <s v="DANIEL GARRIDO"/>
    <s v="ARNALDO VERA"/>
    <n v="41"/>
    <s v="Cajas"/>
    <s v="Espalda"/>
    <s v="Otros"/>
    <s v="Sobreesfuerzo"/>
    <s v="COLABORADORA SUFRE DOLOR EN ZONA DORSAL DERECHA CUANDO SE ENCONTRABA MOVIENDO BANDEJAS CON PRODUCTO EN LÍNEA DE ALA MEDIA "/>
    <s v="ACCION"/>
    <s v="SI"/>
    <s v="NO"/>
    <s v="NICOLAS GOMEZ"/>
    <s v="MICHELLE SANCHEZ"/>
  </r>
  <r>
    <n v="2023"/>
    <s v="MAYO"/>
    <s v="EL PAICO"/>
    <s v="CASTILLO GUICO"/>
    <s v="JOSE"/>
    <s v="MASCULINO"/>
    <s v="19213143-K"/>
    <d v="2022-08-18T00:00:00"/>
    <n v="8"/>
    <d v="2023-05-03T00:00:00"/>
    <s v="INTERMEDIO"/>
    <s v="N/A"/>
    <s v="N/A"/>
    <s v="N/A"/>
    <n v="0"/>
    <s v="STP"/>
    <s v="N/A"/>
    <s v="N/A"/>
    <s v="FAENACION"/>
    <s v="EVICERADO"/>
    <s v="OPERARIO"/>
    <s v="EVICERADO"/>
    <s v="N/A"/>
    <s v="MAÑANA"/>
    <d v="1899-12-30T15:55:00"/>
    <s v="MIERCOLES"/>
    <s v="SEMANA 18"/>
    <m/>
    <m/>
    <s v="NICOLAS MOYANO"/>
    <m/>
    <n v="26"/>
    <s v="Materia Prima"/>
    <s v="Ojos"/>
    <s v="Conjuntivitis"/>
    <s v="Proyeccion de particulas"/>
    <s v="COLABORADOR SUFRE PROYECCION DE BILIS EN OJO IZQUIERDO CUANDO SE ENCONTRABA  COLGANDO PANAS EN EL AREA DE EVICERADO"/>
    <s v="ACCION"/>
    <s v="SI"/>
    <s v="NO"/>
    <s v="NICOLAS GOMEZ"/>
    <s v="CHISTIAN JHONS"/>
  </r>
  <r>
    <n v="2023"/>
    <s v="MAYO"/>
    <s v="EL PAICO"/>
    <s v="CACERES PALMA"/>
    <s v="CRISTOPHER"/>
    <s v="MASCULINO"/>
    <s v="19211902-2"/>
    <d v="2016-11-21T00:00:00"/>
    <n v="77"/>
    <d v="2023-05-20T00:00:00"/>
    <s v="ANTIGUO"/>
    <d v="2023-05-22T00:00:00"/>
    <d v="2023-06-02T00:00:00"/>
    <s v="N/A"/>
    <n v="12"/>
    <s v="CTP"/>
    <s v="LGF"/>
    <s v="LGF8"/>
    <s v="SSGG"/>
    <s v="ASEO ZONA LIMPIA"/>
    <s v="OPERARIO"/>
    <s v="DESHUESADO"/>
    <s v="HQ "/>
    <s v="NOCHE"/>
    <d v="1899-12-30T05:00:00"/>
    <s v="SABADO"/>
    <s v="SEMANA 20"/>
    <n v="15707"/>
    <s v="NC-70-23"/>
    <s v="CARLOS JIMENES"/>
    <s v="PATRICIO PALACIOS"/>
    <n v="27"/>
    <s v="Gases - vapores"/>
    <s v="Pierna"/>
    <s v="Quemadura"/>
    <s v="Otros"/>
    <s v="COLABORADOR SUFRE QUEMADURA EN PIERNA DERECHA POR VAPOR, AL ESTAR CERRANDO LLAVE DE PASO DE DUCTO EN SALA DE DESHUESADO."/>
    <s v="ACCION"/>
    <s v="SI"/>
    <s v="SI"/>
    <s v="ALAN CARRASCO"/>
    <s v="WLADIMIR CALDERON "/>
  </r>
  <r>
    <n v="2023"/>
    <s v="MAYO"/>
    <s v="EL PAICO"/>
    <s v="ARAVENA NUÑEZ"/>
    <s v="ROCÍO"/>
    <s v="FEMENINO"/>
    <s v="20060554-3"/>
    <d v="1999-07-18T00:00:00"/>
    <n v="285"/>
    <d v="2023-05-02T00:00:00"/>
    <s v="ANTIGUO"/>
    <s v="N/A"/>
    <s v="N/A"/>
    <s v="N/A"/>
    <n v="0"/>
    <s v="STP"/>
    <s v="N/A"/>
    <s v="N/A"/>
    <s v="FRIGORIFICO"/>
    <s v="CAMARA"/>
    <s v="OPERARIO"/>
    <s v="DESPACHO"/>
    <s v="N/A"/>
    <s v="NOCHE"/>
    <d v="1899-12-30T22:10:00"/>
    <s v="MARTES"/>
    <s v="SEMANA 18"/>
    <m/>
    <m/>
    <s v="FRANCISCO QUEZADA"/>
    <s v="ROBERTO LOYOLA"/>
    <n v="23"/>
    <s v="Cajas"/>
    <s v="Brazo"/>
    <s v="Contusión"/>
    <s v="Golpeado contra"/>
    <s v="COLABORADORA SUFRE CONTUSION EN BRAZO IZQUIERDO AL SER GOLPEADA POR EL CONTRARIO CAJA DE PRODUCTO (12KILOS) EN SECTOR DESPACHO DEL AREA DE FRIGORIFICO"/>
    <s v="ACCION"/>
    <s v="SI"/>
    <s v="NO"/>
    <s v="NICOLAS GOMEZ"/>
    <s v="CARLOS CARTAGENA"/>
  </r>
  <r>
    <n v="2023"/>
    <s v="MAYO"/>
    <s v="EL PAICO"/>
    <s v="AHUMADA CASTILLO"/>
    <s v="JUAN "/>
    <s v="MASCULINO"/>
    <s v="18096461-4"/>
    <d v="2022-07-12T00:00:00"/>
    <n v="10"/>
    <d v="2023-05-16T00:00:00"/>
    <s v="INTERMEDIO"/>
    <s v="N/A"/>
    <s v="N/A"/>
    <s v="N/A"/>
    <n v="0"/>
    <s v="STP"/>
    <s v="N/A"/>
    <s v="N/A"/>
    <s v="MANTENCION"/>
    <s v="MANTENCION"/>
    <s v="OPERARIO"/>
    <s v="MONTESA"/>
    <s v="EQUIPO PARA MOVIMIENTO DE CARGA (GRUAS O TRANSPALETAS)"/>
    <s v="MAÑANA"/>
    <d v="1899-12-30T11:30:00"/>
    <s v="SABADO"/>
    <s v="SEMANA 18"/>
    <m/>
    <m/>
    <s v="VICTOR GOMEZ"/>
    <s v="EMANUEL MELLADO"/>
    <n v="31"/>
    <s v="Equipos Transporte de carga"/>
    <s v="Pie"/>
    <s v="Contusión"/>
    <s v="Golpeado por"/>
    <s v="COLABORADOR SUFRE CONTUSION EN PIE DERECHO AL SER GOLPEADO POR TRANSPALETA MANUAL, CUANDO SE DIRIGIA HA MAQUINA ESMIPACK "/>
    <s v="ACCION"/>
    <s v="SI"/>
    <s v="NO"/>
    <s v="ALAN CARRASCO"/>
    <s v="CARLOS CARTAGENA"/>
  </r>
  <r>
    <n v="2023"/>
    <s v="JUNIO"/>
    <s v="EL PAICO"/>
    <s v="ZURITA LEIVA"/>
    <s v="JORGE"/>
    <s v="MASCULINO"/>
    <s v="13771226-1"/>
    <d v="2000-10-18T00:00:00"/>
    <n v="271"/>
    <d v="2023-06-13T00:00:00"/>
    <s v="ANTIGUO"/>
    <s v="N/A"/>
    <s v="N/A"/>
    <s v="N/A"/>
    <n v="0"/>
    <s v="STP"/>
    <s v="N/A"/>
    <s v="N/A"/>
    <s v="FRIGORIFICO"/>
    <s v="CAMARA"/>
    <s v="OPERADOR DE MAQUINA"/>
    <s v="SALA BATERIAS"/>
    <s v="N/A"/>
    <s v="TARDE"/>
    <d v="1899-12-30T17:50:00"/>
    <s v="MARTES"/>
    <s v="SEMANA 24"/>
    <m/>
    <m/>
    <s v="FRANCISCO QUEZADA"/>
    <s v="ALEJANDRO TORRES"/>
    <n v="43"/>
    <s v="Otros"/>
    <s v="Ojos"/>
    <s v="Conjuntivitis"/>
    <s v="Proyeccion de particulas"/>
    <s v="COLABORADOR SUFRE MOLESTIA OCULAR POR PROYECCION DE PARTICULAS LIQUIDAS CUANDO SE ENCONTRABA REALIZANDO CAMBIO DE BATERIA."/>
    <s v="ACCION"/>
    <s v="SI"/>
    <s v="NO"/>
    <s v="ALAN CARRASCO"/>
    <s v="WLADIMIR CALDERON "/>
  </r>
  <r>
    <n v="2023"/>
    <s v="JUNIO"/>
    <s v="EL PAICO"/>
    <s v="VARGAS HERNANDEZ"/>
    <s v="LUIS"/>
    <s v="MASCULINO"/>
    <s v="9947369-K"/>
    <d v="2015-04-20T00:00:00"/>
    <n v="97"/>
    <d v="2023-06-17T00:00:00"/>
    <s v="ANTIGUO"/>
    <d v="2023-06-19T00:00:00"/>
    <d v="2023-06-23T00:00:00"/>
    <s v="N/A"/>
    <n v="5"/>
    <s v="CTP"/>
    <s v="N/A"/>
    <s v="N/A"/>
    <s v="FAENACION"/>
    <s v="EVICERADO PAVOS"/>
    <s v="OPERARIO"/>
    <s v="CHILLER MENUDENCIA"/>
    <s v="N/A"/>
    <s v="MAÑANA"/>
    <d v="1899-12-30T10:20:00"/>
    <s v="SABADO"/>
    <s v="SEMANA 24"/>
    <n v="15761"/>
    <s v="NC-101-23"/>
    <s v="NICOLAS MOYANO"/>
    <s v="CESAR CARTAGENA"/>
    <n v="58"/>
    <s v="Superficies de transito"/>
    <s v="Espalda"/>
    <s v="Contusión"/>
    <s v="Caida de mismo nivel"/>
    <s v="COLABORADOR SUFRE GOLPE EN ESPALDA POR CAIDA MISMO NIVEL CUANDO TRANSITABA POR PASILLO DE CHILLER MENUDENCIAS "/>
    <s v="CONDICION"/>
    <s v="SI"/>
    <s v="SI"/>
    <s v="ALAN CARRASCO"/>
    <s v="SANDRA LAYANA"/>
  </r>
  <r>
    <n v="2023"/>
    <s v="JUNIO"/>
    <s v="EL PAICO"/>
    <s v="TORRES ALVARADO"/>
    <s v="BRYAN"/>
    <s v="MASCULINO"/>
    <s v="20722483-9"/>
    <d v="2021-04-12T00:00:00"/>
    <n v="25"/>
    <d v="2023-06-08T00:00:00"/>
    <s v="ANTIGUO"/>
    <s v="N/A"/>
    <s v="N/A"/>
    <s v="N/A"/>
    <n v="0"/>
    <s v="STP"/>
    <s v="N/A"/>
    <s v="N/A"/>
    <s v="FAENACION"/>
    <s v="EVISCERADO POLLOS"/>
    <s v="OPERARIO"/>
    <s v="EVICERADO"/>
    <s v="N/A"/>
    <s v="MAÑANA"/>
    <d v="1899-12-30T11:50:00"/>
    <s v="JUEVES"/>
    <s v="SEMANA 23"/>
    <m/>
    <m/>
    <s v="NICOLAS MOYANO"/>
    <m/>
    <n v="21"/>
    <s v="Materia Prima"/>
    <s v="Ojos"/>
    <s v="Conjuntivitis"/>
    <s v="Proyeccion de particulas"/>
    <s v="COLABORADOR SUFRE MOLESTIA OCULAR POR PROYECCION DE PARTICULAS CUANDO ESTABA ASPIRANDO POLLO "/>
    <s v="ACCION"/>
    <s v="SI"/>
    <s v="NO"/>
    <s v="NICOLAS GOMEZ"/>
    <s v="CHISTIAN JHONS"/>
  </r>
  <r>
    <n v="2023"/>
    <s v="JUNIO"/>
    <s v="EL PAICO"/>
    <s v="TORRES ALVARADO"/>
    <s v="BRYAN"/>
    <s v="MASCULINO"/>
    <s v="20722483-9"/>
    <d v="2021-04-12T00:00:00"/>
    <n v="26"/>
    <d v="2023-06-14T00:00:00"/>
    <s v="ANTIGUO"/>
    <s v="N/A"/>
    <s v="N/A"/>
    <s v="N/A"/>
    <n v="0"/>
    <s v="STP"/>
    <s v="N/A"/>
    <s v="N/A"/>
    <s v="FAENACION"/>
    <s v="EVISCERADO POLLOS"/>
    <s v="OPERARIO"/>
    <s v="EVICERADO"/>
    <s v="N/A"/>
    <s v="MAÑANA"/>
    <m/>
    <s v="MIERCOLES"/>
    <s v="SEMANA 24"/>
    <m/>
    <m/>
    <s v="NICOLAS MOYANO"/>
    <s v="FRANCISCO CASTRO"/>
    <n v="21"/>
    <s v="Materiales"/>
    <s v="Brazo"/>
    <s v="Herida cortante"/>
    <s v="Contacto con cuerpo cortante"/>
    <s v="COLABORADOR SUFRE HERIDA CORTANTE LEVE EN BRAZO IZQUIERDO POR CUCHILLO AL ESTAR CORTANDO PECHUGA DE POLLO "/>
    <s v="ACCION"/>
    <s v="SI"/>
    <s v="NO"/>
    <s v="NICOLAS GOMEZ"/>
    <s v="CARLOS CARTAGENA"/>
  </r>
  <r>
    <n v="2023"/>
    <s v="JUNIO"/>
    <s v="EL PAICO"/>
    <s v="TORO OROSCO"/>
    <s v="GIANINA"/>
    <s v="FEMENINO"/>
    <s v="17518601-8"/>
    <d v="2019-01-14T00:00:00"/>
    <n v="52"/>
    <d v="2023-06-01T00:00:00"/>
    <s v="ANTIGUO"/>
    <d v="2023-06-07T00:00:00"/>
    <d v="2023-06-07T00:00:00"/>
    <s v="N/A"/>
    <n v="0"/>
    <s v="STP"/>
    <s v="N/A"/>
    <s v="N/A"/>
    <s v="SSGG"/>
    <s v="ASEO"/>
    <s v="OPERARIO"/>
    <s v="DROP POINT"/>
    <s v="N/A"/>
    <s v="NOCHE"/>
    <d v="1899-12-30T02:50:00"/>
    <s v="JUEVES"/>
    <s v="SEMANA 22"/>
    <n v="15749"/>
    <s v="NC-106-23"/>
    <s v="CARLOS JIMENEZ"/>
    <s v="PATRICIO PALACIOS"/>
    <n v="34"/>
    <s v="Superficies de trabajo"/>
    <s v="Manos / dedos"/>
    <s v="Contusión"/>
    <s v="Caida de mismo nivel"/>
    <s v="COLABORADORA SUFRE CONTUSIÓN EN MANO IZQUIERDA POR CAIDA MISMO NIVEL MIENTRAS TRASLADABA MANGUERA EN MAQUINA DROP POINT EN CALIBRADO AL ENCONTRASERSE REALIZANDO ASEO PRE-OPERACIONAL"/>
    <s v="ACCION"/>
    <s v="SI"/>
    <s v="SI"/>
    <s v="ALAN CARRASCO"/>
    <s v="WLADIMIR CALDERON "/>
  </r>
  <r>
    <n v="2023"/>
    <s v="JUNIO"/>
    <s v="EL PAICO"/>
    <s v="RUBIO LOPEZ"/>
    <s v="CLAUDIA"/>
    <s v="FEMENINO"/>
    <s v="12723602-K"/>
    <d v="2007-06-01T00:00:00"/>
    <n v="192"/>
    <d v="2023-06-02T00:00:00"/>
    <s v="ANTIGUO"/>
    <d v="2023-06-05T00:00:00"/>
    <d v="2023-06-05T00:00:00"/>
    <s v="N/A"/>
    <n v="0"/>
    <s v="STP"/>
    <s v="N/A"/>
    <s v="N/A"/>
    <s v="P. POSTERIORES"/>
    <s v="REPORTE LINEA ISHIDA B"/>
    <s v="OPERARIO"/>
    <s v="REPORTE DE CAJAS"/>
    <s v="N/A"/>
    <s v="MAÑANA"/>
    <d v="1899-12-30T07:40:00"/>
    <s v="VIERNES"/>
    <s v="SEMANA 22"/>
    <n v="15729"/>
    <s v="NC-107-23"/>
    <s v="OCTAVIO MUÑOZ"/>
    <s v="EDGAR HERNANDEZ"/>
    <n v="48"/>
    <s v="Materiales"/>
    <s v="Manos / dedos"/>
    <s v="Contusión"/>
    <s v="Golpeado por"/>
    <s v="COLABORADORA SUFRE CONTUSIÓN EN DEDO INDICE DERECHO POR ROLLO DE LAMINAS CUANDO SE ENCONTRABA SACANDO ESTE DE MUEBLE CON EL OBJETIVO DE SER CAMBIADO"/>
    <s v="ACCION"/>
    <s v="SI"/>
    <s v="SI"/>
    <s v="NICOLAS GOMEZ"/>
    <s v="WLADIMIR CALDERON "/>
  </r>
  <r>
    <n v="2023"/>
    <s v="JUNIO"/>
    <s v="EL PAICO"/>
    <s v="RODRIGUEZ MONJES"/>
    <s v="ANYBEL"/>
    <s v="FEMENINO"/>
    <s v="27091787-9"/>
    <d v="2020-03-16T00:00:00"/>
    <n v="38"/>
    <d v="2023-06-02T00:00:00"/>
    <s v="ANTIGUO"/>
    <s v="N/A"/>
    <s v="N/A"/>
    <s v="N/A"/>
    <n v="0"/>
    <s v="STP"/>
    <s v="N/A"/>
    <s v="N/A"/>
    <s v="TROZADO DE POLLO"/>
    <s v="DESHUESADO"/>
    <s v="OPERARIO"/>
    <s v="DESHUESADO"/>
    <s v="N/A"/>
    <s v="MAÑANA"/>
    <d v="1899-12-30T07:45:00"/>
    <s v="VIERNES"/>
    <s v="SEMANA 22"/>
    <m/>
    <m/>
    <s v="DANIEL GARRIDO"/>
    <s v="JORGE MEZA"/>
    <n v="32"/>
    <s v="Materia Prima"/>
    <s v="Ojos"/>
    <s v="Conjuntivitis"/>
    <s v="Proyeccion de particulas"/>
    <s v="COLABORADOR SUFRE MOLESTIA OCULAR POR PROYECCION DE PARTICULAS AL ESTAR SELECCIONANDO PECHUGA EN LINEA DESHUESADO "/>
    <s v="ACCION"/>
    <s v="SI"/>
    <s v="NO"/>
    <s v="NICOLAS GOMEZ"/>
    <s v="WLADIMIR CALDERON "/>
  </r>
  <r>
    <n v="2023"/>
    <s v="JUNIO"/>
    <s v="EL PAICO"/>
    <s v="QUISPE CHASIQUIZA"/>
    <s v="MARIA FERNANDA"/>
    <s v="FEMENINO"/>
    <s v="26068322-5"/>
    <d v="2023-01-09T00:00:00"/>
    <n v="5"/>
    <d v="2023-06-28T00:00:00"/>
    <s v="NUEVO"/>
    <d v="2023-06-29T00:00:00"/>
    <d v="2023-07-04T00:00:00"/>
    <s v="N/A"/>
    <n v="6"/>
    <s v="CTP"/>
    <s v="N/A"/>
    <s v="N/A"/>
    <s v="FRIGORIFICO"/>
    <s v="CAMARA"/>
    <s v="OPERARIO"/>
    <s v="CAMARA"/>
    <s v="N/A"/>
    <s v="MAÑANA"/>
    <d v="1899-12-30T10:30:00"/>
    <s v="MIERCOLES"/>
    <s v="SEMANA 26"/>
    <n v="15779"/>
    <s v="NC-102-23"/>
    <s v="FRANCISCO QUEZADA"/>
    <s v="MATIAS PENROZ"/>
    <n v="40"/>
    <s v="Materia Prima"/>
    <s v="Manos / dedos"/>
    <s v="Contusión"/>
    <s v="Golpeado por"/>
    <s v="COLABORADORA SUFRE CONTUSION EN DEDO MEÑIQUE DE MANO IZQUIERDA AL SER GOLPEADA POR BLOQUE DE PECHUGA DE POLLO CONGELADA CUANDO SE ENCONTRABA VOLTEANDO ESTOS EN SALA DE EMPAQUE "/>
    <s v="ACCION"/>
    <s v="SI"/>
    <s v="SI"/>
    <s v="NICOLAS GOMEZ"/>
    <s v="CHISTIAN JHONS"/>
  </r>
  <r>
    <n v="2023"/>
    <s v="JUNIO"/>
    <s v="EL PAICO"/>
    <s v="MONTENEGRO GALLARDO"/>
    <s v="RAUL"/>
    <s v="MASCULINO"/>
    <s v="21623760-9"/>
    <d v="2022-11-29T00:00:00"/>
    <n v="6"/>
    <d v="2023-06-12T00:00:00"/>
    <s v="NUEVO"/>
    <d v="2023-06-12T00:00:00"/>
    <d v="2023-06-12T00:00:00"/>
    <s v="N/A"/>
    <n v="0"/>
    <s v="STP"/>
    <s v="N/A"/>
    <s v="N/A"/>
    <s v="TROZADO DE POLLO"/>
    <s v="DESHUESADO"/>
    <s v="OPERARIO"/>
    <s v="CAMARA 208"/>
    <s v="N/A"/>
    <s v="MAÑANA"/>
    <d v="1899-12-30T07:45:00"/>
    <s v="LUNES"/>
    <s v="SEMANA 24"/>
    <n v="15748"/>
    <s v="NC-108-23"/>
    <s v="DANIEL GARRIDO"/>
    <s v="JORGE MEZA"/>
    <n v="19"/>
    <s v="Superficies de transito"/>
    <s v="Multiples"/>
    <s v="Contusión"/>
    <s v="Caida de mismo nivel"/>
    <s v="COLABORADOR SUFRE CONTUSION EN TOBILLO Y RODILLA DERECHA, POR CAIDA MISMO NIVEL PRODUTO DE PRESENCIA DE HIELO EN SUPERFICIE DE TRANSITO EN CAMARA 208"/>
    <s v="CONDICION"/>
    <s v="SI"/>
    <s v="SI"/>
    <s v="ALAN CARRASCO"/>
    <s v="CHISTIAN JHONS"/>
  </r>
  <r>
    <n v="2023"/>
    <s v="JUNIO"/>
    <s v="EL PAICO"/>
    <s v="MALDONADO ACEVEDO"/>
    <s v="FELIPE"/>
    <s v="MASCULINO"/>
    <s v="18667787-0"/>
    <d v="2023-06-01T00:00:00"/>
    <n v="0"/>
    <d v="2023-06-30T00:00:00"/>
    <s v="NUEVO"/>
    <d v="2023-07-03T00:00:00"/>
    <d v="2023-07-03T00:00:00"/>
    <s v="N/A"/>
    <n v="0"/>
    <s v="STP"/>
    <s v="N/A"/>
    <s v="N/A"/>
    <s v="IQF Y CALIBRADO"/>
    <s v="CALIBRADO"/>
    <s v="OPERARIO"/>
    <s v="CALIBRADO"/>
    <s v="N/A"/>
    <s v="MAÑANA"/>
    <d v="1899-12-30T10:30:00"/>
    <s v="VIERNES"/>
    <s v="SEMANA 26"/>
    <n v="15784"/>
    <s v="NC-98-23"/>
    <s v="GUILLERMO NARVAEZ"/>
    <s v="MAXIMO CAMPOS"/>
    <m/>
    <s v="Infraestructura"/>
    <s v="Pie"/>
    <s v="Contusión"/>
    <s v="Golpeado contra"/>
    <s v="COLABORADOR SUFRE CONTUSION EN PIE IZQUIERDO POR GOLPE CONTRA ESTRUCTURA METALICA AL ENCONTRARSE PESADNO BOLSAS DE PRODUCTO EN EL AREA DE CALIBRADO"/>
    <s v="ACCION"/>
    <s v="SI"/>
    <s v="SI"/>
    <s v="NICOLAS GOMEZ"/>
    <s v="WLADIMIR CALDERON "/>
  </r>
  <r>
    <n v="2023"/>
    <s v="JUNIO"/>
    <s v="EL PAICO"/>
    <s v="LOYOLA CARVAJAL"/>
    <s v="NATALIA"/>
    <s v="FEMENINO"/>
    <s v="18623311-5"/>
    <d v="2022-05-24T00:00:00"/>
    <n v="12"/>
    <d v="2023-06-21T00:00:00"/>
    <s v="INTERMEDIO"/>
    <s v="N/A"/>
    <s v="N/A"/>
    <s v="N/A"/>
    <n v="0"/>
    <s v="STP"/>
    <s v="N/A"/>
    <s v="N/A"/>
    <s v="FRIGORIFICO"/>
    <s v="CAMARA"/>
    <s v="OPERADOR DE MAQUINA"/>
    <s v="CAMARA"/>
    <s v="N/A"/>
    <s v="MAÑANA"/>
    <d v="1899-12-30T07:00:00"/>
    <s v="MIERCOLES"/>
    <s v="SEMANA 25"/>
    <m/>
    <m/>
    <s v="FRANCISCO QUEZADA"/>
    <s v="ALEJANDRO TORRES"/>
    <n v="29"/>
    <s v="Materia Prima"/>
    <s v="Manos / dedos"/>
    <s v="Contusión"/>
    <s v="Golpeado por"/>
    <s v="COLABORADORA SUFRE CONTUSION EN DEDO ANULAR SUPERIOR IZQUIERDO AL SEL GOLPEADA POR BLOQUE EN TUNEL DE CAMARA "/>
    <s v="ACCION"/>
    <s v="SI"/>
    <s v="NO"/>
    <s v="NICOLAS GOMEZ"/>
    <s v="WLADIMIR CALDERON "/>
  </r>
  <r>
    <n v="2023"/>
    <s v="JUNIO"/>
    <s v="EL PAICO"/>
    <s v="HUINAO CARTAGENA"/>
    <s v="MANUEL"/>
    <s v="MASCULINO"/>
    <s v="15403657-1"/>
    <d v="2022-11-04T00:00:00"/>
    <n v="7"/>
    <d v="2023-06-14T00:00:00"/>
    <s v="INTERMEDIO"/>
    <d v="2023-06-14T00:00:00"/>
    <d v="2023-06-14T00:00:00"/>
    <d v="2023-06-20T00:00:00"/>
    <n v="0"/>
    <s v="STP"/>
    <s v="N/A"/>
    <s v="N/A"/>
    <s v="IQF Y CALIBRADO"/>
    <s v="IQF CALIBRADO C"/>
    <s v="OPERARIO"/>
    <s v="PASILLO PRINCIPAL"/>
    <s v="N/A"/>
    <s v="TARDE"/>
    <d v="1899-12-30T22:10:00"/>
    <s v="MIERCOLES"/>
    <s v="SEMANA 24"/>
    <n v="15564"/>
    <s v="NC-100-23"/>
    <s v="GUILLERMO NARVAEZ"/>
    <s v="MAXIMO CAMPOS"/>
    <n v="40"/>
    <s v="Superficies de transito"/>
    <s v="Pierna"/>
    <s v="Contusión"/>
    <s v="Caida de mismo nivel"/>
    <s v="COLABORADOR SUFRE CONTUSION EN RODILLA DERECHA POR CAIDA MISMO EN PASILLO PRINCIPAL"/>
    <s v="CONDICION"/>
    <s v="NO"/>
    <s v="SI"/>
    <s v="NICOLAS GOMEZ"/>
    <s v="MICHELLE SANCHEZ"/>
  </r>
  <r>
    <n v="2023"/>
    <s v="JUNIO"/>
    <s v="EL PAICO"/>
    <s v="GONZALEZ MENDOZA"/>
    <s v="CINTIA"/>
    <s v="FEMENINO"/>
    <s v="15778582-6"/>
    <d v="2017-04-03T00:00:00"/>
    <n v="74"/>
    <d v="2023-06-09T00:00:00"/>
    <s v="ANTIGUO"/>
    <d v="2023-06-09T00:00:00"/>
    <s v="N/A"/>
    <d v="2023-06-12T00:00:00"/>
    <n v="2"/>
    <s v="CTP"/>
    <s v="LGF"/>
    <s v="LGF4"/>
    <s v="P. POSTERIORES"/>
    <s v="REPORTE DE CAJAS"/>
    <s v="OPERARIO"/>
    <s v="REPORTE DE CAJAS"/>
    <s v="EQUIPO PARA MOVIMIENTO DE CARGA (GRUAS O TRANSPALETAS)"/>
    <s v="MAÑANA"/>
    <d v="1899-12-30T14:00:00"/>
    <s v="VIERNES"/>
    <s v="SEMANA 23"/>
    <n v="15745"/>
    <s v="NC-73-23"/>
    <s v="OCTAVIO MUÑOZ"/>
    <s v="ALEJANDRO SALAS"/>
    <n v="39"/>
    <s v="Equipos Transporte de carga"/>
    <s v="Multiples"/>
    <s v="Contusión"/>
    <s v="Golpeado por"/>
    <s v="TRABAJADORA DE P.POSTERIORES SUFRE CONTUSION EN COSTADO DERECHO DEL CUERPO POR APLASTAMIENTO OCACIONADO POR EQUIPO DE MOVIMIENTO DE CARGA, EL HECHO OCURRIO EN REPORTE DE CAJAS AL MOMENTO DE QUE LA TRABAJADORA SE ENCONTRARA VALIDANDO PALLETS FRENTE A ROMANA"/>
    <s v="ACCION"/>
    <s v="SI"/>
    <s v="SI"/>
    <s v="ALAN CARRASCO"/>
    <s v="MICHELLE SANCHEZ"/>
  </r>
  <r>
    <n v="2023"/>
    <s v="JUNIO"/>
    <s v="EL PAICO"/>
    <s v="ESCOBAR HUANCA"/>
    <s v="MIRIAM "/>
    <s v="FEMENINO"/>
    <s v="27616460-0"/>
    <d v="2022-05-16T00:00:00"/>
    <n v="12"/>
    <d v="2023-06-06T00:00:00"/>
    <s v="INTERMEDIO"/>
    <s v="NA"/>
    <s v="N/A"/>
    <s v="N/A"/>
    <n v="0"/>
    <s v="STP"/>
    <s v="N/A"/>
    <s v="N/A"/>
    <s v="SSGG"/>
    <s v="ASEO ZONA LIMPIA"/>
    <s v="OPERARIO"/>
    <s v="EMBALAJE Y ETIQUEDADO"/>
    <s v="N/A"/>
    <s v="NOCHE"/>
    <d v="1899-12-30T03:15:00"/>
    <s v="MARTES"/>
    <s v="SEMANA 23"/>
    <m/>
    <m/>
    <s v="CARLOS JIMENEZ"/>
    <s v="PATRICIO PALACIOS"/>
    <n v="25"/>
    <s v="Producto quimico"/>
    <s v="Lesion Interna"/>
    <s v="Otros"/>
    <s v="Exposicion a humo y gases"/>
    <s v="COLABORADORA SUFRE DISNEA POR EXPOSICIÓN A PRODUCTO QUIMICO CUANDO SE ENCONTRABA REALIZANDO ASEO PRE-OPERACIONAL EN SALA."/>
    <s v="ACCION"/>
    <s v="SI"/>
    <s v="NO"/>
    <s v="NICOLAS GOMEZ"/>
    <s v="MICHELLE SANCHEZ"/>
  </r>
  <r>
    <n v="2023"/>
    <s v="JUNIO"/>
    <s v="EL PAICO"/>
    <s v="CESPEDES SANZANA"/>
    <s v="DANIEL"/>
    <s v="MASCULINO"/>
    <s v="20345018-4"/>
    <d v="2023-05-22T00:00:00"/>
    <n v="0"/>
    <d v="2023-06-07T00:00:00"/>
    <s v="NUEVO"/>
    <s v="N/A"/>
    <s v="N/A"/>
    <s v="N/A"/>
    <n v="0"/>
    <s v="STP"/>
    <s v="N/A"/>
    <s v="N/A"/>
    <s v="FAENACION"/>
    <s v="EVISERADO"/>
    <s v="OPERARIO"/>
    <s v="MAQUINA DE CONTRES"/>
    <s v="MAQUINA DE CONTRES"/>
    <s v="TARDE"/>
    <d v="1899-12-30T08:40:00"/>
    <s v="MIERCOLES"/>
    <s v="SEMANA 23"/>
    <m/>
    <m/>
    <s v="NICOLAS MOYANO"/>
    <s v="CESAR CARTAGENA"/>
    <n v="23"/>
    <s v="Maquinarias"/>
    <s v="Manos / dedos"/>
    <s v="Herida cortante"/>
    <s v="Otros"/>
    <s v="COLABORADOR SUFRE HERIDA EN DEDO MEÑIQUE DE MANO DERECHA POR RODILLO DE CINTA CUANRO SE ENCONTRABA LIANDO CONTRES"/>
    <s v="ACCION"/>
    <s v="SI"/>
    <s v="NO"/>
    <s v="ALAN CARRASCO"/>
    <s v="CARLOS CARTAGENA"/>
  </r>
  <r>
    <n v="2023"/>
    <s v="JUNIO"/>
    <s v="EL PAICO"/>
    <s v="CATALAN ALVARADO"/>
    <s v="ERIK "/>
    <s v="MASCULINO"/>
    <s v="20871209-8"/>
    <d v="2022-10-24T00:00:00"/>
    <n v="7"/>
    <d v="2023-06-14T00:00:00"/>
    <s v="INTERMEDIO"/>
    <s v="N/A"/>
    <s v="N/A"/>
    <s v="N/A"/>
    <n v="0"/>
    <s v="STP"/>
    <s v="N/A"/>
    <s v="N/A"/>
    <s v="IQF Y CALIBRADO"/>
    <s v="IQF CALIBRADO C"/>
    <s v="OPERARIO"/>
    <s v="IQF"/>
    <s v="N/A"/>
    <s v="NOCHE"/>
    <d v="1899-12-30T04:45:00"/>
    <s v="MIERCOLES"/>
    <s v="SEMANA 24"/>
    <m/>
    <m/>
    <s v="GUILLERMO NARVAEZ"/>
    <s v="MAXIMO CAMPOS"/>
    <n v="21"/>
    <s v="Materiales"/>
    <s v="Manos / dedos"/>
    <s v="Contusión"/>
    <s v="Golpeado por"/>
    <s v="COLABORADOR SUFRE CONTUSION EN DEDO MEDIO SUPERIOR DERECHO CON OBJETO METALICO AL ESTAR REALIZANDO CAMBIO DE ROLLO EN MAQUINA SUPER CONTAC"/>
    <s v="ACCION"/>
    <s v="SI"/>
    <s v="NO"/>
    <s v="NICOLAS GOMEZ"/>
    <s v="WLADIMIR CALDERON "/>
  </r>
  <r>
    <n v="2023"/>
    <s v="JUNIO"/>
    <s v="EL PAICO"/>
    <s v="BARRERA PEREZ"/>
    <s v="KATHERINE"/>
    <s v="FEMENINO"/>
    <s v="18454833-K"/>
    <d v="2015-01-12T00:00:00"/>
    <n v="100"/>
    <d v="2023-05-31T00:00:00"/>
    <s v="ANTIGUO"/>
    <s v="N/A"/>
    <s v="N/A"/>
    <s v="N/A"/>
    <n v="0"/>
    <s v="STP"/>
    <s v="N/A"/>
    <s v="N/A"/>
    <s v="TROZADO DE POLLO"/>
    <s v="DESHUESADO"/>
    <s v="OPERARIO"/>
    <s v="DESHUESADO DE POLLO"/>
    <s v="N/A"/>
    <s v="TARDE"/>
    <d v="1899-12-30T00:20:00"/>
    <s v="JUEVES"/>
    <s v="SEMANA 23"/>
    <m/>
    <m/>
    <s v="DANIEL GARRIDO"/>
    <s v="JOSE CARVALLO"/>
    <n v="30"/>
    <s v="Superficies de transito"/>
    <s v="Pierna"/>
    <s v="Contusión"/>
    <s v="Caida de mismo nivel"/>
    <s v="COLABORADORA SUFRE CONTUSION EN RODILLA POR CAIDA MISMO NIVEL POR PRESENCIA DE RESTOS CARNICOS EN SUPERFICIE DE TRABAJO"/>
    <s v="CONDICION"/>
    <s v="NO"/>
    <s v="NO"/>
    <s v="ALAN CARRASCO"/>
    <s v="CHISTIAN JHONS"/>
  </r>
  <r>
    <n v="2023"/>
    <s v="JULIO"/>
    <s v="EL PAICO"/>
    <s v="VILLEGAS VALECILLOS"/>
    <s v="ALI"/>
    <s v="MASCULINO"/>
    <s v="27131221-0"/>
    <d v="2023-07-10T00:00:00"/>
    <n v="0"/>
    <d v="2023-07-19T00:00:00"/>
    <s v="NUEVO"/>
    <d v="2023-07-19T00:00:00"/>
    <d v="2023-07-23T00:00:00"/>
    <s v="N/A"/>
    <n v="5"/>
    <s v="CTP"/>
    <s v="N/A"/>
    <s v="N/A"/>
    <s v="TROZADO DE POLLO"/>
    <s v="DESHUESADO"/>
    <s v="OPERARIO"/>
    <s v="LINEA HQ "/>
    <s v="N/A"/>
    <s v="MAÑANA"/>
    <d v="1899-12-30T07:30:00"/>
    <s v="MIERCOLES"/>
    <s v="SEMANA 29"/>
    <n v="15810"/>
    <s v="NC-88-23"/>
    <s v="DANIEL GARRIDO"/>
    <s v="JOSE CARVALLO"/>
    <n v="35"/>
    <s v="Infraestructura"/>
    <s v="Manos / dedos"/>
    <s v="Herida cortante"/>
    <s v="Contacto con cuerpo punzante"/>
    <s v="COLABORDOR SUFRE HERIDA CORTANTE EN MANO DERECHA, POR CONTACTO CON OBJETO PUNZANTE, CUANDO SE ENCONTRBA REALIZANDO LABOR DE COLGADO DE PECHUGA EN LINEA DE MAQUINA HQ NORTE"/>
    <s v="ACCION"/>
    <s v="SI"/>
    <s v="SI"/>
    <s v="NICOLAS GOMEZ"/>
    <s v="MICHELLE SANCHEZ"/>
  </r>
  <r>
    <n v="2023"/>
    <s v="JULIO"/>
    <s v="EL PAICO"/>
    <s v="VELASQUEZ RUZ"/>
    <s v="LUIS"/>
    <s v="MASCULINO"/>
    <s v="9841139-9"/>
    <d v="2022-03-04T00:00:00"/>
    <n v="16"/>
    <d v="2023-07-21T00:00:00"/>
    <s v="INTERMEDIO"/>
    <s v="N/A"/>
    <s v="N/A"/>
    <s v="N/A"/>
    <n v="0"/>
    <s v="STP"/>
    <s v="N/A"/>
    <s v="N/A"/>
    <s v="P. POSTERIORES"/>
    <s v="PULPA"/>
    <s v="OPERARIO"/>
    <s v="PULPA"/>
    <s v="N/A"/>
    <s v="TARDE"/>
    <d v="1899-12-30T21:00:00"/>
    <s v="VIERNES"/>
    <s v="SEMANA 29"/>
    <m/>
    <m/>
    <s v="OCTAVIO MUÑOZ"/>
    <s v="CRISTIAN VELIZ"/>
    <n v="60"/>
    <s v="Materia Prima"/>
    <s v="Rostro"/>
    <s v="Herida cortante"/>
    <s v="Golpeado por"/>
    <s v="COLABORADOR SUFRE CONTUSION CON HERIDA CORTANTE EN NARIZ AL SER GOLPEADO POR BANDEJA PLASTICA CON PRODUCTO CONGELADO "/>
    <s v="ACCION"/>
    <s v="SI"/>
    <s v="NO"/>
    <s v="ALAN CARRASCO"/>
    <s v="CARLOS CARTAGENA"/>
  </r>
  <r>
    <n v="2023"/>
    <s v="JULIO"/>
    <s v="EL PAICO"/>
    <s v="TORRES ALVARADO"/>
    <s v="BRYAN"/>
    <s v="MASCULINO"/>
    <s v="20722483-9"/>
    <d v="2021-04-12T00:00:00"/>
    <n v="27"/>
    <d v="2023-07-22T00:00:00"/>
    <s v="ANTIGUO"/>
    <d v="2023-07-22T00:00:00"/>
    <m/>
    <s v="N/A"/>
    <n v="108"/>
    <s v="CTP"/>
    <s v="N/A"/>
    <s v="N/A"/>
    <s v="FAENACION"/>
    <s v="EVISCERADO PAVO"/>
    <s v="OPERARIO"/>
    <s v="EVISCERADO PAVO"/>
    <s v="N/A"/>
    <s v="MAÑANA"/>
    <d v="1899-12-30T10:00:00"/>
    <s v="SABADO"/>
    <s v="SEMANA 29"/>
    <n v="15818"/>
    <s v="NC-90-23"/>
    <s v="NICOLAS MOYANO"/>
    <s v="ERWIN GATICA"/>
    <n v="21"/>
    <s v="Cuchillo"/>
    <s v="Manos / dedos"/>
    <s v="Herida cortante"/>
    <s v="Contacto con cuerpo cortante"/>
    <s v="COLABORADOR SUFRE HERIDA CORTANTE EN DEDO PULGAR DERECHO AL REALIZAR UNA MALA MANIOBRA CUANDO IBA A TOMAR SU CHUCHILLO PARA COMENZAR SUS LABORES."/>
    <s v="ACCION"/>
    <s v="SI"/>
    <s v="SI"/>
    <s v="NICOLAS GOMEZ"/>
    <s v="CHISTIAN JHONS"/>
  </r>
  <r>
    <n v="2023"/>
    <s v="JULIO"/>
    <s v="EL PAICO"/>
    <s v="ROSALES MALDONADO"/>
    <s v="JESUS"/>
    <s v="MASCULINO"/>
    <s v="17225475-6"/>
    <d v="2022-09-22T00:00:00"/>
    <n v="9"/>
    <d v="2023-07-17T00:00:00"/>
    <s v="INTERMEDIO"/>
    <s v="N/A"/>
    <s v="N/A"/>
    <s v="N/A"/>
    <n v="0"/>
    <s v="STP"/>
    <s v="N/A"/>
    <s v="N/A"/>
    <s v="MANTENCION"/>
    <s v="MANTENCION"/>
    <s v="ELECTRICO"/>
    <s v="CHILLER DE AGUA "/>
    <s v="N/A"/>
    <s v="NOCHE"/>
    <d v="1899-12-30T05:00:00"/>
    <s v="LUNES"/>
    <s v="SEMANA 29"/>
    <m/>
    <m/>
    <s v="VICTOR GOMEZ"/>
    <s v="CLAUDIO CID"/>
    <n v="34"/>
    <s v="Materiales"/>
    <s v="Ojos"/>
    <s v="Conjuntivitis"/>
    <s v="Proyeccion de particulas"/>
    <s v="COLABORADOR SUFRE MOLESTIA OCULAR POR PROYECCION DE PARTICULAS LIQUIDAS (OXIDO), CUANDO SE ENCONTRABA REALIZANDO LIMPIEZA DE CABLES DE ENCHUFE QUE SE ENCONTRABA CON OXIDO, EN CHILLER DE AGUA."/>
    <s v="ACCION"/>
    <s v="SI"/>
    <s v="NO"/>
    <s v="ALAN CARRASCO"/>
    <s v="CARLOS CARTAGENA"/>
  </r>
  <r>
    <n v="2023"/>
    <s v="JULIO"/>
    <s v="EL PAICO"/>
    <s v="ROJAS ZAMORA"/>
    <s v="DIEGO"/>
    <s v="MASCULINO"/>
    <s v="19848137-8"/>
    <d v="2023-07-10T00:00:00"/>
    <n v="0"/>
    <d v="2023-07-27T00:00:00"/>
    <s v="NUEVO"/>
    <d v="2023-07-27T00:00:00"/>
    <d v="2023-07-27T00:00:00"/>
    <s v="N/A"/>
    <n v="0"/>
    <s v="STP"/>
    <s v="N/A"/>
    <s v="N/A"/>
    <s v="P. POSTERIORES"/>
    <s v="PULPA"/>
    <s v="OPERARIO"/>
    <s v="PULPA"/>
    <s v="EQUIPO PARA MOVIMIENTO DE CARGA (GRUAS O TRANSPALETAS)"/>
    <s v="MAÑANA"/>
    <d v="1899-12-30T11:30:00"/>
    <s v="JUEVES"/>
    <s v="SEMANA 30"/>
    <n v="15826"/>
    <s v="NC-110-23"/>
    <s v="OCTAVIO MUÑOZ"/>
    <s v="MARCOS QUINTANILLA"/>
    <n v="25"/>
    <s v="Superficies de transito"/>
    <s v="Brazo"/>
    <s v="Torsión"/>
    <s v="Caida de mismo nivel"/>
    <s v="COLABORADOR SUFRE TORSION EN MUÑECA IZQUIERDA POR CAIDA MISMO NIVEL PRODUCTO DE PISO RESBALADIZO CUANDO SE ENCONTRABA MOVILIZANDO BINS CON PRODUCTO CON TRANSPALETA MANUAL."/>
    <s v="CONDICION"/>
    <s v="SI"/>
    <s v="SI"/>
    <s v="NICOLAS GOMEZ"/>
    <s v="MICHELLE SANCHEZ"/>
  </r>
  <r>
    <n v="2023"/>
    <s v="JULIO"/>
    <s v="EL PAICO"/>
    <s v="ROA SILVA"/>
    <s v="CRISTIAN"/>
    <s v="MASCULINO"/>
    <s v="18960494-7"/>
    <d v="2020-06-02T00:00:00"/>
    <n v="36"/>
    <d v="2023-06-30T00:00:00"/>
    <s v="ANTIGUO"/>
    <d v="2023-07-03T00:00:00"/>
    <d v="2023-07-05T00:00:00"/>
    <s v="N/A"/>
    <n v="3"/>
    <s v="CTP"/>
    <s v="N/A"/>
    <s v="N/A"/>
    <s v="IQF Y CALIBRADO"/>
    <s v="CALIBRADO"/>
    <s v="OPERARIO"/>
    <s v="CALIBRADO"/>
    <s v="N/A"/>
    <s v="MAÑANA"/>
    <d v="1899-12-30T16:30:00"/>
    <s v="VIERNES"/>
    <s v="SEMANA 26"/>
    <n v="15785"/>
    <s v="NC-103-23"/>
    <s v="GUILLERMO NARVAEZ"/>
    <s v="MIGUEL HENRRIQUEZ"/>
    <n v="28"/>
    <s v="Otros"/>
    <s v="Pierna"/>
    <s v="Contusión"/>
    <s v="Golpeado por"/>
    <s v="COLABORADOR SUFRE CONTUSION EN RODILLA IZQUIERDA AL RECIBIR GOLPE EN CAMPEONATO DE FUTBOL DENTRO DE LA EMPRESA"/>
    <s v="ACCION"/>
    <s v="NO"/>
    <s v="SI"/>
    <s v="ALAN CARRASCO"/>
    <s v="CHISTIAN JHONS"/>
  </r>
  <r>
    <n v="2023"/>
    <s v="JULIO"/>
    <s v="EL PAICO"/>
    <s v="PULGAR ORTIZ"/>
    <s v="DAGOBERTO"/>
    <s v="MASCULINO"/>
    <s v="20879659-3"/>
    <d v="2023-03-20T00:00:00"/>
    <n v="3"/>
    <d v="2023-07-11T00:00:00"/>
    <s v="NUEVO"/>
    <d v="2023-07-12T00:00:00"/>
    <d v="2023-07-14T00:00:00"/>
    <s v="N/A"/>
    <n v="3"/>
    <s v="CTP"/>
    <s v="N/A"/>
    <s v="N/A"/>
    <s v="TROZADO DE POLLO"/>
    <s v="DESHUESADO"/>
    <s v="OPERARIO"/>
    <s v="TAMBORES LINEA HQ"/>
    <s v="N/A"/>
    <s v="TARDE"/>
    <d v="1899-12-30T20:00:00"/>
    <s v="MARTES"/>
    <s v="SEMANA 28"/>
    <n v="15798"/>
    <s v="NC-86-23"/>
    <s v="DANIEL GARRIDO"/>
    <s v="JOSE CARVALLO"/>
    <n v="21"/>
    <s v="Superficies de trabajo"/>
    <s v="Pierna"/>
    <s v="Contusión"/>
    <s v="Caida de mismo nivel"/>
    <s v="COLABORADOR SUFRE CONTUSION EN EXTREMIDAD INFERIOR DERECHA POR CAIDA MISMO NIVEL, CUANDO SE DIRIGIA A TAMBORES DE LINEA HQ."/>
    <s v="CONDICION"/>
    <s v="SI"/>
    <s v="SI"/>
    <s v="NICOLAS GOMEZ"/>
    <s v="MICHELLE SANCHEZ"/>
  </r>
  <r>
    <n v="2023"/>
    <s v="JULIO"/>
    <s v="EL PAICO"/>
    <s v="PEREZ OVALLE"/>
    <s v="ALEJANDRA"/>
    <s v="FEMENINO"/>
    <s v="14321846-5"/>
    <d v="2013-07-10T00:00:00"/>
    <n v="120"/>
    <d v="2023-07-28T00:00:00"/>
    <s v="ANTIGUO"/>
    <s v="N/A"/>
    <s v="N/A"/>
    <s v="N/A"/>
    <n v="0"/>
    <s v="STP"/>
    <s v="N/A"/>
    <s v="N/A"/>
    <s v="P. POSTERIORES"/>
    <s v="REPORTE DE CAJAS"/>
    <s v="OPERARIO"/>
    <s v="REPORTE DE CAJAS"/>
    <s v="N/A"/>
    <s v="TARDE"/>
    <d v="1899-12-30T21:40:00"/>
    <s v="VIERNES"/>
    <s v="SEMANA 30"/>
    <m/>
    <m/>
    <s v="OCTAVIO MUÑOZ"/>
    <s v="ALEJANDRO SALAS"/>
    <n v="47"/>
    <s v="Cajas"/>
    <s v="Brazo"/>
    <s v="Otros"/>
    <s v="Sobreesfuerzo"/>
    <s v="COLABORADORA SUFRE DOLENCIA EN ANTEBRAZO DERECHO AL ESTAR REALIZANDO LABORES CON CAJAS EN LINEA DE EMPAQUE FRESCO "/>
    <s v="ACCION"/>
    <s v="SI"/>
    <s v="NO"/>
    <s v="ALAN CARRASCO"/>
    <s v="WLADIMIR CALDERON "/>
  </r>
  <r>
    <n v="2023"/>
    <s v="JULIO"/>
    <s v="EL PAICO"/>
    <s v="NAVARRO GONZALEZ"/>
    <s v="XIMENA"/>
    <s v="FEMENINO"/>
    <s v="16266713-0"/>
    <d v="2016-12-05T00:00:00"/>
    <n v="79"/>
    <d v="2023-07-26T00:00:00"/>
    <s v="ANTIGUO"/>
    <s v="N/A"/>
    <s v="N/A"/>
    <s v="N/A"/>
    <n v="0"/>
    <s v="STP"/>
    <s v="N/A"/>
    <s v="N/A"/>
    <s v="SSGG"/>
    <s v="ASEO ZONA LIMPIA"/>
    <s v="OPERARIO"/>
    <s v="EMPACADORA DE TRUTOS"/>
    <s v="MAQUINA EMPACADORA DE TRUTOS"/>
    <s v="NOCHE"/>
    <d v="1899-12-30T00:00:00"/>
    <s v="MIERCOLES"/>
    <s v="SEMANA 30"/>
    <m/>
    <m/>
    <s v="CARLOS JIMENEZ"/>
    <s v="PATRICIO PALACIOS"/>
    <n v="38"/>
    <s v="Bandejas"/>
    <s v="Multiples"/>
    <s v="Contusión"/>
    <s v="Golpeado por"/>
    <s v="COLABORADORA SUFRE CONTUSION EN ANTEBRAZO Y DEDO INDICE Y MANO DERECHA AL SER GOLPEADA POR BANDEJA DE MAQUINA EMPACADORA DE TRUTOS CUANDO SE ENCONTRABA SACANDO RESTOS CARNICOS PRESENTES EN DICHA BANDEJA."/>
    <s v="ACCION"/>
    <s v="SI"/>
    <s v="NO"/>
    <s v="ALAN CARRASCO"/>
    <s v="CARLOS CARTAGENA"/>
  </r>
  <r>
    <n v="2023"/>
    <s v="JULIO"/>
    <s v="EL PAICO"/>
    <s v="MIRANDA LOYOLA"/>
    <s v="CAMILA "/>
    <s v="FEMENINO"/>
    <s v="21797530-1"/>
    <d v="2023-03-27T00:00:00"/>
    <n v="3"/>
    <d v="2023-07-05T00:00:00"/>
    <s v="NUEVO"/>
    <d v="2023-07-06T00:00:00"/>
    <d v="2023-07-06T00:00:00"/>
    <s v="N/A"/>
    <n v="0"/>
    <s v="STP"/>
    <s v="N/A"/>
    <s v="N/A"/>
    <s v="FRIGORIFICO"/>
    <s v="CAMARA"/>
    <s v="OPERARIO"/>
    <s v="SALA EMPAQUE TUNEL"/>
    <s v="N/A"/>
    <s v="MAÑANA"/>
    <d v="1899-12-30T09:10:00"/>
    <s v="MIERCOLES"/>
    <s v="SEMANA 27"/>
    <n v="15793"/>
    <s v="NC-109-23"/>
    <s v="FRANCISCO QUEZADA"/>
    <s v="ALEJANDRO TORRES"/>
    <n v="18"/>
    <s v="Cajas"/>
    <s v="Brazo"/>
    <s v="Contusión"/>
    <s v="Golpeado por"/>
    <s v="COLABORAORA SUFRE CONTUSION EN HOMBRO DERECHO AL SER GOLPEADAPOR CAJA CON PRODUCTO CUANDO SE ENCONTRABA BAJANDO CAJAS DE PALLETS EN SALA DE EMPAQUE DE TUNEL"/>
    <s v="ACCION"/>
    <s v="SI "/>
    <s v="SI"/>
    <s v="ALAN CARRASCO"/>
    <s v="CHISTIAN JHONS"/>
  </r>
  <r>
    <n v="2023"/>
    <s v="JULIO"/>
    <s v="EL PAICO"/>
    <s v="LUCERO GUAJARDO"/>
    <s v="BENITO"/>
    <s v="MASCULINO"/>
    <s v="17902888-3"/>
    <d v="2020-03-09T00:00:00"/>
    <n v="40"/>
    <d v="2023-07-10T00:00:00"/>
    <s v="ANTIGUO"/>
    <d v="2023-07-10T00:00:00"/>
    <d v="2023-07-10T00:00:00"/>
    <s v="N/A"/>
    <n v="0"/>
    <s v="STP"/>
    <s v="N/A"/>
    <s v="N/A"/>
    <s v="P. POSTERIORES"/>
    <s v="REPORTE LINEA ISHIDA A"/>
    <s v="OPERARIO"/>
    <s v="CAMARA 202"/>
    <s v="N/A"/>
    <s v="MAÑANA"/>
    <d v="1899-12-30T15:30:00"/>
    <s v="LUNES"/>
    <s v="SEMANA 28"/>
    <n v="15796"/>
    <s v="NC-104-23"/>
    <s v="OCTAVIO MUÑOZ"/>
    <s v="ALEJANDRO SALAS"/>
    <n v="32"/>
    <s v="Pallet"/>
    <s v="Pie"/>
    <s v="Herida cortante"/>
    <s v="Contacto con cuerpo punzante"/>
    <s v="COLABORADOR SUFRE HERIDA PUNZANTE EN PIE DERECHO AL PISAR CLAVO QUE SE ENCONTRABA EN TABLA DE PALLETS. "/>
    <s v="ACCION"/>
    <s v="SI"/>
    <s v="SI"/>
    <s v="NICOLAS GOMEZ"/>
    <s v="CHISTIAN JHONS"/>
  </r>
  <r>
    <n v="2023"/>
    <s v="JULIO"/>
    <s v="EL PAICO"/>
    <s v="LOPEZ TEJERINA"/>
    <s v="ROSMERY"/>
    <s v="FEMENINO"/>
    <s v="22622736-9"/>
    <d v="2020-09-22T00:00:00"/>
    <n v="33"/>
    <d v="2023-07-03T00:00:00"/>
    <s v="ANTIGUO"/>
    <s v="N/A"/>
    <s v="N/A"/>
    <s v="N/A"/>
    <n v="0"/>
    <s v="STP"/>
    <s v="N/A"/>
    <s v="N/A"/>
    <s v="SSGG"/>
    <s v="ASEO OPERACIONAL"/>
    <s v="OPERARIO"/>
    <s v="PASILLO PRINCIPAL"/>
    <s v="N/A"/>
    <s v="TARDE"/>
    <d v="1899-12-30T19:45:00"/>
    <s v="LUNES"/>
    <s v="SEMANA 27"/>
    <m/>
    <m/>
    <s v="CARLOS JIMENES"/>
    <s v="DAVID ROMO"/>
    <n v="54"/>
    <s v="Materiales"/>
    <s v="Brazo"/>
    <s v="Otros"/>
    <s v="Sobreesfuerzo"/>
    <s v="COLABORADORA SUFRE DOLOR EN HOMBRO IZQUIERDO POR MOVIMIENTO AL MAL EJECUTADO CUANDO SE ENCONTRABA SACANDO BOLSAS DE BASURA EN EL PASILLO PRINCIPAL"/>
    <s v="ACCION"/>
    <s v="SI"/>
    <s v="NO"/>
    <s v="ALAN CARRASCO"/>
    <s v="MICHELLE SANCHEZ"/>
  </r>
  <r>
    <n v="2023"/>
    <s v="JULIO"/>
    <s v="EL PAICO"/>
    <s v="ESCOBAR HUANCA"/>
    <s v="MIRIAM "/>
    <s v="FEMENINO"/>
    <s v="27616460-0"/>
    <d v="2022-05-16T00:00:00"/>
    <n v="13"/>
    <d v="2023-07-03T00:00:00"/>
    <s v="INTERMEDIO"/>
    <s v="N/A"/>
    <s v="N/A"/>
    <s v="N/A"/>
    <n v="0"/>
    <s v="STP"/>
    <s v="N/A"/>
    <s v="N/A"/>
    <s v="SSGG"/>
    <s v="ASEO ZONA LIMPIA"/>
    <s v="OPERARIO"/>
    <s v="BAJADA ESCALERA EMBALAJE Y ETIQUETADO"/>
    <s v="N/A"/>
    <s v="NOCHE"/>
    <d v="1899-12-30T03:00:00"/>
    <s v="LUNES"/>
    <s v="SEMANA 27"/>
    <m/>
    <m/>
    <s v="CARLOS JIMENEZ"/>
    <s v="PATRICIO PALACIOS"/>
    <n v="25"/>
    <s v="Infraestructura"/>
    <s v="Pierna"/>
    <s v="Contusión"/>
    <s v="Caida de distinto nivel"/>
    <s v="COLABORADORA SUFRE CONTUSION EN PIERNA DERECHA POR CAIDA DISTINTO NIVEL AL RESBALARSE CUANDO BAJABA ESCALERA EN SALA DE EMBALAJE Y ETIQUETADO MIENTRAS REALIZABA LABORES DE ASEO PREOPERACIONAL"/>
    <s v="CONDICION"/>
    <s v="SI"/>
    <s v="NO"/>
    <s v="NICOLAS GOMEZ"/>
    <s v="CARLOS CARTAGENA"/>
  </r>
  <r>
    <n v="2023"/>
    <s v="JULIO"/>
    <s v="EL PAICO"/>
    <s v="DEVIA JIMENEZ"/>
    <s v="LUIS"/>
    <s v="MASCULINO"/>
    <s v="11280722-5"/>
    <d v="2020-09-22T00:00:00"/>
    <n v="33"/>
    <d v="2023-07-17T00:00:00"/>
    <s v="ANTIGUO"/>
    <s v="N/A"/>
    <s v="N/A"/>
    <s v="N/A"/>
    <n v="0"/>
    <s v="STP"/>
    <s v="N/A"/>
    <s v="N/A"/>
    <s v="SSGG"/>
    <s v="ASEO OPERACIONAL"/>
    <s v="OPERARIO"/>
    <s v="CASINO EMPRESA"/>
    <s v="N/A"/>
    <s v="MAÑANA"/>
    <d v="1899-12-30T08:45:00"/>
    <s v="LUNES"/>
    <s v="SEMANA 29"/>
    <m/>
    <m/>
    <s v="CARLOS JIMENEZ"/>
    <s v="ALVARO ABARCA"/>
    <n v="55"/>
    <s v="Otros"/>
    <s v="Manos / dedos"/>
    <s v="Quemadura"/>
    <s v="Contacto con temperaturas extremas"/>
    <s v="COLABORADOR SUFRE LEVE QUEMADURA EN MANO IZQUIERDA, POR CONTACTO CON AGUA CALIENTE, CUANDO SE ENCONTRABA CERRANDO TAPA DE TERMO EN CASINO QUE DE LA EMPRESA"/>
    <s v="ACCION"/>
    <s v="NO"/>
    <s v="NO"/>
    <s v="ALAN CARRASCO"/>
    <s v="CARLOS CARTAGENA"/>
  </r>
  <r>
    <n v="2023"/>
    <s v="JULIO"/>
    <s v="EL PAICO"/>
    <s v="DARISSANTE"/>
    <s v="WILTHON"/>
    <s v="MASCULINO"/>
    <s v="26281940-K"/>
    <d v="2022-03-07T00:00:00"/>
    <n v="16"/>
    <d v="2023-07-27T00:00:00"/>
    <s v="INTERMEDIO"/>
    <s v="N/A"/>
    <s v="N/A"/>
    <s v="N/A"/>
    <n v="0"/>
    <s v="STP"/>
    <s v="N/A"/>
    <s v="N/A"/>
    <s v="TROZADO DE POLLO"/>
    <s v="DESHUESADO"/>
    <s v="OPERARIO"/>
    <s v="ESCALERA ACCESO PRINCIPAL"/>
    <s v="N/A"/>
    <s v="TARDE"/>
    <d v="1899-12-30T14:35:00"/>
    <s v="JUEVES"/>
    <s v="SEMANA 30"/>
    <m/>
    <m/>
    <s v="DANIEL GARRIDO"/>
    <s v="JOSE CARVALLO"/>
    <n v="41"/>
    <s v="Superficies de transito"/>
    <s v="Brazo"/>
    <s v="Contusión"/>
    <s v="Caida de distinto nivel"/>
    <s v="COLABORADOR SUFRE CONTUSION EN CODO IZQUIERDO POR CAIDA DE DISTINTO  NIVEL CUANDO SE ENCONTRABA BAJANDO ESTALERAS DE ACCESO PRINCIPAL"/>
    <s v="CONDICION"/>
    <s v="NO"/>
    <s v="NO"/>
    <s v="ALAN CARRASCO"/>
    <s v="MICHELLE SANCHEZ"/>
  </r>
  <r>
    <n v="2023"/>
    <s v="JULIO"/>
    <s v="EL PAICO"/>
    <s v="CONTRERAS PERALTA"/>
    <s v="JUAN CARLOS"/>
    <s v="MASCULINO"/>
    <s v="14006777-6"/>
    <d v="2021-09-01T00:00:00"/>
    <n v="22"/>
    <d v="2023-07-04T00:00:00"/>
    <s v="ANTIGUO"/>
    <s v="N/A"/>
    <s v="N/A"/>
    <s v="N/A"/>
    <n v="0"/>
    <s v="STP"/>
    <s v="N/A"/>
    <s v="N/A"/>
    <s v="IQF Y CALIBRADO"/>
    <s v="CALIBRADO"/>
    <s v="OPERARIO"/>
    <s v="CALIBRADO"/>
    <s v="N/A"/>
    <s v="MAÑANA"/>
    <d v="1899-12-30T12:20:00"/>
    <s v="MARTES"/>
    <s v="SEMANA 27"/>
    <m/>
    <m/>
    <s v="GUILLERMO NARVAEZ"/>
    <s v="FERNANDO FUENTEALBA"/>
    <n v="43"/>
    <s v="Cajas"/>
    <s v="Rostro"/>
    <s v="Herida cortante"/>
    <s v="Golpeado por"/>
    <s v="COLABORADOR SUFRE HERIDA CORTANTE EN NARIZ AL SER GOLPEADO POR CAJA DE CARTON VACIA, CUANDO SE ENCONTRABA CARGANDO CAJAS EN EL AREA DE CALIBRADO."/>
    <s v="ACCION"/>
    <s v="SI"/>
    <s v="NO"/>
    <s v="NICOLAS GOMEZ"/>
    <s v="WLADIMIR CALDERON "/>
  </r>
  <r>
    <n v="2023"/>
    <s v="JULIO"/>
    <s v="EL PAICO"/>
    <s v="ATABALES MORALES"/>
    <s v="MANUEL"/>
    <s v="MASCULINO"/>
    <s v="15405907-5"/>
    <d v="2022-07-12T00:00:00"/>
    <n v="12"/>
    <d v="2023-07-19T00:00:00"/>
    <s v="INTERMEDIO"/>
    <d v="2023-07-19T00:00:00"/>
    <d v="2023-07-21T00:00:00"/>
    <s v="N/A"/>
    <n v="3"/>
    <s v="CTP"/>
    <s v="N/A"/>
    <s v="N/A"/>
    <s v="TROZADO DE POLLO"/>
    <s v="DESHUESADO"/>
    <s v="OPERARIO"/>
    <s v="DESHUESADO DE PECEHUGA"/>
    <s v="EQUIPO PARA MOVIMIENTO DE CARGA (GRUAS O TRANSPALETAS)"/>
    <s v="MAÑANA"/>
    <d v="1899-12-30T09:30:00"/>
    <s v="MIERCOLES"/>
    <s v="SEMANA 29"/>
    <n v="15808"/>
    <s v="NC-89-23"/>
    <s v="DANIEL GARRIDO"/>
    <s v="JOSE CARVALLO"/>
    <n v="40"/>
    <s v="Equipos Transporte de carga"/>
    <s v="Pie"/>
    <s v="Contusión"/>
    <s v="Golpeado por"/>
    <s v="COLABORADOR SUFRE CONTUSION EN TOBILLO DE PIE IZQUIERDO AL SER GOLPEADO POR TRANSPALETA MANUAL CUANDO SE ENCONTRABA MOVILIZANDO BINS CON PRODUCTO EN SALA DE DESHUESADO DE PECHUGA."/>
    <s v="CONDICION"/>
    <s v="SI"/>
    <s v="SI"/>
    <s v="NICOLAS GOMEZ"/>
    <s v="MICHELLE SANCHEZ"/>
  </r>
  <r>
    <n v="2023"/>
    <s v="AGOSTO"/>
    <s v="EL PAICO"/>
    <s v="VILCHES SOTO"/>
    <s v="VIVIANA"/>
    <s v="FEMENINO"/>
    <s v="16789251-5"/>
    <d v="2015-09-28T00:00:00"/>
    <n v="94"/>
    <d v="2023-08-11T00:00:00"/>
    <s v="ANTIGUO"/>
    <d v="2023-08-11T00:00:00"/>
    <d v="2023-08-11T00:00:00"/>
    <s v="N/A"/>
    <n v="0"/>
    <s v="STP"/>
    <s v="N/A"/>
    <s v="N/A"/>
    <s v="TROZADO DE POLLO"/>
    <s v="DESHUESADO"/>
    <s v="OPERARIO"/>
    <s v="MAQUINA HQ SUR"/>
    <s v="MAQUINA HQ SUR"/>
    <s v="MAÑANA"/>
    <d v="1902-07-18T00:00:00"/>
    <s v="VIERNES"/>
    <s v="SEMANA 32"/>
    <n v="15857"/>
    <s v="NC-117-23"/>
    <s v="DANIEL GARRIDO"/>
    <s v="JORGE MEZA"/>
    <n v="35"/>
    <s v="Maquinarias"/>
    <s v="Manos / dedos"/>
    <s v="Herida cortante"/>
    <s v="Contacto con cuerpo cortante"/>
    <s v="COLABORADORA SUFRE HERIDA   CORTANTE EN DEDO ANULAR DERECHO POR CONTACTO CON OBJETO CORTANTE, ESTRUCTURA FIJA DE MAQUINA HQ SUR, EL EVENTO SE PRODUJO CUANDO SE ENCONTRABA REALIZANDO RETIRO DE PRODUCTO CARNICO DESDE LÍNEA DE COLGADO"/>
    <s v="CONDICION"/>
    <s v="S"/>
    <s v="SI"/>
    <s v="NICOLAS GOMEZ"/>
    <s v="CHISTIAN JHONS"/>
  </r>
  <r>
    <n v="2023"/>
    <s v="AGOSTO"/>
    <s v="EL PAICO"/>
    <s v="SILVA OSORIO"/>
    <s v="IRIS"/>
    <s v="FEMENINO"/>
    <s v="13772577-0"/>
    <d v="2013-08-07T00:00:00"/>
    <n v="120"/>
    <d v="2023-08-18T00:00:00"/>
    <s v="ANTIGUO"/>
    <s v="N/A"/>
    <s v="N/A"/>
    <s v="N/A"/>
    <n v="0"/>
    <s v="STP"/>
    <s v="N/A"/>
    <s v="N/A"/>
    <s v="TROZADO DE POLLO"/>
    <s v="TROZADO AUTOMATICO"/>
    <s v="OPERARIO"/>
    <s v="TROZADO DE POLLO"/>
    <s v="N/A"/>
    <s v="MAÑANA"/>
    <d v="1899-12-30T11:45:00"/>
    <s v="VIERNES"/>
    <s v="SEMANA 33"/>
    <m/>
    <m/>
    <s v="DANIEL GARRIDO"/>
    <s v="ARNALDO VERA"/>
    <n v="43"/>
    <s v="Bins"/>
    <s v="Manos / dedos"/>
    <s v="Atrición"/>
    <s v="Golpeado por"/>
    <s v="COLABORADORA SUFRE CONTUSION EN DEDO PULGAR DERECHO POR ATRISIÓN AL SUFRIR GOLP ENTRE DOS BINS CON PRODUCTO CUANDO SE ENCONTRABA EMPUJANDO BINS QUE IBA A SER RETIRADO"/>
    <s v="ACCION"/>
    <s v="SI"/>
    <s v="NO"/>
    <s v="ALAN CARRASCO "/>
    <s v="CARLOS CARTAGENA"/>
  </r>
  <r>
    <n v="2023"/>
    <s v="AGOSTO"/>
    <s v="EL PAICO"/>
    <s v="SAAVEDA ADASME"/>
    <s v="FRANCISCO"/>
    <s v="MASCULINO"/>
    <s v="16576716-0"/>
    <d v="2018-05-14T00:00:00"/>
    <n v="63"/>
    <d v="2023-08-24T00:00:00"/>
    <s v="ANTIGUO"/>
    <s v="N/A"/>
    <s v="N/A"/>
    <s v="N/A"/>
    <n v="0"/>
    <s v="STP"/>
    <s v="N/A"/>
    <s v="N/A"/>
    <s v="TROZADO DE POLLO"/>
    <s v="TROZADO AUTOMATICO"/>
    <s v="OPERARIO"/>
    <s v="SALA DE PULPA"/>
    <s v="EQUIPO PARA MOVIMIENTO DE CARGA (GRUAS O TRANSPALETAS)"/>
    <s v="TARDE"/>
    <d v="1899-12-30T23:15:00"/>
    <s v="JUEVES"/>
    <s v="SEMANA 34"/>
    <m/>
    <m/>
    <s v="DANIEL GARRIDO"/>
    <s v="ARNALDO VERA"/>
    <n v="36"/>
    <s v="Equipos Transporte de carga"/>
    <s v="Manos / dedos"/>
    <s v="Contusión"/>
    <s v="Golpeado contra"/>
    <s v="COLABORADOR SUFRE CONTUSION EN MANO DERECHA AL SER GOLPEADO CONTRA MANURIO DE TRANSPALETA ELECTRICA CUANDO SE ENCONTRABA EMPUJANDO DOS BINS CON PRODUCTO EN SALA DE PULPA "/>
    <s v="ACCION"/>
    <s v="SI"/>
    <s v="NO"/>
    <s v="NICOLAS GOMEZ"/>
    <s v="MICHELLE SANCHEZ"/>
  </r>
  <r>
    <n v="2023"/>
    <s v="AGOSTO"/>
    <s v="EL PAICO"/>
    <s v="RODRIGUEZ MONJES"/>
    <s v="ANYIBEL"/>
    <s v="FEMENINO"/>
    <s v="27091787-9"/>
    <d v="2020-03-16T00:00:00"/>
    <n v="41"/>
    <d v="2023-08-25T00:00:00"/>
    <s v="ANTIGUO"/>
    <s v="N/A"/>
    <s v="N/A"/>
    <s v="N/A"/>
    <n v="0"/>
    <s v="STP"/>
    <s v="N/A"/>
    <s v="N/A"/>
    <s v="TROZADO DE POLLO"/>
    <s v="DESHUESADO"/>
    <s v="OPERARIO"/>
    <s v="PASILLO IQF 4"/>
    <s v="N/A"/>
    <s v="MAÑANA"/>
    <d v="1899-12-30T10:45:00"/>
    <s v="VIERNES"/>
    <s v="SEMANA 34"/>
    <m/>
    <m/>
    <s v="DANIEL GARRIDO"/>
    <s v="JORGE MEZA"/>
    <n v="32"/>
    <s v="Superficies de transito"/>
    <s v="Pierna"/>
    <s v="Contusión"/>
    <s v="Caida de mismo nivel"/>
    <s v="COLABORADORA SUFRE CONTUSION EN RODILLA IZQUIERDA PRODUCTO DE CAÍDA MISMO NIVEL EN PASILLO DE IQF 4, POR PRESENCIA DE HIELO Y RESTOS CÁRNICOS EN SUPERFICIE DE TRANSITO"/>
    <s v="ACCION"/>
    <s v="SI"/>
    <s v="NO"/>
    <s v="NICOLAS GOMEZ"/>
    <s v="WLADIMIR CALDERON "/>
  </r>
  <r>
    <n v="2023"/>
    <s v="AGOSTO"/>
    <s v="EL PAICO"/>
    <s v="REYES AHUE"/>
    <s v="KELY"/>
    <s v="FEMENINO"/>
    <s v="25370294-K"/>
    <d v="2022-02-07T00:00:00"/>
    <n v="17"/>
    <d v="2023-08-01T00:00:00"/>
    <s v="INTERMEDIO"/>
    <s v="N/A"/>
    <s v="N/A"/>
    <s v="N/A"/>
    <n v="0"/>
    <s v="STP"/>
    <s v="N/A"/>
    <s v="N/A"/>
    <s v="FRIGORIFICO"/>
    <s v="CAMARA"/>
    <s v="OPERARIO"/>
    <s v="SALA DESPACHO CONGELADO"/>
    <s v="N/A"/>
    <s v="TARDE"/>
    <d v="1899-12-30T16:05:00"/>
    <s v="MARTES"/>
    <s v="SEMANA 31"/>
    <m/>
    <m/>
    <s v="FRANCISCO QUEZADA"/>
    <s v="MAURICIO HERNANDEZ"/>
    <n v="36"/>
    <s v="Superficies de trabajo"/>
    <s v="Espalda"/>
    <s v="Otros"/>
    <s v="Otros"/>
    <s v="COLABORADORA SUFRE DOLOR LUMBAR POR RESBALARSE AL PISAR UN TROZO DE HIELO CUANDO SE ENCONTRABAJA ARMANDO PALLETS EN SALA SALA DE DESPACHO CONGELADO"/>
    <s v="CONDICION"/>
    <s v="SI"/>
    <s v="NO"/>
    <s v="ALAN CARRASCO"/>
    <s v="WLADIMIR CALDERON "/>
  </r>
  <r>
    <n v="2023"/>
    <s v="AGOSTO"/>
    <s v="EL PAICO"/>
    <s v="RAMOS VARGAS"/>
    <s v="IRMA"/>
    <s v="FEMENINO"/>
    <s v="10259422-3"/>
    <d v="2023-06-01T00:00:00"/>
    <n v="2"/>
    <d v="2023-08-29T00:00:00"/>
    <s v="NUEVO"/>
    <s v="N/A"/>
    <s v="N/A"/>
    <s v="N/A"/>
    <n v="0"/>
    <s v="STP"/>
    <s v="LGF"/>
    <s v="LGF8"/>
    <s v="IQF Y CALIBRADO"/>
    <s v="CALIBRADO"/>
    <s v="OPERARIO"/>
    <s v="SELLADO DE PRODUCTO"/>
    <s v="SELADORA DE BOLSA"/>
    <s v="INTERMEDIO"/>
    <d v="1899-12-30T18:10:00"/>
    <s v="MARTES"/>
    <s v="SEMANA 35"/>
    <m/>
    <m/>
    <s v="OCTAVIO MUÑOZ"/>
    <s v="FRANCISCO SANCHEZ"/>
    <n v="57"/>
    <s v="Maquinarias"/>
    <s v="Manos / dedos"/>
    <s v="Quemadura"/>
    <s v="Contacto con temperaturas extremas"/>
    <s v="COLABORADORA SUFRE QUEMADURA EN DEDO INDICE, MEDIO Y ANULAR DE MANO IZQUIERDA POR CONTACT CON MAQUINA SELLADORA DE BOLSAS EN EL AREA DE CALIBRADO"/>
    <s v="ACCION"/>
    <s v="SI"/>
    <s v="NO"/>
    <s v="ALAN CARARSCO"/>
    <s v="WLADIMIR CALDERON "/>
  </r>
  <r>
    <n v="2023"/>
    <s v="AGOSTO"/>
    <s v="EL PAICO"/>
    <s v="POSTIGO VILCHES"/>
    <s v="BRYAN"/>
    <s v="MASCULINO"/>
    <s v="19501136-2"/>
    <d v="2023-07-17T00:00:00"/>
    <n v="1"/>
    <d v="2023-08-30T00:00:00"/>
    <s v="NUEVO"/>
    <s v="N/A"/>
    <s v="N/A"/>
    <s v="N/A"/>
    <n v="0"/>
    <s v="STP"/>
    <s v="N/A"/>
    <s v="N/A"/>
    <s v="TROZADO DE POLLO"/>
    <s v="DESHUESADO"/>
    <s v="OPERARIO"/>
    <s v="BAÑO DE HOMBRES"/>
    <s v="N/A"/>
    <s v="TARDE"/>
    <d v="1899-12-30T18:45:00"/>
    <s v="MIERCOLES"/>
    <s v="SEMANA 35"/>
    <m/>
    <m/>
    <s v="DANIEL GARRIDO"/>
    <s v="IGNACIO MEZA"/>
    <n v="26"/>
    <s v="Superficies de transito"/>
    <s v="Manos / dedos"/>
    <s v="Contusión"/>
    <s v="Caida de mismo nivel"/>
    <s v="COLABORADOR SUFRE CONTUSION EN MUÑECA DERECHA POR GOLPE CONTRA MESON DE ENTREGA DE CIPER EN BAÑO DE HOMBRES"/>
    <s v="ACCION"/>
    <s v="NO"/>
    <s v="NO"/>
    <s v="ALAN CARRASCO"/>
    <s v="CARLOS CARTAGENA"/>
  </r>
  <r>
    <n v="2023"/>
    <s v="AGOSTO"/>
    <s v="EL PAICO"/>
    <s v="MORALES NUÑEZ"/>
    <s v="JAIME"/>
    <s v="MASCULINO"/>
    <s v="10410053-8"/>
    <d v="1999-08-14T00:00:00"/>
    <n v="287"/>
    <d v="2023-08-09T00:00:00"/>
    <s v="ANTIGUO"/>
    <d v="2023-08-10T00:00:00"/>
    <d v="2023-08-11T00:00:00"/>
    <s v="N/A"/>
    <n v="1"/>
    <s v="CTP"/>
    <s v="N/A"/>
    <s v="N/A"/>
    <s v="FRIGORIFICO"/>
    <s v="CAMARA"/>
    <s v="ENCARGADO DE LINEA"/>
    <s v="PASILLO D"/>
    <s v="N/A"/>
    <s v="MAÑANA"/>
    <d v="1899-12-30T10:20:00"/>
    <s v="MIERCOLES"/>
    <s v="SEMANA 32"/>
    <n v="15854"/>
    <s v="NC-115-23"/>
    <s v="FRANCISCO QUEZADA"/>
    <s v="MAURICIO HERNANDEZ"/>
    <n v="57"/>
    <s v="Superficies de transito"/>
    <s v="Multiples"/>
    <s v="Contusión"/>
    <s v="Caida de mismo nivel"/>
    <s v="COLABORADOR SUFRE CONTUSIÓN EN MANO Y BRAZO IZQUIERDO POR CAIDA MISMO NIVEL PRODUCTO DE PRESENCIA DE RESTOS CARNICOS EN SUPERFICIE DE TRANSITO, CUANDO SE ENCONTRABA TRANSITANDO POR PASILLLO D"/>
    <s v="CONDICION"/>
    <s v="SI"/>
    <s v="SI"/>
    <s v="ALAN CARRASCO"/>
    <s v="WLADIMIR CALDERON "/>
  </r>
  <r>
    <n v="2023"/>
    <s v="AGOSTO"/>
    <s v="EL PAICO"/>
    <s v="MELLADO DELGADO"/>
    <s v="NICOLAS"/>
    <s v="MASCULINO"/>
    <s v="18960555-2"/>
    <d v="2022-04-04T00:00:00"/>
    <n v="16"/>
    <d v="2023-08-21T00:00:00"/>
    <s v="INTERMEDIO"/>
    <s v="N/A"/>
    <s v="N/A"/>
    <s v="N/A"/>
    <n v="0"/>
    <s v="STP"/>
    <s v="N/A"/>
    <s v="N/A"/>
    <s v="TROZADO DE POLLO"/>
    <s v="TROZADO AUTOMATICO"/>
    <s v="TECNICO"/>
    <s v="TROZADO DE POLLO AUTOMATICO"/>
    <s v="N/A"/>
    <s v="MAÑANA"/>
    <d v="1899-12-30T10:40:00"/>
    <s v="LUNES"/>
    <s v="SEMANA 34"/>
    <m/>
    <m/>
    <s v="DANIEL GARRIDO"/>
    <s v="RAMIRO RAMIREZ"/>
    <n v="28"/>
    <s v="Superficies de trabajo"/>
    <s v="Manos / dedos"/>
    <s v="Contusión"/>
    <s v="Caida de mismo nivel"/>
    <s v="COLABORADOR SUFRE CONTUSION EN MANO DERECHA POR CAIDA MISMO NIVEL PRODUCTO DE RESTOR CARNICOS EN SUPERFICIE DDE TRABAJO CUANDO SE ENCONTRABA AJUSTANDO MODULO PROCESADOR DE TRUTO"/>
    <s v="CONDICION"/>
    <s v="SI"/>
    <s v="NO"/>
    <s v="ALAN CARRASCO"/>
    <s v="WLADIMIR CALDERON "/>
  </r>
  <r>
    <n v="2023"/>
    <s v="AGOSTO"/>
    <s v="EL PAICO"/>
    <s v="MAULEN MAULEN "/>
    <s v="ALDO"/>
    <s v="MASCULINO"/>
    <s v="20136430-2"/>
    <d v="2019-10-07T00:00:00"/>
    <n v="45"/>
    <d v="2023-08-01T00:00:00"/>
    <s v="ANTIGUO"/>
    <d v="2023-08-01T00:00:00"/>
    <s v="N/A"/>
    <s v="N/A"/>
    <n v="0"/>
    <s v="STP"/>
    <s v="N/A"/>
    <s v="N/A"/>
    <s v="IQF Y CALIBRADO"/>
    <s v="IQF/CALIBRADO A"/>
    <s v="OPERARIO"/>
    <s v="SALA METALQUIMIA"/>
    <s v="N/A"/>
    <s v="NOCHE"/>
    <d v="1899-12-30T01:00:00"/>
    <s v="MARTES"/>
    <s v="SEMANA 31"/>
    <n v="15833"/>
    <s v="NC-111-23"/>
    <s v="OCTAVIO MUÑOZ"/>
    <s v="FRANCISCO SANCHEZ"/>
    <n v="24"/>
    <s v="Producto quimico"/>
    <s v="Ojos"/>
    <s v="Conjuntivitis"/>
    <s v="Proyeccion de particulas"/>
    <s v="COLABORADOR SUFRE MOLESTIA OCULAR POR PROYECCION DE PARTILUCAS LIQUIDAS (AGUA MAS TEC-500) CUANDO SE ENCONTRABA REALIZANDO ASEO A MAQUINA METALQUIMIA"/>
    <s v="ACCION"/>
    <s v="SI"/>
    <s v="SI"/>
    <s v="ALAN CARRASCO"/>
    <s v="SANDRA LAYANA"/>
  </r>
  <r>
    <n v="2023"/>
    <s v="AGOSTO"/>
    <s v="EL PAICO"/>
    <s v="MAULEN MALDONADO"/>
    <s v="JOSE"/>
    <s v="MASCULINO"/>
    <s v="7327744-2"/>
    <d v="2007-08-01T00:00:00"/>
    <n v="192"/>
    <d v="2023-08-09T00:00:00"/>
    <s v="ANTIGUO"/>
    <d v="2023-08-10T00:00:00"/>
    <d v="2023-08-14T00:00:00"/>
    <s v="N/A"/>
    <n v="5"/>
    <s v="CTP"/>
    <s v="N/A"/>
    <s v="N/A"/>
    <s v="SSGG"/>
    <s v="ASEO"/>
    <s v="OPERARIO"/>
    <s v="CAMARIN "/>
    <s v="N/A"/>
    <s v="MAÑANA"/>
    <d v="1899-12-30T05:45:00"/>
    <s v="MIERCOLES"/>
    <s v="SEMANA 32"/>
    <n v="15853"/>
    <s v="NC-116-23"/>
    <s v="CARLOS JIMENEZ"/>
    <s v="ROLANDO EMIHUEQUE"/>
    <n v="70"/>
    <s v="Infraestructura"/>
    <s v="Manos / dedos"/>
    <s v="Herida cortante"/>
    <s v="Golpeado contra"/>
    <s v="COLABORADOR SUFRE HERIDA CORTANTE EN DEDO INDICE SUPERIOR IZQUIERDO AL GOLPEARSE CONTRA SILLA QUE SE ENCONTRABA EN CAMARIN, CUANDO SE ENCONTRABA CAMBIANDO SU VESTIMENTA PARA INGREZAR A TRABAJAR "/>
    <s v="CONDICION"/>
    <s v="NO"/>
    <s v="SI"/>
    <s v="ALAN CARRASCO"/>
    <s v="WLADIMIR CALDERON "/>
  </r>
  <r>
    <n v="2023"/>
    <s v="AGOSTO"/>
    <s v="EL PAICO"/>
    <s v="MALAGUEÑO VILLALOBOS"/>
    <s v="PABLO"/>
    <s v="MASCULINO"/>
    <s v="18957463-0"/>
    <d v="2023-03-13T00:00:00"/>
    <n v="4"/>
    <d v="2023-08-02T00:00:00"/>
    <s v="NUEVO"/>
    <s v="N/A"/>
    <s v="N/A"/>
    <s v="N/A"/>
    <n v="0"/>
    <s v="STP"/>
    <s v="LGF"/>
    <s v="LGF8"/>
    <s v="MANTENCION"/>
    <s v="MANTENCION"/>
    <s v="ELECTRICO"/>
    <s v="SALA BOMBA PERACETICO"/>
    <s v="N/A"/>
    <s v="TARDE"/>
    <d v="1899-12-30T18:30:00"/>
    <s v="MIERCOLES"/>
    <s v="SEMANA 31"/>
    <m/>
    <m/>
    <s v="VICTOR GOMEZ"/>
    <s v="DANIEL GONZALEZ"/>
    <n v="28"/>
    <s v="Producto quimico"/>
    <s v="Pierna"/>
    <s v="Quemadura"/>
    <s v="Contacto con sustancias toxicas"/>
    <s v="COLABORADOR SUFRE QUEMADURA EN ZONA GEMERAL DE PIERNA IZQUIERDA POR CONTACTO CON PRODUCTO QUÍMICO,CUANDO SE ENCONTRABA REALIZANDO LABORES DE REVISION DE BOMBA DE PERACETICO"/>
    <s v="ACCION"/>
    <s v="SI"/>
    <s v="NO"/>
    <s v="ALAN CARRASCO"/>
    <s v="CARLOS CARTAGENA"/>
  </r>
  <r>
    <n v="2023"/>
    <s v="AGOSTO"/>
    <s v="EL PAICO"/>
    <s v="LUCERO ROJAS"/>
    <s v="SEBASTIAN"/>
    <s v="MASCULINO"/>
    <s v="18628732-0"/>
    <d v="2023-06-19T00:00:00"/>
    <n v="2"/>
    <d v="2023-08-21T00:00:00"/>
    <s v="NUEVO"/>
    <s v="N/A"/>
    <s v="N/A"/>
    <s v="N/A"/>
    <n v="0"/>
    <s v="STP"/>
    <s v="N/A"/>
    <s v="N/A"/>
    <s v="P. POSTERIORES"/>
    <s v="REPORTE DE CAJAS"/>
    <s v="OPERARIO"/>
    <s v="PULPA"/>
    <s v="N/A"/>
    <s v="MAÑANA"/>
    <d v="1899-12-30T12:40:00"/>
    <s v="LUNES"/>
    <s v="SEMANA 34"/>
    <m/>
    <m/>
    <s v="OCTAVIO MUÑOZ"/>
    <s v="EDGAR HERNANDEZ"/>
    <n v="29"/>
    <s v="Bins"/>
    <s v="Pie"/>
    <s v="Contusión"/>
    <s v="Golpeado por"/>
    <s v="COLABORADOR SUFRE CONTUSION EN DEDO PULGAR INFERIOR DERECHO AL SER GOLPEADO POR BINS QUE ERA LLEVADO POR COMPAÑERO DE TRABAJO"/>
    <s v="ACCION"/>
    <s v="SI"/>
    <s v="NO"/>
    <s v="ALAN CARRASCO"/>
    <s v="WLADIMIR CALDERON "/>
  </r>
  <r>
    <n v="2023"/>
    <s v="AGOSTO"/>
    <s v="EL PAICO"/>
    <s v="IBARRA"/>
    <s v="JOSE"/>
    <s v="MASCULINO"/>
    <s v="11170619-0"/>
    <d v="2022-11-04T00:00:00"/>
    <n v="9"/>
    <d v="2023-08-22T00:00:00"/>
    <s v="INTERMEDIO"/>
    <s v="N/A"/>
    <s v="N/A"/>
    <s v="N/A"/>
    <n v="0"/>
    <s v="STP"/>
    <s v="N/A"/>
    <s v="N/A"/>
    <s v="FAENACION"/>
    <s v="CALIBRADO PAVOS"/>
    <s v="OPERARIO"/>
    <s v="EVISCERADO"/>
    <s v="N/A"/>
    <s v="TARDE"/>
    <d v="1899-12-30T17:10:00"/>
    <s v="MARTES"/>
    <s v="SEMAN 34"/>
    <m/>
    <m/>
    <s v="NICOLAS MOYANO"/>
    <s v="FRANCISCO CASTRO"/>
    <n v="59"/>
    <s v="Materia Prima"/>
    <s v="Ojos"/>
    <s v="Conjuntivitis"/>
    <s v="Proyeccion de particulas"/>
    <s v="COLABORADOR SUFRE MOLESTIA OCULAR POR PROYECCION DE PARTICULAS EN OJO IZQUIERDO CUANDO DE ENCONTRABA SACANDO VICESAR QUE ESTABAN ENRREDADAS"/>
    <s v="ACCION"/>
    <s v="SI"/>
    <s v="NO"/>
    <s v="NICOLAS GOMEZ"/>
    <s v="CARLOS CARTAGENA"/>
  </r>
  <r>
    <n v="2023"/>
    <s v="AGOSTO"/>
    <s v="EL PAICO"/>
    <s v="HERNANDEZ DIAZ"/>
    <s v="SERGIO"/>
    <s v="MASCULINO"/>
    <s v="19212501-4"/>
    <d v="2023-07-10T00:00:00"/>
    <n v="0"/>
    <d v="2023-08-07T00:00:00"/>
    <s v="NUEVO"/>
    <s v="N/A"/>
    <s v="N/A"/>
    <s v="N/A"/>
    <n v="0"/>
    <s v="STP"/>
    <s v="N/A"/>
    <s v="N/A"/>
    <s v="TROZADO DE POLLO"/>
    <s v="AUTOMATICO"/>
    <s v="OPERARIO"/>
    <s v="COLAGADO DE POLLO"/>
    <s v="N/A"/>
    <s v="TARDE"/>
    <d v="1899-12-30T19:00:00"/>
    <s v="LUNES"/>
    <s v="SEMANA 32"/>
    <m/>
    <m/>
    <s v="DANIEL GARRIDO"/>
    <s v="ARNALDO VERA"/>
    <n v="27"/>
    <s v="Materia Prima"/>
    <s v="Espalda"/>
    <s v="Otros"/>
    <s v="Sobreesfuerzo"/>
    <s v="COLABORADOR SUFRE DOLENCIA EN ESPALDA POR MOVIMIENTO REPETITIVO AL REALIZAR LABOR DE GOLGADO DE PRODUCTO EN TROZADO DE POLLO AUTOMATICO"/>
    <s v="ACCION"/>
    <s v="SI"/>
    <s v="NO"/>
    <s v="NICOLAS GOMEZ"/>
    <s v="WLADIMIR CALDERON "/>
  </r>
  <r>
    <n v="2023"/>
    <s v="AGOSTO"/>
    <s v="EL PAICO"/>
    <s v="GUERRA CABRERA"/>
    <s v="JORGE"/>
    <s v="MASCULINO"/>
    <s v="17987132-7"/>
    <d v="2010-04-23T00:00:00"/>
    <n v="160"/>
    <d v="2023-08-30T00:00:00"/>
    <s v="ANTIGUO"/>
    <d v="2023-08-30T00:00:00"/>
    <d v="2023-08-31T00:00:00"/>
    <s v="N/A"/>
    <n v="13"/>
    <s v="CTP"/>
    <s v="N/A"/>
    <s v="N/A"/>
    <s v="TROZADO DE POLLO"/>
    <s v="DESHUESADO"/>
    <s v="OPERARIO"/>
    <s v="AFUERA DE PORTERIA"/>
    <s v="N/A"/>
    <s v="MAÑANA"/>
    <d v="1899-12-30T06:00:00"/>
    <s v="MIERCOLES"/>
    <s v="SEMANA 35"/>
    <n v="15892"/>
    <s v="NC-127-23"/>
    <s v="DANIEL GARRIDO"/>
    <s v="JOSE CARVALLO"/>
    <n v="31"/>
    <s v="Vehículos"/>
    <s v="Pie"/>
    <s v="Torsión"/>
    <s v="Caida de distinto nivel"/>
    <s v="COLABORADOR SUFRE TORSION EN PIE DERECHO POR CAIDA DISTINTO NIVEL CUANDO SE ECONTRABA BAJANDO DE FURGON DE TRANSPORTE"/>
    <s v="ACCION"/>
    <s v="NO"/>
    <s v="SI"/>
    <s v="NICOLAS GOMEZ"/>
    <s v="CARLOS CARTAGENA"/>
  </r>
  <r>
    <n v="2023"/>
    <s v="AGOSTO"/>
    <s v="EL PAICO"/>
    <s v="GONZALEZ FERNANDEZ"/>
    <s v="DENISSE"/>
    <s v="FEMENINO"/>
    <s v="15542013-8"/>
    <d v="2019-07-01T00:00:00"/>
    <n v="49"/>
    <d v="2023-08-29T00:00:00"/>
    <s v="ANTIGUO"/>
    <s v="N/A"/>
    <s v="N/A"/>
    <s v="N/A"/>
    <n v="0"/>
    <s v="STP"/>
    <s v="N/A"/>
    <s v="N/A"/>
    <s v="CAMARA 208"/>
    <s v="ROMANA PULPAS"/>
    <s v="ROMANERO"/>
    <s v="ROMANA DE PULPAS"/>
    <s v="N/A"/>
    <s v="MAÑANA "/>
    <d v="1899-12-30T05:40:00"/>
    <s v="MARTES"/>
    <s v="SEMANA 35"/>
    <m/>
    <m/>
    <s v="LUIS ESPEJO"/>
    <s v="YESENIA VALDÉS"/>
    <n v="40"/>
    <s v="Materia Prima"/>
    <s v="Ojos"/>
    <s v="Conjuntivitis"/>
    <s v="Proyeccion de particulas"/>
    <s v="COLABORA SUFRE  MOLESTIA OCULAR EN OJO DERECHOPOR PROYECCIÓN DE PARTICULAS LIQUIDAS CUANDO SE ENCONTRABA ORDENANDO SU PUESTO DE TRABAJO PARA COMENZAR EL TURNO"/>
    <s v="ACCION"/>
    <s v="SI"/>
    <s v="NO"/>
    <s v="NICOLAS GOMEZ"/>
    <s v="WLADIMIR CALDERON "/>
  </r>
  <r>
    <n v="2023"/>
    <s v="AGOSTO"/>
    <s v="EL PAICO"/>
    <s v="GOMEZ FARIAS"/>
    <s v="VICTOR"/>
    <s v="MASCULINO"/>
    <s v="16341630-1"/>
    <d v="2004-09-13T00:00:00"/>
    <n v="226"/>
    <d v="2023-07-21T00:00:00"/>
    <s v="ANTIGUO"/>
    <d v="2023-08-21T00:00:00"/>
    <d v="2023-08-21T00:00:00"/>
    <s v="N/A"/>
    <n v="0"/>
    <s v="STP"/>
    <s v="N/A"/>
    <s v="N/A"/>
    <s v="MANTENCION"/>
    <s v="MANTENIMIENTO"/>
    <s v="JEFE DE MANTENCION"/>
    <s v="CHILLER DE AIRE"/>
    <s v="N/A"/>
    <s v="MAÑANA"/>
    <d v="1899-12-30T19:00:00"/>
    <s v="VIERNES"/>
    <s v="SEMANA 29"/>
    <n v="15878"/>
    <s v="NC-124-23"/>
    <s v="VICTOR GOMEZ"/>
    <s v="VICTOR GOMEZ"/>
    <n v="37"/>
    <s v="Superficies de transito"/>
    <s v="Brazo"/>
    <s v="Contusión"/>
    <s v="Caida de mismo nivel"/>
    <s v="COLABORADOR SUFRE CONTUSIÓN EN CODO IZQUIERDO POR CAIDA MISMO NIVEL PRODUCTO DE HIELO PRESENTE EN SUPERFCIE DE TRANSITO EN EL SECTOR DE CHILER DE AIRE "/>
    <s v="CONDICION"/>
    <s v="SI"/>
    <s v="SI"/>
    <s v="ALAN CARRASCO"/>
    <s v="N/A"/>
  </r>
  <r>
    <n v="2023"/>
    <s v="AGOSTO"/>
    <s v="EL PAICO"/>
    <s v="CONTRERAS PERALTA"/>
    <s v="JUAN "/>
    <s v="MASCULINO"/>
    <s v="14006777-6"/>
    <d v="2021-09-01T00:00:00"/>
    <n v="23"/>
    <d v="2023-08-21T00:00:00"/>
    <s v="ANTIGUO"/>
    <s v="N/A"/>
    <s v="N/A"/>
    <s v="N/A"/>
    <n v="0"/>
    <s v="STP"/>
    <s v="N/A"/>
    <s v="N/A"/>
    <s v="IQF Y CALIBRADO"/>
    <s v="DROPPOINT"/>
    <s v="OPERARIO"/>
    <s v="LINEA DROPPOINT"/>
    <s v="N/A"/>
    <s v="TARDE"/>
    <d v="1899-12-30T18:25:00"/>
    <s v="LUNES"/>
    <s v="SEMANA 34"/>
    <m/>
    <m/>
    <s v="OCTAVIO MUÑOZ"/>
    <s v="FERNANDO FUENTEALBA"/>
    <n v="43"/>
    <s v="Infraestructura"/>
    <s v="Rostro"/>
    <s v="Herida cortante"/>
    <s v="Golpeado contra"/>
    <s v="COLABORADOR SUFRE HERIDA SUPERFICIAL EN ROSTRO AL SER GOLPEADO CONTRA LATA DE ESTRUCTURA DE MAQUINA DROPPOINT CUANDO SE ENCONTRABA SACANDO UN ATASCO DE CAJAS "/>
    <s v="ACCION"/>
    <s v="SI"/>
    <s v="NO"/>
    <s v="NICOLAS GOMEZ"/>
    <s v="WLADIMIR CALDERON "/>
  </r>
  <r>
    <n v="2023"/>
    <s v="AGOSTO"/>
    <s v="EL PAICO"/>
    <s v="CID ARAOS"/>
    <s v="CLAUDIO"/>
    <s v="MASCULINO"/>
    <s v="19212600-2"/>
    <d v="2017-10-23T00:00:00"/>
    <n v="69"/>
    <d v="2023-08-22T00:00:00"/>
    <s v="ANTIGUO"/>
    <d v="2023-08-22T00:00:00"/>
    <d v="2023-08-22T00:00:00"/>
    <s v="N/A"/>
    <n v="0"/>
    <s v="STP"/>
    <s v="N/A"/>
    <s v="N/A"/>
    <s v="MANTENCION"/>
    <s v="MANTENIMIENTO"/>
    <s v="COORDINADOR"/>
    <s v="RECEPCIÓN DE POLLO"/>
    <s v="N/A"/>
    <s v="MAÑANA"/>
    <d v="1899-12-30T13:50:00"/>
    <s v="MARTES"/>
    <s v="SEMANA 34"/>
    <n v="15877"/>
    <s v="NC-123-23"/>
    <s v="VICTOR GOMEZ"/>
    <s v="EMANUEL MELLADO"/>
    <n v="27"/>
    <s v="Infraestructura"/>
    <s v="Espalda"/>
    <s v="Herida cortante"/>
    <s v="Contacto con cuerpo cortante"/>
    <s v="COLABORADOR SUFRE HERIDA CORTANTE EN ZONA LUMBAR AL TENER CONTACTO CON PERFIL DE ESTRUCTURA METALICA AL PASAR POR BAJO DE CINTA TRANSPORTADORA."/>
    <s v="ACCION"/>
    <s v="SI"/>
    <s v="SI"/>
    <s v="ALAN CARRASCO"/>
    <s v="CARLOS CARTAGENA"/>
  </r>
  <r>
    <n v="2023"/>
    <s v="AGOSTO"/>
    <s v="EL PAICO"/>
    <s v="CARVAJAL CEPEDA "/>
    <s v="MICHEL HERNAN"/>
    <s v="MASCULINO"/>
    <s v="17081441-K"/>
    <d v="2017-08-01T00:00:00"/>
    <n v="72"/>
    <d v="2023-08-08T00:00:00"/>
    <s v="ANTIGUO"/>
    <d v="2023-08-08T00:00:00"/>
    <d v="2023-08-13T00:00:00"/>
    <d v="2023-08-14T00:00:00"/>
    <n v="11"/>
    <s v="CTP"/>
    <s v="LGF"/>
    <s v="LGF2"/>
    <s v="MANTENCION"/>
    <s v="MANTENIMIENTO"/>
    <s v="COODINADOR"/>
    <s v="IQF4"/>
    <s v="N/A"/>
    <s v="MAÑANA"/>
    <d v="1899-12-30T14:45:00"/>
    <s v="MARTES"/>
    <s v="SEMANA 32"/>
    <n v="15847"/>
    <s v="NC-113-24"/>
    <s v="VICTOR GOMEZ"/>
    <s v="NICOLAS ROJAS"/>
    <n v="35"/>
    <s v="Maquinarias"/>
    <s v="Manos / dedos"/>
    <s v="Atrición"/>
    <s v="Atrapamiento"/>
    <s v="COLABORADOR SUFRE HERIDA CORTANTE POR ATRAPAMIENTO EN DEDO MEDIO DERECHO, CUANDO SE ENCONTRABA REALIZANDO INSPECCION EN INYECTORA CFS650 EN EL IQF 4"/>
    <s v="ACCION"/>
    <s v="SI"/>
    <s v="SI"/>
    <s v="ALAN CARRASCO"/>
    <s v="MICHELLE SANCHEZ"/>
  </r>
  <r>
    <n v="2023"/>
    <s v="AGOSTO"/>
    <s v="EL PAICO"/>
    <s v="CARANCIO NUÑEZ"/>
    <s v="CRISTIAN "/>
    <s v="MASCULINO"/>
    <s v="13247799-K"/>
    <d v="2023-06-01T00:00:00"/>
    <n v="2"/>
    <d v="2023-08-23T00:00:00"/>
    <s v="NUEVO"/>
    <s v="N/A"/>
    <s v="N/A"/>
    <s v="N/A"/>
    <n v="0"/>
    <s v="STP"/>
    <s v="N/A"/>
    <s v="N/A"/>
    <s v="IQF Y CALIBRADO"/>
    <s v="IQF CALIBRADO C"/>
    <s v="OPERARIO"/>
    <s v="SALA DE PROCESO"/>
    <s v="N/A"/>
    <s v="INTERMEDIO"/>
    <d v="1899-12-30T16:30:00"/>
    <s v="MIERCOLES"/>
    <s v="SEMANA 34"/>
    <m/>
    <m/>
    <s v="OCTAVIO MUÑOZ"/>
    <s v="MIGUEL HENRRIQUEZ"/>
    <n v="45"/>
    <s v="Bandejas"/>
    <s v="Manos / dedos"/>
    <s v="Torsión"/>
    <s v="Golpeado contra"/>
    <s v="COLABORADOR SUFRE TORSION DE DEDO PULGAR IZQUIERDO AL SER GOLPEADO CONTRA BANDEJA CUANDO SE ENCONTRABA ARMANDO PALLETS CON BLOQUES"/>
    <s v="ACCION"/>
    <s v="SI"/>
    <s v="NO"/>
    <s v="NICOLAS GOMEZ"/>
    <s v="CHISTIAN JHONS"/>
  </r>
  <r>
    <n v="2023"/>
    <s v="AGOSTO"/>
    <s v="EL PAICO"/>
    <s v="CANTILLANA CARDENAS"/>
    <s v="ACLICIO"/>
    <s v="MASCULINO"/>
    <s v="9868246-5"/>
    <d v="2019-06-24T00:00:00"/>
    <n v="49"/>
    <d v="2023-08-14T00:00:00"/>
    <s v="ANTIGUO"/>
    <s v="N/A"/>
    <s v="N/A"/>
    <s v="N/A"/>
    <n v="0"/>
    <s v="STP"/>
    <s v="N/A"/>
    <s v="N/A"/>
    <s v="P. POSTERIORES"/>
    <s v="REPORTE LINEA ISHIDA "/>
    <s v="OPERARIO"/>
    <s v="ANDEN "/>
    <s v="N/A"/>
    <s v="TARDE"/>
    <d v="1899-12-30T21:00:00"/>
    <s v="LUNES"/>
    <s v="SEMANA 33"/>
    <m/>
    <m/>
    <s v="OCTAVIO MUÑOZ"/>
    <s v="EDGAR HERNANDEZ"/>
    <n v="60"/>
    <s v="Materiales"/>
    <s v="Pierna"/>
    <s v="Herida cortante"/>
    <s v="Golpeado por"/>
    <s v="COLABORADOR SUFRE HERIDA ABRASIVA EN PIERNA IZQUIERDA AL SER GOLPEADO POR PALLET QUE CAE DESDE ALTURA CUANDO SE ENCONTRABA MOVILIZANDO ESTOS HACIA ANDEN UTILIZANDO TRANSPALETA MANUAL"/>
    <s v="ACCION"/>
    <s v="SI"/>
    <s v="NO"/>
    <s v="ALAN CARRASCO "/>
    <s v="MICHELLE SANCHEZ"/>
  </r>
  <r>
    <n v="2023"/>
    <s v="AGOSTO"/>
    <s v="EL PAICO"/>
    <s v="CANALES NAVARRO"/>
    <s v="AILIN"/>
    <s v="FEMENINO"/>
    <s v="20424089-2"/>
    <d v="2023-08-01T00:00:00"/>
    <n v="0"/>
    <d v="2023-08-21T00:00:00"/>
    <s v="NUEVO"/>
    <s v="N/A"/>
    <s v="N/A"/>
    <s v="N/A"/>
    <n v="0"/>
    <s v="STP"/>
    <s v="N/A"/>
    <s v="N/A"/>
    <s v="IQF Y CALIBRADO"/>
    <s v="CALIBRADO"/>
    <s v="OPERARIO"/>
    <s v="CALIBRADO"/>
    <s v="N/A"/>
    <s v="MAÑANA"/>
    <d v="1899-12-30T12:50:00"/>
    <s v="LUNES"/>
    <s v="SEMANA 34"/>
    <m/>
    <m/>
    <s v="OCTAVIO MUÑOZ"/>
    <s v="MIGUEL HENRRIQUEZ"/>
    <n v="23"/>
    <s v="Materia Prima"/>
    <s v="Manos / dedos"/>
    <s v="Contusión"/>
    <s v="Golpeado por"/>
    <s v="COLABORADORA DE IQF-CALIBRADO SUFRIO GOLPE EN DEDO ANULAR DE MANO DERECHA POR CAIDA DE UNA PECHIGA CONGELADA DESDE EL CAPACHO UEGO DE QUE ESTE SE LLENARA EN LINEA DE EMPACADO"/>
    <s v="CONDICION"/>
    <s v="SI"/>
    <s v="NO"/>
    <s v="ALAN CARRASCO"/>
    <s v="WLADIMIR CALDERON "/>
  </r>
  <r>
    <n v="2023"/>
    <s v="AGOSTO"/>
    <s v="EL PAICO"/>
    <s v="CAMPOS DIAZ"/>
    <s v="PATRICIO"/>
    <s v="MASCULINO"/>
    <s v="11696586-0"/>
    <d v="2018-10-16T00:00:00"/>
    <n v="57"/>
    <d v="2023-08-04T00:00:00"/>
    <s v="ANTIGUO"/>
    <d v="2023-08-04T00:00:00"/>
    <d v="2023-08-04T00:00:00"/>
    <s v="N/A"/>
    <n v="0"/>
    <s v="STP"/>
    <s v="N/A"/>
    <s v="N/A"/>
    <s v="SSGG"/>
    <s v="ASEO OPERACIONAL"/>
    <s v="ENCARGADO SSGG"/>
    <s v="ECORILES"/>
    <s v="N/A"/>
    <s v="TARDE"/>
    <d v="1899-12-30T13:45:00"/>
    <s v="VIERNES"/>
    <s v="SEMANA 31"/>
    <n v="15840"/>
    <s v="NC-112-23"/>
    <s v="CARLOS JIMENEZ"/>
    <s v="SERGIO AQUEVEQUE"/>
    <n v="52"/>
    <s v="Animales - Insectos"/>
    <s v="Multiples"/>
    <s v="Otros"/>
    <s v="Picadura"/>
    <s v="COLABORADOR SUFRE PICADURA DE AVEJA EN ROSTRO Y ESPALDA CUANDO SE ENCONTRABA MOVIENDO CARRO QUE SE ENCONTRABA SOBRE PASTO EN SECTOR DE ECORILES"/>
    <s v="CONDICION"/>
    <s v="SI"/>
    <s v="SI"/>
    <s v="NICOLAS GOMEZ"/>
    <s v="MICHELLE SANCHEZ"/>
  </r>
  <r>
    <n v="2023"/>
    <s v="AGOSTO"/>
    <s v="EL PAICO"/>
    <s v="CAMACHO CASTELLANOS"/>
    <s v="JESUS"/>
    <s v="MASCULINO"/>
    <s v="27001301-5"/>
    <d v="2021-04-26T00:00:00"/>
    <n v="28"/>
    <d v="2023-09-04T00:00:00"/>
    <s v="ANTIGUO"/>
    <s v="N/A"/>
    <s v="N/A"/>
    <s v="N/A"/>
    <n v="0"/>
    <s v="STP"/>
    <s v="N/A"/>
    <s v="N/A"/>
    <s v="TROZADO DE POLLO"/>
    <s v="DESHUESADO"/>
    <s v="OPERADOR DE MAQUINA"/>
    <s v="MAQUINA HQ NORTE"/>
    <s v="MAQUINA HQ NORTE"/>
    <s v="TARDE"/>
    <d v="1899-12-30T21:57:00"/>
    <s v="LUNES"/>
    <s v="SEMANA 36"/>
    <m/>
    <m/>
    <s v="DANIEL GARRIDO"/>
    <s v="JOSE CARVALLO"/>
    <n v="25"/>
    <s v="Maquinarias"/>
    <s v="Pie"/>
    <s v="Otros"/>
    <s v="Contacto con cuerpo cortante"/>
    <s v="COLABORADOR SUFRE CORTE EN BOTA DE IZQUIERDA CON CUCHILLO DE TENDON PRESENTE EN MAQUINA HQ NORTE AL MOMENTO DE EMPUJAR UN CARRO DE MAQUINA QUE SE ENCONTRABA ATASCADO "/>
    <s v="ACCION"/>
    <s v="SI"/>
    <s v="NO"/>
    <s v="NICOLAS GOMEZ"/>
    <s v="WLADIMIR CALDERON "/>
  </r>
  <r>
    <n v="2023"/>
    <s v="AGOSTO"/>
    <s v="EL PAICO"/>
    <s v="BRAVO SAEZ"/>
    <s v="ALEXIS"/>
    <s v="MASCULINO"/>
    <s v="14006048-8"/>
    <d v="2019-07-29T00:00:00"/>
    <n v="48"/>
    <d v="2023-08-07T00:00:00"/>
    <s v="ANTIGUO"/>
    <s v="N/A"/>
    <s v="N/A"/>
    <s v="N/A"/>
    <n v="0"/>
    <s v="STP"/>
    <s v="N/A"/>
    <s v="N/A"/>
    <s v="P. POSTERIORES"/>
    <s v="PULPAS A"/>
    <s v="MOVILIZADOR"/>
    <s v="DESPACHO FRESCO"/>
    <s v="N/A"/>
    <s v="MAÑANA"/>
    <d v="1899-12-30T12:15:00"/>
    <s v="LUNES"/>
    <s v="SEMANA 32"/>
    <m/>
    <m/>
    <s v="OCTAVIO MUÑOZ"/>
    <s v="MARCOS QUINTANILLA"/>
    <n v="46"/>
    <s v="Equipos Transporte de carga"/>
    <s v="Rostro"/>
    <s v="Herida cortante"/>
    <s v="Golpeado contra"/>
    <s v="COLABORADOR SUFRE HERIDA CORTANTE EN NARIZ AL SER GOLPEADO CONTRA ESTRUCTURA METALICA SOBRESALIENTE DE CARRO METALICO CUANDO SE ENCONTRABA AYUDANDO A GRUERO A SACAR FIERRO DE CARRO QUE SE ENCONTRABA ATASCADO "/>
    <s v="ACCION"/>
    <s v="SI"/>
    <s v="NO"/>
    <s v="NICOLAS GOMEZ"/>
    <s v="CHISTIAN JHONS"/>
  </r>
  <r>
    <n v="2023"/>
    <s v="AGOSTO"/>
    <s v="EL PAICO"/>
    <s v="BENOIT"/>
    <s v="RINEL"/>
    <s v="MASCULINO"/>
    <s v="26237764-4"/>
    <d v="2021-11-03T00:00:00"/>
    <n v="21"/>
    <d v="2023-08-10T00:00:00"/>
    <s v="ANTIGUO"/>
    <s v="N/A"/>
    <s v="N/A"/>
    <s v="N/A"/>
    <n v="0"/>
    <s v="STP"/>
    <s v="N/A"/>
    <s v="N/A"/>
    <s v="TROZADO DE POLLO"/>
    <s v="DESHUESADO"/>
    <s v="OPERARIO"/>
    <s v="DROP POINT"/>
    <s v="EQUIPO PARA MOVIMIENTO DE CARGA (GRUAS O TRANSPALETAS)"/>
    <s v="TARDE"/>
    <d v="1899-12-30T16:45:00"/>
    <s v="JUEVES"/>
    <s v="SEMANA 32"/>
    <m/>
    <m/>
    <s v="DANIEL GARRIDO"/>
    <s v="JOSE CARVALLO"/>
    <n v="37"/>
    <s v="Equipos Transporte de carga"/>
    <s v="Manos / dedos"/>
    <s v="Contusión"/>
    <s v="Golpeado por"/>
    <s v="COLABORADOR SUFRE CONTUSION EN RODILLA DERECHA AL SER GOLPEADO POR EQUIPO DE MOVIMIENTO DE CARGA"/>
    <s v="ACCION"/>
    <s v="SI"/>
    <s v="NO"/>
    <s v="NICOLAS GOMEZ"/>
    <s v="MICHELLE SANCHEZ"/>
  </r>
  <r>
    <n v="2023"/>
    <s v="AGOSTO"/>
    <s v="EL PAICO"/>
    <s v="BALLADARES VILLAVICENCIO"/>
    <s v="JORGE"/>
    <s v="MASCULINO"/>
    <s v="17398280-1"/>
    <d v="2008-01-10T00:00:00"/>
    <n v="187"/>
    <d v="2023-08-23T00:00:00"/>
    <s v="ANTIGUO"/>
    <s v="N/A"/>
    <s v="N/A"/>
    <s v="N/A"/>
    <n v="0"/>
    <s v="STP"/>
    <s v="N/A"/>
    <s v="N/A"/>
    <s v="FRIGORIFICO"/>
    <s v="CAMARA"/>
    <s v="OPERARIO"/>
    <s v="DESPACHO CONGELADO"/>
    <s v="N/A"/>
    <s v="MAÑANA"/>
    <d v="1899-12-30T12:30:00"/>
    <s v="MIERCOLES"/>
    <s v="SEMANA 34"/>
    <m/>
    <m/>
    <s v="FRANCISCO QUEZADA"/>
    <s v="ALEJANDRO TORRES"/>
    <n v="33"/>
    <s v="Cajas"/>
    <s v="Manos / dedos"/>
    <s v="Torsión"/>
    <s v="Golpeado por"/>
    <s v="COLABORADOR SUFRE TORSIÓN EN MUÑECA IZQUIERDA AL SER GOLPEADO POR CAJA QUE CAE DESDE PALLETS CUANDO SE ENCONTRABA REPARANDO CAJAS"/>
    <s v="ACCION"/>
    <s v="SI"/>
    <s v="NO"/>
    <s v="ALAN CARRASCO"/>
    <s v="CHISTIAN JHONS"/>
  </r>
  <r>
    <n v="2023"/>
    <s v="AGOSTO"/>
    <s v="EL PAICO"/>
    <s v="AHUMADA CASTILLO"/>
    <s v="JUAN"/>
    <s v="MASCULINO"/>
    <s v="18096461-4"/>
    <d v="2022-07-12T00:00:00"/>
    <n v="13"/>
    <d v="2023-08-12T00:00:00"/>
    <s v="INTERMEDIO"/>
    <s v="N/A"/>
    <s v="N/A"/>
    <s v="N/A"/>
    <n v="0"/>
    <s v="STP"/>
    <s v="LGF"/>
    <s v="LGF6"/>
    <s v="MANTENCION"/>
    <s v="MANTENIMIENTO"/>
    <s v="ELECTRICO"/>
    <s v="TALLER MANTENIMIENTO"/>
    <s v="N/A"/>
    <s v="TARDE"/>
    <d v="1899-12-30T21:40:00"/>
    <s v="SABADO"/>
    <s v="SEMANA 32"/>
    <m/>
    <m/>
    <s v="VICTOR GOMEZ"/>
    <s v="EMANUEL MELLADO"/>
    <n v="31"/>
    <s v="Equipo electricos"/>
    <s v="Brazo"/>
    <s v="Otros"/>
    <s v="Contacto con electricidad"/>
    <s v="COLABORADOR SUFRE GOLPE DE CORRIENTE EN MANO IZQUIERDA POR CONTACTO CON TABLERO DE PRUEBA"/>
    <s v="ACCION"/>
    <s v="SI"/>
    <s v="NO"/>
    <s v="ALAN CARRASCO"/>
    <s v="MICHELLE SANCHEZ"/>
  </r>
  <r>
    <n v="2023"/>
    <s v="AGOSTO"/>
    <s v="EL PAICO"/>
    <s v="AHUMADA CARRASCO "/>
    <s v="BENJAMIN"/>
    <s v="MASCULINO"/>
    <s v="20783005-4"/>
    <d v="2022-11-11T00:00:00"/>
    <n v="9"/>
    <d v="2023-08-21T00:00:00"/>
    <s v="INTERMEDIO"/>
    <s v="N/A"/>
    <s v="N/A"/>
    <s v="N/A"/>
    <n v="0"/>
    <s v="STP"/>
    <s v="N/A"/>
    <s v="N/A"/>
    <s v="FAENACION"/>
    <s v="EVISCERADO"/>
    <s v="OPERARIO"/>
    <s v="EVISCERADO  "/>
    <s v="N/A"/>
    <s v="TARDE"/>
    <d v="1899-12-30T17:30:00"/>
    <s v="LUNES"/>
    <s v="SEMANA 34"/>
    <m/>
    <m/>
    <s v="NICOLAS MOYANO"/>
    <s v="ERWIN GATICA"/>
    <n v="22"/>
    <s v="Superficies de transito"/>
    <s v="Manos / dedos"/>
    <s v="Torsión"/>
    <s v="Golpeado por"/>
    <s v="COLABORADOR SUFRE TORSION EN MUÑECA DERECHA AL GOLPEARSE CONTRA BARANDA DE ESCALERA QUE SE ENCUENTRA EN SALA DE EVISCERADO"/>
    <s v="ACCION"/>
    <s v="SI"/>
    <s v="NO"/>
    <s v="NICOLAS GOMEZ"/>
    <s v="WLADIMIR CALDERON "/>
  </r>
  <r>
    <n v="2023"/>
    <s v="AGOSTO"/>
    <s v="EL PAICO"/>
    <s v="AGUILERA SERRANO"/>
    <s v="MARITZA"/>
    <s v="FEMENINO"/>
    <s v="12859577-5"/>
    <d v="2016-12-16T00:00:00"/>
    <n v="80"/>
    <d v="2023-08-17T00:00:00"/>
    <s v="ANTIGUO"/>
    <d v="2023-08-17T00:00:00"/>
    <d v="2023-08-17T00:00:00"/>
    <d v="2023-08-23T00:00:00"/>
    <n v="3"/>
    <s v="CTP"/>
    <s v="LGF"/>
    <s v="LGF8"/>
    <s v="P. POSTERIORES"/>
    <s v="REPORTE LINEA ISHIDA"/>
    <s v="OPERARIO"/>
    <s v="REPORTE DE CAJAS"/>
    <s v="MAQUINA MONTEZA"/>
    <s v="MAÑANA"/>
    <d v="1899-12-30T12:20:00"/>
    <s v="JUEVES"/>
    <s v="SEMANA 33"/>
    <n v="15872"/>
    <s v="NC-120-23"/>
    <s v="OCTAVIO MUÑOZ"/>
    <s v="MARCOS QUINTANILLA"/>
    <n v="48"/>
    <s v="Maquinarias"/>
    <s v="Brazo"/>
    <s v="Quemadura"/>
    <s v="Contacto con temperaturas extremas"/>
    <s v="COLABORADORA SUFRE QUEMADURA EN ANTE BRAZO DERECHO POR CONTACTO CON ESTRUCTURA METALICA AL SACAR CAJA DE PRDUCTO QUE SE ENCONTRABA DENTRO DE MAQUINA MONTEZA ESTO DEBIDO AL CORTE DE ENERGIA EN LA PLANTA."/>
    <s v="ACCION"/>
    <s v="SI"/>
    <s v="SI"/>
    <s v="NICOLAS GOMEZ"/>
    <s v="MICHELLE SANCHEZ"/>
  </r>
  <r>
    <n v="2023"/>
    <s v="SEPTIEMBRE"/>
    <s v="EL PAICO"/>
    <s v="SEPULVEDA SOTO"/>
    <s v="NELLY"/>
    <s v="FEMENINO"/>
    <s v="9455533-7"/>
    <d v="2019-12-09T00:00:00"/>
    <n v="45"/>
    <d v="2023-09-12T00:00:00"/>
    <s v="ANTIGUO"/>
    <d v="2023-09-13T00:00:00"/>
    <d v="2023-09-13T00:00:00"/>
    <s v="N/A"/>
    <n v="0"/>
    <s v="STP"/>
    <s v="N/A"/>
    <s v="N/A"/>
    <s v="SSGG"/>
    <s v="ASEO OPERACIONAL"/>
    <s v="OPERARIO"/>
    <s v="IQF 4"/>
    <s v="N/A"/>
    <s v="TARDE"/>
    <d v="1899-12-30T17:20:00"/>
    <s v="MARTES"/>
    <s v="SEMANA 37"/>
    <n v="15917"/>
    <s v="NC-132-23"/>
    <s v="CARLOS JIMENEZ"/>
    <s v="ALVARO ABARCA"/>
    <n v="58"/>
    <s v="Superficies de transito"/>
    <s v="Espalda"/>
    <s v="Contusión"/>
    <s v="Caida de mismo nivel"/>
    <s v="COLABORADORA SUFRE CAIDA MISMO NIVEL CUANDO AL PISAR SUPERFICIE DE TRANSITO QUE SE ENCONTRABA SIN REJA DE PROTECCION DE DESAHUE EN PASILLO DE IQF4"/>
    <s v="CONDICION"/>
    <s v="SI"/>
    <s v="SI"/>
    <s v="ALAN CARRASCO"/>
    <s v="CHISTIAN JHONS"/>
  </r>
  <r>
    <n v="2023"/>
    <s v="SEPTIEMBRE"/>
    <s v="EL PAICO"/>
    <s v="ROSALES MALDONADO"/>
    <s v="JESUS"/>
    <s v="MASCULINO"/>
    <s v="17225475-6"/>
    <d v="2022-09-22T00:00:00"/>
    <n v="11"/>
    <d v="2023-09-11T00:00:00"/>
    <s v="INTERMEDIO"/>
    <s v="N/A"/>
    <s v="N/A"/>
    <s v="N/A"/>
    <n v="0"/>
    <s v="STP"/>
    <s v="N/A"/>
    <s v="N/A"/>
    <s v="MANTENCION"/>
    <s v="MANTENCION"/>
    <s v="ELECTRICO"/>
    <s v="ESACALERA MAQUINA HQ NORTE"/>
    <s v="N/A"/>
    <s v="MAÑANA"/>
    <d v="1899-12-30T14:45:00"/>
    <s v="LUNES"/>
    <s v="SEMANA 37"/>
    <m/>
    <m/>
    <s v="VICTOR GOMEZ"/>
    <s v="CLAUDIO CID"/>
    <n v="34"/>
    <s v="Superficies de transito"/>
    <s v="Pierna"/>
    <s v="Otros"/>
    <s v="Otros"/>
    <s v="COLABORADOR SUFRE DOLOR EN PIERNA IZQUIERDA AL RESBALAR CUANDO SE ENCONTRABA BAJANDO DE ESCALERA EN MAQUINA HQ NORTE"/>
    <s v="CONDICION"/>
    <s v="SI"/>
    <s v="NO"/>
    <s v="NICOLAS GOMEZ"/>
    <s v="CARLOS CARTAGENA"/>
  </r>
  <r>
    <n v="2023"/>
    <s v="SEPTIEMBRE"/>
    <s v="EL PAICO"/>
    <s v="ROJAS QUINTERO"/>
    <s v="MARIO"/>
    <s v="MASCULINO"/>
    <s v="16342271-9"/>
    <d v="2023-07-03T00:00:00"/>
    <n v="2"/>
    <d v="2023-09-14T00:00:00"/>
    <s v="NUEVO"/>
    <s v="N/A"/>
    <s v="N/A"/>
    <s v="N/A"/>
    <n v="0"/>
    <s v="STP"/>
    <s v="N/A"/>
    <s v="N/A"/>
    <s v="FRIGORIFICO"/>
    <s v="CAMARA"/>
    <s v="OPERARIO"/>
    <s v="SALA DE EMPAQUE"/>
    <s v="N/A"/>
    <s v="TARDE"/>
    <d v="1899-12-30T15:00:00"/>
    <s v="JUEVES"/>
    <s v="SEMANA 37"/>
    <m/>
    <m/>
    <s v="FRANCISCO QUEZADA"/>
    <s v="MAURICIO HERNANDEZ"/>
    <n v="43"/>
    <s v="Cajas"/>
    <s v="Espalda"/>
    <s v="Otros"/>
    <s v="Sobreesfuerzo"/>
    <s v="CLABORADOR SUFRE DOLOR EN PARILLA COSTAL DERECHA POR SOBREESFUERZO CUANDO SE ENCONTRABA REARMANDO PALLETS CON CAJAS"/>
    <s v="ACCION"/>
    <s v="SI"/>
    <s v="NO"/>
    <s v="ALAN CARRASCO"/>
    <s v="WLADIMIR CALDERON "/>
  </r>
  <r>
    <n v="2023"/>
    <s v="SEPTIEMBRE"/>
    <s v="EL PAICO"/>
    <s v="RIQUELME ZUÑIGA"/>
    <s v="VICTOR"/>
    <s v="MASCULINO"/>
    <s v="20654845-2"/>
    <d v="2022-02-03T00:00:00"/>
    <n v="19"/>
    <d v="2023-09-12T00:00:00"/>
    <s v="ANTIGUO"/>
    <s v="N/A"/>
    <s v="N/A"/>
    <s v="N/A"/>
    <n v="0"/>
    <s v="STP"/>
    <s v="N/A"/>
    <s v="N/A"/>
    <s v="FRIGORIFICO"/>
    <s v="CAMARA"/>
    <s v="MOVILIZADOR"/>
    <s v="PUERTA DE TUNEL 6"/>
    <s v="N/A"/>
    <s v="MAÑANA"/>
    <d v="1899-12-30T06:30:00"/>
    <s v="MARTES"/>
    <s v="SEMANA 37"/>
    <m/>
    <m/>
    <s v="FRANCISCO QUEZADA"/>
    <s v="ALEJANDRO TORRES"/>
    <n v="22"/>
    <s v="Infraestructura"/>
    <s v="Manos / dedos"/>
    <s v="Contusión"/>
    <s v="Golpeado contra"/>
    <s v="COLABORADOR SUFRE CONTUSION EN DEDO INDICE DERECHO AL SER GOLPEADO CONTRA PUERTA DE TUNEL 6, CUANDO SE ENCONTRABA ABRIENDO ESTA QUE SE ENCONTRABA CON HIELO."/>
    <s v="ACCION"/>
    <s v="SI"/>
    <s v="NO"/>
    <s v="NICOLAS GOMEZ"/>
    <s v="CHISTIAN JHONS"/>
  </r>
  <r>
    <n v="2023"/>
    <s v="SEPTIEMBRE"/>
    <s v="EL PAICO"/>
    <s v="ACEVEDO VIDAL"/>
    <s v="KEVIN"/>
    <s v="MASCULINO"/>
    <s v="17802680-1"/>
    <d v="2023-09-04T00:00:00"/>
    <n v="0"/>
    <d v="2023-09-15T00:00:00"/>
    <s v="NUEVO"/>
    <s v="N/A"/>
    <s v="N/A"/>
    <s v="N/A"/>
    <n v="0"/>
    <s v="STP"/>
    <s v="N/A"/>
    <s v="N/A"/>
    <s v="P. POSTERIORES"/>
    <s v="PULPA"/>
    <s v="OPERARIO"/>
    <s v="SALA DE PULPA"/>
    <s v="EQUIPO PARA MOVIMIENTO DE CARGA (GRUAS O TRANSPALETAS)"/>
    <s v="TARDE"/>
    <d v="1899-12-30T14:30:00"/>
    <s v="VIERNES"/>
    <s v="SEMANA 37"/>
    <m/>
    <m/>
    <s v="OCTAVIO MUÑOZ"/>
    <s v="MARCOS QUINTANILLA"/>
    <n v="33"/>
    <s v="Equipos Transporte de carga"/>
    <s v="Pierna"/>
    <s v="Contusión"/>
    <s v="Golpeado contra"/>
    <s v="COLABORADOR SUFRE CONTUSION EN PIERNA DERECHA A SER GOLPEADO CONTRA TRANSPALETA MANUAL CUANDO SE ENCONTRABA POSICIONANDO PALLETS"/>
    <s v="ACCION"/>
    <s v="SI"/>
    <s v="NO"/>
    <s v="ALAN CARRASCO"/>
    <s v="CARLOS CARTAGENA"/>
  </r>
  <r>
    <n v="2023"/>
    <s v="SEPTIEMBRE"/>
    <s v="EL PAICO"/>
    <s v="MIRANDA LOYOLA"/>
    <s v="CAMILA "/>
    <s v="FEMENINO"/>
    <s v="21797530-1"/>
    <d v="2023-03-27T00:00:00"/>
    <n v="5"/>
    <d v="2023-09-21T00:00:00"/>
    <s v="NUEVO"/>
    <s v="N/A"/>
    <s v="N/A"/>
    <s v="N/A"/>
    <n v="0"/>
    <s v="STP"/>
    <s v="N/A"/>
    <s v="N/A"/>
    <s v="FRIGORIFICO"/>
    <s v="CAMARA"/>
    <s v="OPERARIO"/>
    <s v="SALA DE EMPAQUE"/>
    <s v="EQUIPO PARA MOVIMIENTO DE CARGA (GRUAS O TRANSPALETAS)"/>
    <s v="TARDE"/>
    <d v="1899-12-30T14:55:00"/>
    <s v="JUEVES"/>
    <s v="SEMANA 38"/>
    <m/>
    <m/>
    <s v="FRANCISCO QUEZADA"/>
    <s v="ALEJANDRO TORRES"/>
    <n v="18"/>
    <s v="Equipos Transporte de carga"/>
    <s v="Tronco"/>
    <s v="Contusión"/>
    <s v="Golpeado contra"/>
    <s v="COLABORADORA SUFRE CONTUSION EN REGION DERECHO SUPERIOR DEL TORAX AL SER GOLPEADO CONTRA MANILLA DE TRANSPALETA "/>
    <s v="ACCION"/>
    <s v="SI"/>
    <s v="NO"/>
    <s v="NICOLAS GOMEZ"/>
    <s v="MICHELLE SANCHEZ"/>
  </r>
  <r>
    <n v="2023"/>
    <s v="SEPTIEMBRE"/>
    <s v="EL PAICO"/>
    <s v="PAREDES JEREZ"/>
    <s v="MARIA"/>
    <s v="FEMENINO"/>
    <s v="8390041-5"/>
    <d v="2021-06-01T00:00:00"/>
    <n v="27"/>
    <d v="2023-09-21T00:00:00"/>
    <s v="ANTIGUO"/>
    <s v="N/A"/>
    <s v="N/A"/>
    <s v="N/A"/>
    <n v="0"/>
    <s v="STP"/>
    <s v="N/A"/>
    <s v="N/A"/>
    <s v="TROZADO DE POLLO"/>
    <s v="DESHUESADO"/>
    <s v="OPERARIO"/>
    <s v="LINEA DE PROLIJADO"/>
    <s v="N/A"/>
    <s v="TARDE"/>
    <d v="1899-12-30T14:55:00"/>
    <s v="JUEVES"/>
    <s v="SEMANA 38"/>
    <m/>
    <m/>
    <s v="DANIEL GARRIDO"/>
    <s v="JOSE CARVALLO"/>
    <n v="55"/>
    <s v="Superficies de transito"/>
    <s v="Multiples"/>
    <s v="Contusión"/>
    <s v="Caida de mismo nivel"/>
    <s v="COLABORADORA SUFRE CONTUSION EN ANTEBRAZO DERECHO Y ZONA LUMABAR POR CAIDA MISMO NIVEL AL RESBALAR CON RESTOS CARNICOS QUE SE ENCONTRABAN EN SUPERFICIE DE TRANSITO "/>
    <s v="CONDICION"/>
    <s v="NO"/>
    <s v="NO"/>
    <s v="NICOLAS GOMEZ"/>
    <s v="MICHELLE SANCHEZ"/>
  </r>
  <r>
    <n v="2023"/>
    <s v="SEPTIEMBRE"/>
    <s v="EL PAICO"/>
    <s v="MIRANDA LOYOLA"/>
    <s v="CAMILA "/>
    <s v="FEMENINO"/>
    <s v="21797530-1"/>
    <d v="2023-03-27T00:00:00"/>
    <n v="5"/>
    <d v="2023-09-21T00:00:00"/>
    <s v="NUEVO"/>
    <s v="N/A"/>
    <s v="N/A"/>
    <s v="N/A"/>
    <n v="0"/>
    <s v="STP"/>
    <s v="N/A"/>
    <s v="N/A"/>
    <s v="FRIGORIFICO"/>
    <s v="CAMARA"/>
    <s v="OPERARIO"/>
    <s v="SALA DE EMPAQUE"/>
    <s v="N/A"/>
    <s v="TARDE"/>
    <d v="1899-12-30T20:45:00"/>
    <s v="JUEVES"/>
    <s v="SEMANA 38"/>
    <m/>
    <m/>
    <s v="FRANCISCO QUEZADA"/>
    <s v="ALEJANDRO TORRES"/>
    <n v="18"/>
    <s v="Cajas"/>
    <s v="Cabeza"/>
    <s v="Contusión"/>
    <s v="Golpeado por"/>
    <s v="COLABORADORA SUFRE CONTUSION EN ZONA PARIETAL DERECHA AL SER GOLPEADA POR CAJA QUE CAE DESDE PALLETS CUANDO SE ENCONTRABA SACANDO UNA CAJA QUE SE ENCONTRABA ROTA"/>
    <s v="ACCION"/>
    <s v="SI"/>
    <s v="NO"/>
    <s v="NICOLAS GOMEZ"/>
    <s v="MICHELLE SANCHEZ"/>
  </r>
  <r>
    <n v="2023"/>
    <s v="SEPTIEMBRE"/>
    <s v="EL PAICO"/>
    <s v="MARTINEZ ARIAS"/>
    <s v="FRANCISCO"/>
    <s v="MASCULINO"/>
    <s v="18216441-0"/>
    <d v="2019-12-02T00:00:00"/>
    <n v="45"/>
    <d v="2023-09-22T00:00:00"/>
    <s v="ANTIGUO"/>
    <s v="N/A"/>
    <s v="N/A"/>
    <s v="N/A"/>
    <n v="0"/>
    <s v="STP"/>
    <s v="N/A"/>
    <s v="N/A"/>
    <s v="FAENACION"/>
    <s v="EVISCERADO"/>
    <s v="OPERARIO"/>
    <s v="EVISCERADO"/>
    <s v="N/A"/>
    <s v="TARDE"/>
    <d v="1899-12-30T15:30:00"/>
    <s v="VIERNES"/>
    <s v="SEMANA 39"/>
    <m/>
    <m/>
    <s v="NICOLAS MOYANO"/>
    <s v="ANTONIO RIVAS"/>
    <n v="31"/>
    <s v="Cuchillo"/>
    <s v="Manos / dedos"/>
    <s v="Herida cortante"/>
    <s v="Contacto con cuerpo cortante"/>
    <s v="COLABORADOR SUFRE HERIDA CORTANTE EN MANO DERECHA AL TENER CONTACTO CON CUCHILLO CUANDO SE ENCONTRABA LAVANDO SUS MANOS"/>
    <s v="ACCION"/>
    <s v="SI"/>
    <s v="NO"/>
    <s v="NICOLAS GOMEZ"/>
    <s v="WLADIMIR CALDERON "/>
  </r>
  <r>
    <n v="2023"/>
    <s v="SEPTIEMBRE"/>
    <s v="EL PAICO"/>
    <s v="FREMIAU"/>
    <s v="MYRTHIL"/>
    <s v="MASCULINO"/>
    <s v="26431200-0"/>
    <d v="2022-11-07T00:00:00"/>
    <n v="10"/>
    <d v="2023-09-23T00:00:00"/>
    <s v="INTERMEDIO"/>
    <s v="N/A"/>
    <s v="N/A"/>
    <s v="N/A"/>
    <n v="0"/>
    <s v="STP"/>
    <s v="N/A"/>
    <s v="N/A"/>
    <s v="SSGG"/>
    <s v="ASEO ZONA LIMPIA"/>
    <s v="OPERARIO"/>
    <s v="TROZADOD DE POLLO"/>
    <s v="N/A"/>
    <s v="NOCHE"/>
    <d v="1899-12-30T02:34:00"/>
    <s v="SABADO"/>
    <s v="SEMANA 39"/>
    <m/>
    <m/>
    <s v="CARLOS JIMENEZ"/>
    <s v="PATRICIO PALACIOS"/>
    <n v="46"/>
    <s v="Otros"/>
    <s v="Manos / dedos"/>
    <s v="Herida cortante"/>
    <s v="Otros"/>
    <s v="COLABORADOR SUFRE HERIDA CORTANTE EN MUÑECA IZQUIERDA AL TENER CONTACTO CON CHORRO DE AGUA PROVENIENTE DESDE HIDROLAVADORA MIENTRAS REALIZABA ASEO PREOPERACIONAL"/>
    <s v="ACCION"/>
    <s v="SI"/>
    <s v="NO"/>
    <s v="ALAN CARRASCO"/>
    <s v="WLADIMIR CALDERON "/>
  </r>
  <r>
    <n v="2023"/>
    <s v="SEPTIEMBRE"/>
    <s v="EL PAICO"/>
    <s v="OTAROLA OGALDE"/>
    <s v="CAROLINA"/>
    <s v="FEMENINO"/>
    <s v="13919701-1"/>
    <d v="2021-05-03T00:00:00"/>
    <n v="28"/>
    <d v="2023-09-23T00:00:00"/>
    <s v="ANTIGUO"/>
    <s v="N/A"/>
    <s v="N/A"/>
    <s v="N/A"/>
    <n v="0"/>
    <s v="STP"/>
    <s v="N/A"/>
    <s v="N/A"/>
    <s v="TROZADO DE POLLO"/>
    <s v="TROZADO AUTOMATICO"/>
    <s v="OPERARIO"/>
    <s v="LINEA 2 SELECCIÓN DE ALA MEDIA"/>
    <s v="N/A"/>
    <s v="MAÑANA"/>
    <d v="1899-12-30T14:45:00"/>
    <s v="SABADO"/>
    <s v="SEMANA 39"/>
    <m/>
    <m/>
    <s v="DANIEL GARRIDO"/>
    <s v="RAMIRO RAMIREZ"/>
    <n v="42"/>
    <s v="Infraestructura"/>
    <s v="Cabeza"/>
    <s v="Contusión"/>
    <s v="Golpeado por"/>
    <s v="COLABORADORA SUFRE CONTUSION EN ZONA PARIETAL IZQUIERDA AL SER GOLPEADA POR GANCHO METALICO QUE CAE DESDE LINEA 2 CUANDO SE ENCONTRABA DESARROLLANDO LABORES DE SELECCIÓN DE ALA MEDIA"/>
    <s v="CONDICION"/>
    <s v="SI"/>
    <s v="NO"/>
    <s v="ALAN CARRASCO"/>
    <s v="CHISTIAN JHONS"/>
  </r>
  <r>
    <n v="2023"/>
    <s v="SEPTIEMBRE"/>
    <s v="EL PAICO"/>
    <s v="TORO CANIULAO"/>
    <s v="JUAN"/>
    <s v="MASCULINO"/>
    <s v="20464275-3"/>
    <d v="2020-06-16T00:00:00"/>
    <n v="39"/>
    <d v="2023-09-25T00:00:00"/>
    <s v="ANTIGUO"/>
    <d v="2023-09-25T00:00:00"/>
    <d v="2023-09-25T00:00:00"/>
    <s v="N/A"/>
    <n v="0"/>
    <s v="STP"/>
    <s v="N/A"/>
    <s v="N/A"/>
    <s v="IQF Y CALIBRADO"/>
    <s v="IQF CALIBRADO B"/>
    <s v="OPERARIO"/>
    <s v="IQF 1"/>
    <s v="N/A"/>
    <s v="MAÑANA"/>
    <d v="1899-12-30T13:30:00"/>
    <s v="LUNES"/>
    <s v="SEMANA 39"/>
    <n v="15930"/>
    <s v="NC-133-23"/>
    <s v="OCTAVIO MUÑOZ"/>
    <s v="MAXIMO CAMPOS"/>
    <n v="23"/>
    <s v="Herramientas de mano"/>
    <s v="Manos / dedos"/>
    <s v="Herida cortante"/>
    <s v="Contacto con cuerpo cortante"/>
    <s v="COLABORADOR SUFRE HERIDA CORTANTE EN DEDO ANULAR IZQUIERDO POR CONTACTO CON HERRAMIENTA DE MANO CARTONERO DE SEGURIDAD EL EVENTO SE PRODUJO CUANDO SE ENCONTRABA CAMBIANDO ROLLLO DE FILMS DE CINTA SUPER CONTAC"/>
    <s v="ACCION"/>
    <s v="SI"/>
    <s v="SI"/>
    <s v="NICOLAS GOMEZ"/>
    <s v="MICHELLE SANCHEZ"/>
  </r>
  <r>
    <n v="2023"/>
    <s v="SEPTIEMBRE"/>
    <s v="EL PAICO"/>
    <s v="ARAVENA NUÑEZ"/>
    <s v="ROCÍO"/>
    <s v="FEMENINO"/>
    <s v="20060554-3"/>
    <d v="2023-03-20T00:00:00"/>
    <n v="6"/>
    <d v="2023-09-26T00:00:00"/>
    <s v="NUEVO"/>
    <s v="N/A"/>
    <s v="N/A"/>
    <s v="N/A"/>
    <n v="0"/>
    <s v="STP"/>
    <s v="N/A"/>
    <s v="N/A"/>
    <s v="FRIGORIFICO"/>
    <s v="CÁMARA"/>
    <s v="OPERARIO"/>
    <s v="SALA DE EMPAQUE"/>
    <s v="N/A"/>
    <s v="MAÑANA"/>
    <d v="1899-12-30T09:45:00"/>
    <s v="SABADO"/>
    <s v="SEMANA 39"/>
    <m/>
    <m/>
    <s v="FRANCISCO QUEZADA"/>
    <s v="ALEJANDRO TORRES"/>
    <n v="24"/>
    <s v="Materiales"/>
    <s v="Ojos"/>
    <s v="Conjuntivitis"/>
    <s v="Proyeccion de particulas"/>
    <s v="COLABORADORA SUFRE MOLESTIA OCULAR POR PROYECCION DE PARTICULAS SOLIDAS EN OJO IZQUIERDO CUANDO SE ENCONTRABA ARMANDO UN PALLETS"/>
    <s v="ACCION"/>
    <s v="SI"/>
    <s v="NO"/>
    <s v="NICOLAS GOMEZ"/>
    <s v="WLADIMIR CALDERON "/>
  </r>
  <r>
    <n v="2023"/>
    <s v="OCTUBRE"/>
    <s v="EL PAICO"/>
    <s v="ESPINOZA ORELLANA"/>
    <s v="BENJAMIN"/>
    <s v="MASCULINO"/>
    <s v="21389844-2"/>
    <d v="2023-08-28T00:00:00"/>
    <n v="1"/>
    <d v="2023-10-02T00:00:00"/>
    <s v="NUEVO"/>
    <d v="2023-10-02T00:00:00"/>
    <d v="2023-10-07T00:00:00"/>
    <s v="N/A"/>
    <n v="6"/>
    <s v="CTP"/>
    <s v="LGF"/>
    <s v="LGF2"/>
    <s v="FAENACION"/>
    <s v="EVISERADO"/>
    <s v="OPERARIO"/>
    <s v="EVISCERADO"/>
    <s v="REPASADORA DE CONTRES"/>
    <s v="MAÑANA"/>
    <d v="1899-12-30T11:15:00"/>
    <s v="LUNES"/>
    <s v="SEMANA 40"/>
    <n v="15945"/>
    <s v="NC-135-23"/>
    <s v="NICOLAS MOYANO"/>
    <s v="CESAR CARTAGENA"/>
    <n v="20"/>
    <s v="Maquinarias"/>
    <s v="Manos / dedos"/>
    <s v="Atrición"/>
    <s v="Atrapamiento"/>
    <s v="COLABORADOR SUFRE HERIDA POR ATRICIÓN EN PALMA DE MANO IZQUIERDA POR ATRAPAMIENTO CON RODILLOS DE MAQUINA REPASADORA DE CONTRES"/>
    <s v="CONDICION"/>
    <s v="SI"/>
    <s v="SI"/>
    <s v="ALAN CARRASCO"/>
    <s v="CHRISTIAN JHONS"/>
  </r>
  <r>
    <n v="2023"/>
    <s v="OCTUBRE"/>
    <s v="EL PAICO"/>
    <s v="ARAVENA NUÑEZ"/>
    <s v="ROCÍO"/>
    <s v="FEMENINO"/>
    <s v="20060554-3"/>
    <d v="2023-03-20T00:00:00"/>
    <n v="6"/>
    <d v="2023-10-02T00:00:00"/>
    <s v="NUEVO"/>
    <s v="N/A"/>
    <s v="N/A"/>
    <s v="N/A"/>
    <n v="0"/>
    <s v="STP"/>
    <s v="N/A"/>
    <s v="N/A"/>
    <s v="FRIGORIFICO"/>
    <s v="CÁMARA"/>
    <s v="OPERARIO"/>
    <s v="SALA DE EMPAQUE"/>
    <s v="N/A"/>
    <s v="TARDE"/>
    <d v="1899-12-30T21:20:00"/>
    <s v="LUNES"/>
    <s v="SEMANA 40"/>
    <m/>
    <m/>
    <s v="FRANCISCO QUEZADA"/>
    <s v="ALEJANDRO TORRES"/>
    <n v="24"/>
    <s v="Superficies de trabajo"/>
    <s v="Pierna"/>
    <s v="Contusión"/>
    <s v="Caida de mismo nivel"/>
    <s v="COLABORADORA SUFRE CONTUSION EN RODILLA IZQUIERDA POR CAIDA MISMO NIVEL AL RESBALAR PROPUCTO DE HIELO PRESENTE EN SUPERFICIE DE TRABAJO CUANDO SE ENCONTRABA ENVOLVIENDO PALLETS CON FILMS"/>
    <s v="CONDICION"/>
    <s v="SI"/>
    <s v="NO"/>
    <s v="NICOLAS GOMEZ"/>
    <s v="CARLOS CARTAGENA"/>
  </r>
  <r>
    <n v="2023"/>
    <s v="OCTUBRE"/>
    <s v="EL PAICO"/>
    <s v="MIRANDA LOYOLA"/>
    <s v="CAMILA "/>
    <s v="FEMENINO"/>
    <s v="21797530-1"/>
    <d v="2023-03-27T00:00:00"/>
    <n v="6"/>
    <d v="2023-10-17T00:00:00"/>
    <s v="NUEVO"/>
    <d v="2023-10-18T00:00:00"/>
    <d v="2023-10-18T00:00:00"/>
    <s v="N/A"/>
    <n v="0"/>
    <s v="STP"/>
    <s v="N/A"/>
    <s v="N/A"/>
    <s v="FRIGORIFICO"/>
    <s v="CÁMARA"/>
    <s v="OPERARIO"/>
    <s v="SALA DE EMPAQUE"/>
    <s v="N/A"/>
    <s v="TARDE"/>
    <d v="1899-12-30T21:55:00"/>
    <s v="MARTES"/>
    <s v="SEMANA 42"/>
    <n v="15970"/>
    <s v="NC-148-23"/>
    <s v="FRANCISCO QUEZADA"/>
    <s v="ALEJANDRO TORRES"/>
    <n v="18"/>
    <s v="Cajas"/>
    <s v="Cabeza"/>
    <s v="Contusión"/>
    <s v="Golpeado por"/>
    <s v="COLABORADORA SUFRE CONTUSIÓN EN CABEZA AL SER GOLPEADA POR CAJA CON PRODUCTO QUE CAE DESDE PALLETS CUANDO SE ENCONTRABA ACOMODANDO PALLETS EN SALA DE EMPAQUE "/>
    <s v="ACCION"/>
    <s v="SI"/>
    <s v="SI"/>
    <s v="NICOLAS GOMEZ"/>
    <s v="WLADIMIR CALDERON "/>
  </r>
  <r>
    <n v="2023"/>
    <s v="OCTUBRE"/>
    <s v="EL PAICO"/>
    <s v="BENOIT"/>
    <s v="RINEL"/>
    <s v="MASCULINO"/>
    <s v="26237764-4"/>
    <d v="2021-11-03T00:00:00"/>
    <n v="23"/>
    <d v="2023-10-19T00:00:00"/>
    <s v="ANTIGUO"/>
    <s v="N/A"/>
    <s v="N/A"/>
    <s v="N/A"/>
    <n v="0"/>
    <s v="STP"/>
    <s v="N/A"/>
    <s v="N/A"/>
    <s v="TROZADO DE POLLO"/>
    <s v="DESHUESADO"/>
    <s v="OPERARIO"/>
    <s v="SALA DE DESHUESADO"/>
    <s v="N/A"/>
    <s v="TARDE"/>
    <d v="1899-12-30T20:00:00"/>
    <s v="JUEVES"/>
    <s v="SEMANA 42"/>
    <m/>
    <m/>
    <s v="DANIEL GARRIDO"/>
    <s v="JOSE CARVALLO"/>
    <n v="37"/>
    <s v="Bandejas"/>
    <s v="Pierna"/>
    <s v="Contusión"/>
    <s v="Golpeado por"/>
    <s v="COLABORADOR SUFRE CONTUSÓN EN PIERNA DERECHA AL SER GOLPEADO POR BANDEJAS Y BARRERA DE CONTECIÓN"/>
    <s v="ACCION"/>
    <s v="SI"/>
    <s v="NO"/>
    <s v="NICOLAS GOMEZ"/>
    <s v="CHISTIAN JHONS"/>
  </r>
  <r>
    <n v="2023"/>
    <s v="OCTUBRE"/>
    <s v="EL PAICO"/>
    <s v="ROSALES MALDONADO"/>
    <s v="JESUS"/>
    <s v="MASCULINO"/>
    <s v="17225475-6"/>
    <d v="2022-09-22T00:00:00"/>
    <n v="13"/>
    <d v="2023-10-22T00:00:00"/>
    <s v="INTERMEDIO"/>
    <s v="N/A"/>
    <s v="N/A"/>
    <s v="N/A"/>
    <n v="0"/>
    <s v="STP"/>
    <s v="N/A"/>
    <s v="N/A"/>
    <s v="MANTENCION"/>
    <s v="MANTENCION"/>
    <s v="ELECTRICO"/>
    <s v="RECEPCIÓN DE POLLO"/>
    <s v="N/A"/>
    <s v="MAÑANA"/>
    <d v="1899-12-30T12:00:00"/>
    <s v="DOMINGO"/>
    <s v="SEMANA 42"/>
    <m/>
    <m/>
    <s v="VICTOR GOMEZ"/>
    <s v="EMANUEL MELLADO"/>
    <n v="34"/>
    <s v="Maquinarias"/>
    <s v="Manos / dedos"/>
    <s v="Torsión"/>
    <s v="Golpeado por"/>
    <s v="COLABOROR SUFRE TORSION EN MUÑECA DERECHA AL SER GOLPEADO POR MOTOR CUANDO SE ENCONTRABA TRANSLADANDOLO POR ESACALERAS EN SALA DE RECEPCION DE POLLO"/>
    <s v="ACCION"/>
    <s v="SI"/>
    <s v="NO"/>
    <s v="NICOLAS GOMEZ"/>
    <s v="ERIKA AGUILAR"/>
  </r>
  <r>
    <n v="2023"/>
    <s v="OCTUBRE"/>
    <s v="EL PAICO"/>
    <s v="ARAVENA NUÑEZ"/>
    <s v="ROCIO"/>
    <s v="FEMENINO"/>
    <s v="20060554-3"/>
    <d v="2023-03-20T00:00:00"/>
    <n v="7"/>
    <d v="2023-10-23T00:00:00"/>
    <s v="INTERMEDIO"/>
    <s v="N/A"/>
    <s v="N/A"/>
    <s v="N/A"/>
    <n v="0"/>
    <s v="STP"/>
    <s v="N/A"/>
    <s v="N/A"/>
    <s v="FRIGORIFICO"/>
    <s v="CAMARA"/>
    <s v="OPERARIO"/>
    <s v="SALA DE EMPAQUE"/>
    <s v="EQUIPO PARA MOVIMIENTO DE CARGA (GRUAS O TRANSPALETAS)"/>
    <s v="MAÑANA"/>
    <d v="1899-12-30T12:40:00"/>
    <s v="LUNES"/>
    <s v="SEMANA 43"/>
    <m/>
    <m/>
    <s v="FRANCISCO QUEZADA"/>
    <s v="ALEJANDRO TORRES"/>
    <n v="24"/>
    <s v="Equipos Transporte de carga"/>
    <s v="Pie"/>
    <s v="Contusión"/>
    <s v="Golpeado por"/>
    <s v="COLABORADORA SUFRE CONTUSIÓN EN TOBILLO DERECHO AL SER GOLPEADA POR TRANSPALETA CUANDO SE ENCONTRABA DE PIE JUNTO A UN PALLET EN SALA DE EMPAQUE DE TUNEL"/>
    <s v="ACCION"/>
    <s v="SI"/>
    <s v="NO"/>
    <s v="NICOLAS GOMEZ"/>
    <s v="MICHELLE SANCHEZ"/>
  </r>
  <r>
    <n v="2023"/>
    <s v="OCTUBRE"/>
    <s v="EL PAICO"/>
    <s v="MENDOZA ROJAS"/>
    <s v="JOSE"/>
    <s v="MASCULINO"/>
    <s v="17082025-8"/>
    <d v="2023-03-13T00:00:00"/>
    <n v="7"/>
    <d v="2023-10-25T00:00:00"/>
    <s v="INTERMEDIO"/>
    <d v="2023-10-25T00:00:00"/>
    <d v="2023-10-25T00:00:00"/>
    <s v="N/A"/>
    <n v="0"/>
    <s v="STP"/>
    <s v="LGF"/>
    <s v="LGF8"/>
    <s v="SSGG"/>
    <s v="ASEO ZONA SUCIA"/>
    <s v="OPERARIO"/>
    <s v="DESPLUMADO"/>
    <s v="N/A"/>
    <s v="NOCHE"/>
    <d v="1899-12-30T01:00:00"/>
    <s v="MIERCOLES"/>
    <s v="SEMANA 43"/>
    <n v="15990"/>
    <s v="NC-149-23"/>
    <s v="CARLOS JIMENES"/>
    <s v="LUIS URBINA"/>
    <n v="33"/>
    <s v="Producto quimico"/>
    <s v="Cabeza"/>
    <s v="Quemadura"/>
    <s v="Contacto con sustancias toxicas"/>
    <s v="COLABORADOR SUFRE QUEMADURA EN ZONA POSTERIOR DEL CUELLO AL TENER CONTACTO CON DETERGENTE (PRODUCTO QUIMICO), CUANDO SE ENCONTRABA REALIZANDO LIMPIEZA  A MAQUINA REPAZADORA EN SALA DESPLUMADO DE POLLO."/>
    <s v="ACCION"/>
    <s v="SI"/>
    <s v="SI"/>
    <s v="ALAN CARRASCO"/>
    <s v="MICHELLE SANCHEZ"/>
  </r>
  <r>
    <n v="2023"/>
    <s v="OCTUBRE"/>
    <s v="EL PAICO"/>
    <s v="FARFAN BENAVIDES"/>
    <s v="ALVARO"/>
    <s v="MASCULINO"/>
    <s v="19601610-4"/>
    <d v="2023-04-13T00:00:00"/>
    <n v="6"/>
    <d v="2023-10-25T00:00:00"/>
    <s v="NUEVO"/>
    <s v="N/A"/>
    <s v="N/A"/>
    <s v="N/A"/>
    <n v="0"/>
    <s v="STP"/>
    <s v="N/A"/>
    <s v="N/A"/>
    <s v="TROZADO DE POLLO"/>
    <s v="AUTOMATICO"/>
    <s v="OPERARIO"/>
    <s v="TROZADO AUTOMATICO"/>
    <s v="N/A"/>
    <s v="MAÑANA"/>
    <d v="1899-12-30T13:30:00"/>
    <s v="MIERCOLES"/>
    <s v="SEMAN 43"/>
    <m/>
    <m/>
    <s v="DANIEL GARRIDO"/>
    <s v="ARNALDO VERA"/>
    <n v="26"/>
    <s v="Materia Prima"/>
    <s v="Ojos"/>
    <s v="Conjuntivitis"/>
    <s v="Proyeccion de particulas"/>
    <s v="COLABORADOR SUFRE MOLESTIA OCULAR POR PROYECCION DE PARTICULAS (PRODUCTO CÁRNICO) EN OJO DERECHO, CUANDO SE ENCONTRABA ESPERANDOLLENADO DE BINS CON PRODUCTO EN SALA DE TROZADO AUTOMATICO"/>
    <s v="CONDICION"/>
    <s v="SI"/>
    <s v="NO"/>
    <s v="ALAN CARRASCO"/>
    <s v="CHISTIAN JHONS"/>
  </r>
  <r>
    <n v="2023"/>
    <s v="OCTUBRE"/>
    <s v="EL PAICO"/>
    <s v="MANRRIQUEZ SEPULVEDA "/>
    <s v="FELIPE"/>
    <s v="MASCULINO"/>
    <s v="19055010-9"/>
    <d v="2020-11-04T00:00:00"/>
    <n v="35"/>
    <d v="2023-10-16T00:00:00"/>
    <s v="ANTIGUO"/>
    <s v="N/A"/>
    <s v="N/A"/>
    <s v="N/A"/>
    <n v="0"/>
    <s v="STP"/>
    <s v="N/A"/>
    <s v="N/A"/>
    <s v="FRIGORIFICO"/>
    <s v="CAMARA"/>
    <s v="OPERADOR DE MAQUINA"/>
    <s v="CAMARA 202"/>
    <s v="N/A"/>
    <s v="MAÑANA"/>
    <d v="1899-12-30T11:15:00"/>
    <s v="JUEVES"/>
    <s v="SEMANA 43"/>
    <m/>
    <m/>
    <s v="FRANCISCO QUEZADA"/>
    <s v="ALEJANDRO TORRES"/>
    <n v="28"/>
    <s v="Superficies de transito"/>
    <s v="Espalda"/>
    <s v="Contusión"/>
    <s v="Caida de mismo nivel"/>
    <s v="COLABORADOR SUFRE CONTUSION EN ZONA LUMBAR POR CAIDA DE MISMO NIVEL PRODUCTO DE HIELO PRESENTE EN SUPERFICIE DE TRANSITO AL INTERIOR DE CAMARA 202"/>
    <s v="CODICION"/>
    <s v="SI"/>
    <s v="NO"/>
    <s v="ALAN CARRASCO"/>
    <s v="MICHELLE SANCHEZ"/>
  </r>
  <r>
    <n v="2023"/>
    <s v="OCTUBRE"/>
    <s v="EL PAICO"/>
    <s v="PEREZ GOMEZ"/>
    <s v="JONATHAN"/>
    <s v="MASCULINO"/>
    <s v="18427428-0"/>
    <d v="2023-09-25T00:00:00"/>
    <n v="1"/>
    <d v="2023-10-30T00:00:00"/>
    <s v="NUEVO"/>
    <s v="N/A"/>
    <s v="N/A"/>
    <s v="N/A"/>
    <n v="0"/>
    <s v="STP"/>
    <s v="N/A"/>
    <s v="N/A"/>
    <s v="P. POSTERIORES"/>
    <s v="PULPAS A"/>
    <s v="OPERARIO"/>
    <s v="REPORTE DE CAJAS"/>
    <s v="N/A"/>
    <s v="MAÑANA"/>
    <d v="1899-12-30T08:15:00"/>
    <s v="LUNES"/>
    <s v="SEMANA 44"/>
    <m/>
    <m/>
    <s v="OCTAVIO MUÑOZ"/>
    <s v="EDGAR HERNANDEZ"/>
    <n v="35"/>
    <s v="Materiales"/>
    <s v="Pie"/>
    <s v="Contusión"/>
    <s v="Golpeado por"/>
    <s v="COLABORADOR SUFRE CONTUSION EN PIE DERECHO ALSER GOLPEADO POR PALLETS "/>
    <s v="ACCION"/>
    <s v="SI"/>
    <s v="NO"/>
    <s v="ALAN CARRASCO"/>
    <s v="REEMPLAZO"/>
  </r>
  <r>
    <n v="2023"/>
    <s v="OCTUBRE"/>
    <s v="EL PAICO"/>
    <s v="HUERTA ZAPATA"/>
    <s v="MARCO"/>
    <s v="MASCULINO"/>
    <s v="15649302-3"/>
    <d v="2020-04-15T00:00:00"/>
    <n v="42"/>
    <d v="2023-10-30T00:00:00"/>
    <s v="ANTIGUO"/>
    <s v="N/A"/>
    <s v="N/A"/>
    <s v="N/A"/>
    <n v="0"/>
    <s v="STP"/>
    <s v="N/A"/>
    <s v="N/A"/>
    <s v="IQF Y CALIBRADO"/>
    <s v="IQF CALIBRADO B"/>
    <s v="OPERARIO"/>
    <s v="IQF 2"/>
    <s v="N/A"/>
    <s v="TARDE"/>
    <d v="1899-12-30T15:45:00"/>
    <s v="LUNES"/>
    <s v="SEMANA 44"/>
    <m/>
    <m/>
    <s v="OCTAVIO MUÑOZ"/>
    <s v="MAXIMO CAMPOS"/>
    <n v="41"/>
    <s v="Maquinarias"/>
    <s v="Espalda"/>
    <s v="Otros"/>
    <s v="Sobreesfuerzo"/>
    <s v="COLABORADOR SUFRE DOLENCIA EN ZONA LUMBAR POR SOBREESFUERZO AL MOMENTO DE AGACHARSE PARA SACAR UN ESPOLIN DE MAQUINA SUPER CONTAC 1"/>
    <s v="ACCION"/>
    <s v="SI"/>
    <s v="NO"/>
    <s v="ALAN CARRASCO"/>
    <s v="REEMPLAZO"/>
  </r>
  <r>
    <n v="2023"/>
    <s v="NOVIEMBRE"/>
    <s v="EL PAICO"/>
    <s v="VIDAL ZAMBRANO"/>
    <s v="JAVIER"/>
    <s v="MASCULINO"/>
    <s v="21169027-5"/>
    <d v="2022-08-01T00:00:00"/>
    <n v="15"/>
    <d v="2023-11-02T00:00:00"/>
    <s v="INTERMEDIO"/>
    <s v="N/A"/>
    <s v="N/A"/>
    <s v="N/A"/>
    <n v="0"/>
    <s v="STP"/>
    <s v="N/A"/>
    <s v="N/A"/>
    <s v="FRIGORIFICO"/>
    <s v="CAMARA"/>
    <s v="OPERARIO"/>
    <s v="SALA DE EMPAQUE"/>
    <s v="EQUIPO PARA MOVIMIENTO DE CARGA (GRUAS O TRANSPALETAS)"/>
    <s v="TARDE"/>
    <d v="1899-12-30T15:55:00"/>
    <s v="JUEVES"/>
    <s v="SEMANA 44"/>
    <m/>
    <m/>
    <s v="FRANCISCO QUEZADA"/>
    <s v="ALEJANDRO TORRES"/>
    <n v="20"/>
    <s v="Materiales"/>
    <s v="Pie"/>
    <s v="Contusión"/>
    <s v="Golpeado por"/>
    <s v="COLABORADOR SUFRE CONTUSION EN PIE IZQUIERDO AL SER GOLPEADO POR PALLETS QUE ESTABA SIENDO TRASLADADO POR EQUIPO DE MOVIMIENTO DE CARGA"/>
    <s v="ACCION"/>
    <s v="SI"/>
    <s v="NO"/>
    <s v="NICOLAS GOMEZ"/>
    <s v="REEMPLAZO"/>
  </r>
  <r>
    <n v="2023"/>
    <s v="NOVIEMBRE"/>
    <s v="EL PAICO"/>
    <s v="VIDAL CESPEDES"/>
    <s v="NICOLAS"/>
    <s v="MASCULINO"/>
    <s v="19412589-5"/>
    <d v="2021-07-20T00:00:00"/>
    <n v="27"/>
    <d v="2023-11-02T00:00:00"/>
    <s v="ANTIGUO"/>
    <s v="N/A"/>
    <s v="N/A"/>
    <s v="N/A"/>
    <n v="0"/>
    <s v="STP"/>
    <s v="N/A"/>
    <s v="N/A"/>
    <s v="FAENACION"/>
    <s v="COLGADO DE POLLO"/>
    <s v="OPERARIO"/>
    <s v="DESAPILADO DE JAVAS"/>
    <s v="N/A"/>
    <s v="TARDE"/>
    <d v="1899-12-30T17:45:00"/>
    <s v="JUEVES"/>
    <s v="SEMANA 44"/>
    <m/>
    <m/>
    <s v="NICOLAS MOYANO"/>
    <s v="ANTONIO RIVAS"/>
    <n v="27"/>
    <s v="Infraestructura"/>
    <s v="Pierna"/>
    <s v="Contusión"/>
    <s v="Caida de mismo nivel"/>
    <s v="COLABORADOR SUFRE CONTUSION EN AMBAS PIERNAS POR CAIDA DE MISMO NIVEL AL TROPESAR CON ESTRUCTURA DE PALLETS CUANDO SE ENCONTRABA DESAPILANDO JAVAS "/>
    <s v="CONDICION"/>
    <s v="SI"/>
    <s v="NO"/>
    <s v="NICOLAS GOMEZ"/>
    <s v="REEMPLAZO"/>
  </r>
  <r>
    <n v="2023"/>
    <s v="NOVIEMBRE"/>
    <s v="EL PAICO"/>
    <s v="BASAURE CONSTANZO"/>
    <s v="ISAIAS"/>
    <s v="MASCULINO"/>
    <s v="20227464-1"/>
    <d v="2022-11-04T00:00:00"/>
    <n v="12"/>
    <d v="2023-11-07T00:00:00"/>
    <s v="INTERMEDIO"/>
    <s v="N/A"/>
    <s v="N/A"/>
    <s v="N/A"/>
    <n v="0"/>
    <s v="STP"/>
    <s v="N/A"/>
    <s v="N/A"/>
    <s v="IQF Y CALIBRADO"/>
    <s v="IQF CALIBRADO B"/>
    <s v="OPERARIO"/>
    <s v="ANDEN"/>
    <s v="N/A"/>
    <s v="MAÑANA"/>
    <d v="1899-12-30T10:25:00"/>
    <s v="MARTES"/>
    <s v="SEMANA 45"/>
    <m/>
    <m/>
    <s v="OCTAVIO MUÑOZ"/>
    <s v="MAXIMO CAMPOS"/>
    <n v="23"/>
    <s v="Infraestructura"/>
    <s v="Manos / dedos"/>
    <s v="Contusión"/>
    <s v="Golpeado contra"/>
    <s v="COLABORADOR SUFRE CONTUSION EN DEDO MEDIO DE MANO DERECHA AL SER GOLPEADO CONTRA EQUIPO MOVIL DE CARGA Y ESTRUCTUCTURA METALICA"/>
    <s v="ACCION"/>
    <s v="SI"/>
    <s v="NO"/>
    <s v="NICOLAS GOMEZ"/>
    <s v="CHISTIAN JHONS"/>
  </r>
  <r>
    <n v="2023"/>
    <s v="NOVIEMBRE"/>
    <s v="EL PAICO"/>
    <s v="ARAYA ORELLANA"/>
    <s v="GABRIEL"/>
    <s v="MASCULINO"/>
    <s v="20136224-5"/>
    <d v="2020-03-16T00:00:00"/>
    <n v="43"/>
    <d v="2023-11-07T00:00:00"/>
    <s v="ANTIGUO"/>
    <s v="N/A"/>
    <s v="N/A"/>
    <s v="N/A"/>
    <n v="0"/>
    <s v="STP"/>
    <s v="N/A"/>
    <s v="N/A"/>
    <s v="MANTENCION"/>
    <s v="MANTENIMIENTO"/>
    <s v="MECANICO"/>
    <s v="TROZADO DE POLLO AUTOMATICO"/>
    <s v="N/A"/>
    <s v="MAÑANA"/>
    <d v="1899-12-30T14:30:00"/>
    <s v="MARTES"/>
    <s v="SEMANA 45"/>
    <m/>
    <m/>
    <s v="VICTOR GOMEZ"/>
    <s v="FERNANDO HENRIQUEZ"/>
    <n v="24"/>
    <s v="Maquinarias"/>
    <s v="Brazo"/>
    <s v="Contusión"/>
    <s v="Golpeado por"/>
    <s v="COLABORADOR SUFRE CONTUSION EN ANTEBRAZO IZQUIERDO AL SER GOLPEADO POR GUIA DE DESCOLGADOR DE POLLO"/>
    <s v="ACCION"/>
    <s v="SI"/>
    <s v="NO"/>
    <s v="NICOLAS GOMEZ"/>
    <s v="CHISTIAN JHONS"/>
  </r>
  <r>
    <n v="2023"/>
    <s v="NOVIEMBRE"/>
    <s v="EL PAICO"/>
    <s v="SAEZ JARA"/>
    <s v="GASTON"/>
    <s v="MASCULINO"/>
    <s v="11199075-1"/>
    <d v="2023-05-08T00:00:00"/>
    <n v="6"/>
    <d v="2023-11-09T00:00:00"/>
    <s v="NUEVO"/>
    <d v="2023-11-10T00:00:00"/>
    <d v="2023-11-10T00:00:00"/>
    <s v="N/A"/>
    <n v="0"/>
    <s v="STP"/>
    <s v="LGF"/>
    <s v="LGF4"/>
    <s v="P. POSTERIORES"/>
    <s v="REPORTE DE CAJAS"/>
    <s v="OPERARIO"/>
    <s v="LINEA ISHIDA"/>
    <s v="EQUIPO PARA MOVIMIENTO DE CARGA (GRUAS O TRANSPALETAS)"/>
    <s v="TARDE"/>
    <d v="1899-12-30T22:20:00"/>
    <s v="JUEVES"/>
    <s v="SEMANA 45"/>
    <n v="16010"/>
    <s v="NC-151-23"/>
    <s v="OCTAVIO MUÑOZ"/>
    <s v="EDGAR HERNANDEZ"/>
    <n v="56"/>
    <s v="Equipos Transporte de carga"/>
    <s v="Pierna"/>
    <s v="Contusión"/>
    <s v="Golpeado por"/>
    <s v="COLABORADOR SUFRE CONTUSION EN PIERNA IZQUIERDA AL SER GOLPEADO POR EQUIPO DE MOVIMIENTO DE CARGA CUANDO SE ENCONTRABA PALETIZANDO EN LINIA ISHIDA"/>
    <s v="CONDICION"/>
    <s v="SI"/>
    <s v="SI"/>
    <s v="NICOLAS GOMEZ"/>
    <s v="MICHELLE SANCHEZ"/>
  </r>
  <r>
    <n v="2023"/>
    <s v="NOVIEMBRE"/>
    <s v="EL PAICO"/>
    <s v="MUÑOZ CORTEZ"/>
    <s v="EDUARDO"/>
    <s v="MASCULINO"/>
    <s v="12357732-9"/>
    <d v="2003-06-21T00:00:00"/>
    <n v="244"/>
    <d v="2023-11-10T00:00:00"/>
    <s v="ANTIGUO"/>
    <s v="N/A"/>
    <s v="N/A"/>
    <s v="N/A"/>
    <n v="0"/>
    <s v="STP"/>
    <s v="N/A"/>
    <s v="N/A"/>
    <s v="IQF Y CALIBRADO"/>
    <s v="IQF CALIBRADO B"/>
    <s v="OPERARIO"/>
    <s v="CAMARA CALIBRADO"/>
    <s v="N/A"/>
    <s v="MAÑANA"/>
    <d v="1899-12-30T05:25:00"/>
    <s v="VIERNES"/>
    <s v="SEMANA 45"/>
    <m/>
    <m/>
    <s v="OCTAVIO MUÑOZ"/>
    <s v="FERNANDO FUENTEALBA"/>
    <n v="50"/>
    <s v="Equipos Transporte de carga"/>
    <s v="Pierna"/>
    <s v="Otros"/>
    <s v="Sobreesfuerzo"/>
    <s v="COLABORADOR SUFRE DOLENCIA EN  PIERNA IZQUIERDA POR SOBREESFUERZO AL MOVILIZAR INSUMOS CON TRANSPALETA MANUAL"/>
    <s v="ACCION"/>
    <s v="SI"/>
    <s v="NO"/>
    <s v="NICOLAS GOMEZ"/>
    <s v="CARLOS CARTAGENA"/>
  </r>
  <r>
    <n v="2023"/>
    <s v="NOVIEMBRE"/>
    <s v="EL PAICO"/>
    <s v="FAMEUX"/>
    <s v="LUNICE"/>
    <s v="MASCULINO"/>
    <s v="26229537-0"/>
    <d v="2022-01-11T00:00:00"/>
    <n v="22"/>
    <d v="2023-11-11T00:00:00"/>
    <s v="ANTIGUO"/>
    <d v="2023-11-11T00:00:00"/>
    <m/>
    <s v="N/A"/>
    <n v="2"/>
    <s v="CTP"/>
    <s v="N/A"/>
    <s v="N/A"/>
    <s v="SSGG"/>
    <s v="ASEO OPERACIONAL"/>
    <s v="OPERARIO "/>
    <s v="IQF-2"/>
    <s v="N/A"/>
    <s v="NOCHE"/>
    <d v="1899-12-30T00:00:00"/>
    <s v="SABADO"/>
    <s v="SEMANA 45"/>
    <n v="16011"/>
    <s v="NC-152-23"/>
    <s v="CARLOS JIMENEZ"/>
    <s v="LUIS URBINA"/>
    <n v="39"/>
    <s v="Materiales"/>
    <s v="Manos / dedos"/>
    <s v="Herida cortante"/>
    <s v="Golpeado por"/>
    <s v="COLABORADOR SUFRE HERIDA CORTANTE EN DEDO ANULAR DERECHO POR GOLPE CONTRA FIERRO PICA HIELO CORRESPONDIENTE AL EQUIPO IQF-2"/>
    <s v="CONDICION "/>
    <s v="SI"/>
    <s v="SI"/>
    <s v="NICOLAS GOMEZ"/>
    <s v="CARLOS CARTAGENA"/>
  </r>
  <r>
    <n v="2023"/>
    <s v="NOVIEMBRE"/>
    <s v="EL PAICO"/>
    <s v="MUÑOZ ISLA"/>
    <s v="JESSICA"/>
    <s v="FEMENINO"/>
    <s v="16669807-3"/>
    <d v="2020-01-20T00:00:00"/>
    <n v="45"/>
    <d v="2023-11-11T00:00:00"/>
    <s v="ANTIGUO"/>
    <s v="N/A"/>
    <s v="N/A"/>
    <s v="N/A"/>
    <n v="0"/>
    <s v="STP"/>
    <s v="N/A"/>
    <s v="N/A"/>
    <s v="TROZADO DE POLLO"/>
    <s v="DESHUESADO"/>
    <s v="OPERARIO"/>
    <s v="PASILLO DESHUESADO"/>
    <s v="N/A"/>
    <s v="MAÑANA"/>
    <d v="1899-12-30T08:00:00"/>
    <s v="SABADO"/>
    <s v="SEMANA 45"/>
    <m/>
    <m/>
    <s v="DANIEL GARRIDO"/>
    <s v="JOSE CARVALLO"/>
    <n v="36"/>
    <s v="Bins"/>
    <s v="Brazo"/>
    <s v="Contusión"/>
    <s v="Golpeado por"/>
    <s v="COLABORADORA SUGRE GOLPE EN HOMBRO Y MANO IZQUIERDA AL IR TRANSITANDO  HACIA PASILLO DE DESHUESADO, EL ACCIDENTE OCURRE AL MOMENTO DE QUE COINCIDE CON UN MOVILIZADOR QUE TRANSPORTABA DOS BINS CON TRANSPALETA MANUAL, AL GIRAR UNO DE ESTOS CAE GOLPEANDO LA EXTREMIDAD SUPERIOR DE LA COLABORADORA."/>
    <s v="ACCION"/>
    <s v="SI"/>
    <s v="NO"/>
    <s v="NICOLAS GOMEZ"/>
    <s v="CARLOS CARTAGENA"/>
  </r>
  <r>
    <n v="2023"/>
    <s v="NOVIEMBRE"/>
    <s v="EL PAICO"/>
    <s v="HERMOSILLA TOBAR"/>
    <s v="PAZ"/>
    <s v="FEMENINO"/>
    <s v="11170434-1"/>
    <d v="2023-07-17T00:00:00"/>
    <n v="3"/>
    <d v="2023-11-15T00:00:00"/>
    <s v="NUEVO"/>
    <s v="N/A"/>
    <s v="N/A"/>
    <s v="N/A"/>
    <n v="0"/>
    <s v="STP"/>
    <s v="N/A"/>
    <s v="N/A"/>
    <s v="TROZADO DE POLLO"/>
    <s v="DESHUESADO"/>
    <s v="OPERARIO"/>
    <s v="SALA DE PROCESOS"/>
    <s v="N/A"/>
    <s v="TARDE"/>
    <d v="1899-12-30T20:05:00"/>
    <s v="MIERCOLES"/>
    <s v="SEMANA 46"/>
    <m/>
    <m/>
    <s v="DANIEL GARRIDO"/>
    <s v="JOSE CARVALLO"/>
    <n v="56"/>
    <s v="Superficies de transito"/>
    <s v="Multiples"/>
    <s v="Contusión"/>
    <s v="Caida de mismo nivel"/>
    <s v="COLABORADORA SUFRE CONTUSION EN ZONA LUMBAR Y HOMBRO DERECHO POR CAIDA DE MISMO NIVEL PRODUCTO DE SUPERFICIE DE TRANSITO CON PRESENCIA DE AGUA"/>
    <s v="CONDICION"/>
    <s v="SI"/>
    <s v="NO"/>
    <s v="NICOLAS GOMEZ"/>
    <s v="CARLOS CARTAGENA"/>
  </r>
  <r>
    <n v="2023"/>
    <s v="NOVIEMBRE"/>
    <s v="EL PAICO"/>
    <s v="ALBURQUENQUE CACERES"/>
    <s v="ARACELI"/>
    <s v="FEMENINO"/>
    <s v="17623209-9"/>
    <d v="2023-07-17T00:00:00"/>
    <n v="3"/>
    <d v="2023-11-15T00:00:00"/>
    <s v="NUEVO"/>
    <s v="N/A"/>
    <s v="N/A"/>
    <s v="N/A"/>
    <n v="0"/>
    <s v="STP"/>
    <s v="N/A"/>
    <s v="N/A"/>
    <s v="IQF Y CALIBRADO"/>
    <s v="CALIBRADO"/>
    <s v="OPERARIO"/>
    <s v="SALA ETIQUETADO"/>
    <s v="N/A"/>
    <s v="TARDE "/>
    <d v="1899-12-30T17:00:00"/>
    <s v="MIERCOLES"/>
    <s v="SEMANA 46"/>
    <m/>
    <m/>
    <s v="JAVIERA BASTIAS"/>
    <s v="FERNANDO FUENTEALBA"/>
    <n v="33"/>
    <s v="Maquinarias"/>
    <s v="Manos / dedos"/>
    <s v="Atrición"/>
    <s v="Otros"/>
    <s v="COLABORADORA SUFRE ATRISION DE MANO XXXX AL TENER CONTACTO CON RESORTE DE CINTA DE MAQUINA EN CALIBRADO"/>
    <s v="ACCION"/>
    <s v="SI"/>
    <s v="NO"/>
    <s v="NICOLAS GOMEZ"/>
    <s v="CARLOS CARTAGENA"/>
  </r>
  <r>
    <n v="2023"/>
    <s v="NOVIEMBRE"/>
    <s v="EL PAICO"/>
    <s v="BRAVO GUAICO"/>
    <s v="YESENIA"/>
    <s v="FEMENINO"/>
    <s v="17224758-K"/>
    <d v="2013-05-14T00:00:00"/>
    <n v="126"/>
    <d v="2023-11-16T00:00:00"/>
    <s v="ANTIGUO"/>
    <s v="N/A"/>
    <s v="N/A"/>
    <s v="N/A"/>
    <n v="0"/>
    <s v="STP"/>
    <s v="N/A"/>
    <s v="N/A"/>
    <s v="IQF Y CALIBRADO"/>
    <s v="CALIBRADO"/>
    <s v="OPERARIO"/>
    <s v="CALIBRADO"/>
    <s v="N/A"/>
    <s v="MAÑANA"/>
    <d v="1899-12-30T08:30:00"/>
    <s v="JUEVES"/>
    <s v="SEMANA 46"/>
    <m/>
    <m/>
    <s v="JAVIERA BASTIAS"/>
    <s v="FRANCISCO SANCHEZ"/>
    <n v="34"/>
    <s v="Materia Prima"/>
    <s v="Ojos"/>
    <s v="Contusión"/>
    <s v="Golpeado por"/>
    <s v="COLABORADORA SUFRE CONTUSION EN ORBITA OCULAR IZQUIERDA AL SER GOLPEADA POR PRODUCTO CONGELADO EN SALA DE CALIBRADO"/>
    <s v="CONDICION"/>
    <s v="SI"/>
    <s v="NO"/>
    <s v="ALAN CARRASCO"/>
    <s v="MICHELLE SANCHEZ"/>
  </r>
  <r>
    <n v="2023"/>
    <s v="NOVIEMBRE"/>
    <s v="EL PAICO"/>
    <s v="PALMA MUÑOZ"/>
    <s v="BASTIAN"/>
    <s v="MASCULINO"/>
    <s v="20136459-0"/>
    <d v="1899-12-30T00:00:00"/>
    <n v="1486"/>
    <d v="2023-11-17T00:00:00"/>
    <s v="ANTIGUO"/>
    <s v="N/A"/>
    <s v="N/A"/>
    <s v="N/A"/>
    <n v="0"/>
    <s v="STP"/>
    <s v="N/A"/>
    <s v="N/A"/>
    <s v="SSGG"/>
    <s v="ASEO PREOPERACIONAL"/>
    <s v="OPERARIO"/>
    <s v="TUNEL CALIBRADO"/>
    <s v="N/A"/>
    <s v="NOCHE"/>
    <d v="1899-12-30T02:30:00"/>
    <s v="VIERNES"/>
    <s v="SEMANA 46"/>
    <m/>
    <m/>
    <s v="CARLOS JIMENES"/>
    <s v="PATRICIO PALACIOS"/>
    <n v="24"/>
    <s v="Maquinarias"/>
    <s v="Brazo"/>
    <s v="Contusión"/>
    <s v="Golpeado contra"/>
    <s v="COLABORADOR SUFRE CONTUSION EN EN ANTEBRAZO DERECHO AL SER GOLPEADO CONTRA ESTRELLA DE CINTA TRANSPORTADORA"/>
    <s v="CONDICION"/>
    <s v="SI"/>
    <s v="NO"/>
    <s v="NICOLAS GOMEZ"/>
    <s v="CHISTIAN JHONS"/>
  </r>
  <r>
    <n v="2023"/>
    <s v="NOVIEMBRE"/>
    <s v="EL PAICO"/>
    <s v="URBINA "/>
    <s v="BRIAN"/>
    <s v="MASCULINO"/>
    <s v="22047633-2"/>
    <d v="2022-04-25T00:00:00"/>
    <n v="18"/>
    <d v="2023-11-20T00:00:00"/>
    <s v="INTERMEDIO"/>
    <s v="N/A"/>
    <s v="N/A"/>
    <s v="N/A"/>
    <n v="0"/>
    <s v="STP"/>
    <s v="N/A"/>
    <s v="N/A"/>
    <s v="MANTENCION"/>
    <s v="MANTENCION"/>
    <s v="ELECTRICO"/>
    <s v="RECEPCION DE POLLO"/>
    <s v="N/A"/>
    <s v="MAÑANA"/>
    <d v="1899-12-30T14:20:00"/>
    <s v="LUNES"/>
    <s v="SEMANA 47"/>
    <m/>
    <m/>
    <s v="VICTOR GOMEZ"/>
    <s v="EMANUEL MELLADO"/>
    <n v="23"/>
    <s v="Maquinarias"/>
    <s v="Manos / dedos"/>
    <s v="Contusión"/>
    <s v="Golpeado contra"/>
    <s v="COLABORADOR SUFRE CONTUSION EN MANO IZQUIERDA POR GOLPE CONTRA MAQUINA APILADOR DE JAVAS "/>
    <s v="ACCION"/>
    <s v="SI"/>
    <s v="NO"/>
    <s v="ALAN CARRASCO"/>
    <s v="MICHELLE SANCHEZ"/>
  </r>
  <r>
    <n v="2023"/>
    <s v="NOVIEMBRE"/>
    <s v="EL PAICO"/>
    <s v="ABARCA GONZALEZ"/>
    <s v="JOSE"/>
    <s v="MASCULINO"/>
    <s v="9460017-0"/>
    <d v="1998-08-01T00:00:00"/>
    <n v="303"/>
    <d v="2023-11-21T00:00:00"/>
    <s v="ANTIGUO"/>
    <s v="N/A"/>
    <s v="N/A"/>
    <s v="N/A"/>
    <n v="0"/>
    <s v="STP"/>
    <s v="N/A"/>
    <s v="N/A"/>
    <s v="P. POSTERIORES"/>
    <s v="LINEA DE BANDEJAS "/>
    <s v="OPERARIO"/>
    <s v="LINEA DE BANDEJAS LIMPIAS"/>
    <s v="N/A"/>
    <s v="TARDE"/>
    <d v="1899-12-30T15:20:00"/>
    <s v="MARTES"/>
    <s v="SEMANA 47"/>
    <m/>
    <m/>
    <s v="OCTAVIO MUÑOZ"/>
    <s v="MARCOS QUINTANILLA"/>
    <n v="61"/>
    <s v="Bandejas"/>
    <s v="Rostro"/>
    <s v="Contusión"/>
    <s v="Golpeado por"/>
    <s v="COLABORADOR SUFRE CONSTUSION EN CEJA DERECHA AL SER GOLPEADO POR BANDEJA PLASTICA CUANDO SE ENCONTRABA DESCOLGANDO BANDEJAS DESDE LINEA"/>
    <s v="CONDICION"/>
    <s v="SI"/>
    <s v="NO"/>
    <s v="ALAN CARRASCO"/>
    <s v="WLADIMIR CALDERON "/>
  </r>
  <r>
    <n v="2023"/>
    <s v="NOVIEMBRE"/>
    <s v="EL PAICO"/>
    <s v="VALDIVIA PEÑALOZA"/>
    <s v="JAIME"/>
    <s v="MASCULINO"/>
    <s v="14140942-6"/>
    <d v="2021-06-01T00:00:00"/>
    <n v="29"/>
    <d v="2023-11-21T00:00:00"/>
    <s v="ANTIGUO"/>
    <s v="N/A"/>
    <s v="N/A"/>
    <s v="N/A"/>
    <n v="0"/>
    <s v="STP"/>
    <s v="N/A"/>
    <s v="N/A"/>
    <s v="IQF Y CALIBRADO"/>
    <s v="IQF"/>
    <s v="OPERARIO"/>
    <s v="TAMBLER IQF"/>
    <s v="N/A"/>
    <s v="TARDE"/>
    <d v="1899-12-30T19:00:00"/>
    <s v="MARTES"/>
    <s v="SEMANA 47"/>
    <m/>
    <m/>
    <s v="JAVIERA BASTIAS"/>
    <s v="MIGUEL HENRRIQUEZ"/>
    <n v="42"/>
    <s v="Bandejas"/>
    <s v="Pierna"/>
    <s v="Contusión"/>
    <s v="Golpeado por"/>
    <s v="COLABORADOR SUFRE CONTUSION EN EXTREMIDAD INFERIOR DERECHA AL SER GOLPEADO POR BANDAJEAS CUANDO SE ENCONTRABA APILANDO ESTAS"/>
    <s v="CONDICION"/>
    <s v="SI"/>
    <s v="NO"/>
    <s v="ALAN CARRASCO"/>
    <s v="MICHELLE SANCHEZ"/>
  </r>
  <r>
    <n v="2023"/>
    <s v="NOVIEMBRE"/>
    <s v="EL PAICO"/>
    <s v="ESPINOZA PINTO"/>
    <s v="JORGE"/>
    <s v="MASCULINO"/>
    <s v="19849137-3"/>
    <d v="2022-11-14T00:00:00"/>
    <n v="12"/>
    <d v="2023-11-22T00:00:00"/>
    <s v="INTERMEDIO"/>
    <d v="2023-11-23T00:00:00"/>
    <m/>
    <d v="2023-11-23T00:00:00"/>
    <n v="8"/>
    <s v="CTP"/>
    <s v="LGF"/>
    <s v="LGF4"/>
    <s v="TROZADO DE POLLO"/>
    <s v="AUTOMATICO"/>
    <s v="OPERARIO"/>
    <s v="DROP POINT"/>
    <s v="EQUIPO PARA MOVIMIENTO DE CARGA (GRUAS O TRANSPALETAS)"/>
    <s v="TARDE"/>
    <d v="1899-12-30T20:05:00"/>
    <s v="MIERCOLES"/>
    <s v="SEMANA 47"/>
    <n v="16033"/>
    <s v="NC-154-23"/>
    <s v="DANIEL GARRIDO"/>
    <s v="RAMIRO RAMIREZ"/>
    <n v="25"/>
    <s v="Equipos Transporte de carga"/>
    <s v="Pie"/>
    <s v="Contusión"/>
    <s v="Golpeado por"/>
    <s v="COLABORADOR SUFRE CONTUSION EN PIE IZQUIERDO A SER GOLPEADO CON EQUIPO DE MOVIMIENTO DE CARGA CUANDO SE ENCONTRABA MOVILIZANDO PRODUCTO CON TRANSPALETA MANUAL"/>
    <s v="CONDICION"/>
    <s v="SI"/>
    <s v="SI"/>
    <s v="ALAN CARRASCO"/>
    <s v="WLADIMIR CALDERON "/>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n v="2023"/>
    <s v="ENERO"/>
    <s v="EL PAICO"/>
    <s v="VERA CATALAN"/>
    <s v="IVAN "/>
    <s v="MASCULINO"/>
    <s v="18488665-0 "/>
    <d v="2019-04-08T00:00:00"/>
    <n v="45"/>
    <d v="2023-01-18T00:00:00"/>
    <s v="ANTIGUO"/>
    <d v="2023-01-18T00:00:00"/>
    <s v="N/A"/>
    <s v="N/A"/>
    <n v="0"/>
    <s v="STP"/>
    <s v="N/A"/>
    <s v="N/A"/>
    <s v="BODEGA"/>
    <s v="BODEGA"/>
    <s v="OPERARIO"/>
    <s v="BODEGA"/>
    <s v="N/A"/>
    <x v="0"/>
    <d v="1899-12-30T13:30:00"/>
    <s v="MIERCOLES"/>
    <s v="SEMANA 3"/>
    <m/>
    <m/>
    <s v="BORIS PONCE"/>
    <s v="VICTORIA MILLANERS"/>
    <n v="28"/>
    <x v="0"/>
    <x v="0"/>
    <s v="Otros"/>
    <s v="Sobreesfuerzo"/>
    <s v="TRABAJADOR SUBRE TIRON AL ESTAR CORTANDO LAS AMARRAS (VARIAS) DEL PALLET Y AL MOVERLAS SIENTE DOLOR QUE VA DESDE LA MITAD DE LA PALMA HASTA EL CODO, EL CUAL VA EN AUMENTO Y AVISA A SU SUPERVISOR "/>
    <x v="0"/>
    <s v="SI"/>
    <x v="0"/>
    <s v="ALAN CARRASCO"/>
    <s v="GABRIELA CABEZAS "/>
    <x v="0"/>
  </r>
  <r>
    <n v="2023"/>
    <s v="ENERO"/>
    <s v="EL PAICO"/>
    <s v="ROCHA VARELA"/>
    <s v="MARIANA"/>
    <s v="FEMENINO"/>
    <s v="15596634-3"/>
    <d v="2021-02-09T00:00:00"/>
    <n v="23"/>
    <d v="2023-01-19T00:00:00"/>
    <s v="ANTIGUO"/>
    <s v="N/A"/>
    <s v="N/A"/>
    <s v="N/A"/>
    <n v="0"/>
    <s v="STP"/>
    <s v="N/A"/>
    <s v="N/A"/>
    <s v="IQF Y CALIBRADO"/>
    <s v="CALIBRADO"/>
    <s v="OPERARIO"/>
    <s v="BAÑO MUJERES"/>
    <s v="N/A"/>
    <x v="0"/>
    <d v="1899-12-30T11:20:00"/>
    <s v="JUEVES"/>
    <s v="SEMANA 3"/>
    <m/>
    <m/>
    <s v="GUILLERMO NARVAEZ"/>
    <s v="FERNANDO FUENTEALBA"/>
    <n v="39"/>
    <x v="1"/>
    <x v="0"/>
    <s v="Contusión"/>
    <s v="Caida de mismo nivel"/>
    <s v="COLABORADOR AL ESTAR DESPLAZANDOSE AL INTERIOR DEL BAÑO DE MUJERES, RESBALA PROBOCANDOLE UNA CONTUSION EN LA MUQUEÑA IZQUIERDA."/>
    <x v="0"/>
    <s v="SI"/>
    <x v="0"/>
    <s v="NICOLAS GOMEZ"/>
    <s v="CHRISTIAN JHONS"/>
    <x v="0"/>
  </r>
  <r>
    <n v="2023"/>
    <s v="ENERO"/>
    <s v="EL PAICO"/>
    <s v="QUIROZ SAAVEDRA"/>
    <s v="JORGE"/>
    <s v="MASCULINO"/>
    <s v="10261648-0"/>
    <d v="2002-08-23T00:00:00"/>
    <n v="244"/>
    <d v="2023-01-21T00:00:00"/>
    <s v="ANTIGUO"/>
    <d v="2023-01-23T00:00:00"/>
    <d v="2023-02-04T00:00:00"/>
    <s v="N/A"/>
    <n v="13"/>
    <s v="CTP"/>
    <s v="LGF"/>
    <s v="LGF2"/>
    <s v="FAENACION"/>
    <s v="CHILLER DE AGUA"/>
    <s v="OPERARIO"/>
    <s v="CHILLER DE AGUA "/>
    <s v="CINTA DE TRANSPORTE"/>
    <x v="0"/>
    <d v="1899-12-30T12:10:00"/>
    <s v="SABADO"/>
    <s v="SEMANA 3"/>
    <n v="15430"/>
    <s v="NC-11-23"/>
    <s v="NICOLAS MOYANO"/>
    <s v="ERWIN GATICA"/>
    <n v="58"/>
    <x v="2"/>
    <x v="0"/>
    <s v="Atrición"/>
    <s v="Atrapamiento"/>
    <s v="TRABAJADOR EL CUAL SE ENCONTRABA TRANSLANDO LA CINTA TRANSPORTADORA PARA TRABAJAR EN LA HEMBRA SE APRETA EL DEDO  PULGAR DE MANO DERECHA"/>
    <x v="0"/>
    <s v="SI"/>
    <x v="1"/>
    <s v="NICOLAS GOMEZ"/>
    <s v="CARLOS CARTAGENA"/>
    <x v="1"/>
  </r>
  <r>
    <n v="2023"/>
    <s v="ENERO"/>
    <s v="EL PAICO"/>
    <s v="PEREZ CAMPOS"/>
    <s v="CARMEN"/>
    <s v="FEMENINO"/>
    <s v="11608562-3"/>
    <d v="1998-04-01T00:00:00"/>
    <n v="297"/>
    <d v="2023-01-13T00:00:00"/>
    <s v="ANTIGUO"/>
    <s v="N/A"/>
    <s v="N/A"/>
    <s v="N/A"/>
    <n v="0"/>
    <s v="STP"/>
    <s v="N/A"/>
    <s v="N/A"/>
    <s v="CALIDAD"/>
    <s v="SANGRADO DE POLLOS"/>
    <s v="OPERARIO"/>
    <s v="SALA DE SANGRADO"/>
    <s v="N/A"/>
    <x v="0"/>
    <d v="1899-12-30T04:00:00"/>
    <s v="VIERNES"/>
    <s v="SEMANA 2"/>
    <m/>
    <m/>
    <s v="JAIME JORQUERA"/>
    <s v="HECNIMAR URDANETA"/>
    <n v="52"/>
    <x v="3"/>
    <x v="0"/>
    <s v="Otros"/>
    <s v="Contacto con cuerpo punzante"/>
    <s v="TRABAJADORA SE ENCONTRABA REALIZANDO INSPECCION DE ASEO PREOPERACIONAL EN SALA DE SANGRADO, AL MOMENTO DE PASAR MANO POR GUIAS SE ENTIERRA UNA ESCIRLA DE METAL EN DEDO ANULAR EL CUAL FUE RETIRADO AL MOMENTO"/>
    <x v="1"/>
    <s v="SI"/>
    <x v="0"/>
    <s v="CARLOS ORELLANA"/>
    <s v="CARLOS CARTAGENA"/>
    <x v="0"/>
  </r>
  <r>
    <n v="2023"/>
    <s v="ENERO"/>
    <s v="EL PAICO"/>
    <s v="PEÑA ASTORGA"/>
    <s v="GUSTAVO"/>
    <s v="MASCULINO"/>
    <s v="17225054-8"/>
    <d v="2019-11-11T00:00:00"/>
    <n v="37"/>
    <d v="2023-01-03T00:00:00"/>
    <s v="ANTIGUO"/>
    <s v="N/A"/>
    <s v="N/A"/>
    <s v="N/A"/>
    <n v="0"/>
    <s v="STP"/>
    <s v="N/A"/>
    <s v="N/A"/>
    <s v="FAENACION"/>
    <s v="EVISCERADO"/>
    <s v="OPERARIO"/>
    <s v="LINEA DESCOLGADO DE BANDEJAS"/>
    <s v="N/A"/>
    <x v="0"/>
    <d v="1899-12-30T13:45:00"/>
    <s v="MARTES"/>
    <s v="SEMANA 1"/>
    <m/>
    <m/>
    <s v="NICOLAS MOYANO"/>
    <m/>
    <n v="33"/>
    <x v="0"/>
    <x v="1"/>
    <s v="Herida cortante"/>
    <s v="Golpeado por"/>
    <s v="ESTABA BAJANDO BANDEJA DE LINEA DE DESCOLGADO AL MOMENTO DE RETIRAR UNA BANDEJA LA QUE VENIA GOLPEA PARPADO DERECHO"/>
    <x v="0"/>
    <s v="SI"/>
    <x v="0"/>
    <s v="NICOLAS GOMEZ"/>
    <s v="CHRISTIAN JHONS"/>
    <x v="0"/>
  </r>
  <r>
    <n v="2023"/>
    <s v="ENERO"/>
    <s v="EL PAICO"/>
    <s v="MORENO LORCA"/>
    <s v="OSCAR"/>
    <s v="MASCULINO"/>
    <s v="10874086-8"/>
    <d v="2023-01-17T00:00:00"/>
    <n v="0"/>
    <d v="2023-01-23T00:00:00"/>
    <s v="NUEVO"/>
    <d v="2023-01-24T00:00:00"/>
    <d v="2023-03-25T00:00:00"/>
    <s v="N/A"/>
    <n v="2"/>
    <s v="CTP"/>
    <s v="N/A"/>
    <s v="N/A"/>
    <s v="FRIGORIFICO"/>
    <s v="EMPAQUE"/>
    <s v="OPERARIO"/>
    <s v="CAMARA 201 ORIENTE"/>
    <s v="N/A"/>
    <x v="0"/>
    <d v="1899-12-30T11:30:00"/>
    <s v="LUNES"/>
    <s v="SEMANA 4"/>
    <n v="15435"/>
    <s v="NC-09-23"/>
    <s v="FRANCISCO QUEZADA"/>
    <s v="JUAN VILLAVICENCIO"/>
    <n v="52"/>
    <x v="4"/>
    <x v="2"/>
    <s v="Contusión"/>
    <s v="Caida de mismo nivel"/>
    <s v="TRABAJADOR CUANDO SE TRANSLADABA A DEJAR INSUMOS DE TRABAJO (PISO DE ENCONTRABA CAPA DE HIELO) ESTE RESBALA CAYENDO DE ESPALDA GOLPEANDOSE LADO DERECHO A NIVEL DE LA CINTURA Y SU CODO IZQUERDO "/>
    <x v="1"/>
    <s v="SI"/>
    <x v="1"/>
    <s v="ALAN CARRASCO"/>
    <s v="CHRISTIAN JHONS"/>
    <x v="2"/>
  </r>
  <r>
    <n v="2023"/>
    <s v="ENERO"/>
    <s v="EL PAICO"/>
    <s v="MIRANDA GOMEZ"/>
    <s v="JOSELYN"/>
    <s v="FEMENINO"/>
    <s v="18487450-4"/>
    <d v="2022-05-09T00:00:00"/>
    <n v="8"/>
    <d v="2023-01-23T00:00:00"/>
    <s v="INTERMEDIO"/>
    <d v="2023-01-24T00:00:00"/>
    <d v="2023-01-28T00:00:00"/>
    <s v="N/A"/>
    <n v="5"/>
    <s v="CTP"/>
    <s v="N/A"/>
    <s v="N/A"/>
    <s v="FRIGORIFICO"/>
    <s v="EMPAQUE"/>
    <s v="OPERARIO"/>
    <s v="CAMARINES DE MUJER"/>
    <s v="N/A"/>
    <x v="1"/>
    <d v="1899-12-30T14:15:00"/>
    <s v="LUNES"/>
    <s v="SEMANA 4"/>
    <n v="15436"/>
    <s v="NC-10-23"/>
    <s v="FRANCISCO QUEZADA"/>
    <s v="JUAN VILLAVICENCIO"/>
    <n v="29"/>
    <x v="3"/>
    <x v="3"/>
    <s v="Contusión"/>
    <s v="Golpeado contra"/>
    <s v="TRABAJADORA QUE SE ENCONTRABA CAMBIANDO SU VESTIMENTA EN CAMARINES DE MUJER SE GOLPEA DEDO MEÑIQUE DEL PIE DERECHO CON UNA SILLA DE FIERRO PRESENTE EN EL LUGAR"/>
    <x v="0"/>
    <s v="SI"/>
    <x v="1"/>
    <s v="ALAN CARRASCO"/>
    <s v="CHRISTIAN JHONS"/>
    <x v="3"/>
  </r>
  <r>
    <n v="2023"/>
    <s v="ENERO"/>
    <s v="EL PAICO"/>
    <s v="MENDEZ DEL CASTILLO"/>
    <s v="DANIELA"/>
    <s v="FEMENINO"/>
    <s v="15822820-3"/>
    <d v="2021-01-25T00:00:00"/>
    <n v="23"/>
    <d v="2023-01-03T00:00:00"/>
    <s v="ANTIGUO"/>
    <d v="2023-01-04T00:00:00"/>
    <d v="2023-01-12T00:00:00"/>
    <s v="N/A"/>
    <n v="9"/>
    <s v="CTP"/>
    <s v="N/A"/>
    <s v="N/A"/>
    <s v="TROZADO DE POLLO"/>
    <s v="TROZADO AUTOMATICO"/>
    <s v="OPERARIO"/>
    <s v="ESCALERA PRINCIPAL"/>
    <s v="N/A"/>
    <x v="1"/>
    <d v="1899-12-30T19:50:00"/>
    <s v="MARTES"/>
    <s v="SEMANA 1"/>
    <n v="15412"/>
    <s v="NC-04-23"/>
    <s v="DANIEL GARRIDO"/>
    <s v="RAMIRO RAMIREZ"/>
    <n v="37"/>
    <x v="1"/>
    <x v="4"/>
    <s v="Torsión"/>
    <s v="Caida de mismo nivel"/>
    <s v="TRABAJADORA SUFRE CAIDA AL BAJAR ESCALERA PRINCIPAL, EN EL DESCANSO HABIA TIERRA , LA CUAL PISA RESBALANDOSE Y SUFRIENDO UNA HIPEREXTENSION DE RODILLA IZQUIERDA"/>
    <x v="1"/>
    <s v="NO"/>
    <x v="1"/>
    <s v="NICOLAS GOMEZ"/>
    <s v="CHRISTIAN JHONS"/>
    <x v="4"/>
  </r>
  <r>
    <n v="2023"/>
    <s v="ENERO"/>
    <s v="EL PAICO"/>
    <s v="INFANTE GUTIERREZ"/>
    <s v="TERESA"/>
    <s v="FEMENINO"/>
    <s v="16795621-1"/>
    <d v="2014-10-06T00:00:00"/>
    <n v="99"/>
    <d v="2023-01-07T00:00:00"/>
    <s v="ANTIGUO"/>
    <d v="2023-01-10T00:00:00"/>
    <d v="2023-01-17T00:00:00"/>
    <d v="2023-01-10T00:00:00"/>
    <n v="8"/>
    <s v="CTP"/>
    <s v="N/A"/>
    <s v="N/A"/>
    <s v="SSGG"/>
    <s v="SALA DE SALMUERA"/>
    <s v="OPERARIO"/>
    <s v="SALA DE SALMUERA "/>
    <s v="N/A"/>
    <x v="2"/>
    <d v="1899-12-30T22:40:00"/>
    <s v="SABADO"/>
    <s v="SEMANA 1"/>
    <n v="15413"/>
    <s v="NC-03-23"/>
    <s v="CARLOS JIMENEZ"/>
    <s v="PATRICIO PALACIOS"/>
    <n v="35"/>
    <x v="3"/>
    <x v="4"/>
    <s v="Contusión"/>
    <s v="Caida de distinto nivel"/>
    <s v="TRABAJADOR CUANDO LIMPIABA EN SALA SALMUERA SE CAE DE TARIMA GOLPEANDOSE LA RODILLA IZQUIERDA"/>
    <x v="1"/>
    <s v="SI"/>
    <x v="1"/>
    <s v="CARLOS ORELLANA"/>
    <s v="CHRISTIAN JHONS"/>
    <x v="5"/>
  </r>
  <r>
    <n v="2023"/>
    <s v="ENERO"/>
    <s v="EL PAICO"/>
    <s v="HOSTIL"/>
    <s v="SMITH"/>
    <s v="MASCULINO"/>
    <s v="26204649-4"/>
    <d v="2022-11-14T00:00:00"/>
    <n v="1"/>
    <d v="2023-01-04T00:00:00"/>
    <s v="NUEVO"/>
    <s v="N/A"/>
    <s v="N/A"/>
    <s v="N/A"/>
    <n v="0"/>
    <s v="STP"/>
    <s v="N/A"/>
    <s v="N/A"/>
    <s v="SSGG"/>
    <s v="ASEO PREOPERACIONAL"/>
    <s v="OPERARIO"/>
    <s v="TROZADO DE POLLO"/>
    <s v="N/A"/>
    <x v="2"/>
    <d v="1899-12-30T02:00:00"/>
    <s v="MIERCOLES"/>
    <s v="SEMANA 1"/>
    <m/>
    <m/>
    <s v="CARLOS JIMENEZ"/>
    <s v="PATRICIO PALACIOS"/>
    <n v="34"/>
    <x v="3"/>
    <x v="4"/>
    <s v="Contusión"/>
    <s v="Caida de distinto nivel"/>
    <s v="TRABAJADOR SUFRE CAIDA DE DISTINTO NIVEL AL BAJAR UNA ESCALERA EN TROZADO DE POLLO LUEGO DE FINALIZAR LA LIMPIEZA DE UN EQUIPO"/>
    <x v="0"/>
    <s v="SI"/>
    <x v="0"/>
    <s v="NICOLAS GOMEZ"/>
    <s v="CHRISTIAN JHONS"/>
    <x v="2"/>
  </r>
  <r>
    <n v="2023"/>
    <s v="ENERO"/>
    <s v="EL PAICO"/>
    <s v="HIDALGO"/>
    <s v="ARISLEYDA"/>
    <s v="FEMENINO"/>
    <s v="26622517-2"/>
    <d v="2020-02-03T00:00:00"/>
    <n v="35"/>
    <d v="2023-01-19T00:00:00"/>
    <s v="ANTIGUO"/>
    <s v="N/A"/>
    <s v="N/A"/>
    <s v="N/A"/>
    <n v="0"/>
    <s v="STP"/>
    <s v="N/A"/>
    <s v="N/A"/>
    <s v="TROZADO DE POLLO"/>
    <s v="DESHUESADO"/>
    <s v="OPERARIO"/>
    <s v="DESPLUMADO"/>
    <s v="N/A"/>
    <x v="0"/>
    <d v="1899-12-30T05:30:00"/>
    <s v="JUEVES"/>
    <s v="SEMANA 3"/>
    <m/>
    <m/>
    <s v="DANIEL GARRIDO"/>
    <s v="LUIS BUSTAMANTE"/>
    <n v="32"/>
    <x v="0"/>
    <x v="0"/>
    <s v="Contusión"/>
    <s v="Golpeado por"/>
    <s v="TRABAJADORA AL COMENZAR SU TURNO, ORDENABA SU PUESTO DE TRABAJO CUANDO LE CAE UNA TABLA GOLPANDOLA EN DEDOS MEDIO Y ANULAR DE LA MANO IZQUERDA"/>
    <x v="0"/>
    <s v="SI"/>
    <x v="0"/>
    <s v="NICOLAS GOMEZ"/>
    <s v="CHRISTIAN JHONS"/>
    <x v="6"/>
  </r>
  <r>
    <n v="2023"/>
    <s v="ENERO"/>
    <s v="EL PAICO"/>
    <s v="GALVEZ MANZO"/>
    <s v="DAVID"/>
    <s v="MASCULINO "/>
    <s v="18029574-7"/>
    <d v="2021-12-13T00:00:00"/>
    <n v="13"/>
    <d v="2023-01-18T00:00:00"/>
    <s v="INTERMEDIO"/>
    <s v="N/A"/>
    <s v="N/A"/>
    <s v="N/A"/>
    <s v="O"/>
    <s v="STP"/>
    <s v="N/A"/>
    <s v="N/A"/>
    <s v="SSGG"/>
    <s v="FAENA"/>
    <s v="OPERARIO"/>
    <s v="DESPLUMADO"/>
    <s v="N/A"/>
    <x v="2"/>
    <d v="1899-12-30T22:25:00"/>
    <s v="MIERCOLES"/>
    <s v="SEMANA 3"/>
    <m/>
    <m/>
    <s v="CARLOS JIMENEZ"/>
    <s v="LUIS URBINA"/>
    <n v="31"/>
    <x v="4"/>
    <x v="2"/>
    <s v="Contusión"/>
    <s v="Caida de distinto nivel"/>
    <s v="COLABORADOR SUFRE CAIDA DE DISTINTO NIVEL DESDE TARIMA DE TRABAJO, CUANDO SE ENCONTRABA REALIZANDO LABORESDE ASEO PREOPERACIONAL EN LA SALA DE DESPLUMADO ENTRE DOS MAQUINAS EN LA SALA, PROPBOCANDOLE LESIONES EN COSTILLAS Y RODILLA IZQUERDA."/>
    <x v="0"/>
    <s v="SI"/>
    <x v="0"/>
    <s v="ALAN CARRASCO"/>
    <s v="GABRIELA CABEZAS "/>
    <x v="5"/>
  </r>
  <r>
    <n v="2023"/>
    <s v="ENERO"/>
    <s v="EL PAICO"/>
    <s v="GALVEZ MANZO"/>
    <s v="DAVID"/>
    <s v="MASCULINO"/>
    <s v="18029574-7"/>
    <d v="2021-12-13T00:00:00"/>
    <n v="13"/>
    <d v="2023-01-18T00:00:00"/>
    <s v="INTERMEDIO"/>
    <d v="2023-01-20T00:00:00"/>
    <d v="2023-02-04T00:00:00"/>
    <s v="N/A"/>
    <n v="16"/>
    <s v="CTP"/>
    <s v="N/A"/>
    <s v="N/A"/>
    <s v="SSGG"/>
    <s v="ASEO PREOPERACIONAL"/>
    <s v="OPERARIO"/>
    <s v="SALA DE DESPLUMADO"/>
    <s v="N/A"/>
    <x v="1"/>
    <d v="1899-12-30T22:25:00"/>
    <s v="MIERCOLES"/>
    <s v="SEMANA 3"/>
    <n v="15426"/>
    <s v="NC-08-23"/>
    <s v="CARLOS JIMENEZ"/>
    <s v="LUIS URBINA"/>
    <n v="31"/>
    <x v="3"/>
    <x v="2"/>
    <s v="Contusión"/>
    <s v="Caida de distinto nivel"/>
    <s v="TRABAJADOR AL ESTAR REALIZANDO LIMPIEZA EN SALA DE DESPLUMADO CAE DESDE UNA TARIMA GOLPEANDOSE PARILLA COSTAL DERECHA Y RODILLA IZQUERDA"/>
    <x v="0"/>
    <s v="SI"/>
    <x v="1"/>
    <s v="NICOLAS GOMEZ"/>
    <s v="GABRIELA CABEZAS "/>
    <x v="5"/>
  </r>
  <r>
    <n v="2023"/>
    <s v="FEBRERO"/>
    <s v="EL PAICO"/>
    <s v="ZUAZO GARAY"/>
    <s v="ALEJANDRO "/>
    <s v="MASCULINO"/>
    <s v="20403022-7"/>
    <d v="2022-08-18T00:00:00"/>
    <n v="5"/>
    <d v="2023-02-15T00:00:00"/>
    <s v="NUEVO"/>
    <d v="2023-02-15T00:00:00"/>
    <d v="2023-02-15T00:00:00"/>
    <s v="N/A"/>
    <n v="0"/>
    <s v="STP"/>
    <s v="N/A"/>
    <s v="N/A"/>
    <s v="TROZADO DE POLLO"/>
    <s v="T. AUTOMATICO"/>
    <s v="OPERARIO"/>
    <s v="BISN DE CARCASA"/>
    <s v="N/A"/>
    <x v="0"/>
    <d v="1899-12-30T07:05:00"/>
    <s v="MIERCOLES"/>
    <s v="SEMANA 7"/>
    <n v="15478"/>
    <s v="NC-99-23"/>
    <s v="DANIEL GARRIDO"/>
    <s v="JOSE CARVALLO"/>
    <n v="22"/>
    <x v="5"/>
    <x v="0"/>
    <s v="Contusión"/>
    <s v="Golpeado contra"/>
    <s v="COLABORADOR AL RETIRAR BINS DE CARCASAS PARA SACARA BADEJAS, EL BINS SE DEVUELVE Y PROBOCA EL APICIONAMIENTO CONTRA LA ESTRUCTURA DE LA CINTA, PROBOCANDO UNA CONTUSION EN MANO DERECHA"/>
    <x v="0"/>
    <s v="SI"/>
    <x v="1"/>
    <s v="ALAN CARRASCO "/>
    <s v="CHRISTIAN JHONS"/>
    <x v="7"/>
  </r>
  <r>
    <n v="2023"/>
    <s v="FEBRERO"/>
    <s v="EL PAICO"/>
    <s v="ZARATE BALLESTEROS"/>
    <s v="MANUEL"/>
    <s v="MASCULINO"/>
    <s v="20123390-9"/>
    <d v="2021-11-22T00:00:00"/>
    <n v="14"/>
    <d v="2023-02-07T00:00:00"/>
    <s v="INTERMEDIO"/>
    <s v="N/A"/>
    <s v="N/A"/>
    <s v="N/A"/>
    <n v="0"/>
    <s v="STP"/>
    <s v="N/A"/>
    <s v="N/A"/>
    <s v="FAENACION"/>
    <s v="CHILLER DE PANAS"/>
    <s v="OPERARIO"/>
    <s v="CHILLER DE PANAS"/>
    <s v="N/A"/>
    <x v="1"/>
    <d v="1899-12-30T22:30:00"/>
    <s v="MARTES"/>
    <s v="SEMANA 6"/>
    <m/>
    <m/>
    <s v="NICOLAS MOYANO"/>
    <s v="CESAR CARTAGENA"/>
    <n v="24"/>
    <x v="6"/>
    <x v="5"/>
    <s v="Conjuntivitis"/>
    <s v="Proyeccion de particulas"/>
    <s v="TRABAJADOR SE ENCONTRABA LIMPIANDO PANAS DE POLLO EN SALA DE CHILLER DE PANAS EN ESE MOMENTO SE PROYECTADA BILIS AL OJO DERECHO"/>
    <x v="0"/>
    <s v="SI"/>
    <x v="0"/>
    <s v="NICOLAS GOMEZ"/>
    <s v="CHRISTIAN JHONS"/>
    <x v="0"/>
  </r>
  <r>
    <n v="2023"/>
    <s v="FEBRERO"/>
    <s v="EL PAICO"/>
    <s v="ORTIZ GONZALEZ"/>
    <s v="AUGUSTO"/>
    <s v="MASCULINO"/>
    <s v="15532741-3"/>
    <d v="2022-07-25T00:00:00"/>
    <n v="6"/>
    <d v="2023-02-14T00:00:00"/>
    <s v="NUEVO"/>
    <s v="N/A"/>
    <s v="N/A"/>
    <s v="N/A"/>
    <n v="0"/>
    <s v="STP"/>
    <s v="N/A"/>
    <s v="N/A"/>
    <s v="P. POSTERIORES"/>
    <s v="PULPA"/>
    <s v="OPERARIO"/>
    <s v="PULPA"/>
    <s v="N/A"/>
    <x v="0"/>
    <d v="1899-12-30T08:30:00"/>
    <s v="MARTES"/>
    <s v="SEMANA 7"/>
    <m/>
    <m/>
    <s v="OCTAVIO MUÑOZ"/>
    <s v="ALEJANDRO SALAS"/>
    <n v="41"/>
    <x v="5"/>
    <x v="6"/>
    <s v="Contusión"/>
    <s v="Golpeado contra"/>
    <s v="COLABORADOR SUFRE GOLPE EN TESTICULO POR BINS EL EVENTO SE PRODUJO CUANDO RESBALA AL MOMENTO DE ESTAR VACIANDO BANDEJAS. "/>
    <x v="0"/>
    <s v="SI"/>
    <x v="0"/>
    <s v="ALAN CARRASCO "/>
    <s v="WLADIMIR CALDERON "/>
    <x v="0"/>
  </r>
  <r>
    <n v="2023"/>
    <s v="FEBRERO"/>
    <s v="EL PAICO"/>
    <s v="OLATE CASTILLO"/>
    <s v="KATHERINE"/>
    <s v="FEMENINO"/>
    <s v="16181592-6"/>
    <d v="2012-05-07T00:00:00"/>
    <n v="129"/>
    <d v="2023-02-18T00:00:00"/>
    <s v="ANTIGUO"/>
    <s v="N/A"/>
    <s v="N/A"/>
    <s v="N/A"/>
    <n v="0"/>
    <s v="STP"/>
    <s v="N/A"/>
    <s v="N/A"/>
    <s v="TROZADO DE POLLO"/>
    <s v="DESHUESADO"/>
    <s v="OPERARIO"/>
    <s v="PORTERIA "/>
    <s v="N/A"/>
    <x v="0"/>
    <d v="1899-12-30T06:15:00"/>
    <s v="SABADO"/>
    <s v="SEMANA 7"/>
    <m/>
    <m/>
    <s v="DANIEL GARRIDO"/>
    <s v="JOSE CARVALLO"/>
    <n v="38"/>
    <x v="1"/>
    <x v="0"/>
    <s v="Contusión"/>
    <s v="Caida de mismo nivel"/>
    <s v="COLABORADORA SUFRE CAIDA A NIVEL  APOYANDO AMBAS MANOS EN EL PISO, AL INGRESAR A LA PLANTA, ESTA TROPIEZA Y CAE "/>
    <x v="0"/>
    <s v="SI"/>
    <x v="0"/>
    <s v="ALAN CARRASCO "/>
    <s v="WLADIMIR CALDERON "/>
    <x v="4"/>
  </r>
  <r>
    <n v="2023"/>
    <s v="FEBRERO"/>
    <s v="EL PAICO"/>
    <s v="MENDEZ DEL CASTILLO"/>
    <s v="DANIELA "/>
    <s v="FEMENINO"/>
    <s v="15822820-3"/>
    <d v="2021-01-25T00:00:00"/>
    <n v="24"/>
    <d v="2023-02-18T00:00:00"/>
    <s v="ANTIGUO"/>
    <d v="2023-02-20T00:00:00"/>
    <d v="2023-02-25T00:00:00"/>
    <s v="N/A"/>
    <n v="6"/>
    <s v="CTP"/>
    <s v="N/A"/>
    <s v="N/A"/>
    <s v="TROZADO DE POLLO"/>
    <s v="T. AUTOMATICO"/>
    <s v="OPERARIO"/>
    <s v="DEHUESADO"/>
    <s v="N/A"/>
    <x v="1"/>
    <d v="1899-12-30T22:45:00"/>
    <s v="VIERNES"/>
    <s v="SEMANA 7"/>
    <n v="15494"/>
    <s v="NC-16-2023"/>
    <s v="DANIEL GARRIDO"/>
    <s v="RAMIRO RAMIREZ"/>
    <n v="38"/>
    <x v="6"/>
    <x v="4"/>
    <s v="Contusión"/>
    <s v="Caida de mismo nivel"/>
    <s v="COLABORADORA  SUFRE CAIDA A NIVEL MAS CONTUSION EN RODILLA IZQUIERDA Y SENO DERECHO, AL PISAR MATERIA PRIMA CUANDO SE DIRIGIA A LOS CAMARINES EN T. AUTOMATICO"/>
    <x v="1"/>
    <s v="SI"/>
    <x v="1"/>
    <s v="ALAN CARRASCO "/>
    <s v="MICHELLE SANCHEZ"/>
    <x v="2"/>
  </r>
  <r>
    <n v="2023"/>
    <s v="FEBRERO"/>
    <s v="EL PAICO"/>
    <s v="HERRERA PINTO"/>
    <s v="JHONY"/>
    <s v="MASCULINO"/>
    <s v="20789495-8"/>
    <d v="2022-11-29T00:00:00"/>
    <n v="2"/>
    <d v="2023-02-15T00:00:00"/>
    <s v="NUEVO"/>
    <s v="N/A"/>
    <s v="N/A"/>
    <s v="N/A"/>
    <n v="0"/>
    <s v="STP"/>
    <s v="N/A"/>
    <s v="N/A"/>
    <s v="TROZADO DE POLLO"/>
    <s v="TROZADO DE POLLO"/>
    <s v="OPERARIO"/>
    <s v="TROZADO DE POLLO AUTOMATICO"/>
    <m/>
    <x v="0"/>
    <d v="1899-12-30T14:50:00"/>
    <s v="MIERCOLES"/>
    <s v="SEMANA 7"/>
    <m/>
    <m/>
    <s v="DANIEL GARRIDO"/>
    <s v="JOSE CARVALLO"/>
    <n v="22"/>
    <x v="3"/>
    <x v="7"/>
    <s v="Contusión"/>
    <s v="Golpeado por"/>
    <s v="TRABAJADOR QUE SE ENCONTRABA DE REGRESO DE SU HORARIO DE COLACION SE ENCONTRABA ALISTANDO SU PECHERA DE TRABAJO, CUANDO CAE SOBRE SU ESPALDA UN GANCHO METALICO. "/>
    <x v="2"/>
    <s v="SI"/>
    <x v="0"/>
    <s v="ALAN CARRASCO"/>
    <s v="CARLOS CARTAGENA"/>
    <x v="8"/>
  </r>
  <r>
    <n v="2023"/>
    <s v="FEBRERO"/>
    <s v="EL PAICO"/>
    <s v="GUAJARDO VERA"/>
    <s v="SEBASTIAN"/>
    <s v="MASCULINO"/>
    <s v="19211824-7"/>
    <d v="2021-05-03T00:00:00"/>
    <n v="21"/>
    <d v="2023-02-03T00:00:00"/>
    <s v="ANTIGUO"/>
    <s v="N/A"/>
    <s v="N/A"/>
    <s v="N/A"/>
    <n v="0"/>
    <s v="STP"/>
    <s v="LGF"/>
    <s v="LGF4"/>
    <s v="MANTENCION"/>
    <s v="REPORTE DE CAJAS"/>
    <s v="MECANICO"/>
    <s v="REPORTE DE CAJAS"/>
    <s v="EQUIPO PARA MOVIMIENTO DE CARGA (GRUAS O TRANSPALETAS)"/>
    <x v="0"/>
    <d v="1899-12-30T10:26:00"/>
    <s v="VIERNES"/>
    <s v="SEMANA 5"/>
    <m/>
    <m/>
    <s v="VICTOR GOMEZ"/>
    <s v="NICOLAS ROJAS"/>
    <n v="27"/>
    <x v="7"/>
    <x v="3"/>
    <s v="Contusión"/>
    <s v="Golpeado por"/>
    <s v="TRABAJADOR ESTEBA REPARANDO UNA MAQUINA AL COSTADO DE LA LINEA DE CONGELADO (PP) REVISANDO UNA MAQUINA CUANDO EL OPERADOR DE TRANPALETA RETROCEDE Y GOLPEA SU TOBILLO DERECHO"/>
    <x v="0"/>
    <s v="SI"/>
    <x v="0"/>
    <s v="NICOLAS GOMEZ"/>
    <s v="CARLOS CARTAGENA"/>
    <x v="0"/>
  </r>
  <r>
    <n v="2023"/>
    <s v="FEBRERO"/>
    <s v="EL PAICO"/>
    <s v="FIGUEROA RECABARREN"/>
    <s v="JASON "/>
    <s v="MASCULINO"/>
    <s v="21242262-2"/>
    <d v="2022-11-07T00:00:00"/>
    <n v="3"/>
    <d v="2023-02-16T00:00:00"/>
    <s v="NUEVO"/>
    <s v="N/A"/>
    <s v="N/A"/>
    <s v="N/A"/>
    <n v="0"/>
    <s v="STP"/>
    <s v="N/A"/>
    <s v="N/A"/>
    <s v="P. POSTERIORES"/>
    <s v="REPORTE DE CAJAS"/>
    <s v="OPERARIO"/>
    <s v="REPORTE DE CAJAS"/>
    <s v="N/A"/>
    <x v="0"/>
    <d v="1899-12-30T08:28:00"/>
    <s v="JUEVES"/>
    <s v="SEMANA 7"/>
    <m/>
    <m/>
    <s v="OCTAVIO MUÑOZ"/>
    <s v="MARCOS QUINTANILLA"/>
    <n v="20"/>
    <x v="8"/>
    <x v="0"/>
    <s v="Herida cortante"/>
    <s v="Contacto con cuerpo punzante"/>
    <s v="COLABORADOR AL BAJAR UN PALLET SE CORTA EL DEDO ANULAR IZQUIERDO , AL ESTAR BAJANDO CAJAS "/>
    <x v="1"/>
    <s v="SI"/>
    <x v="0"/>
    <s v="ALAN CARRASCO "/>
    <s v="CHRISTIAN JHONS"/>
    <x v="0"/>
  </r>
  <r>
    <n v="2023"/>
    <s v="FEBRERO"/>
    <s v="EL PAICO"/>
    <s v="BAHAMONDEZ ABARCA"/>
    <s v="MARIA TERESA"/>
    <s v="FEMENINO"/>
    <s v="11527148-2"/>
    <d v="1998-03-17T00:00:00"/>
    <n v="299"/>
    <d v="2023-02-28T00:00:00"/>
    <s v="ANTIGUO"/>
    <s v="N/A"/>
    <s v="N/A"/>
    <s v="N/A"/>
    <n v="0"/>
    <s v="STP"/>
    <s v="N/A"/>
    <s v="N/A"/>
    <s v="P. POSTERIORES"/>
    <s v="REPORTE DE CAJAS"/>
    <s v="OPERARIO"/>
    <s v="REPORTE DE CAJAS"/>
    <s v="N/A"/>
    <x v="0"/>
    <d v="1899-12-30T05:30:00"/>
    <s v="MARTES"/>
    <s v="SEMANA 9"/>
    <m/>
    <m/>
    <s v="OCTAVIO MUÑOZ"/>
    <s v="MARCOS QUINTANILLA"/>
    <n v="52"/>
    <x v="0"/>
    <x v="0"/>
    <s v="Contusión"/>
    <s v="Golpeado contra"/>
    <s v="COLABORA SUFRE CONTUSION EN MANO DERECHA CUANDO SE ENCONTRABA CAMBIANDO ROLLO DE LAMINA EN MAQUINA ISHIDA"/>
    <x v="1"/>
    <s v="SI"/>
    <x v="0"/>
    <s v="NICOLAS GOMEZ"/>
    <s v="CHISTIAN JHONS"/>
    <x v="0"/>
  </r>
  <r>
    <n v="2023"/>
    <s v="FEBRERO"/>
    <s v="EL PAICO"/>
    <s v="ARMIJO CORDERO"/>
    <s v="FRANCISCO"/>
    <s v="MASCULINO"/>
    <s v="7.885.635-1"/>
    <d v="2004-09-22T00:00:00"/>
    <n v="221"/>
    <d v="2023-02-25T00:00:00"/>
    <s v="ANTIGUO"/>
    <s v="N/A"/>
    <s v="N/A"/>
    <s v="N/A"/>
    <n v="0"/>
    <s v="STP"/>
    <s v="N/A"/>
    <s v="N/A"/>
    <s v="TROZADO DE PAVO"/>
    <s v="BAÑOS FAENA"/>
    <s v="OPERARIO"/>
    <s v="BAÑO EVISERADO"/>
    <s v="N/A"/>
    <x v="0"/>
    <d v="1899-12-30T05:15:00"/>
    <s v="SABADO"/>
    <s v="SEMANA 8"/>
    <m/>
    <m/>
    <s v="DANIEL GARRIDO"/>
    <s v="JAQUELIN PAVEZ"/>
    <n v="64"/>
    <x v="3"/>
    <x v="0"/>
    <s v="Herida cortante"/>
    <s v="Contacto con cuerpo cortante"/>
    <s v="COLABORADOR SUFRE CORTE EN DEDO INDICE DE MANO DERECHA AL APOYARSE EN PUERTA DE BAÑO DE EVISERADO"/>
    <x v="1"/>
    <s v="SI"/>
    <x v="0"/>
    <s v="ALAN CARRASCO "/>
    <s v="CHRISTIAN JHONS"/>
    <x v="0"/>
  </r>
  <r>
    <n v="2023"/>
    <s v="FEBRERO"/>
    <s v="EL PAICO"/>
    <s v=" REYES FUENTES"/>
    <s v="JONHFER"/>
    <s v="MASCULINO"/>
    <s v="26466499-3"/>
    <d v="2020-02-24T00:00:00"/>
    <n v="35"/>
    <d v="2023-02-11T00:00:00"/>
    <s v="ANTIGUO"/>
    <s v="N/A"/>
    <s v="N/A"/>
    <s v="N/A"/>
    <n v="0"/>
    <s v="STP"/>
    <s v="N/A"/>
    <s v="N/A"/>
    <s v="SSGG"/>
    <s v="TRAZADO DE PAVO"/>
    <s v="OPERARIO"/>
    <s v="SALA JAPON "/>
    <s v="N/A"/>
    <x v="2"/>
    <d v="1899-12-30T03:30:00"/>
    <s v="SABADO"/>
    <s v="SEMANA 6"/>
    <m/>
    <m/>
    <s v="CARLOS JIMENEZ"/>
    <s v="PATRICIO MACIEL "/>
    <n v="39"/>
    <x v="9"/>
    <x v="5"/>
    <s v="Quemadura"/>
    <s v="Exposicion a humo y gases"/>
    <s v="COLABORADOR SUFRE INHALACION DE VAPOR DEL CLORO AL MEZACLAR AGUA CALIENTE, EN SALA JAPON "/>
    <x v="0"/>
    <s v="SI"/>
    <x v="0"/>
    <s v="ALAN CARRASCO "/>
    <s v="CHRISTIAN JHONS"/>
    <x v="9"/>
  </r>
  <r>
    <n v="2023"/>
    <s v="MARZO"/>
    <s v="EL PAICO"/>
    <s v="TRUJILLO ELGUETA "/>
    <s v="KEVIN"/>
    <s v="MASCULINO"/>
    <s v="18346564-6"/>
    <d v="2021-10-12T00:00:00"/>
    <n v="17"/>
    <d v="2023-03-24T00:00:00"/>
    <s v="INTERMEDIO"/>
    <s v="N/A"/>
    <s v="N/A"/>
    <s v="N/A"/>
    <n v="0"/>
    <s v="STP"/>
    <s v="N/A"/>
    <s v="N/A"/>
    <s v="MANTENCION"/>
    <s v="MANTENCION"/>
    <s v="COORDINADOR"/>
    <s v="CALIBRADO"/>
    <s v="N/A"/>
    <x v="0"/>
    <d v="1899-12-30T09:50:00"/>
    <s v="VIERNES"/>
    <s v="SEMANA 12"/>
    <m/>
    <m/>
    <s v="VICTOR GOMEZ"/>
    <s v="NICOLAS ROJAS"/>
    <n v="31"/>
    <x v="0"/>
    <x v="0"/>
    <s v="Herida cortante"/>
    <s v="Contacto con cuerpo cortante"/>
    <s v="COLABORADOR QUE SE ENCONTRABA REALIZANDO CAMBIO DE CINTA EN EL AREA DE CALIBRADO DE PECHUGAS SUFRE CORTE CON BORDE DE ESCALERA EN DEDO MEÑIQUE IZQUERDO"/>
    <x v="1"/>
    <s v="SI"/>
    <x v="0"/>
    <s v="ALAN CARRASCO"/>
    <s v="CHISTIAN JHONS"/>
    <x v="0"/>
  </r>
  <r>
    <n v="2023"/>
    <s v="MARZO"/>
    <s v="EL PAICO"/>
    <s v="TRUJILLO ALARCON "/>
    <s v="ANGELA VERONICA"/>
    <s v="FEMENINO"/>
    <s v="15401811-5+tipo_acc+*-+"/>
    <d v="2014-10-06T00:00:00"/>
    <n v="101"/>
    <d v="2023-03-17T00:00:00"/>
    <s v="ANTIGUO"/>
    <s v="N/A"/>
    <s v="N/A"/>
    <s v="N/A"/>
    <n v="0"/>
    <s v="STP"/>
    <s v="N/A"/>
    <s v="N/A"/>
    <s v="TROZADO DE POLLO"/>
    <s v="DESHUESADO"/>
    <s v="OPERARIO"/>
    <s v="DESHUESADO"/>
    <s v="N/A"/>
    <x v="0"/>
    <d v="1899-12-30T13:00:00"/>
    <s v="VIERNES"/>
    <s v="SEMANA 11"/>
    <m/>
    <m/>
    <s v="DANIEL GARRIDO"/>
    <s v="JOSE CARVALLO"/>
    <n v="40"/>
    <x v="0"/>
    <x v="2"/>
    <s v="Contusión"/>
    <s v="Golpeado contra"/>
    <s v="COLABORA SUFRE CAIDA DESDE ESCALON DE TARIMA DE TRABAJO, GOLPEANDOSE EN BRAZO Y ESPALDA"/>
    <x v="0"/>
    <s v="SI"/>
    <x v="0"/>
    <s v="NICOLAS GOMEZ"/>
    <s v="MICHELLE SANCHEZ"/>
    <x v="10"/>
  </r>
  <r>
    <n v="2023"/>
    <s v="MARZO"/>
    <s v="EL PAICO"/>
    <s v="SANTIBAÑEZ MARIN"/>
    <s v="KARLA"/>
    <s v="FEMENINO"/>
    <s v="17802999-1"/>
    <d v="2020-05-29T00:00:00"/>
    <n v="33"/>
    <d v="2023-03-01T00:00:00"/>
    <s v="ANTIGUO"/>
    <s v="N/A"/>
    <s v="N/A"/>
    <s v="N/A"/>
    <n v="0"/>
    <s v="STP"/>
    <s v="N/A"/>
    <s v="N/A"/>
    <s v="IQF Y CALIBRADO"/>
    <s v="METALQUIMIA"/>
    <s v="OPERARIO"/>
    <s v="METALQUIMIA"/>
    <s v="N/A"/>
    <x v="2"/>
    <d v="1899-12-30T01:20:00"/>
    <s v="MIERCOLES"/>
    <s v="SEMANA 9"/>
    <m/>
    <m/>
    <s v="GUILLERMO NARVAEZ"/>
    <s v="FRANCISCO SANCHEZ"/>
    <n v="32"/>
    <x v="9"/>
    <x v="5"/>
    <s v="Otros"/>
    <s v="Proyeccion de particulas"/>
    <s v="COLABORADORA QUE SE ENCONTRABAN ASEANDO MAQUINA METALQUIMIA, AL APLICAR  BIO REMOVE SUFRE SALPICADURA DE ESTE EN SU OJO DERECHO."/>
    <x v="0"/>
    <s v="SI"/>
    <x v="0"/>
    <s v="ALAN CARRASCO "/>
    <s v="CHISTIAN JHONS"/>
    <x v="0"/>
  </r>
  <r>
    <n v="2023"/>
    <s v="MARZO"/>
    <s v="EL PAICO"/>
    <s v="RODRIGUEZ ESPINOZA"/>
    <s v="LUIS MIGUEL"/>
    <s v="MASCULINO"/>
    <s v="18461734-K"/>
    <d v="2022-09-22T00:00:00"/>
    <n v="5"/>
    <d v="2023-03-15T00:00:00"/>
    <s v="NUEVO"/>
    <s v="N/A"/>
    <s v="N/A"/>
    <s v="N/A"/>
    <n v="0"/>
    <s v="STP"/>
    <s v="N/A"/>
    <s v="N/A"/>
    <s v="MANTENCION"/>
    <m/>
    <s v="MECANICO"/>
    <s v="DESPLUMADO DE PAVO"/>
    <s v="N/A"/>
    <x v="0"/>
    <d v="1899-12-30T15:15:00"/>
    <s v="MIERCOLES"/>
    <s v="SEMANA 11"/>
    <m/>
    <m/>
    <s v="VICTOR GOMEZ"/>
    <m/>
    <n v="29"/>
    <x v="3"/>
    <x v="7"/>
    <s v="Quemadura"/>
    <s v="Contacto con temperaturas extremas"/>
    <s v="COLABORADOR SUFRE QUEMADURA EN CUELLO CUANDO CAMBIABA MANGUERA DE SOPLADORORES EN DESPLUMADO DE PAVO"/>
    <x v="1"/>
    <s v="SI"/>
    <x v="0"/>
    <s v="ALAN CARRASCO"/>
    <s v="CHRISTIAN JHONS"/>
    <x v="0"/>
  </r>
  <r>
    <n v="2023"/>
    <s v="MARZO"/>
    <s v="EL PAICO"/>
    <s v="RIQUELME JARA"/>
    <s v="LUIS FELIPE"/>
    <s v="MASCULINO"/>
    <s v="20140706-0"/>
    <d v="2022-11-11T00:00:00"/>
    <n v="3"/>
    <d v="2023-03-10T00:00:00"/>
    <s v="NUEVO"/>
    <d v="2023-03-10T00:00:00"/>
    <d v="2023-03-10T00:00:00"/>
    <s v="N/A"/>
    <n v="0"/>
    <s v="STP"/>
    <s v="N/A"/>
    <s v="N/A"/>
    <s v="IQF Y CALIBRADO"/>
    <s v="IQF CALIBRADO A"/>
    <s v="OPERARIO"/>
    <s v="BICICLETERO"/>
    <s v="N/A"/>
    <x v="0"/>
    <d v="1899-12-30T06:00:00"/>
    <s v="VIERNES"/>
    <s v="SEMANA 10"/>
    <s v="N/A"/>
    <s v="NC-22-2023"/>
    <s v="GUILLERMO NARVAEZ"/>
    <m/>
    <n v="23"/>
    <x v="1"/>
    <x v="2"/>
    <s v="Contusión"/>
    <s v="Caida de mismo nivel"/>
    <s v="COLABORADOR SUFRE CAIDA AL INGRESO DE LA PLANTA "/>
    <x v="1"/>
    <s v="SI"/>
    <x v="1"/>
    <s v="ALAN CARRASCO"/>
    <s v="CARLOS CARTAGENA"/>
    <x v="4"/>
  </r>
  <r>
    <n v="2023"/>
    <s v="MARZO"/>
    <s v="EL PAICO"/>
    <s v="PINTO VILLAGRA"/>
    <s v="XENDRIX"/>
    <s v="MASCULINO"/>
    <s v="17715504-7"/>
    <d v="2019-05-06T00:00:00"/>
    <n v="46"/>
    <d v="2023-03-17T00:00:00"/>
    <s v="ANTIGUO"/>
    <s v="N/A"/>
    <s v="N/A"/>
    <s v="N/A"/>
    <n v="0"/>
    <s v="STP"/>
    <s v="N/A"/>
    <s v="N/A"/>
    <s v="FRIGORIFICO"/>
    <s v="ROMANERO CAMARA"/>
    <s v="OPERARIO"/>
    <s v="TUNEL 234"/>
    <s v="N/A"/>
    <x v="0"/>
    <d v="1899-12-30T18:00:00"/>
    <s v="VIERNES"/>
    <s v="SEMANA 11"/>
    <m/>
    <m/>
    <s v="FRANCISCO QUEZADA"/>
    <s v="MAURICIO HERNANDEZ"/>
    <n v="32"/>
    <x v="0"/>
    <x v="3"/>
    <s v="Contusión"/>
    <s v="Golpeado contra"/>
    <s v="COLABORADOR SUFRE CONTUSION EN PIE DERECHO AL APRETARSE CON PALLET CUANDO SE ENCONTRABA CARGANDO TUNEL 234"/>
    <x v="1"/>
    <s v="SI"/>
    <x v="0"/>
    <s v="NICOLAS GOMEZ"/>
    <s v="CARLOS CARTAGENA"/>
    <x v="0"/>
  </r>
  <r>
    <n v="2023"/>
    <s v="MARZO"/>
    <s v="EL PAICO"/>
    <s v="PAVEZ CARMONA"/>
    <s v="CAMILA "/>
    <s v="FEMENINO"/>
    <s v="19382606-7"/>
    <d v="2022-07-25T00:00:00"/>
    <n v="7"/>
    <d v="2023-03-02T00:00:00"/>
    <s v="INTERMEDIO"/>
    <d v="2023-03-09T00:00:00"/>
    <d v="2023-03-15T00:00:00"/>
    <s v="N/A"/>
    <n v="7"/>
    <s v="CTP"/>
    <s v="N/A"/>
    <s v="N/A"/>
    <s v="MANTENCION"/>
    <s v="SALA DE PINTURA"/>
    <s v="TECNICO"/>
    <s v="GALPON DE PINTURA"/>
    <s v="N/A"/>
    <x v="1"/>
    <d v="1899-12-30T16:35:00"/>
    <s v="JUEVES"/>
    <s v="SEMANA 9"/>
    <n v="15554"/>
    <s v="NC-18-2023"/>
    <s v="VICTOR GOMEZ"/>
    <s v="FRANCISCO ACEVEDO"/>
    <n v="27"/>
    <x v="1"/>
    <x v="3"/>
    <s v="Contusión"/>
    <s v="Golpeado contra"/>
    <s v="COLABORADORA SE DIRIGIA A SALA DE PINTURAS Y NO VE GRUA ESTACIONADA EN EL PATIO, CON LA CUAL SE PORBOCA UN ATRAPAMIENTO CON SU PIE DERECHO, PROBOCANDO UNA CONTUSION "/>
    <x v="0"/>
    <s v="SI"/>
    <x v="1"/>
    <s v="ALAN CARRASCO"/>
    <s v="CARLOS CARTAGENA"/>
    <x v="4"/>
  </r>
  <r>
    <n v="2023"/>
    <s v="MARZO"/>
    <s v="EL PAICO"/>
    <s v="OLY"/>
    <s v="CHARLES"/>
    <s v="MASCULINO"/>
    <s v="25968215-0"/>
    <d v="2021-08-11T00:00:00"/>
    <n v="19"/>
    <d v="2023-03-31T00:00:00"/>
    <s v="ANTIGUO"/>
    <s v="N/A"/>
    <s v="N/A"/>
    <s v="N/A"/>
    <n v="0"/>
    <s v="STP"/>
    <s v="N/A"/>
    <s v="N/A"/>
    <s v="TROZADO DE POLLO"/>
    <s v="T. AUTOMATICO"/>
    <s v="OPERARIO"/>
    <s v="T. AUTOMATICO"/>
    <s v="N/A"/>
    <x v="0"/>
    <d v="1899-12-30T08:45:00"/>
    <s v="VIERNES"/>
    <s v="SEMANA 13"/>
    <m/>
    <m/>
    <s v="DANIEL GARRIDO"/>
    <s v="MATIAS CASTRO"/>
    <n v="51"/>
    <x v="6"/>
    <x v="5"/>
    <s v="Conjuntivitis"/>
    <s v="Proyeccion de particulas"/>
    <s v="COLABORADOR SE ENCONTRABA EXPURGANDO PRODUCTO EN SU PUESTO DE TRABAJO SALPICANDO LIQUIDO EN AMBOS OJOS"/>
    <x v="0"/>
    <s v="SI"/>
    <x v="0"/>
    <s v="ALAN CARRASCO"/>
    <s v="CARLOS CARTAGENA"/>
    <x v="11"/>
  </r>
  <r>
    <n v="2023"/>
    <s v="MARZO"/>
    <s v="EL PAICO"/>
    <s v="NUÑEZ ESCARATE"/>
    <s v="VICTOR"/>
    <s v="MASCULINO"/>
    <s v="8649246-6"/>
    <d v="2006-03-10T00:00:00"/>
    <n v="204"/>
    <d v="2023-03-17T00:00:00"/>
    <s v="ANTIGUO"/>
    <s v="N/A"/>
    <s v="N/A"/>
    <s v="N/A"/>
    <n v="0"/>
    <s v="STP"/>
    <s v="N/A"/>
    <s v="N/A"/>
    <s v="TROZADO DE POLLO"/>
    <s v="T. AUTOMATICO"/>
    <s v="OPERARIO"/>
    <s v="T. AUTOMATICO"/>
    <s v="N/A"/>
    <x v="1"/>
    <d v="1899-12-30T20:40:00"/>
    <s v="VIERNES"/>
    <s v="SEMANA 11"/>
    <m/>
    <m/>
    <s v="DANIEL GARRIDO"/>
    <s v="RAMIRO RAMIREZ"/>
    <n v="63"/>
    <x v="9"/>
    <x v="5"/>
    <s v="Conjuntivitis"/>
    <s v="Proyeccion de particulas"/>
    <s v="COLABORADOR SUFRE CAIDA DE LIQUIDO (ACIDO PERACETICO) EN OJO, ESTO OCURRE AL SACAR MATERIA PRIMA QUE SE ENCONTRABA ATASCADA EN LA LINEA"/>
    <x v="0"/>
    <s v="NO"/>
    <x v="0"/>
    <s v="ALAN CARRASCO"/>
    <s v="MICHELLE SANCHEZ"/>
    <x v="12"/>
  </r>
  <r>
    <n v="2023"/>
    <s v="MARZO"/>
    <s v="EL PAICO"/>
    <s v="MUÑOZ ISLA"/>
    <s v="JESSICA"/>
    <s v="FEMENINO"/>
    <s v="16669807-3"/>
    <d v="2020-01-20T00:00:00"/>
    <n v="38"/>
    <d v="2023-03-31T00:00:00"/>
    <s v="ANTIGUO"/>
    <d v="2023-03-31T00:00:00"/>
    <s v="06-042023"/>
    <s v="N/A"/>
    <n v="7"/>
    <s v="CTP"/>
    <s v="N/A"/>
    <s v="N/A"/>
    <s v="TROZADO DE POLLO"/>
    <s v="SALA DE PROCESO"/>
    <s v="OPERARIO"/>
    <s v="SALA DE PROCESO"/>
    <s v="N/A"/>
    <x v="0"/>
    <d v="1899-12-30T12:55:00"/>
    <s v="VIERNES"/>
    <s v="SEMANA 13"/>
    <n v="15596"/>
    <s v="NC-29-2023"/>
    <s v="DANIEL GARRIDO"/>
    <s v="JOSE CARVALLO"/>
    <n v="36"/>
    <x v="10"/>
    <x v="0"/>
    <s v="Herida cortante"/>
    <s v="Contacto con cuerpo cortante"/>
    <s v="COLABORADORA SUFRE CORTE EN MANO DERECHA CUANDO SE ENCONTRABA SACANDO FILO A SU CUCHILLO JUNTO A COMPAÑERA DE TRABAJO."/>
    <x v="0"/>
    <s v="SI"/>
    <x v="1"/>
    <s v="ALAN CARRASCO"/>
    <s v="CARLOS CARTAGENA"/>
    <x v="13"/>
  </r>
  <r>
    <n v="2023"/>
    <s v="MARZO"/>
    <s v="EL PAICO"/>
    <s v="MIRANDA GOMEZ"/>
    <s v="ANA GABRIELA"/>
    <s v="FEMENINO"/>
    <s v="18778202-3"/>
    <d v="2022-07-26T00:00:00"/>
    <n v="7"/>
    <d v="2023-03-09T00:00:00"/>
    <s v="INTERMEDIO"/>
    <s v="N/A"/>
    <s v="N/A"/>
    <s v="N/A"/>
    <n v="0"/>
    <s v="STP"/>
    <s v="N/A"/>
    <s v="N/A"/>
    <s v="IQF Y CALIBRADO"/>
    <s v="CALIBRADO"/>
    <s v="OPERARIO"/>
    <s v="CALIBRADO"/>
    <s v="N/A"/>
    <x v="1"/>
    <d v="1899-12-30T15:15:00"/>
    <s v="JUEVES"/>
    <s v="SEMANA 10"/>
    <m/>
    <m/>
    <s v="GUILLERMO NARVAEZ"/>
    <s v="MAXIMO CAMPOS"/>
    <n v="29"/>
    <x v="3"/>
    <x v="4"/>
    <s v="Contusión"/>
    <s v="Golpeado contra"/>
    <s v="COLABORADORA SE ENCONTRABA BAJANDO ESCALERAS EN CALIBRADO CUANDO SE GOLPEA LA RODILLLA IZQUIERDA CON PASAMANOS "/>
    <x v="0"/>
    <s v="SI"/>
    <x v="0"/>
    <s v="ALAN CARRASCO"/>
    <s v="WLADIMIR CALDERON "/>
    <x v="0"/>
  </r>
  <r>
    <n v="2023"/>
    <s v="MARZO"/>
    <s v="EL PAICO"/>
    <s v="MARIN VARGAS"/>
    <s v="CAROLINA"/>
    <s v="FEMENINO"/>
    <s v="19212976-1"/>
    <d v="2021-09-13T00:00:00"/>
    <n v="18"/>
    <d v="2023-03-31T00:00:00"/>
    <s v="INTERMEDIO"/>
    <s v="N/A"/>
    <s v="N/A"/>
    <s v="N/A"/>
    <n v="0"/>
    <s v="STP"/>
    <s v="N/A"/>
    <s v="N/A"/>
    <s v="FAENACION"/>
    <s v="EVISCERADO"/>
    <s v="OPERARIO"/>
    <s v="CAMARINES DE MUJER"/>
    <s v="N/A"/>
    <x v="0"/>
    <d v="1899-12-30T11:30:00"/>
    <s v="VIERNES"/>
    <s v="SEMANA 13"/>
    <m/>
    <m/>
    <s v="NICOLAS MOYANO"/>
    <s v="CESAR CARTAGENA"/>
    <n v="26"/>
    <x v="11"/>
    <x v="4"/>
    <s v="Otros"/>
    <s v="Picadura"/>
    <s v="COLABORADORA SUFRE PICADURA DE INSECTO EN PIERNA DERECHA, CUANDO ESTABA COLOCANDO SU ROPA DE TRABAJO"/>
    <x v="1"/>
    <s v="SI"/>
    <x v="0"/>
    <s v="ALAN CARRASCO"/>
    <s v="CARLOS CARTAGENA"/>
    <x v="0"/>
  </r>
  <r>
    <n v="2023"/>
    <s v="MARZO"/>
    <s v="EL PAICO"/>
    <s v="LARA SOTO"/>
    <s v="EDITH "/>
    <s v="FEMENINO"/>
    <s v="16670482-0"/>
    <d v="2020-01-13T00:00:00"/>
    <n v="38"/>
    <d v="2023-03-23T00:00:00"/>
    <s v="ANTIGUO"/>
    <s v="N/A"/>
    <s v="N/A"/>
    <s v="N/A"/>
    <n v="0"/>
    <s v="STP"/>
    <s v="N/A"/>
    <s v="N/A"/>
    <s v="SSGG"/>
    <s v="ASEO OPERACIONAL"/>
    <s v="OPERARIO"/>
    <s v="DESPLUMADO"/>
    <s v="N/A"/>
    <x v="1"/>
    <d v="1899-12-30T04:30:00"/>
    <s v="JUEVES"/>
    <s v="SEMANA 12"/>
    <m/>
    <m/>
    <s v="CARLOS JIMENES"/>
    <s v="JORDAN FARIAS"/>
    <n v="35"/>
    <x v="3"/>
    <x v="0"/>
    <s v="Contusión"/>
    <s v="Golpeado por"/>
    <s v="COLABORADORA QUE SE ENCONTRABA REALIZANDO ASEO EN PISOS SUFRE GOLPE EN MANO DERECHA CON PUERTA DE VAIVEN AL INGRESO DE DESPLUMADO "/>
    <x v="1"/>
    <s v="SI"/>
    <x v="0"/>
    <s v="NICOLAS GOMEZ"/>
    <s v="WLADIMIR CALDERON "/>
    <x v="6"/>
  </r>
  <r>
    <n v="2023"/>
    <s v="MARZO"/>
    <s v="EL PAICO"/>
    <s v="HUINAO CARTAGENA"/>
    <s v="MANUEL"/>
    <s v="MASCULINO"/>
    <s v="15403657-1"/>
    <d v="2022-11-04T00:00:00"/>
    <n v="4"/>
    <d v="2023-03-08T00:00:00"/>
    <s v="NUEVO"/>
    <d v="2023-03-10T00:00:00"/>
    <d v="2023-03-10T00:00:00"/>
    <s v="N/A"/>
    <n v="0"/>
    <s v="STP"/>
    <s v="N/A"/>
    <s v="N/A"/>
    <s v="IQF Y CALIBRADO"/>
    <s v="IQF 1"/>
    <s v="OPERARIO"/>
    <s v="IQF1"/>
    <s v="N/A"/>
    <x v="1"/>
    <d v="1899-12-30T18:35:00"/>
    <s v="MIERCOLES"/>
    <s v="SEMANA 10"/>
    <n v="15564"/>
    <s v="NC-21-2023"/>
    <s v="GUILLERMO NARVAEZ"/>
    <m/>
    <n v="39"/>
    <x v="0"/>
    <x v="0"/>
    <s v="Contusión"/>
    <s v="Golpeado por"/>
    <s v="COLABORADOR SUFRE CONTUSION EN MUÑECA IZQUERDA CUANDO SE ENCONTRABA ARMANDO PALLET CON BANDEJAS DE FILETILLO DE POLLO "/>
    <x v="0"/>
    <s v="SI"/>
    <x v="1"/>
    <s v="NICOLAS GOMEZ"/>
    <s v="CHISTIAN JHONS"/>
    <x v="14"/>
  </r>
  <r>
    <n v="2023"/>
    <s v="MARZO"/>
    <s v="EL PAICO"/>
    <s v="HERRERA PINTO"/>
    <s v="JHONY"/>
    <s v="MASCULINO"/>
    <s v="20789495-8"/>
    <d v="2022-11-29T00:00:00"/>
    <n v="3"/>
    <d v="2023-03-14T00:00:00"/>
    <s v="NUEVO"/>
    <s v="N/A"/>
    <s v="N/A"/>
    <s v="N/A"/>
    <n v="0"/>
    <s v="STP"/>
    <s v="N/A"/>
    <s v="N/A"/>
    <s v="TROZADO DE POLLO"/>
    <s v="T. AUTOMATICO"/>
    <s v="OPERARIO"/>
    <s v="T. AUTOMATICO"/>
    <s v="N/A"/>
    <x v="0"/>
    <d v="1899-12-30T09:45:00"/>
    <s v="MARTES"/>
    <s v="SEMANA 11"/>
    <m/>
    <m/>
    <s v="DANIEL GARRIDO"/>
    <s v="JOSE CARVALLO"/>
    <n v="22"/>
    <x v="3"/>
    <x v="4"/>
    <s v="Contusión"/>
    <s v="Golpeado por"/>
    <s v="COLABORADOR SUFRE GOLPE EN PIERNA DERECHA CON BASE METALICA DE GANCHO QUE SE DESPRENDE DE UNA CINTA "/>
    <x v="1"/>
    <s v="SI"/>
    <x v="0"/>
    <s v="NICOLAS GOMEZ"/>
    <s v="WLADIMIR CALDERON "/>
    <x v="8"/>
  </r>
  <r>
    <n v="2023"/>
    <s v="MARZO"/>
    <s v="EL PAICO"/>
    <s v="HENRIQUEZ VARGAS"/>
    <s v="FERNANDO"/>
    <s v="MASCULINO"/>
    <s v="18538961-8"/>
    <d v="2022-11-04T00:00:00"/>
    <n v="4"/>
    <d v="2023-03-19T00:00:00"/>
    <s v="NUEVO"/>
    <s v="N/A"/>
    <s v="N/A"/>
    <s v="N/A"/>
    <n v="0"/>
    <s v="STP"/>
    <s v="N/A"/>
    <s v="N/A"/>
    <s v="MANTENCION"/>
    <s v="MANTENCION"/>
    <s v="COORDINADOR"/>
    <s v="T. AUTOMATICO"/>
    <s v="N/A"/>
    <x v="0"/>
    <d v="1899-12-30T15:30:00"/>
    <s v="DOMINGO"/>
    <s v="SEMANA 11"/>
    <m/>
    <m/>
    <s v="VICTOR GOMEZ"/>
    <s v="DANIEL GONZALEZ"/>
    <n v="29"/>
    <x v="0"/>
    <x v="5"/>
    <s v="Contusión"/>
    <s v="Golpeado por"/>
    <s v="COLABORADOR SUFRE GOLPE EN OJO DERECHO CONLLAVE CUANDO SE ENCONTRABA APRETANDO LOS PERNOS DE ESTACION DE GIRO EN LINEA 2 DE TROZADO DE POLLO AUTOMATICO"/>
    <x v="0"/>
    <s v="SI"/>
    <x v="0"/>
    <s v="ALAN CARRASCO"/>
    <s v="CARLOS CARTAGENA"/>
    <x v="0"/>
  </r>
  <r>
    <n v="2023"/>
    <s v="MARZO"/>
    <s v="EL PAICO"/>
    <s v="ESPINOZA MALDONADO"/>
    <s v="ROMINA"/>
    <s v="FEMENINO"/>
    <s v="17986193-3"/>
    <d v="2017-08-16T00:00:00"/>
    <n v="66"/>
    <d v="2023-03-01T00:00:00"/>
    <s v="ANTIGUO"/>
    <d v="2023-03-01T00:00:00"/>
    <d v="2023-03-02T00:00:00"/>
    <s v="N/A"/>
    <n v="2"/>
    <s v="CTP"/>
    <s v="LGF"/>
    <s v="LGF3"/>
    <s v="SSGG"/>
    <s v="SALA DE TAMBLE"/>
    <s v="OPERARIO"/>
    <s v="SALA DE TAMBLE"/>
    <s v="N/A"/>
    <x v="2"/>
    <d v="1899-12-30T04:00:00"/>
    <s v="MIERCOLES"/>
    <s v="SEMANA 9"/>
    <n v="15530"/>
    <s v="NC-19-2023"/>
    <s v="CARLOS JIMENEZ"/>
    <s v="PATRICIO PALACIOS"/>
    <n v="31"/>
    <x v="9"/>
    <x v="4"/>
    <s v="Quemadura"/>
    <s v="Contacto con sustancias toxicas"/>
    <s v="COLABORADORA QUE SE ENCONTRABA ESPONJANDO TAMBLED, AL MOMENTO DEL ENJUAGE DERRAMA DETERGENTE BIO REMOVE EN PIERNA DERECHA."/>
    <x v="0"/>
    <s v="SI"/>
    <x v="1"/>
    <s v="ALAN CARRASCO "/>
    <s v="CHISTIAN JHONS"/>
    <x v="9"/>
  </r>
  <r>
    <n v="2023"/>
    <s v="MARZO"/>
    <s v="EL PAICO"/>
    <s v="CONTRERAS GARATE"/>
    <s v="SALVADOR"/>
    <s v="MASCULINO"/>
    <s v="14436436-8"/>
    <d v="2021-03-08T00:00:00"/>
    <n v="24"/>
    <d v="2023-03-27T00:00:00"/>
    <s v="ANTIGUO"/>
    <s v="N/A"/>
    <s v="N/A"/>
    <s v="N/A"/>
    <n v="0"/>
    <s v="STP"/>
    <s v="N/A"/>
    <s v="N/A"/>
    <s v="SSGG"/>
    <s v="ASEO OPERACIONAL"/>
    <s v="OPERARIO"/>
    <s v="VESTIDORES "/>
    <s v="N/A"/>
    <x v="1"/>
    <d v="1899-12-30T14:30:00"/>
    <s v="LUNES"/>
    <s v="SEMANA 13"/>
    <m/>
    <m/>
    <s v="CARLOS JIMENES"/>
    <s v="JOSELINNE ALARCON"/>
    <n v="32"/>
    <x v="12"/>
    <x v="7"/>
    <s v="Otros"/>
    <s v="Otros"/>
    <s v="COLABORADOR SIENTE FUERTE DOLOR EN LA CINTURA CUANDO SE VESTIA CON SU ROPA DE TRABAJO EN CAMARINES DE LA PLANTA "/>
    <x v="0"/>
    <s v="SI"/>
    <x v="0"/>
    <s v="ALAN CARRASCO"/>
    <s v="CARLOS CARTAGENA"/>
    <x v="3"/>
  </r>
  <r>
    <n v="2023"/>
    <s v="MARZO"/>
    <s v="EL PAICO"/>
    <s v="CHAVANNES"/>
    <s v="ESTILUS"/>
    <s v="MASCULINO"/>
    <s v="26172618-1"/>
    <d v="2019-10-14T00:00:00"/>
    <n v="40"/>
    <d v="2023-03-08T00:00:00"/>
    <s v="ANTIGUO"/>
    <s v="N/A"/>
    <s v="N/A"/>
    <s v="N/A"/>
    <n v="0"/>
    <s v="STP"/>
    <s v="N/A"/>
    <s v="N/A"/>
    <s v="FAENACION"/>
    <s v="EVISCERADO"/>
    <s v="OPERARIO"/>
    <s v="EVICERADO"/>
    <s v="N/A"/>
    <x v="1"/>
    <d v="1899-12-30T18:20:00"/>
    <s v="MIERCOLES"/>
    <s v="SEMANA 10"/>
    <m/>
    <m/>
    <s v="NICOLAS MOYANO"/>
    <s v="ERWIN GATICA"/>
    <n v="34"/>
    <x v="13"/>
    <x v="3"/>
    <s v="Herida cortante"/>
    <s v="Contacto con cuerpo cortante"/>
    <s v="COLABORADOR SE ENCONTRABA SACANDO FILO A CUCHILLO, CUANDO ESTE CAE EN SU PIE DERECHO PRODUCIENDO UNA HERIDA CORTANTE"/>
    <x v="1"/>
    <s v="SI"/>
    <x v="0"/>
    <s v="NICOLAS GOMEZ"/>
    <s v="CHRISTIAN JHONS"/>
    <x v="0"/>
  </r>
  <r>
    <n v="2023"/>
    <s v="MARZO"/>
    <s v="EL PAICO"/>
    <s v="CASTRO CABRERA"/>
    <s v="ALEJANDRA"/>
    <s v="FEMENINO"/>
    <s v="13771008-0"/>
    <d v="2022-12-20T00:00:00"/>
    <n v="2"/>
    <d v="2023-03-04T00:00:00"/>
    <s v="NUEVO"/>
    <s v="N/A"/>
    <s v="N/A"/>
    <s v="N/A"/>
    <n v="0"/>
    <s v="STP"/>
    <s v="N/A"/>
    <s v="N/A"/>
    <s v="TROZADO DE POLLO"/>
    <s v="SELECCIÓN PECHUGA"/>
    <s v="OPERARIO"/>
    <s v="ESCALERAS COSTADO DE INGRESO PRINCIPAL"/>
    <s v="N/A"/>
    <x v="0"/>
    <d v="1899-12-30T11:10:00"/>
    <s v="SABADO"/>
    <s v="SEMANA 9"/>
    <m/>
    <m/>
    <s v="DANIEL GARRIDO"/>
    <s v="JOSE CARVALLO"/>
    <n v="43"/>
    <x v="1"/>
    <x v="7"/>
    <s v="Contusión"/>
    <s v="Caida de distinto nivel"/>
    <s v="COLABORADORA SE ENCONTRABA BAJANDO POR LAS ESCALERAS UBICADAS AL COSTADO DE ENTRADA PRINCIPAL, SE RESBALA PROBONCANDO UNA CONTUCION EN COXIS."/>
    <x v="0"/>
    <s v="SI"/>
    <x v="0"/>
    <s v="NICOLAS GOMEZ"/>
    <s v="CHISTIAN JHONS"/>
    <x v="4"/>
  </r>
  <r>
    <n v="2023"/>
    <s v="MARZO"/>
    <s v="EL PAICO"/>
    <s v="CARREÑO CERDA"/>
    <s v="FRANCISCO"/>
    <s v="MASCULINO"/>
    <s v="16340355-2"/>
    <d v="2022-10-17T00:00:00"/>
    <n v="4"/>
    <d v="2023-03-03T00:00:00"/>
    <s v="NUEVO"/>
    <d v="2023-03-03T00:00:00"/>
    <d v="2023-03-03T00:00:00"/>
    <s v="N/A"/>
    <n v="0"/>
    <s v="STP"/>
    <s v="N/A"/>
    <s v="N/A"/>
    <s v="FAENACION"/>
    <s v="COLGADO DE AVES"/>
    <s v="OPERARIO"/>
    <s v="COLGADO DE AVES"/>
    <s v="N/A"/>
    <x v="0"/>
    <d v="1899-12-30T07:00:00"/>
    <s v="VIERNES"/>
    <s v="SEMANA 9"/>
    <n v="15542"/>
    <s v="NC-23-2023"/>
    <s v="NICOLAS MOYANO"/>
    <s v="CRISTIAN MESA"/>
    <n v="37"/>
    <x v="11"/>
    <x v="5"/>
    <s v="Conjuntivitis"/>
    <s v="Proyeccion de particulas"/>
    <s v="COLABORADOR SE ENCONTRABA EN LINEA COLGADO DE AVES, CUANDO SUFRE UNA PROYECCION DE PARTICULA EN OJO DERECHO PROVOCANDO INFLAMACION EN LA PARTE AFECTADA"/>
    <x v="1"/>
    <s v="SI"/>
    <x v="1"/>
    <s v="NICOLAS GOMEZ"/>
    <s v="CARLOS CARTAGENA"/>
    <x v="15"/>
  </r>
  <r>
    <n v="2023"/>
    <s v="MARZO"/>
    <s v="EL PAICO"/>
    <s v="CARANCIO ALEGRIA"/>
    <s v="MARCELO"/>
    <s v="MASCULINO"/>
    <s v="14439094-6"/>
    <d v="2018-11-19T00:00:00"/>
    <n v="52"/>
    <d v="2023-03-23T00:00:00"/>
    <s v="ANTIGUO"/>
    <s v="N/A"/>
    <s v="N/A"/>
    <s v="N/A"/>
    <n v="0"/>
    <s v="STP"/>
    <s v="N/A"/>
    <s v="N/A"/>
    <s v="TROZADO DE POLLO"/>
    <s v="DESHUESADO"/>
    <s v="OPERARIO"/>
    <m/>
    <s v="N/A"/>
    <x v="0"/>
    <m/>
    <s v="JUEVES"/>
    <s v="SEMANA 12"/>
    <m/>
    <m/>
    <s v="DANIEL GARRIDO"/>
    <m/>
    <n v="49"/>
    <x v="0"/>
    <x v="7"/>
    <s v="Otros"/>
    <s v="Sobreesfuerzo"/>
    <s v="COLABORADOR SE ENCONTRABA LEVANTANDO BANDEJAS CON POLLO, SIENTE DOLOR EN ESPALDA AL EJERCER FUERZA"/>
    <x v="0"/>
    <s v="SI"/>
    <x v="0"/>
    <s v="NICOLAS GOMEZ"/>
    <s v="CARLOS CARTAGENA"/>
    <x v="7"/>
  </r>
  <r>
    <n v="2023"/>
    <s v="MARZO"/>
    <s v="EL PAICO"/>
    <s v="BARRAZA PERALTA"/>
    <s v="ISABEL"/>
    <s v="FEMENINO"/>
    <s v="9683999-5"/>
    <d v="2013-11-18T00:00:00"/>
    <n v="112"/>
    <d v="2023-03-22T00:00:00"/>
    <s v="ANTIGUO"/>
    <d v="2023-03-10T00:00:00"/>
    <d v="2023-03-10T00:00:00"/>
    <s v="N/A"/>
    <n v="0"/>
    <s v="STP"/>
    <s v="N/A"/>
    <s v="N/A"/>
    <s v="SSGG"/>
    <s v="ASEO OPERACIONAL"/>
    <s v="OPERARIO"/>
    <s v="IQF4"/>
    <s v="N/A"/>
    <x v="0"/>
    <d v="1899-12-30T11:40:00"/>
    <s v="MIERCOLES"/>
    <s v="SEMANA 12"/>
    <n v="15582"/>
    <s v="NC-20-2023"/>
    <s v="CARLOS JIMENES"/>
    <s v="ORLANDO FARIAS"/>
    <n v="58"/>
    <x v="4"/>
    <x v="8"/>
    <s v="Contusión"/>
    <s v="Caida de mismo nivel"/>
    <s v="COLABORADORA SUFRE CAIDA MISMO NIVEL CUANDO SE ENCONTRABA SECANDO AGUA EN PISO DE IQF4"/>
    <x v="1"/>
    <s v="SI"/>
    <x v="1"/>
    <s v="ALAN CARRASCO"/>
    <s v="WLADIMIR CALDERON "/>
    <x v="6"/>
  </r>
  <r>
    <n v="2023"/>
    <s v="MARZO"/>
    <s v="EL PAICO"/>
    <s v="AGUILAR CORTES"/>
    <s v="LUIS"/>
    <s v="MASCULINO"/>
    <s v="9886055-K"/>
    <d v="2019-06-17T00:00:00"/>
    <n v="44"/>
    <d v="2023-03-01T00:00:00"/>
    <s v="ANTIGUO"/>
    <s v="N/A"/>
    <s v="N/A"/>
    <s v="N/A"/>
    <n v="0"/>
    <s v="STP"/>
    <s v="N/A"/>
    <s v="N/A"/>
    <s v="SSGG"/>
    <s v="EVISCERADO"/>
    <s v="OPERARIO"/>
    <s v="EVICERADO"/>
    <s v="N/A"/>
    <x v="2"/>
    <d v="1899-12-30T22:05:00"/>
    <s v="MIERCOLES"/>
    <s v="SEMANA 9"/>
    <m/>
    <m/>
    <s v="CARLOS JIMENEZ"/>
    <s v="LUIS URBINA"/>
    <n v="59"/>
    <x v="9"/>
    <x v="5"/>
    <s v="Otros"/>
    <s v="Proyeccion de particulas"/>
    <s v="COLABORADOR QUE SE ENCONTRABA TRANVASIJANDO DETERGENTE, SUFRE SALPICADURA EN SU OJO IZQUERDO"/>
    <x v="0"/>
    <s v="SI"/>
    <x v="0"/>
    <s v="ALAN CARRASCO "/>
    <s v="WLADIMIR CALDERON "/>
    <x v="9"/>
  </r>
  <r>
    <n v="2023"/>
    <s v="ABRIL"/>
    <s v="EL PAICO"/>
    <s v="VILLALOBOS VALENZUELA"/>
    <s v="PABLO"/>
    <s v="MASCULINO"/>
    <s v="19382613-K"/>
    <d v="2022-08-18T00:00:00"/>
    <n v="7"/>
    <d v="2023-04-04T00:00:00"/>
    <s v="INTERMEDIO"/>
    <s v="N/A"/>
    <s v="N/A"/>
    <s v="N/A"/>
    <n v="0"/>
    <s v="STP"/>
    <s v="N/A"/>
    <s v="N/A"/>
    <s v="TROZADO DE POLLO"/>
    <s v="DESHUESADO"/>
    <s v="OPERARIO"/>
    <s v="PASILLO CAMARA 206"/>
    <s v="N/A"/>
    <x v="1"/>
    <d v="1899-12-30T00:45:00"/>
    <s v="MIERCOLES"/>
    <s v="SEMANA 14"/>
    <m/>
    <m/>
    <s v="DANIEL GARRIDO"/>
    <s v="JOSE CARVALLO"/>
    <n v="27"/>
    <x v="7"/>
    <x v="7"/>
    <s v="Otros"/>
    <s v="Sobreesfuerzo"/>
    <s v="COLABORADOR SUFRE TIRON EN ESPALDA Y CUELLO CUANDO SE ENCONTRABA MOVILIZANDO BINS CON PRODUCTO EN TRANSPALETA MANUAL "/>
    <x v="0"/>
    <s v="SI"/>
    <x v="0"/>
    <s v="NICOLAS GOMEZ"/>
    <s v="CHISTIAN JHONS"/>
    <x v="7"/>
  </r>
  <r>
    <n v="2023"/>
    <s v="ABRIL"/>
    <s v="EL PAICO"/>
    <s v="VIDAL ZAMBRANO"/>
    <s v="JAVIER"/>
    <s v="MASCULINO"/>
    <s v="21169027-5"/>
    <d v="2022-08-01T00:00:00"/>
    <n v="8"/>
    <d v="2023-04-12T00:00:00"/>
    <s v="INTERMEDIO"/>
    <s v="N/A"/>
    <s v="N/A"/>
    <s v="N/A"/>
    <n v="0"/>
    <s v="STP"/>
    <s v="LGF"/>
    <s v="LGF4"/>
    <s v="FRIGORIFICO"/>
    <s v="FRIGORIFICO"/>
    <s v="OPERARIO"/>
    <s v="TUNEL 4"/>
    <s v="EQUIPO PARA MOVIMIENTO DE CARGA (GRUAS O TRANSPALETAS)"/>
    <x v="0"/>
    <d v="1899-12-30T09:45:00"/>
    <s v="MIERCOLES"/>
    <s v="SEMANA 15"/>
    <m/>
    <m/>
    <s v="FRANCISCO QUEZADA"/>
    <s v="NELSON PIZARRO"/>
    <n v="20"/>
    <x v="2"/>
    <x v="3"/>
    <s v="Contusión"/>
    <s v="Golpeado por"/>
    <s v="COLABORADOR SUFRE CONTUSION EN PIE IZQUIERDO POR COLICION ENTRE DOS TRANSPALETAS EN TUNEL 4 "/>
    <x v="0"/>
    <s v="SI"/>
    <x v="0"/>
    <s v="NICOLAS GOMEZ"/>
    <s v="CARLOS CARTAGENA"/>
    <x v="0"/>
  </r>
  <r>
    <n v="2023"/>
    <s v="ABRIL"/>
    <s v="EL PAICO"/>
    <s v="VASQUEZ CORRAL"/>
    <s v="JOSE"/>
    <s v="MASCULINO"/>
    <s v="9029022-3"/>
    <d v="2004-06-15T00:00:00"/>
    <n v="226"/>
    <d v="2023-04-18T00:00:00"/>
    <s v="ANTIGUO"/>
    <s v="N/A"/>
    <s v="N/A"/>
    <s v="N/A"/>
    <n v="0"/>
    <s v="STP"/>
    <s v="N/A"/>
    <s v="N/A"/>
    <s v="IQF Y CALIBRADO"/>
    <s v="IQF"/>
    <s v="OPERARIO"/>
    <s v="IQF"/>
    <s v="N/A"/>
    <x v="1"/>
    <d v="1899-12-30T15:30:00"/>
    <s v="MARTES"/>
    <s v="SEMANA 16"/>
    <m/>
    <m/>
    <s v="GUILLERMO NARVAEZ"/>
    <s v="MAXIMO CAMPOS"/>
    <n v="63"/>
    <x v="14"/>
    <x v="0"/>
    <s v="Contusión"/>
    <s v="Sobreesfuerzo"/>
    <s v="COLABORADOR SUFRE DOLOR EN MUÑECA IZQUERDA AL TOMAR CAJA EN LINEA DE IQF"/>
    <x v="0"/>
    <s v="SI"/>
    <x v="0"/>
    <s v="ALAN CARRASCO"/>
    <s v="MICHELLE SANCHEZ"/>
    <x v="0"/>
  </r>
  <r>
    <n v="2023"/>
    <s v="ABRIL"/>
    <s v="EL PAICO"/>
    <s v="VALDIVIA PEÑALOZA"/>
    <s v="JAIME"/>
    <s v="MASCULINO"/>
    <s v="14140942-5"/>
    <d v="2021-06-01T00:00:00"/>
    <n v="22"/>
    <d v="2023-04-17T00:00:00"/>
    <s v="ANTIGUO"/>
    <s v="N/A"/>
    <s v="N/A"/>
    <s v="N/A"/>
    <n v="0"/>
    <s v="STP"/>
    <s v="LGF"/>
    <s v="LGF4"/>
    <s v="IQF Y CALIBRADO"/>
    <s v="IQF Y CALIBRADO"/>
    <s v="OPERARIO"/>
    <s v="CAMARA 208"/>
    <s v="EQUIPO PARA MOVIMIENTO DE CARGA (GRUAS O TRANSPALETAS)"/>
    <x v="0"/>
    <d v="1899-12-30T10:06:00"/>
    <s v="LUNES"/>
    <s v="SEMANA 16"/>
    <m/>
    <m/>
    <s v="GUILLERMO NARVAEZ"/>
    <s v="FRANCISCO SANCHEZ"/>
    <n v="42"/>
    <x v="7"/>
    <x v="0"/>
    <s v="Contusión"/>
    <s v="Golpeado por"/>
    <s v="COLABORADOR SUFRE GOLPE EN MUÑECA IZQUERDA AL SER COLICIONADO POR OPERADOR DE TRANSPALETA ELECTRICA CUANDO ESTABA ENTRANDO A CAMARA 208"/>
    <x v="0"/>
    <s v="SI"/>
    <x v="0"/>
    <s v="ALAN CARRASCO"/>
    <s v="CHISTIAN JHONS"/>
    <x v="0"/>
  </r>
  <r>
    <n v="2023"/>
    <s v="ABRIL"/>
    <s v="EL PAICO"/>
    <s v="SANTIS RAMIREZ"/>
    <s v="JANIS"/>
    <s v="FEMENINO"/>
    <s v="19858836-9"/>
    <d v="2021-05-10T00:00:00"/>
    <n v="23"/>
    <d v="2023-04-11T00:00:00"/>
    <s v="ANTIGUO"/>
    <s v="N/A"/>
    <s v="N/A"/>
    <s v="N/A"/>
    <n v="0"/>
    <s v="STP"/>
    <s v="N/A"/>
    <s v="N/A"/>
    <s v="TROZADO DE POLLO"/>
    <s v="DESHUESADO"/>
    <s v="OPERARIO"/>
    <s v="CAMARA 208"/>
    <s v="N/A"/>
    <x v="0"/>
    <d v="1899-12-30T08:55:00"/>
    <s v="MARTES"/>
    <s v="SEMANA 15"/>
    <m/>
    <m/>
    <s v="DANIEL GARRIDO"/>
    <s v="ARNALDO VERA"/>
    <n v="25"/>
    <x v="4"/>
    <x v="2"/>
    <s v="Contusión"/>
    <s v="Caida de mismo nivel"/>
    <s v="COLABORADORA SUFRE CONTUSION EN ESPALDA Y CABEZA POR CAIDA MISMO NIVEL AL PISAR HIELO QUE SE ENCONTRABA EN PISO DE CAMARA 208 ROTULANDO BINS"/>
    <x v="1"/>
    <s v="SI"/>
    <x v="0"/>
    <s v="NICOLAS GOMEZ"/>
    <s v="CARLOS CARTAGENA"/>
    <x v="2"/>
  </r>
  <r>
    <n v="2023"/>
    <s v="ABRIL"/>
    <s v="EL PAICO"/>
    <s v="RAGA VAZQUEZ"/>
    <s v="ELIZABETH"/>
    <s v="FEMENINO"/>
    <s v="26199492-5"/>
    <d v="2022-11-22T00:00:00"/>
    <n v="4"/>
    <d v="2023-04-19T00:00:00"/>
    <s v="NUEVO"/>
    <s v="N/A"/>
    <s v="N/A"/>
    <s v="N/A"/>
    <n v="0"/>
    <s v="STP"/>
    <s v="N/A"/>
    <s v="N/A"/>
    <s v="IQF Y CALIBRADO"/>
    <s v="IQF"/>
    <s v="OPERARIO"/>
    <s v="IQF"/>
    <s v="N/A"/>
    <x v="1"/>
    <d v="1899-12-30T19:00:00"/>
    <s v="MIERCOLES"/>
    <s v="SEMANA 16"/>
    <m/>
    <m/>
    <s v="GUILLERMO NARVAEZ"/>
    <s v="MAXIMO CAMPOS"/>
    <n v="35"/>
    <x v="6"/>
    <x v="5"/>
    <s v="Conjuntivitis"/>
    <s v="Proyeccion de particulas"/>
    <s v="COLABORADORA SUFRE IRRITACION OCULAR EN OJO IZQUIERDO POR PROYECCION DE PARTICULAS CUANDO SE ENCONTRABA MANIPULANDO PRODUCTOS EN BANDEJAS EN LINEA IQF"/>
    <x v="0"/>
    <s v="SI"/>
    <x v="0"/>
    <s v="NICOLAS GOMEZ"/>
    <s v="WLADIMIR CALDERON "/>
    <x v="0"/>
  </r>
  <r>
    <n v="2023"/>
    <s v="ABRIL"/>
    <s v="EL PAICO"/>
    <s v="PAVEZ AGUILA"/>
    <s v="PAULA"/>
    <s v="FEMENINO"/>
    <s v="20424217-8"/>
    <d v="2023-01-09T00:00:00"/>
    <n v="3"/>
    <d v="2023-04-24T00:00:00"/>
    <s v="NUEVO"/>
    <s v="N/A"/>
    <s v="N/A"/>
    <s v="N/A"/>
    <n v="0"/>
    <s v="STP"/>
    <s v="N/A"/>
    <s v="N/A"/>
    <s v="IQF Y CALIBRADO"/>
    <s v="IQF"/>
    <s v="OPERARIO"/>
    <s v="IQF"/>
    <s v="N/A"/>
    <x v="1"/>
    <d v="1899-12-30T22:30:00"/>
    <s v="LUNES"/>
    <s v="SEMANA 17"/>
    <m/>
    <m/>
    <s v="GUILLERMO NARVAEZ"/>
    <s v="FRANCISCO SANCHEZ"/>
    <n v="23"/>
    <x v="4"/>
    <x v="4"/>
    <s v="Contusión"/>
    <s v="Caida de distinto nivel"/>
    <s v="COLABORADOR SUFRE GOLPE EN RODILLA IZQUIERDA POR CAIDA DE DISTINTO NIVEL CUANDO SE ENCONTRABA MOVILIZANDO BANDEJAS EN LINEA DE IQF."/>
    <x v="1"/>
    <s v="SI"/>
    <x v="0"/>
    <s v="ALAN CARRASCO"/>
    <s v="CARLOS CARTAGENA"/>
    <x v="0"/>
  </r>
  <r>
    <n v="2023"/>
    <s v="ABRIL"/>
    <s v="EL PAICO"/>
    <s v="NORAMBUENA CARVAJAL"/>
    <s v="RODRIGO"/>
    <s v="MASCULINO"/>
    <s v="16788251-K"/>
    <d v="2012-02-01T00:00:00"/>
    <n v="134"/>
    <d v="2023-04-15T00:00:00"/>
    <s v="ANTIGUO"/>
    <d v="2023-04-15T00:00:00"/>
    <d v="2023-09-24T00:00:00"/>
    <s v="N/A"/>
    <n v="163"/>
    <s v="CTP"/>
    <s v="LGF"/>
    <s v="LGF2"/>
    <s v="P. POSTERIORES"/>
    <s v="SALA DE PULPA"/>
    <s v="OPERARIO"/>
    <s v="SALA DE PULPA"/>
    <s v="MAQUINA BAADER"/>
    <x v="0"/>
    <d v="1899-12-30T11:40:00"/>
    <s v="SABADO"/>
    <s v="SEMANA 15"/>
    <n v="15621"/>
    <s v="NC-35-23"/>
    <s v="OCTAVIO MUÑOZ"/>
    <s v="MARCOS QUINTANILLA"/>
    <n v="35"/>
    <x v="2"/>
    <x v="0"/>
    <s v="Fractura"/>
    <s v="Atrapamiento"/>
    <s v="COLABORADOR SUFRE DESPRENDIMIENTO EN DEDO ANULAR SUPERIOR DERECHO, POR ATRAPAMIENTO MIENTRAS OPERABA MAQUINA BAADER EN SALA DE PULPA."/>
    <x v="0"/>
    <s v="SI"/>
    <x v="1"/>
    <s v="ALAN CARRASCO"/>
    <s v="WLADIMIR CALDERON "/>
    <x v="16"/>
  </r>
  <r>
    <n v="2023"/>
    <s v="ABRIL"/>
    <s v="EL PAICO"/>
    <s v="MENA MATTA"/>
    <s v="NINOSHKA"/>
    <s v="FEMENINO"/>
    <s v="18528198-1"/>
    <d v="2023-03-27T00:00:00"/>
    <n v="0"/>
    <d v="2023-04-22T00:00:00"/>
    <s v="NUEVO"/>
    <d v="2023-04-24T00:00:00"/>
    <d v="2023-04-27T00:00:00"/>
    <s v="N/A"/>
    <n v="4"/>
    <s v="CTP"/>
    <s v="N/A"/>
    <s v="N/A"/>
    <s v="FRIGORIFICO"/>
    <s v="FRIGORIFICO"/>
    <s v="OPERARIO"/>
    <s v="PASILLO B CAMARA "/>
    <s v="N/A"/>
    <x v="0"/>
    <d v="1899-12-30T06:35:00"/>
    <s v="SABADO"/>
    <s v="SEMANA 16"/>
    <n v="15645"/>
    <s v="NC-52-23"/>
    <s v="FRANCISCO QUEZADA"/>
    <s v="ALEJANDRO TORRES"/>
    <n v="30"/>
    <x v="4"/>
    <x v="4"/>
    <s v="Contusión"/>
    <s v="Caida de mismo nivel"/>
    <s v="COLABORADORA SUFRE CONTUSION EN RODILLA DERECHA POR CAIDA DE MISMO EN PASILLO DE CAMARA EN EL AREA DE FRIGORIFICO"/>
    <x v="1"/>
    <s v="SI"/>
    <x v="1"/>
    <s v="ALAN CARRASCO"/>
    <s v="MICHELLE SANCHEZ"/>
    <x v="2"/>
  </r>
  <r>
    <n v="2023"/>
    <s v="ABRIL"/>
    <s v="EL PAICO"/>
    <s v="MELLADO BARRIENTOS"/>
    <s v="POLONIA "/>
    <s v="FEMENINO"/>
    <s v="17422963-5"/>
    <d v="2021-02-22T00:00:00"/>
    <n v="25"/>
    <d v="2023-04-21T00:00:00"/>
    <s v="ANTIGUO"/>
    <d v="2023-04-24T00:00:00"/>
    <d v="2023-04-26T00:00:00"/>
    <s v="N/A"/>
    <n v="3"/>
    <s v="CTP"/>
    <s v="N/A"/>
    <s v="N/A"/>
    <s v="TROZADO DE POLLO"/>
    <s v="SALA DE PROCESO"/>
    <s v="OPERARIO"/>
    <s v="SALA DE PROCESO"/>
    <s v="N/A"/>
    <x v="1"/>
    <m/>
    <s v="VIERNES"/>
    <s v="SEMANA 16"/>
    <n v="15647"/>
    <s v="NC-55-23"/>
    <s v="DANIEL GARRIDO"/>
    <s v="JOSE CARVALLO"/>
    <n v="32"/>
    <x v="5"/>
    <x v="0"/>
    <s v="Contusión"/>
    <s v="Golpeado contra"/>
    <s v="COLABORADORA DE TPO SUFRIO CONTUSION EN MANO DERECHA GOLPEADA POR UN BINS, LA TRABAJADORA TENIA LA MANO APOYADA EN UN BINS EN ESE MOMENTO UN MOVILIZADOR ARRASTRA UN BINS CERCANO PARA POSICIONARLO A UN LADO DEL OTRO, EN ESTE MOMENTO NO SE PERCATA DE LA TRABAJADORA Y GOLPEADA SU MANO DEJANDOLA ENTRE AMBOS BINS, EL ACC OCURRIO EN SALA DE PROCESO. "/>
    <x v="0"/>
    <s v="SI"/>
    <x v="1"/>
    <s v="NICOLAS GOMEZ"/>
    <m/>
    <x v="11"/>
  </r>
  <r>
    <n v="2023"/>
    <s v="ABRIL"/>
    <s v="EL PAICO"/>
    <s v="HUINAO CARTAGENA"/>
    <s v="MANUEL"/>
    <s v="MASCULINO"/>
    <s v="15403657-1"/>
    <d v="2022-11-04T00:00:00"/>
    <n v="5"/>
    <d v="2023-04-27T00:00:00"/>
    <s v="NUEVO"/>
    <s v="N/A"/>
    <s v="N/A"/>
    <d v="2023-04-28T00:00:00"/>
    <n v="0"/>
    <s v="STP"/>
    <s v="N/A"/>
    <s v="N/A"/>
    <s v="IQF Y CALIBRADO"/>
    <s v="CALIBRADO"/>
    <s v="OPERARIO"/>
    <s v="TROZADO DE POLLO"/>
    <s v="N/A"/>
    <x v="0"/>
    <d v="1899-12-30T08:10:00"/>
    <s v="JUEVES"/>
    <s v="SEMANA 17"/>
    <m/>
    <m/>
    <s v="GUILLERMO NARVAEZ"/>
    <s v="MAXIMO CAMPOS"/>
    <n v="40"/>
    <x v="5"/>
    <x v="3"/>
    <s v="Contusión"/>
    <s v="Golpeado por"/>
    <s v="COLABORADOR SUFRE CONTUSION EN PIE DERECHO AL SE GOLPEADO POR COMPAÑERO QUE TRASLABA BINS CON PRODUCTO EN PASILLO DE TROZADO DE POLLO"/>
    <x v="0"/>
    <s v="SI"/>
    <x v="0"/>
    <s v="NICOLAS GOMEZ"/>
    <s v="WLADIMIR CALDERON "/>
    <x v="0"/>
  </r>
  <r>
    <n v="2023"/>
    <s v="ABRIL"/>
    <s v="EL PAICO"/>
    <s v="GUIÑEZ GARRIDO"/>
    <s v="PATRICIO"/>
    <s v="MASCULINO"/>
    <s v="14008724-6"/>
    <d v="2022-11-15T00:00:00"/>
    <n v="5"/>
    <d v="2023-04-24T00:00:00"/>
    <s v="NUEVO"/>
    <s v="N/A"/>
    <s v="N/A"/>
    <s v="N/A"/>
    <n v="0"/>
    <s v="STP"/>
    <s v="N/A"/>
    <s v="N/A"/>
    <s v="IQF Y CALIBRADO"/>
    <s v="CALIBRADO"/>
    <s v="OPERARIO"/>
    <s v="EMPAQUE"/>
    <s v="N/A"/>
    <x v="0"/>
    <d v="1899-12-30T08:00:00"/>
    <s v="LUNES"/>
    <s v="SEMANA 17"/>
    <m/>
    <m/>
    <s v="GUILLERMO NARVAEZ"/>
    <s v="FERNANDO FUENTEALBA"/>
    <n v="41"/>
    <x v="0"/>
    <x v="1"/>
    <s v="Contusión"/>
    <s v="Golpeado por"/>
    <s v="COLABORADOR SUFRE GOLPE EN POMULO IZQUIERDO POR TAPA DE CAJA CUANDO SE ENCONTRABA SACANDO ZUNCHOS EN EL AREA DE EMPAQUE"/>
    <x v="0"/>
    <s v="SI"/>
    <x v="0"/>
    <s v="NICOLAS GOMEZ"/>
    <s v="CARLOS CARTAGENA"/>
    <x v="0"/>
  </r>
  <r>
    <n v="2023"/>
    <s v="ABRIL"/>
    <s v="EL PAICO"/>
    <s v="GONZALEZ MEDINA"/>
    <s v="ERIKA"/>
    <s v="FEMENINO"/>
    <s v="15624346-9"/>
    <d v="1993-01-06T00:00:00"/>
    <n v="363"/>
    <d v="2023-04-27T00:00:00"/>
    <s v="ANTIGUO"/>
    <s v="N/A"/>
    <s v="N/A"/>
    <s v="N/A"/>
    <n v="0"/>
    <s v="STP"/>
    <s v="N/A"/>
    <s v="N/A"/>
    <s v="TROZADO DE POLLO"/>
    <s v="PROLIJADO"/>
    <s v="OPERARIO"/>
    <s v="LINEA PROLIJADO"/>
    <s v="N/A"/>
    <x v="0"/>
    <d v="1899-12-30T12:30:00"/>
    <s v="VIERNES"/>
    <s v="SEMANA 17"/>
    <m/>
    <m/>
    <s v="DANIEL GARRIDO"/>
    <s v="JOSE CARVALLO"/>
    <n v="55"/>
    <x v="0"/>
    <x v="0"/>
    <s v="Herida cortante"/>
    <s v="Contacto con cuerpo punzante"/>
    <s v="COLABORADORA SUFRE CORTE EN DEDO ANULAR DE MANO DERECHA CON CUCHILLO, EN LINEA PROLIJADO DE PECHUGAS"/>
    <x v="0"/>
    <s v="SI"/>
    <x v="0"/>
    <s v="ALAN CARRASCO"/>
    <s v="CARLOS CARTAGENA"/>
    <x v="17"/>
  </r>
  <r>
    <n v="2023"/>
    <s v="ABRIL"/>
    <s v="EL PAICO"/>
    <s v="GONALEZ NIDA"/>
    <s v="MAURICIO"/>
    <s v="MASCULINO"/>
    <s v="20122752-6"/>
    <d v="2023-03-14T00:00:00"/>
    <n v="0"/>
    <d v="2023-04-10T00:00:00"/>
    <s v="NUEVO"/>
    <d v="2023-04-11T00:00:00"/>
    <d v="2023-04-12T00:00:00"/>
    <s v="N/A"/>
    <n v="1"/>
    <s v="CTP"/>
    <s v="N/A"/>
    <s v="N/A"/>
    <s v="TROZADO DE POLLO"/>
    <s v="DESHUESADO"/>
    <s v="OPERARIO"/>
    <s v="DESHUESADO"/>
    <s v="N/A"/>
    <x v="0"/>
    <d v="1899-12-30T08:30:00"/>
    <s v="LUNES"/>
    <s v="SEMANA 15"/>
    <n v="15618"/>
    <s v="NC-50-23"/>
    <s v="DANIEL GARRIDO"/>
    <s v="JOSE CARVALLO"/>
    <n v="24"/>
    <x v="6"/>
    <x v="5"/>
    <s v="Conjuntivitis"/>
    <s v="Proyeccion de particulas"/>
    <s v="COLABORADOR SUFRE INFLAMACION EN OJO IZQUIERDO POR SALPICADURA DE PRODUCTO AL ESTAR LIMPIANDO PECHUGAS EN LINEA DE PROLIJADO"/>
    <x v="0"/>
    <s v="SI"/>
    <x v="1"/>
    <s v="NICOLAS GOMEZ"/>
    <s v="CARLOS CARTAGENA"/>
    <x v="11"/>
  </r>
  <r>
    <n v="2023"/>
    <s v="ABRIL"/>
    <s v="EL PAICO"/>
    <s v="ESPINOZA PINTO"/>
    <s v="JORGE"/>
    <s v="MASCULINO"/>
    <s v="19849137-3"/>
    <d v="2022-11-14T00:00:00"/>
    <n v="5"/>
    <d v="2023-04-24T00:00:00"/>
    <s v="NUEVO"/>
    <d v="2023-04-24T00:00:00"/>
    <d v="2023-04-24T00:00:00"/>
    <s v="N/A"/>
    <n v="0"/>
    <s v="STP"/>
    <s v="N/A"/>
    <s v="N/A"/>
    <s v="TROZADO DE POLLO"/>
    <s v="TROZADO AUTOMATICO"/>
    <s v="OPERARIO"/>
    <s v="TROZADO AUTOMATICO"/>
    <s v="N/A"/>
    <x v="1"/>
    <d v="1899-12-30T16:00:00"/>
    <s v="LUNES"/>
    <s v="SEMANA 17"/>
    <n v="15646"/>
    <s v="NC-53-23"/>
    <s v="DANIEL GARRIDO"/>
    <s v="RAMIRO RAMIREZ"/>
    <n v="24"/>
    <x v="0"/>
    <x v="3"/>
    <s v="Herida cortante"/>
    <s v="Contacto con cuerpo punzante"/>
    <s v="COLABORADOR SUFRE HERIDA PUNZANTE AL PISAR TABLA CON CLAVO QUE SE ENCONTRABA EN SUELO DE PASILLO C "/>
    <x v="1"/>
    <s v="SI"/>
    <x v="1"/>
    <s v="ALAN CARRASCO"/>
    <s v="CARLOS CARTAGENA"/>
    <x v="7"/>
  </r>
  <r>
    <n v="2023"/>
    <s v="ABRIL"/>
    <s v="EL PAICO"/>
    <s v="DURAN OYANEDEL"/>
    <s v="CRISTIAN"/>
    <s v="MASCULINO"/>
    <s v="13334407-1"/>
    <d v="2005-12-01T00:00:00"/>
    <n v="208"/>
    <d v="2023-04-29T00:00:00"/>
    <s v="ANTIGUO"/>
    <d v="2023-04-29T00:00:00"/>
    <d v="2023-05-05T00:00:00"/>
    <s v="N/A"/>
    <n v="7"/>
    <s v="CTP"/>
    <s v="N/A"/>
    <s v="N/A"/>
    <s v="SSGG"/>
    <s v="ASEO OPERACIONAL"/>
    <s v="ENCARGADO DE LINEA"/>
    <s v="PASILLO SALA DE JUEGOS"/>
    <s v="N/A"/>
    <x v="0"/>
    <d v="1899-12-30T10:40:00"/>
    <s v="SABADO"/>
    <s v="SEMANA 17"/>
    <n v="15654"/>
    <s v="NC-63-23"/>
    <s v="CARLOS JIMENEZ"/>
    <s v="JORDAN FARIAS"/>
    <n v="47"/>
    <x v="3"/>
    <x v="3"/>
    <s v="Torsión"/>
    <s v="Caida de mismo nivel"/>
    <s v="COLABORADOR DE SSGG SUFRE TORSION DE SU PIERNA IZQUIERDA POR CAIDA A MISMO NIVEL AL REBALAR FUERA DE SALA DE CAPACITACION POR EL PASILLO DE LA SALA DE JUEGOS PRODUCTO DE AGUA EN EL PISO A RAIZ DE UNA GOTERA, ESTO MIENTRAS SE DIRIGIA AL PROCESO POR EL LLAMADO DE UNA CONTINGENCIA."/>
    <x v="1"/>
    <s v="SI"/>
    <x v="1"/>
    <s v="NICOLAS GOMEZ"/>
    <s v="CHISTIAN JHONS"/>
    <x v="4"/>
  </r>
  <r>
    <n v="2023"/>
    <s v="ABRIL"/>
    <s v="EL PAICO"/>
    <s v="CASTILLO TRIVIÑO"/>
    <s v="PABLO"/>
    <s v="MASCULINO"/>
    <s v="19409089-7"/>
    <d v="2020-03-16T00:00:00"/>
    <n v="37"/>
    <d v="2023-04-18T00:00:00"/>
    <s v="ANTIGUO"/>
    <d v="2023-04-19T00:00:00"/>
    <d v="2023-04-24T00:00:00"/>
    <s v="N/A"/>
    <n v="6"/>
    <s v="CTP"/>
    <s v="N/A"/>
    <s v="N/A"/>
    <s v="MANTENCION"/>
    <s v="MANTENCION"/>
    <s v="OPERARIO"/>
    <s v="POZO DE PLUMAS"/>
    <s v="N/A"/>
    <x v="1"/>
    <d v="1899-12-30T18:00:00"/>
    <s v="MARTES"/>
    <s v="SEMANA 16"/>
    <n v="15632"/>
    <s v="NC-51-23"/>
    <s v="VICTOR GOMEZ"/>
    <s v="DANIEL GONZALEZ"/>
    <n v="27"/>
    <x v="12"/>
    <x v="3"/>
    <s v="Herida cortante"/>
    <s v="Otros"/>
    <s v="COLABORADOR SUFRE HERIDA EN PIE IZQUIERDO POR ROCE CON ZAPATO DE SEGURIDAD AL REALIZAR SUS LABORES EN POZO DE PLUMAS "/>
    <x v="0"/>
    <s v="SI"/>
    <x v="1"/>
    <s v="ALAN CARRASCO "/>
    <s v="MICHELLE SANCHEZ"/>
    <x v="18"/>
  </r>
  <r>
    <n v="2023"/>
    <s v="ABRIL"/>
    <s v="EL PAICO"/>
    <s v="CARRASCO CACERES"/>
    <s v="VICTOR"/>
    <s v="MASCULINO"/>
    <s v="16985231-6"/>
    <d v="2008-07-18T00:00:00"/>
    <n v="176"/>
    <d v="2023-04-12T00:00:00"/>
    <s v="ANTIGUO"/>
    <s v="N/A"/>
    <s v="N/A"/>
    <s v="N/A"/>
    <n v="0"/>
    <s v="STP"/>
    <s v="N/A"/>
    <s v="N/A"/>
    <s v="TROZADO DE POLLO"/>
    <s v="TROZADO AUTOMATICO"/>
    <s v="OPERARIO"/>
    <s v="ANDENES"/>
    <s v="N/A"/>
    <x v="1"/>
    <d v="1899-12-30T15:10:00"/>
    <s v="MIERCOLES"/>
    <s v="SEMANA 15"/>
    <m/>
    <m/>
    <s v="DANIEL GARRIDO"/>
    <s v="JONATHAN VERA"/>
    <n v="34"/>
    <x v="5"/>
    <x v="7"/>
    <s v="Otros"/>
    <s v="Sobreesfuerzo"/>
    <s v="COLABORADOR SUFRE DOLOR EN ESPALDA POR SOBREESFUERZOAL ESTAR MOVIENDO BINS QUE SE ENCONTRABAN APRETADOS EN SECTOR DE ANDENES."/>
    <x v="0"/>
    <s v="SI"/>
    <x v="0"/>
    <s v="NICOLAS GOMEZ"/>
    <s v="CARLOS CARTAGENA"/>
    <x v="7"/>
  </r>
  <r>
    <n v="2023"/>
    <s v="ABRIL"/>
    <s v="EL PAICO"/>
    <s v="CAMACHO CASTELLANOS"/>
    <s v="JESUS"/>
    <s v="MASCULINO"/>
    <s v="27001301-5"/>
    <d v="2021-04-26T00:00:00"/>
    <n v="23"/>
    <d v="2023-04-04T00:00:00"/>
    <s v="ANTIGUO"/>
    <d v="2023-04-05T00:00:00"/>
    <d v="2023-04-21T00:00:00"/>
    <s v="N/A"/>
    <n v="17"/>
    <s v="CTP"/>
    <s v="N/A"/>
    <s v="N/A"/>
    <s v="TROZADO DE POLLO"/>
    <s v="DESHUESADO"/>
    <s v="OPERARIO"/>
    <s v="DESHUESADO"/>
    <s v="N/A"/>
    <x v="1"/>
    <d v="1899-12-30T16:20:00"/>
    <s v="MARTES"/>
    <s v="SEMANA 14"/>
    <n v="15605"/>
    <s v="NC-33-23"/>
    <s v="DANIEL GARRIDO"/>
    <s v="JOSE CARVALLO"/>
    <n v="24"/>
    <x v="2"/>
    <x v="0"/>
    <s v="Herida cortante"/>
    <s v="Contacto con cuerpo punzante"/>
    <s v="COLABORADOR SUFRE HERIDA PENETRANTE EN PALMA DE MANO IZQUERDA AL ESTAR COLGANDO PECHUGAS DE POLLO ENTERAS"/>
    <x v="0"/>
    <s v="SI"/>
    <x v="1"/>
    <s v="ALAN CARRASCO "/>
    <s v="CARLOS CARTAGENA"/>
    <x v="11"/>
  </r>
  <r>
    <n v="2023"/>
    <s v="ABRIL"/>
    <s v="EL PAICO"/>
    <s v="COELHO DE SAUCE"/>
    <s v="SILVIO"/>
    <s v="MASCULINO"/>
    <s v="27133909-7"/>
    <d v="2021-09-13T00:00:00"/>
    <n v="19"/>
    <d v="2023-04-21T00:00:00"/>
    <s v="ANTIGUO"/>
    <s v="N/A"/>
    <s v="N/A"/>
    <s v="N/A"/>
    <n v="0"/>
    <s v="STP"/>
    <s v="LGF"/>
    <s v="LGF4"/>
    <s v="FRIGORIFICO"/>
    <s v="FRIGORIFICO"/>
    <s v="OPERARIO"/>
    <s v="SALA EMPAQUE TUNEL"/>
    <s v="EQUIPO PARA MOVIMIENTO DE CARGA (GRUAS O TRANSPALETAS)"/>
    <x v="1"/>
    <d v="1899-12-30T14:30:00"/>
    <s v="VIERNES"/>
    <s v="SEMANA 16"/>
    <m/>
    <s v="NC-54-23"/>
    <s v="FRANCISCO QUEZADA"/>
    <s v="ALEJANDRO TORRES"/>
    <n v="40"/>
    <x v="7"/>
    <x v="2"/>
    <s v="Contusión"/>
    <s v="Golpeado por"/>
    <s v="COLABORADOR SUFRE GOLPE EN BRAZO Y PIERNA POR ATRAPAMIENTO ENTRE DOS PALLET CON CAJAS EN SALA DE PALLETIZADO EN EL AREA DE FRIGORIFICO "/>
    <x v="0"/>
    <s v="SI"/>
    <x v="1"/>
    <s v="NICOLAS GOMEZ"/>
    <s v="CHISTIAN JHONS"/>
    <x v="14"/>
  </r>
  <r>
    <n v="2023"/>
    <s v="ABRIL"/>
    <s v="EL PAICO"/>
    <s v="BERNARD "/>
    <s v="ROSE-CARINE"/>
    <s v="FEMENINO"/>
    <s v="26225281-7"/>
    <d v="2021-12-29T00:00:00"/>
    <n v="15"/>
    <d v="2023-04-04T00:00:00"/>
    <s v="INTERMEDIO"/>
    <s v="N/A"/>
    <s v="N/A"/>
    <s v="N/A"/>
    <n v="0"/>
    <s v="STP"/>
    <s v="N/A"/>
    <s v="N/A"/>
    <s v="SSGG"/>
    <s v="ASEO OPERACIONAL"/>
    <s v="OPERARIO"/>
    <s v="DESHUESADO"/>
    <s v="N/A"/>
    <x v="1"/>
    <d v="1899-12-30T08:45:00"/>
    <s v="MARTES"/>
    <s v="SEMANA 14"/>
    <n v="15606"/>
    <s v="NC-31-23"/>
    <s v="CARLOS JIMENES"/>
    <s v="JORDAN FARIAS"/>
    <n v="28"/>
    <x v="4"/>
    <x v="8"/>
    <s v="Contusión"/>
    <s v="Caida de mismo nivel"/>
    <s v="COLABORADORA SUFRE CAIDA EN SALA DE PROCESO GOLPEANDOSE EN HOMBRO IZQUERDO"/>
    <x v="1"/>
    <s v="SI"/>
    <x v="1"/>
    <s v="ALAN CARRASCO"/>
    <s v="CARLOS CARTAGENA"/>
    <x v="2"/>
  </r>
  <r>
    <n v="2023"/>
    <s v="ABRIL"/>
    <s v="EL PAICO"/>
    <s v="ARAYA MOYANO"/>
    <s v="MARIA INES"/>
    <s v="FEMENINO"/>
    <s v="10999607-6"/>
    <d v="2014-11-10T00:00:00"/>
    <n v="100"/>
    <d v="2023-04-06T00:00:00"/>
    <s v="ANTIGUO"/>
    <d v="2023-04-08T00:00:00"/>
    <d v="2023-04-15T00:00:00"/>
    <s v="N/A"/>
    <n v="8"/>
    <s v="CTP"/>
    <s v="LGF"/>
    <s v="LGF3"/>
    <s v="SSGG"/>
    <s v="ASEO OPERACIONAL"/>
    <s v="OPERARIO"/>
    <s v="FAENA"/>
    <s v="N/A"/>
    <x v="2"/>
    <d v="1899-12-30T19:30:00"/>
    <s v="JUEVES"/>
    <s v="SEMANA 14"/>
    <n v="15615"/>
    <s v="NC-32-23"/>
    <s v="CARLOS JIMENES"/>
    <s v="LUIS URBINA"/>
    <n v="56"/>
    <x v="9"/>
    <x v="0"/>
    <s v="Quemadura"/>
    <s v="Contacto con sustancias toxicas"/>
    <s v="COLABORA SUFRE QUEMADURA EN EN DEDO INDICE Y PULGAR DE MANO DERECHA Y DEDO PULGAR DE MANO IZQUERDA POR CONTACTO CON PRODUCTO QUIMICO AL ESTAR LAVANDO CORTINAS PLASTICAS EN EL PASILLO DE FAENA"/>
    <x v="0"/>
    <s v="SI"/>
    <x v="1"/>
    <s v="NICOLAS GOMEZ"/>
    <m/>
    <x v="9"/>
  </r>
  <r>
    <n v="2023"/>
    <s v="ABRIL"/>
    <s v="EL PAICO"/>
    <s v="ALLENDE FROST"/>
    <s v="ANA "/>
    <s v="FEMENINO"/>
    <s v="14246215-K"/>
    <d v="2019-09-09T00:00:00"/>
    <n v="43"/>
    <d v="2023-04-24T00:00:00"/>
    <s v="ANTIGUO"/>
    <s v="N/A"/>
    <s v="N/A"/>
    <s v="N/A"/>
    <n v="0"/>
    <s v="STP"/>
    <s v="N/A"/>
    <s v="N/A"/>
    <s v="TROZADO DE POLLO"/>
    <s v="DESHUESADO"/>
    <s v="OPERARIO"/>
    <s v="DESHUESADO"/>
    <s v="N/A"/>
    <x v="1"/>
    <d v="1899-12-30T14:50:00"/>
    <s v="LUNES"/>
    <s v="SEMANA 17"/>
    <m/>
    <m/>
    <s v="DANIEL GARRIDO"/>
    <s v="JORGE MEZA"/>
    <n v="48"/>
    <x v="0"/>
    <x v="0"/>
    <s v="Contusión"/>
    <s v="Golpeado contra"/>
    <s v="COLABORADORA SUFRE CONTUSION EN DEDO MEDIUM DE MANO IZQUIERDA AL DEJAR ROLLO DE LAMINA SOBRE MESA DE FILETILLO EN DESHUESADO DE PECHUGA"/>
    <x v="0"/>
    <s v="SI"/>
    <x v="0"/>
    <s v="NICOLAS GOMEZ"/>
    <s v="CARLOS CARTAGENA"/>
    <x v="19"/>
  </r>
  <r>
    <n v="2023"/>
    <s v="MAYO"/>
    <s v="EL PAICO"/>
    <s v="VILLALOBOS VALENZUELA"/>
    <s v="PABLO"/>
    <s v="MASCULINO"/>
    <s v="19382613-K"/>
    <d v="2022-08-18T00:00:00"/>
    <n v="8"/>
    <d v="2023-05-13T00:00:00"/>
    <s v="INTERMEDIO"/>
    <s v="N/A"/>
    <s v="N/A"/>
    <s v="N/A"/>
    <n v="0"/>
    <s v="STP"/>
    <s v="N/A"/>
    <s v="N/A"/>
    <s v="TROZADO DE POLLO"/>
    <s v="DESHUESADO"/>
    <s v="OPERARIO"/>
    <s v="DESHUESADO"/>
    <s v="N/A"/>
    <x v="0"/>
    <d v="1899-12-30T10:00:00"/>
    <s v="SABADO"/>
    <s v="SEMANA 19"/>
    <m/>
    <m/>
    <s v="DANIEL GARRIDO"/>
    <s v="JOSE CARVALLO"/>
    <n v="27"/>
    <x v="14"/>
    <x v="8"/>
    <s v="Torsión"/>
    <s v="Otros"/>
    <s v="COLABORADOR SUFRE DOLENCIA EN MUÑECA DERECHA POR TORSION AL AFIRMAR CAJA CON PRODUCTO EN DESHUESADO"/>
    <x v="0"/>
    <s v="SI"/>
    <x v="0"/>
    <s v="ALAN CARRASCO"/>
    <s v="WLADIMIR CALDERON "/>
    <x v="7"/>
  </r>
  <r>
    <n v="2023"/>
    <s v="MAYO"/>
    <s v="EL PAICO"/>
    <s v="VICENCIO ARAYA"/>
    <s v="MARIANEL"/>
    <s v="FEMENINO"/>
    <s v="20424728-5"/>
    <d v="2022-01-19T00:00:00"/>
    <n v="15"/>
    <d v="2023-05-08T00:00:00"/>
    <s v="INTERMEDIO"/>
    <d v="2023-05-08T00:00:00"/>
    <d v="2023-05-15T00:00:00"/>
    <s v="N/A"/>
    <n v="8"/>
    <s v="CTP"/>
    <s v="LGF"/>
    <s v="LGF2"/>
    <s v="SSGG"/>
    <s v="ASEO OPERACIONAL"/>
    <s v="OPERARIO"/>
    <s v="CINTA TRIMIN"/>
    <s v="CINTA TRIMIN"/>
    <x v="2"/>
    <d v="1899-12-30T01:05:00"/>
    <s v="LUNES"/>
    <s v="SEMANA 19"/>
    <n v="15681"/>
    <s v="NC-7-23."/>
    <s v="CARLOS JIMENES"/>
    <s v="PATRICIO PALACIOS"/>
    <n v="22"/>
    <x v="2"/>
    <x v="0"/>
    <s v="Contusión"/>
    <s v="Atrapamiento"/>
    <s v="COLABORADORA SUFRE CONTUSION EN MANO IZQUIERDA,  POR ATRAPAMIENTO CUANDO SE ENCONTRABA LIMPIANDO CINTA TRIMIN EN EL AREA DESHUESADO "/>
    <x v="0"/>
    <s v="SI"/>
    <x v="1"/>
    <s v="NICOLAS GOMEZ"/>
    <s v="CHISTIAN JHONS"/>
    <x v="11"/>
  </r>
  <r>
    <n v="2023"/>
    <s v="MAYO"/>
    <s v="EL PAICO"/>
    <s v="VAZQUEZ RIVEROS"/>
    <s v="PAMELA"/>
    <s v="FEMENINO"/>
    <s v="16985189-1"/>
    <d v="2022-12-13T00:00:00"/>
    <n v="4"/>
    <d v="2023-05-09T00:00:00"/>
    <s v="NUEVO"/>
    <s v="N/A"/>
    <s v="N/A"/>
    <s v="N/A"/>
    <n v="0"/>
    <s v="STP"/>
    <s v="N/A"/>
    <s v="N/A"/>
    <s v="TROZADO DE POLLO"/>
    <s v="DESHUESADO"/>
    <s v="OPERARIO"/>
    <s v="TROZADO DE PAVO"/>
    <s v="N/A"/>
    <x v="0"/>
    <d v="1899-12-30T13:40:00"/>
    <s v="MARTES"/>
    <s v="SEMANA 19"/>
    <m/>
    <m/>
    <s v="DANIEL GARRIDO"/>
    <s v="JOSE CARVALLO"/>
    <n v="37"/>
    <x v="6"/>
    <x v="2"/>
    <s v="Contusión"/>
    <s v="Caida de mismo nivel"/>
    <s v="COLABORADORA SUFRE CAIDA A NIVEL AL PISAR RESTOS DE PRODUCTOS QUE SE ENCONTRABAN EN EL PISO, CUANDO PASABA POR EL AREA DE TROZADO DE PAVO"/>
    <x v="1"/>
    <s v="SI"/>
    <x v="0"/>
    <s v="NICOLAS GOMEZ"/>
    <s v="WLADIMIR CALDERON "/>
    <x v="2"/>
  </r>
  <r>
    <n v="2023"/>
    <s v="MAYO"/>
    <s v="EL PAICO"/>
    <s v="VARGAS ROJAS"/>
    <s v="TOMAS"/>
    <s v="MASCULINO"/>
    <s v="21171568-5"/>
    <d v="2023-03-14T00:00:00"/>
    <n v="2"/>
    <d v="2023-05-22T00:00:00"/>
    <s v="NUEVO"/>
    <s v="N/A"/>
    <s v="N/A"/>
    <s v="N/A"/>
    <n v="0"/>
    <s v="STP"/>
    <s v="N/A"/>
    <s v="N/A"/>
    <s v="TROZADO DE POLLO"/>
    <s v="DESHUESADO"/>
    <s v="OPERARIO"/>
    <s v="DESHUESADO"/>
    <s v="EQUIPO PARA MOVIMIENTO DE CARGA (GRUAS O TRANSPALETAS)"/>
    <x v="0"/>
    <d v="1899-12-30T08:30:00"/>
    <s v="LUNES"/>
    <s v="SEMANA 21"/>
    <m/>
    <m/>
    <s v="DANIEL GARRIDO"/>
    <s v="JOSE CARVALLO"/>
    <n v="19"/>
    <x v="7"/>
    <x v="3"/>
    <s v="Contusión"/>
    <s v="Golpeado por"/>
    <s v="COLABORADOR SUFRE CONTUSION EN PIE IZQUIERDO POR TRANSPALETA ELECTRICA MANEJADA POR COMPAÑERO, MIENTRAS ARREGLABA UNA CAJA EN EL AREA DE DESHUESADO"/>
    <x v="0"/>
    <s v="SI"/>
    <x v="0"/>
    <s v="NICOLAS GOMEZ"/>
    <s v="CARLOS CARTAGENA"/>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n v="2023"/>
    <s v="ENERO"/>
    <s v="EL PAICO"/>
    <s v="VERA CATALAN"/>
    <s v="IVAN "/>
    <s v="MASCULINO"/>
    <s v="18488665-0 "/>
    <d v="2019-04-08T00:00:00"/>
    <n v="45"/>
    <d v="2023-01-18T00:00:00"/>
    <x v="0"/>
    <d v="2023-01-18T00:00:00"/>
    <s v="N/A"/>
    <s v="N/A"/>
    <n v="0"/>
    <x v="0"/>
    <s v="N/A"/>
    <s v="N/A"/>
    <x v="0"/>
    <s v="BODEGA"/>
    <s v="OPERARIO"/>
    <s v="BODEGA"/>
    <s v="N/A"/>
    <s v="MAÑANA"/>
    <d v="1899-12-30T13:30:00"/>
    <x v="0"/>
    <s v="SEMANA 3"/>
    <m/>
    <m/>
    <s v="BORIS PONCE"/>
    <s v="VICTORIA MILLANERS"/>
    <n v="28"/>
    <s v="Materiales"/>
    <s v="Manos / dedos"/>
    <x v="0"/>
    <x v="0"/>
    <s v="TRABAJADOR SUBRE TIRON AL ESTAR CORTANDO LAS AMARRAS (VARIAS) DEL PALLET Y AL MOVERLAS SIENTE DOLOR QUE VA DESDE LA MITAD DE LA PALMA HASTA EL CODO, EL CUAL VA EN AUMENTO Y AVISA A SU SUPERVISOR "/>
    <s v="ACCION"/>
    <s v="SI"/>
    <x v="0"/>
    <s v="ALAN CARRASCO"/>
    <s v="GABRIELA CABEZAS "/>
  </r>
  <r>
    <n v="2023"/>
    <s v="ENERO"/>
    <s v="EL PAICO"/>
    <s v="ROCHA VARELA"/>
    <s v="MARIANA"/>
    <s v="FEMENINO"/>
    <s v="15596634-3"/>
    <d v="2021-02-09T00:00:00"/>
    <n v="23"/>
    <d v="2023-01-19T00:00:00"/>
    <x v="0"/>
    <s v="N/A"/>
    <s v="N/A"/>
    <s v="N/A"/>
    <n v="0"/>
    <x v="0"/>
    <s v="N/A"/>
    <s v="N/A"/>
    <x v="1"/>
    <s v="CALIBRADO"/>
    <s v="OPERARIO"/>
    <s v="BAÑO MUJERES"/>
    <s v="N/A"/>
    <s v="MAÑANA"/>
    <d v="1899-12-30T11:20:00"/>
    <x v="1"/>
    <s v="SEMANA 3"/>
    <m/>
    <m/>
    <s v="GUILLERMO NARVAEZ"/>
    <s v="FERNANDO FUENTEALBA"/>
    <n v="39"/>
    <s v="Superficies de transito"/>
    <s v="Manos / dedos"/>
    <x v="1"/>
    <x v="1"/>
    <s v="COLABORADOR AL ESTAR DESPLAZANDOSE AL INTERIOR DEL BAÑO DE MUJERES, RESBALA PROBOCANDOLE UNA CONTUSION EN LA MUQUEÑA IZQUIERDA."/>
    <s v="ACCION"/>
    <s v="SI"/>
    <x v="0"/>
    <s v="NICOLAS GOMEZ"/>
    <s v="CHRISTIAN JHONS"/>
  </r>
  <r>
    <n v="2023"/>
    <s v="ENERO"/>
    <s v="EL PAICO"/>
    <s v="QUIROZ SAAVEDRA"/>
    <s v="JORGE"/>
    <s v="MASCULINO"/>
    <s v="10261648-0"/>
    <d v="2002-08-23T00:00:00"/>
    <n v="244"/>
    <d v="2023-01-21T00:00:00"/>
    <x v="0"/>
    <d v="2023-01-23T00:00:00"/>
    <d v="2023-02-04T00:00:00"/>
    <s v="N/A"/>
    <n v="13"/>
    <x v="1"/>
    <s v="LGF"/>
    <s v="LGF2"/>
    <x v="2"/>
    <s v="CHILLER DE AGUA"/>
    <s v="OPERARIO"/>
    <s v="CHILLER DE AGUA "/>
    <s v="CINTA DE TRANSPORTE"/>
    <s v="MAÑANA"/>
    <d v="1899-12-30T12:10:00"/>
    <x v="2"/>
    <s v="SEMANA 3"/>
    <n v="15430"/>
    <s v="NC-11-23"/>
    <s v="NICOLAS MOYANO"/>
    <s v="ERWIN GATICA"/>
    <n v="58"/>
    <s v="Maquinarias"/>
    <s v="Manos / dedos"/>
    <x v="2"/>
    <x v="2"/>
    <s v="TRABAJADOR EL CUAL SE ENCONTRABA TRANSLANDO LA CINTA TRANSPORTADORA PARA TRABAJAR EN LA HEMBRA SE APRETA EL DEDO  PULGAR DE MANO DERECHA"/>
    <s v="ACCION"/>
    <s v="SI"/>
    <x v="1"/>
    <s v="NICOLAS GOMEZ"/>
    <s v="CARLOS CARTAGENA"/>
  </r>
  <r>
    <n v="2023"/>
    <s v="ENERO"/>
    <s v="EL PAICO"/>
    <s v="PEREZ CAMPOS"/>
    <s v="CARMEN"/>
    <s v="FEMENINO"/>
    <s v="11608562-3"/>
    <d v="1998-04-01T00:00:00"/>
    <n v="297"/>
    <d v="2023-01-13T00:00:00"/>
    <x v="0"/>
    <s v="N/A"/>
    <s v="N/A"/>
    <s v="N/A"/>
    <n v="0"/>
    <x v="0"/>
    <s v="N/A"/>
    <s v="N/A"/>
    <x v="3"/>
    <s v="SANGRADO DE POLLOS"/>
    <s v="OPERARIO"/>
    <s v="SALA DE SANGRADO"/>
    <s v="N/A"/>
    <s v="MAÑANA"/>
    <d v="1899-12-30T04:00:00"/>
    <x v="3"/>
    <s v="SEMANA 2"/>
    <m/>
    <m/>
    <s v="JAIME JORQUERA"/>
    <s v="HECNIMAR URDANETA"/>
    <n v="52"/>
    <s v="Infraestructura"/>
    <s v="Manos / dedos"/>
    <x v="0"/>
    <x v="3"/>
    <s v="TRABAJADORA SE ENCONTRABA REALIZANDO INSPECCION DE ASEO PREOPERACIONAL EN SALA DE SANGRADO, AL MOMENTO DE PASAR MANO POR GUIAS SE ENTIERRA UNA ESCIRLA DE METAL EN DEDO ANULAR EL CUAL FUE RETIRADO AL MOMENTO"/>
    <s v="CONDICION"/>
    <s v="SI"/>
    <x v="0"/>
    <s v="CARLOS ORELLANA"/>
    <s v="CARLOS CARTAGENA"/>
  </r>
  <r>
    <n v="2023"/>
    <s v="ENERO"/>
    <s v="EL PAICO"/>
    <s v="PEÑA ASTORGA"/>
    <s v="GUSTAVO"/>
    <s v="MASCULINO"/>
    <s v="17225054-8"/>
    <d v="2019-11-11T00:00:00"/>
    <n v="37"/>
    <d v="2023-01-03T00:00:00"/>
    <x v="0"/>
    <s v="N/A"/>
    <s v="N/A"/>
    <s v="N/A"/>
    <n v="0"/>
    <x v="0"/>
    <s v="N/A"/>
    <s v="N/A"/>
    <x v="2"/>
    <s v="EVISCERADO"/>
    <s v="OPERARIO"/>
    <s v="LINEA DESCOLGADO DE BANDEJAS"/>
    <s v="N/A"/>
    <s v="MAÑANA"/>
    <d v="1899-12-30T13:45:00"/>
    <x v="4"/>
    <s v="SEMANA 1"/>
    <m/>
    <m/>
    <s v="NICOLAS MOYANO"/>
    <m/>
    <n v="33"/>
    <s v="Materiales"/>
    <s v="Rostro"/>
    <x v="3"/>
    <x v="4"/>
    <s v="ESTABA BAJANDO BANDEJA DE LINEA DE DESCOLGADO AL MOMENTO DE RETIRAR UNA BANDEJA LA QUE VENIA GOLPEA PARPADO DERECHO"/>
    <s v="ACCION"/>
    <s v="SI"/>
    <x v="0"/>
    <s v="NICOLAS GOMEZ"/>
    <s v="CHRISTIAN JHONS"/>
  </r>
  <r>
    <n v="2023"/>
    <s v="ENERO"/>
    <s v="EL PAICO"/>
    <s v="MORENO LORCA"/>
    <s v="OSCAR"/>
    <s v="MASCULINO"/>
    <s v="10874086-8"/>
    <d v="2023-01-17T00:00:00"/>
    <n v="0"/>
    <d v="2023-01-23T00:00:00"/>
    <x v="1"/>
    <d v="2023-01-24T00:00:00"/>
    <d v="2023-03-25T00:00:00"/>
    <s v="N/A"/>
    <n v="2"/>
    <x v="1"/>
    <s v="N/A"/>
    <s v="N/A"/>
    <x v="4"/>
    <s v="EMPAQUE"/>
    <s v="OPERARIO"/>
    <s v="CAMARA 201 ORIENTE"/>
    <s v="N/A"/>
    <s v="MAÑANA"/>
    <d v="1899-12-30T11:30:00"/>
    <x v="5"/>
    <s v="SEMANA 4"/>
    <n v="15435"/>
    <s v="NC-09-23"/>
    <s v="FRANCISCO QUEZADA"/>
    <s v="JUAN VILLAVICENCIO"/>
    <n v="52"/>
    <s v="Superficies de trabajo"/>
    <s v="Multiples"/>
    <x v="1"/>
    <x v="1"/>
    <s v="TRABAJADOR CUANDO SE TRANSLADABA A DEJAR INSUMOS DE TRABAJO (PISO DE ENCONTRABA CAPA DE HIELO) ESTE RESBALA CAYENDO DE ESPALDA GOLPEANDOSE LADO DERECHO A NIVEL DE LA CINTURA Y SU CODO IZQUERDO "/>
    <s v="CONDICION"/>
    <s v="SI"/>
    <x v="1"/>
    <s v="ALAN CARRASCO"/>
    <s v="CHRISTIAN JHONS"/>
  </r>
  <r>
    <n v="2023"/>
    <s v="ENERO"/>
    <s v="EL PAICO"/>
    <s v="MIRANDA GOMEZ"/>
    <s v="JOSELYN"/>
    <s v="FEMENINO"/>
    <s v="18487450-4"/>
    <d v="2022-05-09T00:00:00"/>
    <n v="8"/>
    <d v="2023-01-23T00:00:00"/>
    <x v="2"/>
    <d v="2023-01-24T00:00:00"/>
    <d v="2023-01-28T00:00:00"/>
    <s v="N/A"/>
    <n v="5"/>
    <x v="1"/>
    <s v="N/A"/>
    <s v="N/A"/>
    <x v="4"/>
    <s v="EMPAQUE"/>
    <s v="OPERARIO"/>
    <s v="CAMARINES DE MUJER"/>
    <s v="N/A"/>
    <s v="TARDE"/>
    <d v="1899-12-30T14:15:00"/>
    <x v="5"/>
    <s v="SEMANA 4"/>
    <n v="15436"/>
    <s v="NC-10-23"/>
    <s v="FRANCISCO QUEZADA"/>
    <s v="JUAN VILLAVICENCIO"/>
    <n v="29"/>
    <s v="Infraestructura"/>
    <s v="Pie"/>
    <x v="1"/>
    <x v="5"/>
    <s v="TRABAJADORA QUE SE ENCONTRABA CAMBIANDO SU VESTIMENTA EN CAMARINES DE MUJER SE GOLPEA DEDO MEÑIQUE DEL PIE DERECHO CON UNA SILLA DE FIERRO PRESENTE EN EL LUGAR"/>
    <s v="ACCION"/>
    <s v="SI"/>
    <x v="1"/>
    <s v="ALAN CARRASCO"/>
    <s v="CHRISTIAN JHONS"/>
  </r>
  <r>
    <n v="2023"/>
    <s v="ENERO"/>
    <s v="EL PAICO"/>
    <s v="MENDEZ DEL CASTILLO"/>
    <s v="DANIELA"/>
    <s v="FEMENINO"/>
    <s v="15822820-3"/>
    <d v="2021-01-25T00:00:00"/>
    <n v="23"/>
    <d v="2023-01-03T00:00:00"/>
    <x v="0"/>
    <d v="2023-01-04T00:00:00"/>
    <d v="2023-01-12T00:00:00"/>
    <s v="N/A"/>
    <n v="9"/>
    <x v="1"/>
    <s v="N/A"/>
    <s v="N/A"/>
    <x v="5"/>
    <s v="TROZADO AUTOMATICO"/>
    <s v="OPERARIO"/>
    <s v="ESCALERA PRINCIPAL"/>
    <s v="N/A"/>
    <s v="TARDE"/>
    <d v="1899-12-30T19:50:00"/>
    <x v="4"/>
    <s v="SEMANA 1"/>
    <n v="15412"/>
    <s v="NC-04-23"/>
    <s v="DANIEL GARRIDO"/>
    <s v="RAMIRO RAMIREZ"/>
    <n v="37"/>
    <s v="Superficies de transito"/>
    <s v="Pierna"/>
    <x v="4"/>
    <x v="1"/>
    <s v="TRABAJADORA SUFRE CAIDA AL BAJAR ESCALERA PRINCIPAL, EN EL DESCANSO HABIA TIERRA , LA CUAL PISA RESBALANDOSE Y SUFRIENDO UNA HIPEREXTENSION DE RODILLA IZQUIERDA"/>
    <s v="CONDICION"/>
    <s v="NO"/>
    <x v="1"/>
    <s v="NICOLAS GOMEZ"/>
    <s v="CHRISTIAN JHONS"/>
  </r>
  <r>
    <n v="2023"/>
    <s v="ENERO"/>
    <s v="EL PAICO"/>
    <s v="INFANTE GUTIERREZ"/>
    <s v="TERESA"/>
    <s v="FEMENINO"/>
    <s v="16795621-1"/>
    <d v="2014-10-06T00:00:00"/>
    <n v="99"/>
    <d v="2023-01-07T00:00:00"/>
    <x v="0"/>
    <d v="2023-01-10T00:00:00"/>
    <d v="2023-01-17T00:00:00"/>
    <d v="2023-01-10T00:00:00"/>
    <n v="8"/>
    <x v="1"/>
    <s v="N/A"/>
    <s v="N/A"/>
    <x v="6"/>
    <s v="SALA DE SALMUERA"/>
    <s v="OPERARIO"/>
    <s v="SALA DE SALMUERA "/>
    <s v="N/A"/>
    <s v="NOCHE"/>
    <d v="1899-12-30T22:40:00"/>
    <x v="2"/>
    <s v="SEMANA 1"/>
    <n v="15413"/>
    <s v="NC-03-23"/>
    <s v="CARLOS JIMENEZ"/>
    <s v="PATRICIO PALACIOS"/>
    <n v="35"/>
    <s v="Infraestructura"/>
    <s v="Pierna"/>
    <x v="1"/>
    <x v="6"/>
    <s v="TRABAJADOR CUANDO LIMPIABA EN SALA SALMUERA SE CAE DE TARIMA GOLPEANDOSE LA RODILLA IZQUIERDA"/>
    <s v="CONDICION"/>
    <s v="SI"/>
    <x v="1"/>
    <s v="CARLOS ORELLANA"/>
    <s v="CHRISTIAN JHONS"/>
  </r>
  <r>
    <n v="2023"/>
    <s v="ENERO"/>
    <s v="EL PAICO"/>
    <s v="HOSTIL"/>
    <s v="SMITH"/>
    <s v="MASCULINO"/>
    <s v="26204649-4"/>
    <d v="2022-11-14T00:00:00"/>
    <n v="1"/>
    <d v="2023-01-04T00:00:00"/>
    <x v="1"/>
    <s v="N/A"/>
    <s v="N/A"/>
    <s v="N/A"/>
    <n v="0"/>
    <x v="0"/>
    <s v="N/A"/>
    <s v="N/A"/>
    <x v="6"/>
    <s v="ASEO PREOPERACIONAL"/>
    <s v="OPERARIO"/>
    <s v="TROZADO DE POLLO"/>
    <s v="N/A"/>
    <s v="NOCHE"/>
    <d v="1899-12-30T02:00:00"/>
    <x v="0"/>
    <s v="SEMANA 1"/>
    <m/>
    <m/>
    <s v="CARLOS JIMENEZ"/>
    <s v="PATRICIO PALACIOS"/>
    <n v="34"/>
    <s v="Infraestructura"/>
    <s v="Pierna"/>
    <x v="1"/>
    <x v="6"/>
    <s v="TRABAJADOR SUFRE CAIDA DE DISTINTO NIVEL AL BAJAR UNA ESCALERA EN TROZADO DE POLLO LUEGO DE FINALIZAR LA LIMPIEZA DE UN EQUIPO"/>
    <s v="ACCION"/>
    <s v="SI"/>
    <x v="0"/>
    <s v="NICOLAS GOMEZ"/>
    <s v="CHRISTIAN JHONS"/>
  </r>
  <r>
    <n v="2023"/>
    <s v="ENERO"/>
    <s v="EL PAICO"/>
    <s v="HIDALGO"/>
    <s v="ARISLEYDA"/>
    <s v="FEMENINO"/>
    <s v="26622517-2"/>
    <d v="2020-02-03T00:00:00"/>
    <n v="35"/>
    <d v="2023-01-19T00:00:00"/>
    <x v="0"/>
    <s v="N/A"/>
    <s v="N/A"/>
    <s v="N/A"/>
    <n v="0"/>
    <x v="0"/>
    <s v="N/A"/>
    <s v="N/A"/>
    <x v="5"/>
    <s v="DESHUESADO"/>
    <s v="OPERARIO"/>
    <s v="DESPLUMADO"/>
    <s v="N/A"/>
    <s v="MAÑANA"/>
    <d v="1899-12-30T05:30:00"/>
    <x v="1"/>
    <s v="SEMANA 3"/>
    <m/>
    <m/>
    <s v="DANIEL GARRIDO"/>
    <s v="LUIS BUSTAMANTE"/>
    <n v="32"/>
    <s v="Materiales"/>
    <s v="Manos / dedos"/>
    <x v="1"/>
    <x v="4"/>
    <s v="TRABAJADORA AL COMENZAR SU TURNO, ORDENABA SU PUESTO DE TRABAJO CUANDO LE CAE UNA TABLA GOLPANDOLA EN DEDOS MEDIO Y ANULAR DE LA MANO IZQUERDA"/>
    <s v="ACCION"/>
    <s v="SI"/>
    <x v="0"/>
    <s v="NICOLAS GOMEZ"/>
    <s v="CHRISTIAN JHONS"/>
  </r>
  <r>
    <n v="2023"/>
    <s v="ENERO"/>
    <s v="EL PAICO"/>
    <s v="GALVEZ MANZO"/>
    <s v="DAVID"/>
    <s v="MASCULINO "/>
    <s v="18029574-7"/>
    <d v="2021-12-13T00:00:00"/>
    <n v="13"/>
    <d v="2023-01-18T00:00:00"/>
    <x v="2"/>
    <s v="N/A"/>
    <s v="N/A"/>
    <s v="N/A"/>
    <s v="O"/>
    <x v="0"/>
    <s v="N/A"/>
    <s v="N/A"/>
    <x v="6"/>
    <s v="FAENA"/>
    <s v="OPERARIO"/>
    <s v="DESPLUMADO"/>
    <s v="N/A"/>
    <s v="NOCHE"/>
    <d v="1899-12-30T22:25:00"/>
    <x v="0"/>
    <s v="SEMANA 3"/>
    <m/>
    <m/>
    <s v="CARLOS JIMENEZ"/>
    <s v="LUIS URBINA"/>
    <n v="31"/>
    <s v="Superficies de trabajo"/>
    <s v="Multiples"/>
    <x v="1"/>
    <x v="6"/>
    <s v="COLABORADOR SUFRE CAIDA DE DISTINTO NIVEL DESDE TARIMA DE TRABAJO, CUANDO SE ENCONTRABA REALIZANDO LABORESDE ASEO PREOPERACIONAL EN LA SALA DE DESPLUMADO ENTRE DOS MAQUINAS EN LA SALA, PROPBOCANDOLE LESIONES EN COSTILLAS Y RODILLA IZQUERDA."/>
    <s v="ACCION"/>
    <s v="SI"/>
    <x v="0"/>
    <s v="ALAN CARRASCO"/>
    <s v="GABRIELA CABEZAS "/>
  </r>
  <r>
    <n v="2023"/>
    <s v="ENERO"/>
    <s v="EL PAICO"/>
    <s v="GALVEZ MANZO"/>
    <s v="DAVID"/>
    <s v="MASCULINO"/>
    <s v="18029574-7"/>
    <d v="2021-12-13T00:00:00"/>
    <n v="13"/>
    <d v="2023-01-18T00:00:00"/>
    <x v="2"/>
    <d v="2023-01-20T00:00:00"/>
    <d v="2023-02-04T00:00:00"/>
    <s v="N/A"/>
    <n v="16"/>
    <x v="1"/>
    <s v="N/A"/>
    <s v="N/A"/>
    <x v="6"/>
    <s v="ASEO PREOPERACIONAL"/>
    <s v="OPERARIO"/>
    <s v="SALA DE DESPLUMADO"/>
    <s v="N/A"/>
    <s v="TARDE"/>
    <d v="1899-12-30T22:25:00"/>
    <x v="0"/>
    <s v="SEMANA 3"/>
    <n v="15426"/>
    <s v="NC-08-23"/>
    <s v="CARLOS JIMENEZ"/>
    <s v="LUIS URBINA"/>
    <n v="31"/>
    <s v="Infraestructura"/>
    <s v="Multiples"/>
    <x v="1"/>
    <x v="6"/>
    <s v="TRABAJADOR AL ESTAR REALIZANDO LIMPIEZA EN SALA DE DESPLUMADO CAE DESDE UNA TARIMA GOLPEANDOSE PARILLA COSTAL DERECHA Y RODILLA IZQUERDA"/>
    <s v="ACCION"/>
    <s v="SI"/>
    <x v="1"/>
    <s v="NICOLAS GOMEZ"/>
    <s v="GABRIELA CABEZAS "/>
  </r>
  <r>
    <n v="2023"/>
    <s v="FEBRERO"/>
    <s v="EL PAICO"/>
    <s v="ZUAZO GARAY"/>
    <s v="ALEJANDRO "/>
    <s v="MASCULINO"/>
    <s v="20403022-7"/>
    <d v="2022-08-18T00:00:00"/>
    <n v="5"/>
    <d v="2023-02-15T00:00:00"/>
    <x v="1"/>
    <d v="2023-02-15T00:00:00"/>
    <d v="2023-02-15T00:00:00"/>
    <s v="N/A"/>
    <n v="0"/>
    <x v="0"/>
    <s v="N/A"/>
    <s v="N/A"/>
    <x v="5"/>
    <s v="T. AUTOMATICO"/>
    <s v="OPERARIO"/>
    <s v="BISN DE CARCASA"/>
    <s v="N/A"/>
    <s v="MAÑANA"/>
    <d v="1899-12-30T07:05:00"/>
    <x v="0"/>
    <s v="SEMANA 7"/>
    <n v="15478"/>
    <s v="NC-99-23"/>
    <s v="DANIEL GARRIDO"/>
    <s v="JOSE CARVALLO"/>
    <n v="22"/>
    <s v="Bins"/>
    <s v="Manos / dedos"/>
    <x v="1"/>
    <x v="5"/>
    <s v="COLABORADOR AL RETIRAR BINS DE CARCASAS PARA SACARA BADEJAS, EL BINS SE DEVUELVE Y PROBOCA EL APICIONAMIENTO CONTRA LA ESTRUCTURA DE LA CINTA, PROBOCANDO UNA CONTUSION EN MANO DERECHA"/>
    <s v="ACCION"/>
    <s v="SI"/>
    <x v="1"/>
    <s v="ALAN CARRASCO "/>
    <s v="CHRISTIAN JHONS"/>
  </r>
  <r>
    <n v="2023"/>
    <s v="FEBRERO"/>
    <s v="EL PAICO"/>
    <s v="ZARATE BALLESTEROS"/>
    <s v="MANUEL"/>
    <s v="MASCULINO"/>
    <s v="20123390-9"/>
    <d v="2021-11-22T00:00:00"/>
    <n v="14"/>
    <d v="2023-02-07T00:00:00"/>
    <x v="2"/>
    <s v="N/A"/>
    <s v="N/A"/>
    <s v="N/A"/>
    <n v="0"/>
    <x v="0"/>
    <s v="N/A"/>
    <s v="N/A"/>
    <x v="2"/>
    <s v="CHILLER DE PANAS"/>
    <s v="OPERARIO"/>
    <s v="CHILLER DE PANAS"/>
    <s v="N/A"/>
    <s v="TARDE"/>
    <d v="1899-12-30T22:30:00"/>
    <x v="4"/>
    <s v="SEMANA 6"/>
    <m/>
    <m/>
    <s v="NICOLAS MOYANO"/>
    <s v="CESAR CARTAGENA"/>
    <n v="24"/>
    <s v="Materia Prima"/>
    <s v="Ojos"/>
    <x v="5"/>
    <x v="7"/>
    <s v="TRABAJADOR SE ENCONTRABA LIMPIANDO PANAS DE POLLO EN SALA DE CHILLER DE PANAS EN ESE MOMENTO SE PROYECTADA BILIS AL OJO DERECHO"/>
    <s v="ACCION"/>
    <s v="SI"/>
    <x v="0"/>
    <s v="NICOLAS GOMEZ"/>
    <s v="CHRISTIAN JHONS"/>
  </r>
  <r>
    <n v="2023"/>
    <s v="FEBRERO"/>
    <s v="EL PAICO"/>
    <s v="ORTIZ GONZALEZ"/>
    <s v="AUGUSTO"/>
    <s v="MASCULINO"/>
    <s v="15532741-3"/>
    <d v="2022-07-25T00:00:00"/>
    <n v="6"/>
    <d v="2023-02-14T00:00:00"/>
    <x v="1"/>
    <s v="N/A"/>
    <s v="N/A"/>
    <s v="N/A"/>
    <n v="0"/>
    <x v="0"/>
    <s v="N/A"/>
    <s v="N/A"/>
    <x v="7"/>
    <s v="PULPA"/>
    <s v="OPERARIO"/>
    <s v="PULPA"/>
    <s v="N/A"/>
    <s v="MAÑANA"/>
    <d v="1899-12-30T08:30:00"/>
    <x v="4"/>
    <s v="SEMANA 7"/>
    <m/>
    <m/>
    <s v="OCTAVIO MUÑOZ"/>
    <s v="ALEJANDRO SALAS"/>
    <n v="41"/>
    <s v="Bins"/>
    <s v="Pelvis"/>
    <x v="1"/>
    <x v="5"/>
    <s v="COLABORADOR SUFRE GOLPE EN TESTICULO POR BINS EL EVENTO SE PRODUJO CUANDO RESBALA AL MOMENTO DE ESTAR VACIANDO BANDEJAS. "/>
    <s v="ACCION"/>
    <s v="SI"/>
    <x v="0"/>
    <s v="ALAN CARRASCO "/>
    <s v="WLADIMIR CALDERON "/>
  </r>
  <r>
    <n v="2023"/>
    <s v="FEBRERO"/>
    <s v="EL PAICO"/>
    <s v="OLATE CASTILLO"/>
    <s v="KATHERINE"/>
    <s v="FEMENINO"/>
    <s v="16181592-6"/>
    <d v="2012-05-07T00:00:00"/>
    <n v="129"/>
    <d v="2023-02-18T00:00:00"/>
    <x v="0"/>
    <s v="N/A"/>
    <s v="N/A"/>
    <s v="N/A"/>
    <n v="0"/>
    <x v="0"/>
    <s v="N/A"/>
    <s v="N/A"/>
    <x v="5"/>
    <s v="DESHUESADO"/>
    <s v="OPERARIO"/>
    <s v="PORTERIA "/>
    <s v="N/A"/>
    <s v="MAÑANA"/>
    <d v="1899-12-30T06:15:00"/>
    <x v="2"/>
    <s v="SEMANA 7"/>
    <m/>
    <m/>
    <s v="DANIEL GARRIDO"/>
    <s v="JOSE CARVALLO"/>
    <n v="38"/>
    <s v="Superficies de transito"/>
    <s v="Manos / dedos"/>
    <x v="1"/>
    <x v="1"/>
    <s v="COLABORADORA SUFRE CAIDA A NIVEL  APOYANDO AMBAS MANOS EN EL PISO, AL INGRESAR A LA PLANTA, ESTA TROPIEZA Y CAE "/>
    <s v="ACCION"/>
    <s v="SI"/>
    <x v="0"/>
    <s v="ALAN CARRASCO "/>
    <s v="WLADIMIR CALDERON "/>
  </r>
  <r>
    <n v="2023"/>
    <s v="FEBRERO"/>
    <s v="EL PAICO"/>
    <s v="MENDEZ DEL CASTILLO"/>
    <s v="DANIELA "/>
    <s v="FEMENINO"/>
    <s v="15822820-3"/>
    <d v="2021-01-25T00:00:00"/>
    <n v="24"/>
    <d v="2023-02-18T00:00:00"/>
    <x v="0"/>
    <d v="2023-02-20T00:00:00"/>
    <d v="2023-02-25T00:00:00"/>
    <s v="N/A"/>
    <n v="6"/>
    <x v="1"/>
    <s v="N/A"/>
    <s v="N/A"/>
    <x v="5"/>
    <s v="T. AUTOMATICO"/>
    <s v="OPERARIO"/>
    <s v="DEHUESADO"/>
    <s v="N/A"/>
    <s v="TARDE"/>
    <d v="1899-12-30T22:45:00"/>
    <x v="3"/>
    <s v="SEMANA 7"/>
    <n v="15494"/>
    <s v="NC-16-2023"/>
    <s v="DANIEL GARRIDO"/>
    <s v="RAMIRO RAMIREZ"/>
    <n v="38"/>
    <s v="Materia Prima"/>
    <s v="Pierna"/>
    <x v="1"/>
    <x v="1"/>
    <s v="COLABORADORA  SUFRE CAIDA A NIVEL MAS CONTUSION EN RODILLA IZQUIERDA Y SENO DERECHO, AL PISAR MATERIA PRIMA CUANDO SE DIRIGIA A LOS CAMARINES EN T. AUTOMATICO"/>
    <s v="CONDICION"/>
    <s v="SI"/>
    <x v="1"/>
    <s v="ALAN CARRASCO "/>
    <s v="MICHELLE SANCHEZ"/>
  </r>
  <r>
    <n v="2023"/>
    <s v="FEBRERO"/>
    <s v="EL PAICO"/>
    <s v="HERRERA PINTO"/>
    <s v="JHONY"/>
    <s v="MASCULINO"/>
    <s v="20789495-8"/>
    <d v="2022-11-29T00:00:00"/>
    <n v="2"/>
    <d v="2023-02-15T00:00:00"/>
    <x v="1"/>
    <s v="N/A"/>
    <s v="N/A"/>
    <s v="N/A"/>
    <n v="0"/>
    <x v="0"/>
    <s v="N/A"/>
    <s v="N/A"/>
    <x v="5"/>
    <s v="TROZADO DE POLLO"/>
    <s v="OPERARIO"/>
    <s v="TROZADO DE POLLO AUTOMATICO"/>
    <m/>
    <s v="MAÑANA"/>
    <d v="1899-12-30T14:50:00"/>
    <x v="0"/>
    <s v="SEMANA 7"/>
    <m/>
    <m/>
    <s v="DANIEL GARRIDO"/>
    <s v="JOSE CARVALLO"/>
    <n v="22"/>
    <s v="Infraestructura"/>
    <s v="Espalda"/>
    <x v="1"/>
    <x v="4"/>
    <s v="TRABAJADOR QUE SE ENCONTRABA DE REGRESO DE SU HORARIO DE COLACION SE ENCONTRABA ALISTANDO SU PECHERA DE TRABAJO, CUANDO CAE SOBRE SU ESPALDA UN GANCHO METALICO. "/>
    <s v="CONDICION "/>
    <s v="SI"/>
    <x v="0"/>
    <s v="ALAN CARRASCO"/>
    <s v="CARLOS CARTAGENA"/>
  </r>
  <r>
    <n v="2023"/>
    <s v="FEBRERO"/>
    <s v="EL PAICO"/>
    <s v="GUAJARDO VERA"/>
    <s v="SEBASTIAN"/>
    <s v="MASCULINO"/>
    <s v="19211824-7"/>
    <d v="2021-05-03T00:00:00"/>
    <n v="21"/>
    <d v="2023-02-03T00:00:00"/>
    <x v="0"/>
    <s v="N/A"/>
    <s v="N/A"/>
    <s v="N/A"/>
    <n v="0"/>
    <x v="0"/>
    <s v="LGF"/>
    <s v="LGF4"/>
    <x v="8"/>
    <s v="REPORTE DE CAJAS"/>
    <s v="MECANICO"/>
    <s v="REPORTE DE CAJAS"/>
    <s v="EQUIPO PARA MOVIMIENTO DE CARGA (GRUAS O TRANSPALETAS)"/>
    <s v="MAÑANA"/>
    <d v="1899-12-30T10:26:00"/>
    <x v="3"/>
    <s v="SEMANA 5"/>
    <m/>
    <m/>
    <s v="VICTOR GOMEZ"/>
    <s v="NICOLAS ROJAS"/>
    <n v="27"/>
    <s v="Equipos Transporte de carga"/>
    <s v="Pie"/>
    <x v="1"/>
    <x v="4"/>
    <s v="TRABAJADOR ESTEBA REPARANDO UNA MAQUINA AL COSTADO DE LA LINEA DE CONGELADO (PP) REVISANDO UNA MAQUINA CUANDO EL OPERADOR DE TRANPALETA RETROCEDE Y GOLPEA SU TOBILLO DERECHO"/>
    <s v="ACCION"/>
    <s v="SI"/>
    <x v="0"/>
    <s v="NICOLAS GOMEZ"/>
    <s v="CARLOS CARTAGENA"/>
  </r>
  <r>
    <n v="2023"/>
    <s v="FEBRERO"/>
    <s v="EL PAICO"/>
    <s v="FIGUEROA RECABARREN"/>
    <s v="JASON "/>
    <s v="MASCULINO"/>
    <s v="21242262-2"/>
    <d v="2022-11-07T00:00:00"/>
    <n v="3"/>
    <d v="2023-02-16T00:00:00"/>
    <x v="1"/>
    <s v="N/A"/>
    <s v="N/A"/>
    <s v="N/A"/>
    <n v="0"/>
    <x v="0"/>
    <s v="N/A"/>
    <s v="N/A"/>
    <x v="7"/>
    <s v="REPORTE DE CAJAS"/>
    <s v="OPERARIO"/>
    <s v="REPORTE DE CAJAS"/>
    <s v="N/A"/>
    <s v="MAÑANA"/>
    <d v="1899-12-30T08:28:00"/>
    <x v="1"/>
    <s v="SEMANA 7"/>
    <m/>
    <m/>
    <s v="OCTAVIO MUÑOZ"/>
    <s v="MARCOS QUINTANILLA"/>
    <n v="20"/>
    <s v="Pallet"/>
    <s v="Manos / dedos"/>
    <x v="3"/>
    <x v="3"/>
    <s v="COLABORADOR AL BAJAR UN PALLET SE CORTA EL DEDO ANULAR IZQUIERDO , AL ESTAR BAJANDO CAJAS "/>
    <s v="CONDICION"/>
    <s v="SI"/>
    <x v="0"/>
    <s v="ALAN CARRASCO "/>
    <s v="CHRISTIAN JHONS"/>
  </r>
  <r>
    <n v="2023"/>
    <s v="FEBRERO"/>
    <s v="EL PAICO"/>
    <s v="BAHAMONDEZ ABARCA"/>
    <s v="MARIA TERESA"/>
    <s v="FEMENINO"/>
    <s v="11527148-2"/>
    <d v="1998-03-17T00:00:00"/>
    <n v="299"/>
    <d v="2023-02-28T00:00:00"/>
    <x v="0"/>
    <s v="N/A"/>
    <s v="N/A"/>
    <s v="N/A"/>
    <n v="0"/>
    <x v="0"/>
    <s v="N/A"/>
    <s v="N/A"/>
    <x v="7"/>
    <s v="REPORTE DE CAJAS"/>
    <s v="OPERARIO"/>
    <s v="REPORTE DE CAJAS"/>
    <s v="N/A"/>
    <s v="MAÑANA"/>
    <d v="1899-12-30T05:30:00"/>
    <x v="4"/>
    <s v="SEMANA 9"/>
    <m/>
    <m/>
    <s v="OCTAVIO MUÑOZ"/>
    <s v="MARCOS QUINTANILLA"/>
    <n v="52"/>
    <s v="Materiales"/>
    <s v="Manos / dedos"/>
    <x v="1"/>
    <x v="5"/>
    <s v="COLABORA SUFRE CONTUSION EN MANO DERECHA CUANDO SE ENCONTRABA CAMBIANDO ROLLO DE LAMINA EN MAQUINA ISHIDA"/>
    <s v="CONDICION"/>
    <s v="SI"/>
    <x v="0"/>
    <s v="NICOLAS GOMEZ"/>
    <s v="CHISTIAN JHONS"/>
  </r>
  <r>
    <n v="2023"/>
    <s v="FEBRERO"/>
    <s v="EL PAICO"/>
    <s v="ARMIJO CORDERO"/>
    <s v="FRANCISCO"/>
    <s v="MASCULINO"/>
    <s v="7.885.635-1"/>
    <d v="2004-09-22T00:00:00"/>
    <n v="221"/>
    <d v="2023-02-25T00:00:00"/>
    <x v="0"/>
    <s v="N/A"/>
    <s v="N/A"/>
    <s v="N/A"/>
    <n v="0"/>
    <x v="0"/>
    <s v="N/A"/>
    <s v="N/A"/>
    <x v="9"/>
    <s v="BAÑOS FAENA"/>
    <s v="OPERARIO"/>
    <s v="BAÑO EVISERADO"/>
    <s v="N/A"/>
    <s v="MAÑANA"/>
    <d v="1899-12-30T05:15:00"/>
    <x v="2"/>
    <s v="SEMANA 8"/>
    <m/>
    <m/>
    <s v="DANIEL GARRIDO"/>
    <s v="JAQUELIN PAVEZ"/>
    <n v="64"/>
    <s v="Infraestructura"/>
    <s v="Manos / dedos"/>
    <x v="3"/>
    <x v="8"/>
    <s v="COLABORADOR SUFRE CORTE EN DEDO INDICE DE MANO DERECHA AL APOYARSE EN PUERTA DE BAÑO DE EVISERADO"/>
    <s v="CONDICION"/>
    <s v="SI"/>
    <x v="0"/>
    <s v="ALAN CARRASCO "/>
    <s v="CHRISTIAN JHONS"/>
  </r>
  <r>
    <n v="2023"/>
    <s v="FEBRERO"/>
    <s v="EL PAICO"/>
    <s v=" REYES FUENTES"/>
    <s v="JONHFER"/>
    <s v="MASCULINO"/>
    <s v="26466499-3"/>
    <d v="2020-02-24T00:00:00"/>
    <n v="35"/>
    <d v="2023-02-11T00:00:00"/>
    <x v="0"/>
    <s v="N/A"/>
    <s v="N/A"/>
    <s v="N/A"/>
    <n v="0"/>
    <x v="0"/>
    <s v="N/A"/>
    <s v="N/A"/>
    <x v="6"/>
    <s v="TRAZADO DE PAVO"/>
    <s v="OPERARIO"/>
    <s v="SALA JAPON "/>
    <s v="N/A"/>
    <s v="NOCHE"/>
    <d v="1899-12-30T03:30:00"/>
    <x v="2"/>
    <s v="SEMANA 6"/>
    <m/>
    <m/>
    <s v="CARLOS JIMENEZ"/>
    <s v="PATRICIO MACIEL "/>
    <n v="39"/>
    <s v="Producto quimico"/>
    <s v="Ojos"/>
    <x v="6"/>
    <x v="9"/>
    <s v="COLABORADOR SUFRE INHALACION DE VAPOR DEL CLORO AL MEZACLAR AGUA CALIENTE, EN SALA JAPON "/>
    <s v="ACCION"/>
    <s v="SI"/>
    <x v="0"/>
    <s v="ALAN CARRASCO "/>
    <s v="CHRISTIAN JHONS"/>
  </r>
  <r>
    <n v="2023"/>
    <s v="MARZO"/>
    <s v="EL PAICO"/>
    <s v="TRUJILLO ELGUETA "/>
    <s v="KEVIN"/>
    <s v="MASCULINO"/>
    <s v="18346564-6"/>
    <d v="2021-10-12T00:00:00"/>
    <n v="17"/>
    <d v="2023-03-24T00:00:00"/>
    <x v="2"/>
    <s v="N/A"/>
    <s v="N/A"/>
    <s v="N/A"/>
    <n v="0"/>
    <x v="0"/>
    <s v="N/A"/>
    <s v="N/A"/>
    <x v="8"/>
    <s v="MANTENCION"/>
    <s v="COORDINADOR"/>
    <s v="CALIBRADO"/>
    <s v="N/A"/>
    <s v="MAÑANA"/>
    <d v="1899-12-30T09:50:00"/>
    <x v="3"/>
    <s v="SEMANA 12"/>
    <m/>
    <m/>
    <s v="VICTOR GOMEZ"/>
    <s v="NICOLAS ROJAS"/>
    <n v="31"/>
    <s v="Materiales"/>
    <s v="Manos / dedos"/>
    <x v="3"/>
    <x v="8"/>
    <s v="COLABORADOR QUE SE ENCONTRABA REALIZANDO CAMBIO DE CINTA EN EL AREA DE CALIBRADO DE PECHUGAS SUFRE CORTE CON BORDE DE ESCALERA EN DEDO MEÑIQUE IZQUERDO"/>
    <s v="CONDICION"/>
    <s v="SI"/>
    <x v="0"/>
    <s v="ALAN CARRASCO"/>
    <s v="CHISTIAN JHONS"/>
  </r>
  <r>
    <n v="2023"/>
    <s v="MARZO"/>
    <s v="EL PAICO"/>
    <s v="TRUJILLO ALARCON "/>
    <s v="ANGELA VERONICA"/>
    <s v="FEMENINO"/>
    <s v="15401811-5+tipo_acc+*-+"/>
    <d v="2014-10-06T00:00:00"/>
    <n v="101"/>
    <d v="2023-03-17T00:00:00"/>
    <x v="0"/>
    <s v="N/A"/>
    <s v="N/A"/>
    <s v="N/A"/>
    <n v="0"/>
    <x v="0"/>
    <s v="N/A"/>
    <s v="N/A"/>
    <x v="5"/>
    <s v="DESHUESADO"/>
    <s v="OPERARIO"/>
    <s v="DESHUESADO"/>
    <s v="N/A"/>
    <s v="MAÑANA"/>
    <d v="1899-12-30T13:00:00"/>
    <x v="3"/>
    <s v="SEMANA 11"/>
    <m/>
    <m/>
    <s v="DANIEL GARRIDO"/>
    <s v="JOSE CARVALLO"/>
    <n v="40"/>
    <s v="Materiales"/>
    <s v="Multiples"/>
    <x v="1"/>
    <x v="5"/>
    <s v="COLABORA SUFRE CAIDA DESDE ESCALON DE TARIMA DE TRABAJO, GOLPEANDOSE EN BRAZO Y ESPALDA"/>
    <s v="ACCION"/>
    <s v="SI"/>
    <x v="0"/>
    <s v="NICOLAS GOMEZ"/>
    <s v="MICHELLE SANCHEZ"/>
  </r>
  <r>
    <n v="2023"/>
    <s v="MARZO"/>
    <s v="EL PAICO"/>
    <s v="SANTIBAÑEZ MARIN"/>
    <s v="KARLA"/>
    <s v="FEMENINO"/>
    <s v="17802999-1"/>
    <d v="2020-05-29T00:00:00"/>
    <n v="33"/>
    <d v="2023-03-01T00:00:00"/>
    <x v="0"/>
    <s v="N/A"/>
    <s v="N/A"/>
    <s v="N/A"/>
    <n v="0"/>
    <x v="0"/>
    <s v="N/A"/>
    <s v="N/A"/>
    <x v="1"/>
    <s v="METALQUIMIA"/>
    <s v="OPERARIO"/>
    <s v="METALQUIMIA"/>
    <s v="N/A"/>
    <s v="NOCHE"/>
    <d v="1899-12-30T01:20:00"/>
    <x v="0"/>
    <s v="SEMANA 9"/>
    <m/>
    <m/>
    <s v="GUILLERMO NARVAEZ"/>
    <s v="FRANCISCO SANCHEZ"/>
    <n v="32"/>
    <s v="Producto quimico"/>
    <s v="Ojos"/>
    <x v="0"/>
    <x v="7"/>
    <s v="COLABORADORA QUE SE ENCONTRABAN ASEANDO MAQUINA METALQUIMIA, AL APLICAR  BIO REMOVE SUFRE SALPICADURA DE ESTE EN SU OJO DERECHO."/>
    <s v="ACCION"/>
    <s v="SI"/>
    <x v="0"/>
    <s v="ALAN CARRASCO "/>
    <s v="CHISTIAN JHONS"/>
  </r>
  <r>
    <n v="2023"/>
    <s v="MARZO"/>
    <s v="EL PAICO"/>
    <s v="RODRIGUEZ ESPINOZA"/>
    <s v="LUIS MIGUEL"/>
    <s v="MASCULINO"/>
    <s v="18461734-K"/>
    <d v="2022-09-22T00:00:00"/>
    <n v="5"/>
    <d v="2023-03-15T00:00:00"/>
    <x v="1"/>
    <s v="N/A"/>
    <s v="N/A"/>
    <s v="N/A"/>
    <n v="0"/>
    <x v="0"/>
    <s v="N/A"/>
    <s v="N/A"/>
    <x v="8"/>
    <m/>
    <s v="MECANICO"/>
    <s v="DESPLUMADO DE PAVO"/>
    <s v="N/A"/>
    <s v="MAÑANA"/>
    <d v="1899-12-30T15:15:00"/>
    <x v="0"/>
    <s v="SEMANA 11"/>
    <m/>
    <m/>
    <s v="VICTOR GOMEZ"/>
    <m/>
    <n v="29"/>
    <s v="Infraestructura"/>
    <s v="Espalda"/>
    <x v="6"/>
    <x v="10"/>
    <s v="COLABORADOR SUFRE QUEMADURA EN CUELLO CUANDO CAMBIABA MANGUERA DE SOPLADORORES EN DESPLUMADO DE PAVO"/>
    <s v="CONDICION"/>
    <s v="SI"/>
    <x v="0"/>
    <s v="ALAN CARRASCO"/>
    <s v="CHRISTIAN JHONS"/>
  </r>
  <r>
    <n v="2023"/>
    <s v="MARZO"/>
    <s v="EL PAICO"/>
    <s v="RIQUELME JARA"/>
    <s v="LUIS FELIPE"/>
    <s v="MASCULINO"/>
    <s v="20140706-0"/>
    <d v="2022-11-11T00:00:00"/>
    <n v="3"/>
    <d v="2023-03-10T00:00:00"/>
    <x v="1"/>
    <d v="2023-03-10T00:00:00"/>
    <d v="2023-03-10T00:00:00"/>
    <s v="N/A"/>
    <n v="0"/>
    <x v="0"/>
    <s v="N/A"/>
    <s v="N/A"/>
    <x v="1"/>
    <s v="IQF CALIBRADO A"/>
    <s v="OPERARIO"/>
    <s v="BICICLETERO"/>
    <s v="N/A"/>
    <s v="MAÑANA"/>
    <d v="1899-12-30T06:00:00"/>
    <x v="3"/>
    <s v="SEMANA 10"/>
    <s v="N/A"/>
    <s v="NC-22-2023"/>
    <s v="GUILLERMO NARVAEZ"/>
    <m/>
    <n v="23"/>
    <s v="Superficies de transito"/>
    <s v="Multiples"/>
    <x v="1"/>
    <x v="1"/>
    <s v="COLABORADOR SUFRE CAIDA AL INGRESO DE LA PLANTA "/>
    <s v="CONDICION"/>
    <s v="SI"/>
    <x v="1"/>
    <s v="ALAN CARRASCO"/>
    <s v="CARLOS CARTAGENA"/>
  </r>
  <r>
    <n v="2023"/>
    <s v="MARZO"/>
    <s v="EL PAICO"/>
    <s v="PINTO VILLAGRA"/>
    <s v="XENDRIX"/>
    <s v="MASCULINO"/>
    <s v="17715504-7"/>
    <d v="2019-05-06T00:00:00"/>
    <n v="46"/>
    <d v="2023-03-17T00:00:00"/>
    <x v="0"/>
    <s v="N/A"/>
    <s v="N/A"/>
    <s v="N/A"/>
    <n v="0"/>
    <x v="0"/>
    <s v="N/A"/>
    <s v="N/A"/>
    <x v="4"/>
    <s v="ROMANERO CAMARA"/>
    <s v="OPERARIO"/>
    <s v="TUNEL 234"/>
    <s v="N/A"/>
    <s v="MAÑANA"/>
    <d v="1899-12-30T18:00:00"/>
    <x v="3"/>
    <s v="SEMANA 11"/>
    <m/>
    <m/>
    <s v="FRANCISCO QUEZADA"/>
    <s v="MAURICIO HERNANDEZ"/>
    <n v="32"/>
    <s v="Materiales"/>
    <s v="Pie"/>
    <x v="1"/>
    <x v="5"/>
    <s v="COLABORADOR SUFRE CONTUSION EN PIE DERECHO AL APRETARSE CON PALLET CUANDO SE ENCONTRABA CARGANDO TUNEL 234"/>
    <s v="CONDICION"/>
    <s v="SI"/>
    <x v="0"/>
    <s v="NICOLAS GOMEZ"/>
    <s v="CARLOS CARTAGENA"/>
  </r>
  <r>
    <n v="2023"/>
    <s v="MARZO"/>
    <s v="EL PAICO"/>
    <s v="PAVEZ CARMONA"/>
    <s v="CAMILA "/>
    <s v="FEMENINO"/>
    <s v="19382606-7"/>
    <d v="2022-07-25T00:00:00"/>
    <n v="7"/>
    <d v="2023-03-02T00:00:00"/>
    <x v="2"/>
    <d v="2023-03-09T00:00:00"/>
    <d v="2023-03-15T00:00:00"/>
    <s v="N/A"/>
    <n v="7"/>
    <x v="1"/>
    <s v="N/A"/>
    <s v="N/A"/>
    <x v="8"/>
    <s v="SALA DE PINTURA"/>
    <s v="TECNICO"/>
    <s v="GALPON DE PINTURA"/>
    <s v="N/A"/>
    <s v="TARDE"/>
    <d v="1899-12-30T16:35:00"/>
    <x v="1"/>
    <s v="SEMANA 9"/>
    <n v="15554"/>
    <s v="NC-18-2023"/>
    <s v="VICTOR GOMEZ"/>
    <s v="FRANCISCO ACEVEDO"/>
    <n v="27"/>
    <s v="Superficies de transito"/>
    <s v="Pie"/>
    <x v="1"/>
    <x v="5"/>
    <s v="COLABORADORA SE DIRIGIA A SALA DE PINTURAS Y NO VE GRUA ESTACIONADA EN EL PATIO, CON LA CUAL SE PORBOCA UN ATRAPAMIENTO CON SU PIE DERECHO, PROBOCANDO UNA CONTUSION "/>
    <s v="ACCION"/>
    <s v="SI"/>
    <x v="1"/>
    <s v="ALAN CARRASCO"/>
    <s v="CARLOS CARTAGENA"/>
  </r>
  <r>
    <n v="2023"/>
    <s v="MARZO"/>
    <s v="EL PAICO"/>
    <s v="OLY"/>
    <s v="CHARLES"/>
    <s v="MASCULINO"/>
    <s v="25968215-0"/>
    <d v="2021-08-11T00:00:00"/>
    <n v="19"/>
    <d v="2023-03-31T00:00:00"/>
    <x v="0"/>
    <s v="N/A"/>
    <s v="N/A"/>
    <s v="N/A"/>
    <n v="0"/>
    <x v="0"/>
    <s v="N/A"/>
    <s v="N/A"/>
    <x v="5"/>
    <s v="T. AUTOMATICO"/>
    <s v="OPERARIO"/>
    <s v="T. AUTOMATICO"/>
    <s v="N/A"/>
    <s v="MAÑANA"/>
    <d v="1899-12-30T08:45:00"/>
    <x v="3"/>
    <s v="SEMANA 13"/>
    <m/>
    <m/>
    <s v="DANIEL GARRIDO"/>
    <s v="MATIAS CASTRO"/>
    <n v="51"/>
    <s v="Materia Prima"/>
    <s v="Ojos"/>
    <x v="5"/>
    <x v="7"/>
    <s v="COLABORADOR SE ENCONTRABA EXPURGANDO PRODUCTO EN SU PUESTO DE TRABAJO SALPICANDO LIQUIDO EN AMBOS OJOS"/>
    <s v="ACCION"/>
    <s v="SI"/>
    <x v="0"/>
    <s v="ALAN CARRASCO"/>
    <s v="CARLOS CARTAGENA"/>
  </r>
  <r>
    <n v="2023"/>
    <s v="MARZO"/>
    <s v="EL PAICO"/>
    <s v="NUÑEZ ESCARATE"/>
    <s v="VICTOR"/>
    <s v="MASCULINO"/>
    <s v="8649246-6"/>
    <d v="2006-03-10T00:00:00"/>
    <n v="204"/>
    <d v="2023-03-17T00:00:00"/>
    <x v="0"/>
    <s v="N/A"/>
    <s v="N/A"/>
    <s v="N/A"/>
    <n v="0"/>
    <x v="0"/>
    <s v="N/A"/>
    <s v="N/A"/>
    <x v="5"/>
    <s v="T. AUTOMATICO"/>
    <s v="OPERARIO"/>
    <s v="T. AUTOMATICO"/>
    <s v="N/A"/>
    <s v="TARDE"/>
    <d v="1899-12-30T20:40:00"/>
    <x v="3"/>
    <s v="SEMANA 11"/>
    <m/>
    <m/>
    <s v="DANIEL GARRIDO"/>
    <s v="RAMIRO RAMIREZ"/>
    <n v="63"/>
    <s v="Producto quimico"/>
    <s v="Ojos"/>
    <x v="5"/>
    <x v="7"/>
    <s v="COLABORADOR SUFRE CAIDA DE LIQUIDO (ACIDO PERACETICO) EN OJO, ESTO OCURRE AL SACAR MATERIA PRIMA QUE SE ENCONTRABA ATASCADA EN LA LINEA"/>
    <s v="ACCION"/>
    <s v="NO"/>
    <x v="0"/>
    <s v="ALAN CARRASCO"/>
    <s v="MICHELLE SANCHEZ"/>
  </r>
  <r>
    <n v="2023"/>
    <s v="MARZO"/>
    <s v="EL PAICO"/>
    <s v="MUÑOZ ISLA"/>
    <s v="JESSICA"/>
    <s v="FEMENINO"/>
    <s v="16669807-3"/>
    <d v="2020-01-20T00:00:00"/>
    <n v="38"/>
    <d v="2023-03-31T00:00:00"/>
    <x v="0"/>
    <d v="2023-03-31T00:00:00"/>
    <s v="06-042023"/>
    <s v="N/A"/>
    <n v="7"/>
    <x v="1"/>
    <s v="N/A"/>
    <s v="N/A"/>
    <x v="5"/>
    <s v="SALA DE PROCESO"/>
    <s v="OPERARIO"/>
    <s v="SALA DE PROCESO"/>
    <s v="N/A"/>
    <s v="MAÑANA"/>
    <d v="1899-12-30T12:55:00"/>
    <x v="3"/>
    <s v="SEMANA 13"/>
    <n v="15596"/>
    <s v="NC-29-2023"/>
    <s v="DANIEL GARRIDO"/>
    <s v="JOSE CARVALLO"/>
    <n v="36"/>
    <s v="Elemento cortante"/>
    <s v="Manos / dedos"/>
    <x v="3"/>
    <x v="8"/>
    <s v="COLABORADORA SUFRE CORTE EN MANO DERECHA CUANDO SE ENCONTRABA SACANDO FILO A SU CUCHILLO JUNTO A COMPAÑERA DE TRABAJO."/>
    <s v="ACCION"/>
    <s v="SI"/>
    <x v="1"/>
    <s v="ALAN CARRASCO"/>
    <s v="CARLOS CARTAGENA"/>
  </r>
  <r>
    <n v="2023"/>
    <s v="MARZO"/>
    <s v="EL PAICO"/>
    <s v="MIRANDA GOMEZ"/>
    <s v="ANA GABRIELA"/>
    <s v="FEMENINO"/>
    <s v="18778202-3"/>
    <d v="2022-07-26T00:00:00"/>
    <n v="7"/>
    <d v="2023-03-09T00:00:00"/>
    <x v="2"/>
    <s v="N/A"/>
    <s v="N/A"/>
    <s v="N/A"/>
    <n v="0"/>
    <x v="0"/>
    <s v="N/A"/>
    <s v="N/A"/>
    <x v="1"/>
    <s v="CALIBRADO"/>
    <s v="OPERARIO"/>
    <s v="CALIBRADO"/>
    <s v="N/A"/>
    <s v="TARDE"/>
    <d v="1899-12-30T15:15:00"/>
    <x v="1"/>
    <s v="SEMANA 10"/>
    <m/>
    <m/>
    <s v="GUILLERMO NARVAEZ"/>
    <s v="MAXIMO CAMPOS"/>
    <n v="29"/>
    <s v="Infraestructura"/>
    <s v="Pierna"/>
    <x v="1"/>
    <x v="5"/>
    <s v="COLABORADORA SE ENCONTRABA BAJANDO ESCALERAS EN CALIBRADO CUANDO SE GOLPEA LA RODILLLA IZQUIERDA CON PASAMANOS "/>
    <s v="ACCION"/>
    <s v="SI"/>
    <x v="0"/>
    <s v="ALAN CARRASCO"/>
    <s v="WLADIMIR CALDERON "/>
  </r>
  <r>
    <n v="2023"/>
    <s v="MARZO"/>
    <s v="EL PAICO"/>
    <s v="MARIN VARGAS"/>
    <s v="CAROLINA"/>
    <s v="FEMENINO"/>
    <s v="19212976-1"/>
    <d v="2021-09-13T00:00:00"/>
    <n v="18"/>
    <d v="2023-03-31T00:00:00"/>
    <x v="2"/>
    <s v="N/A"/>
    <s v="N/A"/>
    <s v="N/A"/>
    <n v="0"/>
    <x v="0"/>
    <s v="N/A"/>
    <s v="N/A"/>
    <x v="2"/>
    <s v="EVISCERADO"/>
    <s v="OPERARIO"/>
    <s v="CAMARINES DE MUJER"/>
    <s v="N/A"/>
    <s v="MAÑANA"/>
    <d v="1899-12-30T11:30:00"/>
    <x v="3"/>
    <s v="SEMANA 13"/>
    <m/>
    <m/>
    <s v="NICOLAS MOYANO"/>
    <s v="CESAR CARTAGENA"/>
    <n v="26"/>
    <s v="Animales - Insectos"/>
    <s v="Pierna"/>
    <x v="0"/>
    <x v="11"/>
    <s v="COLABORADORA SUFRE PICADURA DE INSECTO EN PIERNA DERECHA, CUANDO ESTABA COLOCANDO SU ROPA DE TRABAJO"/>
    <s v="CONDICION"/>
    <s v="SI"/>
    <x v="0"/>
    <s v="ALAN CARRASCO"/>
    <s v="CARLOS CARTAGENA"/>
  </r>
  <r>
    <n v="2023"/>
    <s v="MARZO"/>
    <s v="EL PAICO"/>
    <s v="LARA SOTO"/>
    <s v="EDITH "/>
    <s v="FEMENINO"/>
    <s v="16670482-0"/>
    <d v="2020-01-13T00:00:00"/>
    <n v="38"/>
    <d v="2023-03-23T00:00:00"/>
    <x v="0"/>
    <s v="N/A"/>
    <s v="N/A"/>
    <s v="N/A"/>
    <n v="0"/>
    <x v="0"/>
    <s v="N/A"/>
    <s v="N/A"/>
    <x v="6"/>
    <s v="ASEO OPERACIONAL"/>
    <s v="OPERARIO"/>
    <s v="DESPLUMADO"/>
    <s v="N/A"/>
    <s v="TARDE"/>
    <d v="1899-12-30T04:30:00"/>
    <x v="1"/>
    <s v="SEMANA 12"/>
    <m/>
    <m/>
    <s v="CARLOS JIMENES"/>
    <s v="JORDAN FARIAS"/>
    <n v="35"/>
    <s v="Infraestructura"/>
    <s v="Manos / dedos"/>
    <x v="1"/>
    <x v="4"/>
    <s v="COLABORADORA QUE SE ENCONTRABA REALIZANDO ASEO EN PISOS SUFRE GOLPE EN MANO DERECHA CON PUERTA DE VAIVEN AL INGRESO DE DESPLUMADO "/>
    <s v="CONDICION"/>
    <s v="SI"/>
    <x v="0"/>
    <s v="NICOLAS GOMEZ"/>
    <s v="WLADIMIR CALDERON "/>
  </r>
  <r>
    <n v="2023"/>
    <s v="MARZO"/>
    <s v="EL PAICO"/>
    <s v="HUINAO CARTAGENA"/>
    <s v="MANUEL"/>
    <s v="MASCULINO"/>
    <s v="15403657-1"/>
    <d v="2022-11-04T00:00:00"/>
    <n v="4"/>
    <d v="2023-03-08T00:00:00"/>
    <x v="1"/>
    <d v="2023-03-10T00:00:00"/>
    <d v="2023-03-10T00:00:00"/>
    <s v="N/A"/>
    <n v="0"/>
    <x v="0"/>
    <s v="N/A"/>
    <s v="N/A"/>
    <x v="1"/>
    <s v="IQF 1"/>
    <s v="OPERARIO"/>
    <s v="IQF1"/>
    <s v="N/A"/>
    <s v="TARDE"/>
    <d v="1899-12-30T18:35:00"/>
    <x v="0"/>
    <s v="SEMANA 10"/>
    <n v="15564"/>
    <s v="NC-21-2023"/>
    <s v="GUILLERMO NARVAEZ"/>
    <m/>
    <n v="39"/>
    <s v="Materiales"/>
    <s v="Manos / dedos"/>
    <x v="1"/>
    <x v="4"/>
    <s v="COLABORADOR SUFRE CONTUSION EN MUÑECA IZQUERDA CUANDO SE ENCONTRABA ARMANDO PALLET CON BANDEJAS DE FILETILLO DE POLLO "/>
    <s v="ACCION"/>
    <s v="SI"/>
    <x v="1"/>
    <s v="NICOLAS GOMEZ"/>
    <s v="CHISTIAN JHONS"/>
  </r>
  <r>
    <n v="2023"/>
    <s v="MARZO"/>
    <s v="EL PAICO"/>
    <s v="HERRERA PINTO"/>
    <s v="JHONY"/>
    <s v="MASCULINO"/>
    <s v="20789495-8"/>
    <d v="2022-11-29T00:00:00"/>
    <n v="3"/>
    <d v="2023-03-14T00:00:00"/>
    <x v="1"/>
    <s v="N/A"/>
    <s v="N/A"/>
    <s v="N/A"/>
    <n v="0"/>
    <x v="0"/>
    <s v="N/A"/>
    <s v="N/A"/>
    <x v="5"/>
    <s v="T. AUTOMATICO"/>
    <s v="OPERARIO"/>
    <s v="T. AUTOMATICO"/>
    <s v="N/A"/>
    <s v="MAÑANA"/>
    <d v="1899-12-30T09:45:00"/>
    <x v="4"/>
    <s v="SEMANA 11"/>
    <m/>
    <m/>
    <s v="DANIEL GARRIDO"/>
    <s v="JOSE CARVALLO"/>
    <n v="22"/>
    <s v="Infraestructura"/>
    <s v="Pierna"/>
    <x v="1"/>
    <x v="4"/>
    <s v="COLABORADOR SUFRE GOLPE EN PIERNA DERECHA CON BASE METALICA DE GANCHO QUE SE DESPRENDE DE UNA CINTA "/>
    <s v="CONDICION"/>
    <s v="SI"/>
    <x v="0"/>
    <s v="NICOLAS GOMEZ"/>
    <s v="WLADIMIR CALDERON "/>
  </r>
  <r>
    <n v="2023"/>
    <s v="MARZO"/>
    <s v="EL PAICO"/>
    <s v="HENRIQUEZ VARGAS"/>
    <s v="FERNANDO"/>
    <s v="MASCULINO"/>
    <s v="18538961-8"/>
    <d v="2022-11-04T00:00:00"/>
    <n v="4"/>
    <d v="2023-03-19T00:00:00"/>
    <x v="1"/>
    <s v="N/A"/>
    <s v="N/A"/>
    <s v="N/A"/>
    <n v="0"/>
    <x v="0"/>
    <s v="N/A"/>
    <s v="N/A"/>
    <x v="8"/>
    <s v="MANTENCION"/>
    <s v="COORDINADOR"/>
    <s v="T. AUTOMATICO"/>
    <s v="N/A"/>
    <s v="MAÑANA"/>
    <d v="1899-12-30T15:30:00"/>
    <x v="6"/>
    <s v="SEMANA 11"/>
    <m/>
    <m/>
    <s v="VICTOR GOMEZ"/>
    <s v="DANIEL GONZALEZ"/>
    <n v="29"/>
    <s v="Materiales"/>
    <s v="Ojos"/>
    <x v="1"/>
    <x v="4"/>
    <s v="COLABORADOR SUFRE GOLPE EN OJO DERECHO CONLLAVE CUANDO SE ENCONTRABA APRETANDO LOS PERNOS DE ESTACION DE GIRO EN LINEA 2 DE TROZADO DE POLLO AUTOMATICO"/>
    <s v="ACCION"/>
    <s v="SI"/>
    <x v="0"/>
    <s v="ALAN CARRASCO"/>
    <s v="CARLOS CARTAGENA"/>
  </r>
  <r>
    <n v="2023"/>
    <s v="MARZO"/>
    <s v="EL PAICO"/>
    <s v="ESPINOZA MALDONADO"/>
    <s v="ROMINA"/>
    <s v="FEMENINO"/>
    <s v="17986193-3"/>
    <d v="2017-08-16T00:00:00"/>
    <n v="66"/>
    <d v="2023-03-01T00:00:00"/>
    <x v="0"/>
    <d v="2023-03-01T00:00:00"/>
    <d v="2023-03-02T00:00:00"/>
    <s v="N/A"/>
    <n v="2"/>
    <x v="1"/>
    <s v="LGF"/>
    <s v="LGF3"/>
    <x v="6"/>
    <s v="SALA DE TAMBLE"/>
    <s v="OPERARIO"/>
    <s v="SALA DE TAMBLE"/>
    <s v="N/A"/>
    <s v="NOCHE"/>
    <d v="1899-12-30T04:00:00"/>
    <x v="0"/>
    <s v="SEMANA 9"/>
    <n v="15530"/>
    <s v="NC-19-2023"/>
    <s v="CARLOS JIMENEZ"/>
    <s v="PATRICIO PALACIOS"/>
    <n v="31"/>
    <s v="Producto quimico"/>
    <s v="Pierna"/>
    <x v="6"/>
    <x v="12"/>
    <s v="COLABORADORA QUE SE ENCONTRABA ESPONJANDO TAMBLED, AL MOMENTO DEL ENJUAGE DERRAMA DETERGENTE BIO REMOVE EN PIERNA DERECHA."/>
    <s v="ACCION"/>
    <s v="SI"/>
    <x v="1"/>
    <s v="ALAN CARRASCO "/>
    <s v="CHISTIAN JHONS"/>
  </r>
  <r>
    <n v="2023"/>
    <s v="MARZO"/>
    <s v="EL PAICO"/>
    <s v="CONTRERAS GARATE"/>
    <s v="SALVADOR"/>
    <s v="MASCULINO"/>
    <s v="14436436-8"/>
    <d v="2021-03-08T00:00:00"/>
    <n v="24"/>
    <d v="2023-03-27T00:00:00"/>
    <x v="0"/>
    <s v="N/A"/>
    <s v="N/A"/>
    <s v="N/A"/>
    <n v="0"/>
    <x v="0"/>
    <s v="N/A"/>
    <s v="N/A"/>
    <x v="6"/>
    <s v="ASEO OPERACIONAL"/>
    <s v="OPERARIO"/>
    <s v="VESTIDORES "/>
    <s v="N/A"/>
    <s v="TARDE"/>
    <d v="1899-12-30T14:30:00"/>
    <x v="5"/>
    <s v="SEMANA 13"/>
    <m/>
    <m/>
    <s v="CARLOS JIMENES"/>
    <s v="JOSELINNE ALARCON"/>
    <n v="32"/>
    <s v="Otros"/>
    <s v="Espalda"/>
    <x v="0"/>
    <x v="13"/>
    <s v="COLABORADOR SIENTE FUERTE DOLOR EN LA CINTURA CUANDO SE VESTIA CON SU ROPA DE TRABAJO EN CAMARINES DE LA PLANTA "/>
    <s v="ACCION"/>
    <s v="SI"/>
    <x v="0"/>
    <s v="ALAN CARRASCO"/>
    <s v="CARLOS CARTAGENA"/>
  </r>
  <r>
    <n v="2023"/>
    <s v="MARZO"/>
    <s v="EL PAICO"/>
    <s v="CHAVANNES"/>
    <s v="ESTILUS"/>
    <s v="MASCULINO"/>
    <s v="26172618-1"/>
    <d v="2019-10-14T00:00:00"/>
    <n v="40"/>
    <d v="2023-03-08T00:00:00"/>
    <x v="0"/>
    <s v="N/A"/>
    <s v="N/A"/>
    <s v="N/A"/>
    <n v="0"/>
    <x v="0"/>
    <s v="N/A"/>
    <s v="N/A"/>
    <x v="2"/>
    <s v="EVISCERADO"/>
    <s v="OPERARIO"/>
    <s v="EVICERADO"/>
    <s v="N/A"/>
    <s v="TARDE"/>
    <d v="1899-12-30T18:20:00"/>
    <x v="0"/>
    <s v="SEMANA 10"/>
    <m/>
    <m/>
    <s v="NICOLAS MOYANO"/>
    <s v="ERWIN GATICA"/>
    <n v="34"/>
    <s v="Cuchillo"/>
    <s v="Pie"/>
    <x v="3"/>
    <x v="8"/>
    <s v="COLABORADOR SE ENCONTRABA SACANDO FILO A CUCHILLO, CUANDO ESTE CAE EN SU PIE DERECHO PRODUCIENDO UNA HERIDA CORTANTE"/>
    <s v="CONDICION"/>
    <s v="SI"/>
    <x v="0"/>
    <s v="NICOLAS GOMEZ"/>
    <s v="CHRISTIAN JHONS"/>
  </r>
  <r>
    <n v="2023"/>
    <s v="MARZO"/>
    <s v="EL PAICO"/>
    <s v="CASTRO CABRERA"/>
    <s v="ALEJANDRA"/>
    <s v="FEMENINO"/>
    <s v="13771008-0"/>
    <d v="2022-12-20T00:00:00"/>
    <n v="2"/>
    <d v="2023-03-04T00:00:00"/>
    <x v="1"/>
    <s v="N/A"/>
    <s v="N/A"/>
    <s v="N/A"/>
    <n v="0"/>
    <x v="0"/>
    <s v="N/A"/>
    <s v="N/A"/>
    <x v="5"/>
    <s v="SELECCIÓN PECHUGA"/>
    <s v="OPERARIO"/>
    <s v="ESCALERAS COSTADO DE INGRESO PRINCIPAL"/>
    <s v="N/A"/>
    <s v="MAÑANA"/>
    <d v="1899-12-30T11:10:00"/>
    <x v="2"/>
    <s v="SEMANA 9"/>
    <m/>
    <m/>
    <s v="DANIEL GARRIDO"/>
    <s v="JOSE CARVALLO"/>
    <n v="43"/>
    <s v="Superficies de transito"/>
    <s v="Espalda"/>
    <x v="1"/>
    <x v="6"/>
    <s v="COLABORADORA SE ENCONTRABA BAJANDO POR LAS ESCALERAS UBICADAS AL COSTADO DE ENTRADA PRINCIPAL, SE RESBALA PROBONCANDO UNA CONTUCION EN COXIS."/>
    <s v="ACCION"/>
    <s v="SI"/>
    <x v="0"/>
    <s v="NICOLAS GOMEZ"/>
    <s v="CHISTIAN JHONS"/>
  </r>
  <r>
    <n v="2023"/>
    <s v="MARZO"/>
    <s v="EL PAICO"/>
    <s v="CARREÑO CERDA"/>
    <s v="FRANCISCO"/>
    <s v="MASCULINO"/>
    <s v="16340355-2"/>
    <d v="2022-10-17T00:00:00"/>
    <n v="4"/>
    <d v="2023-03-03T00:00:00"/>
    <x v="1"/>
    <d v="2023-03-03T00:00:00"/>
    <d v="2023-03-03T00:00:00"/>
    <s v="N/A"/>
    <n v="0"/>
    <x v="0"/>
    <s v="N/A"/>
    <s v="N/A"/>
    <x v="2"/>
    <s v="COLGADO DE AVES"/>
    <s v="OPERARIO"/>
    <s v="COLGADO DE AVES"/>
    <s v="N/A"/>
    <s v="MAÑANA"/>
    <d v="1899-12-30T07:00:00"/>
    <x v="3"/>
    <s v="SEMANA 9"/>
    <n v="15542"/>
    <s v="NC-23-2023"/>
    <s v="NICOLAS MOYANO"/>
    <s v="CRISTIAN MESA"/>
    <n v="37"/>
    <s v="Animales - Insectos"/>
    <s v="Ojos"/>
    <x v="5"/>
    <x v="7"/>
    <s v="COLABORADOR SE ENCONTRABA EN LINEA COLGADO DE AVES, CUANDO SUFRE UNA PROYECCION DE PARTICULA EN OJO DERECHO PROVOCANDO INFLAMACION EN LA PARTE AFECTADA"/>
    <s v="CONDICION"/>
    <s v="SI"/>
    <x v="1"/>
    <s v="NICOLAS GOMEZ"/>
    <s v="CARLOS CARTAGENA"/>
  </r>
  <r>
    <n v="2023"/>
    <s v="MARZO"/>
    <s v="EL PAICO"/>
    <s v="CARANCIO ALEGRIA"/>
    <s v="MARCELO"/>
    <s v="MASCULINO"/>
    <s v="14439094-6"/>
    <d v="2018-11-19T00:00:00"/>
    <n v="52"/>
    <d v="2023-03-23T00:00:00"/>
    <x v="0"/>
    <s v="N/A"/>
    <s v="N/A"/>
    <s v="N/A"/>
    <n v="0"/>
    <x v="0"/>
    <s v="N/A"/>
    <s v="N/A"/>
    <x v="5"/>
    <s v="DESHUESADO"/>
    <s v="OPERARIO"/>
    <m/>
    <s v="N/A"/>
    <s v="MAÑANA"/>
    <m/>
    <x v="1"/>
    <s v="SEMANA 12"/>
    <m/>
    <m/>
    <s v="DANIEL GARRIDO"/>
    <m/>
    <n v="49"/>
    <s v="Materiales"/>
    <s v="Espalda"/>
    <x v="0"/>
    <x v="0"/>
    <s v="COLABORADOR SE ENCONTRABA LEVANTANDO BANDEJAS CON POLLO, SIENTE DOLOR EN ESPALDA AL EJERCER FUERZA"/>
    <s v="ACCION"/>
    <s v="SI"/>
    <x v="0"/>
    <s v="NICOLAS GOMEZ"/>
    <s v="CARLOS CARTAGENA"/>
  </r>
  <r>
    <n v="2023"/>
    <s v="MARZO"/>
    <s v="EL PAICO"/>
    <s v="BARRAZA PERALTA"/>
    <s v="ISABEL"/>
    <s v="FEMENINO"/>
    <s v="9683999-5"/>
    <d v="2013-11-18T00:00:00"/>
    <n v="112"/>
    <d v="2023-03-22T00:00:00"/>
    <x v="0"/>
    <d v="2023-03-10T00:00:00"/>
    <d v="2023-03-10T00:00:00"/>
    <s v="N/A"/>
    <n v="0"/>
    <x v="0"/>
    <s v="N/A"/>
    <s v="N/A"/>
    <x v="6"/>
    <s v="ASEO OPERACIONAL"/>
    <s v="OPERARIO"/>
    <s v="IQF4"/>
    <s v="N/A"/>
    <s v="MAÑANA"/>
    <d v="1899-12-30T11:40:00"/>
    <x v="0"/>
    <s v="SEMANA 12"/>
    <n v="15582"/>
    <s v="NC-20-2023"/>
    <s v="CARLOS JIMENES"/>
    <s v="ORLANDO FARIAS"/>
    <n v="58"/>
    <s v="Superficies de trabajo"/>
    <s v="Brazo"/>
    <x v="1"/>
    <x v="1"/>
    <s v="COLABORADORA SUFRE CAIDA MISMO NIVEL CUANDO SE ENCONTRABA SECANDO AGUA EN PISO DE IQF4"/>
    <s v="CONDICION"/>
    <s v="SI"/>
    <x v="1"/>
    <s v="ALAN CARRASCO"/>
    <s v="WLADIMIR CALDERON "/>
  </r>
  <r>
    <n v="2023"/>
    <s v="MARZO"/>
    <s v="EL PAICO"/>
    <s v="AGUILAR CORTES"/>
    <s v="LUIS"/>
    <s v="MASCULINO"/>
    <s v="9886055-K"/>
    <d v="2019-06-17T00:00:00"/>
    <n v="44"/>
    <d v="2023-03-01T00:00:00"/>
    <x v="0"/>
    <s v="N/A"/>
    <s v="N/A"/>
    <s v="N/A"/>
    <n v="0"/>
    <x v="0"/>
    <s v="N/A"/>
    <s v="N/A"/>
    <x v="6"/>
    <s v="EVISCERADO"/>
    <s v="OPERARIO"/>
    <s v="EVICERADO"/>
    <s v="N/A"/>
    <s v="NOCHE"/>
    <d v="1899-12-30T22:05:00"/>
    <x v="0"/>
    <s v="SEMANA 9"/>
    <m/>
    <m/>
    <s v="CARLOS JIMENEZ"/>
    <s v="LUIS URBINA"/>
    <n v="59"/>
    <s v="Producto quimico"/>
    <s v="Ojos"/>
    <x v="0"/>
    <x v="7"/>
    <s v="COLABORADOR QUE SE ENCONTRABA TRANVASIJANDO DETERGENTE, SUFRE SALPICADURA EN SU OJO IZQUERDO"/>
    <s v="ACCION"/>
    <s v="SI"/>
    <x v="0"/>
    <s v="ALAN CARRASCO "/>
    <s v="WLADIMIR CALDERON "/>
  </r>
  <r>
    <n v="2023"/>
    <s v="ABRIL"/>
    <s v="EL PAICO"/>
    <s v="VILLALOBOS VALENZUELA"/>
    <s v="PABLO"/>
    <s v="MASCULINO"/>
    <s v="19382613-K"/>
    <d v="2022-08-18T00:00:00"/>
    <n v="7"/>
    <d v="2023-04-04T00:00:00"/>
    <x v="2"/>
    <s v="N/A"/>
    <s v="N/A"/>
    <s v="N/A"/>
    <n v="0"/>
    <x v="0"/>
    <s v="N/A"/>
    <s v="N/A"/>
    <x v="5"/>
    <s v="DESHUESADO"/>
    <s v="OPERARIO"/>
    <s v="PASILLO CAMARA 206"/>
    <s v="N/A"/>
    <s v="TARDE"/>
    <d v="1899-12-30T00:45:00"/>
    <x v="0"/>
    <s v="SEMANA 14"/>
    <m/>
    <m/>
    <s v="DANIEL GARRIDO"/>
    <s v="JOSE CARVALLO"/>
    <n v="27"/>
    <s v="Equipos Transporte de carga"/>
    <s v="Espalda"/>
    <x v="0"/>
    <x v="0"/>
    <s v="COLABORADOR SUFRE TIRON EN ESPALDA Y CUELLO CUANDO SE ENCONTRABA MOVILIZANDO BINS CON PRODUCTO EN TRANSPALETA MANUAL "/>
    <s v="ACCION"/>
    <s v="SI"/>
    <x v="0"/>
    <s v="NICOLAS GOMEZ"/>
    <s v="CHISTIAN JHONS"/>
  </r>
  <r>
    <n v="2023"/>
    <s v="ABRIL"/>
    <s v="EL PAICO"/>
    <s v="VIDAL ZAMBRANO"/>
    <s v="JAVIER"/>
    <s v="MASCULINO"/>
    <s v="21169027-5"/>
    <d v="2022-08-01T00:00:00"/>
    <n v="8"/>
    <d v="2023-04-12T00:00:00"/>
    <x v="2"/>
    <s v="N/A"/>
    <s v="N/A"/>
    <s v="N/A"/>
    <n v="0"/>
    <x v="0"/>
    <s v="LGF"/>
    <s v="LGF4"/>
    <x v="4"/>
    <s v="FRIGORIFICO"/>
    <s v="OPERARIO"/>
    <s v="TUNEL 4"/>
    <s v="EQUIPO PARA MOVIMIENTO DE CARGA (GRUAS O TRANSPALETAS)"/>
    <s v="MAÑANA"/>
    <d v="1899-12-30T09:45:00"/>
    <x v="0"/>
    <s v="SEMANA 15"/>
    <m/>
    <m/>
    <s v="FRANCISCO QUEZADA"/>
    <s v="NELSON PIZARRO"/>
    <n v="20"/>
    <s v="Maquinarias"/>
    <s v="Pie"/>
    <x v="1"/>
    <x v="4"/>
    <s v="COLABORADOR SUFRE CONTUSION EN PIE IZQUIERDO POR COLICION ENTRE DOS TRANSPALETAS EN TUNEL 4 "/>
    <s v="ACCION"/>
    <s v="SI"/>
    <x v="0"/>
    <s v="NICOLAS GOMEZ"/>
    <s v="CARLOS CARTAGENA"/>
  </r>
  <r>
    <n v="2023"/>
    <s v="ABRIL"/>
    <s v="EL PAICO"/>
    <s v="VASQUEZ CORRAL"/>
    <s v="JOSE"/>
    <s v="MASCULINO"/>
    <s v="9029022-3"/>
    <d v="2004-06-15T00:00:00"/>
    <n v="226"/>
    <d v="2023-04-18T00:00:00"/>
    <x v="0"/>
    <s v="N/A"/>
    <s v="N/A"/>
    <s v="N/A"/>
    <n v="0"/>
    <x v="0"/>
    <s v="N/A"/>
    <s v="N/A"/>
    <x v="1"/>
    <s v="IQF"/>
    <s v="OPERARIO"/>
    <s v="IQF"/>
    <s v="N/A"/>
    <s v="TARDE"/>
    <d v="1899-12-30T15:30:00"/>
    <x v="4"/>
    <s v="SEMANA 16"/>
    <m/>
    <m/>
    <s v="GUILLERMO NARVAEZ"/>
    <s v="MAXIMO CAMPOS"/>
    <n v="63"/>
    <s v="Cajas"/>
    <s v="Manos / dedos"/>
    <x v="1"/>
    <x v="0"/>
    <s v="COLABORADOR SUFRE DOLOR EN MUÑECA IZQUERDA AL TOMAR CAJA EN LINEA DE IQF"/>
    <s v="ACCION"/>
    <s v="SI"/>
    <x v="0"/>
    <s v="ALAN CARRASCO"/>
    <s v="MICHELLE SANCHEZ"/>
  </r>
  <r>
    <n v="2023"/>
    <s v="ABRIL"/>
    <s v="EL PAICO"/>
    <s v="VALDIVIA PEÑALOZA"/>
    <s v="JAIME"/>
    <s v="MASCULINO"/>
    <s v="14140942-5"/>
    <d v="2021-06-01T00:00:00"/>
    <n v="22"/>
    <d v="2023-04-17T00:00:00"/>
    <x v="0"/>
    <s v="N/A"/>
    <s v="N/A"/>
    <s v="N/A"/>
    <n v="0"/>
    <x v="0"/>
    <s v="LGF"/>
    <s v="LGF4"/>
    <x v="1"/>
    <s v="IQF Y CALIBRADO"/>
    <s v="OPERARIO"/>
    <s v="CAMARA 208"/>
    <s v="EQUIPO PARA MOVIMIENTO DE CARGA (GRUAS O TRANSPALETAS)"/>
    <s v="MAÑANA"/>
    <d v="1899-12-30T10:06:00"/>
    <x v="5"/>
    <s v="SEMANA 16"/>
    <m/>
    <m/>
    <s v="GUILLERMO NARVAEZ"/>
    <s v="FRANCISCO SANCHEZ"/>
    <n v="42"/>
    <s v="Equipos Transporte de carga"/>
    <s v="Manos / dedos"/>
    <x v="1"/>
    <x v="4"/>
    <s v="COLABORADOR SUFRE GOLPE EN MUÑECA IZQUERDA AL SER COLICIONADO POR OPERADOR DE TRANSPALETA ELECTRICA CUANDO ESTABA ENTRANDO A CAMARA 208"/>
    <s v="ACCION"/>
    <s v="SI"/>
    <x v="0"/>
    <s v="ALAN CARRASCO"/>
    <s v="CHISTIAN JHONS"/>
  </r>
  <r>
    <n v="2023"/>
    <s v="ABRIL"/>
    <s v="EL PAICO"/>
    <s v="SANTIS RAMIREZ"/>
    <s v="JANIS"/>
    <s v="FEMENINO"/>
    <s v="19858836-9"/>
    <d v="2021-05-10T00:00:00"/>
    <n v="23"/>
    <d v="2023-04-11T00:00:00"/>
    <x v="0"/>
    <s v="N/A"/>
    <s v="N/A"/>
    <s v="N/A"/>
    <n v="0"/>
    <x v="0"/>
    <s v="N/A"/>
    <s v="N/A"/>
    <x v="5"/>
    <s v="DESHUESADO"/>
    <s v="OPERARIO"/>
    <s v="CAMARA 208"/>
    <s v="N/A"/>
    <s v="MAÑANA"/>
    <d v="1899-12-30T08:55:00"/>
    <x v="4"/>
    <s v="SEMANA 15"/>
    <m/>
    <m/>
    <s v="DANIEL GARRIDO"/>
    <s v="ARNALDO VERA"/>
    <n v="25"/>
    <s v="Superficies de trabajo"/>
    <s v="Multiples"/>
    <x v="1"/>
    <x v="1"/>
    <s v="COLABORADORA SUFRE CONTUSION EN ESPALDA Y CABEZA POR CAIDA MISMO NIVEL AL PISAR HIELO QUE SE ENCONTRABA EN PISO DE CAMARA 208 ROTULANDO BINS"/>
    <s v="CONDICION"/>
    <s v="SI"/>
    <x v="0"/>
    <s v="NICOLAS GOMEZ"/>
    <s v="CARLOS CARTAGENA"/>
  </r>
  <r>
    <n v="2023"/>
    <s v="ABRIL"/>
    <s v="EL PAICO"/>
    <s v="RAGA VAZQUEZ"/>
    <s v="ELIZABETH"/>
    <s v="FEMENINO"/>
    <s v="26199492-5"/>
    <d v="2022-11-22T00:00:00"/>
    <n v="4"/>
    <d v="2023-04-19T00:00:00"/>
    <x v="1"/>
    <s v="N/A"/>
    <s v="N/A"/>
    <s v="N/A"/>
    <n v="0"/>
    <x v="0"/>
    <s v="N/A"/>
    <s v="N/A"/>
    <x v="1"/>
    <s v="IQF"/>
    <s v="OPERARIO"/>
    <s v="IQF"/>
    <s v="N/A"/>
    <s v="TARDE"/>
    <d v="1899-12-30T19:00:00"/>
    <x v="0"/>
    <s v="SEMANA 16"/>
    <m/>
    <m/>
    <s v="GUILLERMO NARVAEZ"/>
    <s v="MAXIMO CAMPOS"/>
    <n v="35"/>
    <s v="Materia Prima"/>
    <s v="Ojos"/>
    <x v="5"/>
    <x v="7"/>
    <s v="COLABORADORA SUFRE IRRITACION OCULAR EN OJO IZQUIERDO POR PROYECCION DE PARTICULAS CUANDO SE ENCONTRABA MANIPULANDO PRODUCTOS EN BANDEJAS EN LINEA IQF"/>
    <s v="ACCION"/>
    <s v="SI"/>
    <x v="0"/>
    <s v="NICOLAS GOMEZ"/>
    <s v="WLADIMIR CALDERON "/>
  </r>
  <r>
    <n v="2023"/>
    <s v="ABRIL"/>
    <s v="EL PAICO"/>
    <s v="PAVEZ AGUILA"/>
    <s v="PAULA"/>
    <s v="FEMENINO"/>
    <s v="20424217-8"/>
    <d v="2023-01-09T00:00:00"/>
    <n v="3"/>
    <d v="2023-04-24T00:00:00"/>
    <x v="1"/>
    <s v="N/A"/>
    <s v="N/A"/>
    <s v="N/A"/>
    <n v="0"/>
    <x v="0"/>
    <s v="N/A"/>
    <s v="N/A"/>
    <x v="1"/>
    <s v="IQF"/>
    <s v="OPERARIO"/>
    <s v="IQF"/>
    <s v="N/A"/>
    <s v="TARDE"/>
    <d v="1899-12-30T22:30:00"/>
    <x v="5"/>
    <s v="SEMANA 17"/>
    <m/>
    <m/>
    <s v="GUILLERMO NARVAEZ"/>
    <s v="FRANCISCO SANCHEZ"/>
    <n v="23"/>
    <s v="Superficies de trabajo"/>
    <s v="Pierna"/>
    <x v="1"/>
    <x v="6"/>
    <s v="COLABORADOR SUFRE GOLPE EN RODILLA IZQUIERDA POR CAIDA DE DISTINTO NIVEL CUANDO SE ENCONTRABA MOVILIZANDO BANDEJAS EN LINEA DE IQF."/>
    <s v="CONDICION"/>
    <s v="SI"/>
    <x v="0"/>
    <s v="ALAN CARRASCO"/>
    <s v="CARLOS CARTAGENA"/>
  </r>
  <r>
    <n v="2023"/>
    <s v="ABRIL"/>
    <s v="EL PAICO"/>
    <s v="NORAMBUENA CARVAJAL"/>
    <s v="RODRIGO"/>
    <s v="MASCULINO"/>
    <s v="16788251-K"/>
    <d v="2012-02-01T00:00:00"/>
    <n v="134"/>
    <d v="2023-04-15T00:00:00"/>
    <x v="0"/>
    <d v="2023-04-15T00:00:00"/>
    <d v="2023-09-24T00:00:00"/>
    <s v="N/A"/>
    <n v="163"/>
    <x v="1"/>
    <s v="LGF"/>
    <s v="LGF2"/>
    <x v="7"/>
    <s v="SALA DE PULPA"/>
    <s v="OPERARIO"/>
    <s v="SALA DE PULPA"/>
    <s v="MAQUINA BAADER"/>
    <s v="MAÑANA"/>
    <d v="1899-12-30T11:40:00"/>
    <x v="2"/>
    <s v="SEMANA 15"/>
    <n v="15621"/>
    <s v="NC-35-23"/>
    <s v="OCTAVIO MUÑOZ"/>
    <s v="MARCOS QUINTANILLA"/>
    <n v="35"/>
    <s v="Maquinarias"/>
    <s v="Manos / dedos"/>
    <x v="7"/>
    <x v="2"/>
    <s v="COLABORADOR SUFRE DESPRENDIMIENTO EN DEDO ANULAR SUPERIOR DERECHO, POR ATRAPAMIENTO MIENTRAS OPERABA MAQUINA BAADER EN SALA DE PULPA."/>
    <s v="ACCION"/>
    <s v="SI"/>
    <x v="1"/>
    <s v="ALAN CARRASCO"/>
    <s v="WLADIMIR CALDERON "/>
  </r>
  <r>
    <n v="2023"/>
    <s v="ABRIL"/>
    <s v="EL PAICO"/>
    <s v="MENA MATTA"/>
    <s v="NINOSHKA"/>
    <s v="FEMENINO"/>
    <s v="18528198-1"/>
    <d v="2023-03-27T00:00:00"/>
    <n v="0"/>
    <d v="2023-04-22T00:00:00"/>
    <x v="1"/>
    <d v="2023-04-24T00:00:00"/>
    <d v="2023-04-27T00:00:00"/>
    <s v="N/A"/>
    <n v="4"/>
    <x v="1"/>
    <s v="N/A"/>
    <s v="N/A"/>
    <x v="4"/>
    <s v="FRIGORIFICO"/>
    <s v="OPERARIO"/>
    <s v="PASILLO B CAMARA "/>
    <s v="N/A"/>
    <s v="MAÑANA"/>
    <d v="1899-12-30T06:35:00"/>
    <x v="2"/>
    <s v="SEMANA 16"/>
    <n v="15645"/>
    <s v="NC-52-23"/>
    <s v="FRANCISCO QUEZADA"/>
    <s v="ALEJANDRO TORRES"/>
    <n v="30"/>
    <s v="Superficies de trabajo"/>
    <s v="Pierna"/>
    <x v="1"/>
    <x v="1"/>
    <s v="COLABORADORA SUFRE CONTUSION EN RODILLA DERECHA POR CAIDA DE MISMO EN PASILLO DE CAMARA EN EL AREA DE FRIGORIFICO"/>
    <s v="CONDICION"/>
    <s v="SI"/>
    <x v="1"/>
    <s v="ALAN CARRASCO"/>
    <s v="MICHELLE SANCHEZ"/>
  </r>
  <r>
    <n v="2023"/>
    <s v="ABRIL"/>
    <s v="EL PAICO"/>
    <s v="MELLADO BARRIENTOS"/>
    <s v="POLONIA "/>
    <s v="FEMENINO"/>
    <s v="17422963-5"/>
    <d v="2021-02-22T00:00:00"/>
    <n v="25"/>
    <d v="2023-04-21T00:00:00"/>
    <x v="0"/>
    <d v="2023-04-24T00:00:00"/>
    <d v="2023-04-26T00:00:00"/>
    <s v="N/A"/>
    <n v="3"/>
    <x v="1"/>
    <s v="N/A"/>
    <s v="N/A"/>
    <x v="5"/>
    <s v="SALA DE PROCESO"/>
    <s v="OPERARIO"/>
    <s v="SALA DE PROCESO"/>
    <s v="N/A"/>
    <s v="TARDE"/>
    <m/>
    <x v="3"/>
    <s v="SEMANA 16"/>
    <n v="15647"/>
    <s v="NC-55-23"/>
    <s v="DANIEL GARRIDO"/>
    <s v="JOSE CARVALLO"/>
    <n v="32"/>
    <s v="Bins"/>
    <s v="Manos / dedos"/>
    <x v="1"/>
    <x v="5"/>
    <s v="COLABORADORA DE TPO SUFRIO CONTUSION EN MANO DERECHA GOLPEADA POR UN BINS, LA TRABAJADORA TENIA LA MANO APOYADA EN UN BINS EN ESE MOMENTO UN MOVILIZADOR ARRASTRA UN BINS CERCANO PARA POSICIONARLO A UN LADO DEL OTRO, EN ESTE MOMENTO NO SE PERCATA DE LA TRABAJADORA Y GOLPEADA SU MANO DEJANDOLA ENTRE AMBOS BINS, EL ACC OCURRIO EN SALA DE PROCESO. "/>
    <s v="ACCION"/>
    <s v="SI"/>
    <x v="1"/>
    <s v="NICOLAS GOMEZ"/>
    <m/>
  </r>
  <r>
    <n v="2023"/>
    <s v="ABRIL"/>
    <s v="EL PAICO"/>
    <s v="HUINAO CARTAGENA"/>
    <s v="MANUEL"/>
    <s v="MASCULINO"/>
    <s v="15403657-1"/>
    <d v="2022-11-04T00:00:00"/>
    <n v="5"/>
    <d v="2023-04-27T00:00:00"/>
    <x v="1"/>
    <s v="N/A"/>
    <s v="N/A"/>
    <d v="2023-04-28T00:00:00"/>
    <n v="0"/>
    <x v="0"/>
    <s v="N/A"/>
    <s v="N/A"/>
    <x v="1"/>
    <s v="CALIBRADO"/>
    <s v="OPERARIO"/>
    <s v="TROZADO DE POLLO"/>
    <s v="N/A"/>
    <s v="MAÑANA"/>
    <d v="1899-12-30T08:10:00"/>
    <x v="1"/>
    <s v="SEMANA 17"/>
    <m/>
    <m/>
    <s v="GUILLERMO NARVAEZ"/>
    <s v="MAXIMO CAMPOS"/>
    <n v="40"/>
    <s v="Bins"/>
    <s v="Pie"/>
    <x v="1"/>
    <x v="4"/>
    <s v="COLABORADOR SUFRE CONTUSION EN PIE DERECHO AL SE GOLPEADO POR COMPAÑERO QUE TRASLABA BINS CON PRODUCTO EN PASILLO DE TROZADO DE POLLO"/>
    <s v="ACCION"/>
    <s v="SI"/>
    <x v="0"/>
    <s v="NICOLAS GOMEZ"/>
    <s v="WLADIMIR CALDERON "/>
  </r>
  <r>
    <n v="2023"/>
    <s v="ABRIL"/>
    <s v="EL PAICO"/>
    <s v="GUIÑEZ GARRIDO"/>
    <s v="PATRICIO"/>
    <s v="MASCULINO"/>
    <s v="14008724-6"/>
    <d v="2022-11-15T00:00:00"/>
    <n v="5"/>
    <d v="2023-04-24T00:00:00"/>
    <x v="1"/>
    <s v="N/A"/>
    <s v="N/A"/>
    <s v="N/A"/>
    <n v="0"/>
    <x v="0"/>
    <s v="N/A"/>
    <s v="N/A"/>
    <x v="1"/>
    <s v="CALIBRADO"/>
    <s v="OPERARIO"/>
    <s v="EMPAQUE"/>
    <s v="N/A"/>
    <s v="MAÑANA"/>
    <d v="1899-12-30T08:00:00"/>
    <x v="5"/>
    <s v="SEMANA 17"/>
    <m/>
    <m/>
    <s v="GUILLERMO NARVAEZ"/>
    <s v="FERNANDO FUENTEALBA"/>
    <n v="41"/>
    <s v="Materiales"/>
    <s v="Rostro"/>
    <x v="1"/>
    <x v="4"/>
    <s v="COLABORADOR SUFRE GOLPE EN POMULO IZQUIERDO POR TAPA DE CAJA CUANDO SE ENCONTRABA SACANDO ZUNCHOS EN EL AREA DE EMPAQUE"/>
    <s v="ACCION"/>
    <s v="SI"/>
    <x v="0"/>
    <s v="NICOLAS GOMEZ"/>
    <s v="CARLOS CARTAGENA"/>
  </r>
  <r>
    <n v="2023"/>
    <s v="ABRIL"/>
    <s v="EL PAICO"/>
    <s v="GONZALEZ MEDINA"/>
    <s v="ERIKA"/>
    <s v="FEMENINO"/>
    <s v="15624346-9"/>
    <d v="1993-01-06T00:00:00"/>
    <n v="363"/>
    <d v="2023-04-27T00:00:00"/>
    <x v="0"/>
    <s v="N/A"/>
    <s v="N/A"/>
    <s v="N/A"/>
    <n v="0"/>
    <x v="0"/>
    <s v="N/A"/>
    <s v="N/A"/>
    <x v="5"/>
    <s v="PROLIJADO"/>
    <s v="OPERARIO"/>
    <s v="LINEA PROLIJADO"/>
    <s v="N/A"/>
    <s v="MAÑANA"/>
    <d v="1899-12-30T12:30:00"/>
    <x v="3"/>
    <s v="SEMANA 17"/>
    <m/>
    <m/>
    <s v="DANIEL GARRIDO"/>
    <s v="JOSE CARVALLO"/>
    <n v="55"/>
    <s v="Materiales"/>
    <s v="Manos / dedos"/>
    <x v="3"/>
    <x v="3"/>
    <s v="COLABORADORA SUFRE CORTE EN DEDO ANULAR DE MANO DERECHA CON CUCHILLO, EN LINEA PROLIJADO DE PECHUGAS"/>
    <s v="ACCION"/>
    <s v="SI"/>
    <x v="0"/>
    <s v="ALAN CARRASCO"/>
    <s v="CARLOS CARTAGENA"/>
  </r>
  <r>
    <n v="2023"/>
    <s v="ABRIL"/>
    <s v="EL PAICO"/>
    <s v="GONALEZ NIDA"/>
    <s v="MAURICIO"/>
    <s v="MASCULINO"/>
    <s v="20122752-6"/>
    <d v="2023-03-14T00:00:00"/>
    <n v="0"/>
    <d v="2023-04-10T00:00:00"/>
    <x v="1"/>
    <d v="2023-04-11T00:00:00"/>
    <d v="2023-04-12T00:00:00"/>
    <s v="N/A"/>
    <n v="1"/>
    <x v="1"/>
    <s v="N/A"/>
    <s v="N/A"/>
    <x v="5"/>
    <s v="DESHUESADO"/>
    <s v="OPERARIO"/>
    <s v="DESHUESADO"/>
    <s v="N/A"/>
    <s v="MAÑANA"/>
    <d v="1899-12-30T08:30:00"/>
    <x v="5"/>
    <s v="SEMANA 15"/>
    <n v="15618"/>
    <s v="NC-50-23"/>
    <s v="DANIEL GARRIDO"/>
    <s v="JOSE CARVALLO"/>
    <n v="24"/>
    <s v="Materia Prima"/>
    <s v="Ojos"/>
    <x v="5"/>
    <x v="7"/>
    <s v="COLABORADOR SUFRE INFLAMACION EN OJO IZQUIERDO POR SALPICADURA DE PRODUCTO AL ESTAR LIMPIANDO PECHUGAS EN LINEA DE PROLIJADO"/>
    <s v="ACCION"/>
    <s v="SI"/>
    <x v="1"/>
    <s v="NICOLAS GOMEZ"/>
    <s v="CARLOS CARTAGENA"/>
  </r>
  <r>
    <n v="2023"/>
    <s v="ABRIL"/>
    <s v="EL PAICO"/>
    <s v="ESPINOZA PINTO"/>
    <s v="JORGE"/>
    <s v="MASCULINO"/>
    <s v="19849137-3"/>
    <d v="2022-11-14T00:00:00"/>
    <n v="5"/>
    <d v="2023-04-24T00:00:00"/>
    <x v="1"/>
    <d v="2023-04-24T00:00:00"/>
    <d v="2023-04-24T00:00:00"/>
    <s v="N/A"/>
    <n v="0"/>
    <x v="0"/>
    <s v="N/A"/>
    <s v="N/A"/>
    <x v="5"/>
    <s v="TROZADO AUTOMATICO"/>
    <s v="OPERARIO"/>
    <s v="TROZADO AUTOMATICO"/>
    <s v="N/A"/>
    <s v="TARDE"/>
    <d v="1899-12-30T16:00:00"/>
    <x v="5"/>
    <s v="SEMANA 17"/>
    <n v="15646"/>
    <s v="NC-53-23"/>
    <s v="DANIEL GARRIDO"/>
    <s v="RAMIRO RAMIREZ"/>
    <n v="24"/>
    <s v="Materiales"/>
    <s v="Pie"/>
    <x v="3"/>
    <x v="3"/>
    <s v="COLABORADOR SUFRE HERIDA PUNZANTE AL PISAR TABLA CON CLAVO QUE SE ENCONTRABA EN SUELO DE PASILLO C "/>
    <s v="CONDICION"/>
    <s v="SI"/>
    <x v="1"/>
    <s v="ALAN CARRASCO"/>
    <s v="CARLOS CARTAGENA"/>
  </r>
  <r>
    <n v="2023"/>
    <s v="ABRIL"/>
    <s v="EL PAICO"/>
    <s v="DURAN OYANEDEL"/>
    <s v="CRISTIAN"/>
    <s v="MASCULINO"/>
    <s v="13334407-1"/>
    <d v="2005-12-01T00:00:00"/>
    <n v="208"/>
    <d v="2023-04-29T00:00:00"/>
    <x v="0"/>
    <d v="2023-04-29T00:00:00"/>
    <d v="2023-05-05T00:00:00"/>
    <s v="N/A"/>
    <n v="7"/>
    <x v="1"/>
    <s v="N/A"/>
    <s v="N/A"/>
    <x v="6"/>
    <s v="ASEO OPERACIONAL"/>
    <s v="ENCARGADO DE LINEA"/>
    <s v="PASILLO SALA DE JUEGOS"/>
    <s v="N/A"/>
    <s v="MAÑANA"/>
    <d v="1899-12-30T10:40:00"/>
    <x v="2"/>
    <s v="SEMANA 17"/>
    <n v="15654"/>
    <s v="NC-63-23"/>
    <s v="CARLOS JIMENEZ"/>
    <s v="JORDAN FARIAS"/>
    <n v="47"/>
    <s v="Infraestructura"/>
    <s v="Pie"/>
    <x v="4"/>
    <x v="1"/>
    <s v="COLABORADOR DE SSGG SUFRE TORSION DE SU PIERNA IZQUIERDA POR CAIDA A MISMO NIVEL AL REBALAR FUERA DE SALA DE CAPACITACION POR EL PASILLO DE LA SALA DE JUEGOS PRODUCTO DE AGUA EN EL PISO A RAIZ DE UNA GOTERA, ESTO MIENTRAS SE DIRIGIA AL PROCESO POR EL LLAMADO DE UNA CONTINGENCIA."/>
    <s v="CONDICION"/>
    <s v="SI"/>
    <x v="1"/>
    <s v="NICOLAS GOMEZ"/>
    <s v="CHISTIAN JHONS"/>
  </r>
  <r>
    <n v="2023"/>
    <s v="ABRIL"/>
    <s v="EL PAICO"/>
    <s v="CASTILLO TRIVIÑO"/>
    <s v="PABLO"/>
    <s v="MASCULINO"/>
    <s v="19409089-7"/>
    <d v="2020-03-16T00:00:00"/>
    <n v="37"/>
    <d v="2023-04-18T00:00:00"/>
    <x v="0"/>
    <d v="2023-04-19T00:00:00"/>
    <d v="2023-04-24T00:00:00"/>
    <s v="N/A"/>
    <n v="6"/>
    <x v="1"/>
    <s v="N/A"/>
    <s v="N/A"/>
    <x v="8"/>
    <s v="MANTENCION"/>
    <s v="OPERARIO"/>
    <s v="POZO DE PLUMAS"/>
    <s v="N/A"/>
    <s v="TARDE"/>
    <d v="1899-12-30T18:00:00"/>
    <x v="4"/>
    <s v="SEMANA 16"/>
    <n v="15632"/>
    <s v="NC-51-23"/>
    <s v="VICTOR GOMEZ"/>
    <s v="DANIEL GONZALEZ"/>
    <n v="27"/>
    <s v="Otros"/>
    <s v="Pie"/>
    <x v="3"/>
    <x v="13"/>
    <s v="COLABORADOR SUFRE HERIDA EN PIE IZQUIERDO POR ROCE CON ZAPATO DE SEGURIDAD AL REALIZAR SUS LABORES EN POZO DE PLUMAS "/>
    <s v="ACCION"/>
    <s v="SI"/>
    <x v="1"/>
    <s v="ALAN CARRASCO "/>
    <s v="MICHELLE SANCHEZ"/>
  </r>
  <r>
    <n v="2023"/>
    <s v="ABRIL"/>
    <s v="EL PAICO"/>
    <s v="CARRASCO CACERES"/>
    <s v="VICTOR"/>
    <s v="MASCULINO"/>
    <s v="16985231-6"/>
    <d v="2008-07-18T00:00:00"/>
    <n v="176"/>
    <d v="2023-04-12T00:00:00"/>
    <x v="0"/>
    <s v="N/A"/>
    <s v="N/A"/>
    <s v="N/A"/>
    <n v="0"/>
    <x v="0"/>
    <s v="N/A"/>
    <s v="N/A"/>
    <x v="5"/>
    <s v="TROZADO AUTOMATICO"/>
    <s v="OPERARIO"/>
    <s v="ANDENES"/>
    <s v="N/A"/>
    <s v="TARDE"/>
    <d v="1899-12-30T15:10:00"/>
    <x v="0"/>
    <s v="SEMANA 15"/>
    <m/>
    <m/>
    <s v="DANIEL GARRIDO"/>
    <s v="JONATHAN VERA"/>
    <n v="34"/>
    <s v="Bins"/>
    <s v="Espalda"/>
    <x v="0"/>
    <x v="0"/>
    <s v="COLABORADOR SUFRE DOLOR EN ESPALDA POR SOBREESFUERZOAL ESTAR MOVIENDO BINS QUE SE ENCONTRABAN APRETADOS EN SECTOR DE ANDENES."/>
    <s v="ACCION"/>
    <s v="SI"/>
    <x v="0"/>
    <s v="NICOLAS GOMEZ"/>
    <s v="CARLOS CARTAGENA"/>
  </r>
  <r>
    <n v="2023"/>
    <s v="ABRIL"/>
    <s v="EL PAICO"/>
    <s v="CAMACHO CASTELLANOS"/>
    <s v="JESUS"/>
    <s v="MASCULINO"/>
    <s v="27001301-5"/>
    <d v="2021-04-26T00:00:00"/>
    <n v="23"/>
    <d v="2023-04-04T00:00:00"/>
    <x v="0"/>
    <d v="2023-04-05T00:00:00"/>
    <d v="2023-04-21T00:00:00"/>
    <s v="N/A"/>
    <n v="17"/>
    <x v="1"/>
    <s v="N/A"/>
    <s v="N/A"/>
    <x v="5"/>
    <s v="DESHUESADO"/>
    <s v="OPERARIO"/>
    <s v="DESHUESADO"/>
    <s v="N/A"/>
    <s v="TARDE"/>
    <d v="1899-12-30T16:20:00"/>
    <x v="4"/>
    <s v="SEMANA 14"/>
    <n v="15605"/>
    <s v="NC-33-23"/>
    <s v="DANIEL GARRIDO"/>
    <s v="JOSE CARVALLO"/>
    <n v="24"/>
    <s v="Maquinarias"/>
    <s v="Manos / dedos"/>
    <x v="3"/>
    <x v="3"/>
    <s v="COLABORADOR SUFRE HERIDA PENETRANTE EN PALMA DE MANO IZQUERDA AL ESTAR COLGANDO PECHUGAS DE POLLO ENTERAS"/>
    <s v="ACCION"/>
    <s v="SI"/>
    <x v="1"/>
    <s v="ALAN CARRASCO "/>
    <s v="CARLOS CARTAGENA"/>
  </r>
  <r>
    <n v="2023"/>
    <s v="ABRIL"/>
    <s v="EL PAICO"/>
    <s v="COELHO DE SAUCE"/>
    <s v="SILVIO"/>
    <s v="MASCULINO"/>
    <s v="27133909-7"/>
    <d v="2021-09-13T00:00:00"/>
    <n v="19"/>
    <d v="2023-04-21T00:00:00"/>
    <x v="0"/>
    <s v="N/A"/>
    <s v="N/A"/>
    <s v="N/A"/>
    <n v="0"/>
    <x v="0"/>
    <s v="LGF"/>
    <s v="LGF4"/>
    <x v="4"/>
    <s v="FRIGORIFICO"/>
    <s v="OPERARIO"/>
    <s v="SALA EMPAQUE TUNEL"/>
    <s v="EQUIPO PARA MOVIMIENTO DE CARGA (GRUAS O TRANSPALETAS)"/>
    <s v="TARDE"/>
    <d v="1899-12-30T14:30:00"/>
    <x v="3"/>
    <s v="SEMANA 16"/>
    <m/>
    <s v="NC-54-23"/>
    <s v="FRANCISCO QUEZADA"/>
    <s v="ALEJANDRO TORRES"/>
    <n v="40"/>
    <s v="Equipos Transporte de carga"/>
    <s v="Multiples"/>
    <x v="1"/>
    <x v="4"/>
    <s v="COLABORADOR SUFRE GOLPE EN BRAZO Y PIERNA POR ATRAPAMIENTO ENTRE DOS PALLET CON CAJAS EN SALA DE PALLETIZADO EN EL AREA DE FRIGORIFICO "/>
    <s v="ACCION"/>
    <s v="SI"/>
    <x v="1"/>
    <s v="NICOLAS GOMEZ"/>
    <s v="CHISTIAN JHONS"/>
  </r>
  <r>
    <n v="2023"/>
    <s v="ABRIL"/>
    <s v="EL PAICO"/>
    <s v="BERNARD "/>
    <s v="ROSE-CARINE"/>
    <s v="FEMENINO"/>
    <s v="26225281-7"/>
    <d v="2021-12-29T00:00:00"/>
    <n v="15"/>
    <d v="2023-04-04T00:00:00"/>
    <x v="2"/>
    <s v="N/A"/>
    <s v="N/A"/>
    <s v="N/A"/>
    <n v="0"/>
    <x v="0"/>
    <s v="N/A"/>
    <s v="N/A"/>
    <x v="6"/>
    <s v="ASEO OPERACIONAL"/>
    <s v="OPERARIO"/>
    <s v="DESHUESADO"/>
    <s v="N/A"/>
    <s v="TARDE"/>
    <d v="1899-12-30T08:45:00"/>
    <x v="4"/>
    <s v="SEMANA 14"/>
    <n v="15606"/>
    <s v="NC-31-23"/>
    <s v="CARLOS JIMENES"/>
    <s v="JORDAN FARIAS"/>
    <n v="28"/>
    <s v="Superficies de trabajo"/>
    <s v="Brazo"/>
    <x v="1"/>
    <x v="1"/>
    <s v="COLABORADORA SUFRE CAIDA EN SALA DE PROCESO GOLPEANDOSE EN HOMBRO IZQUERDO"/>
    <s v="CONDICION"/>
    <s v="SI"/>
    <x v="1"/>
    <s v="ALAN CARRASCO"/>
    <s v="CARLOS CARTAGENA"/>
  </r>
  <r>
    <n v="2023"/>
    <s v="ABRIL"/>
    <s v="EL PAICO"/>
    <s v="ARAYA MOYANO"/>
    <s v="MARIA INES"/>
    <s v="FEMENINO"/>
    <s v="10999607-6"/>
    <d v="2014-11-10T00:00:00"/>
    <n v="100"/>
    <d v="2023-04-06T00:00:00"/>
    <x v="0"/>
    <d v="2023-04-08T00:00:00"/>
    <d v="2023-04-15T00:00:00"/>
    <s v="N/A"/>
    <n v="8"/>
    <x v="1"/>
    <s v="LGF"/>
    <s v="LGF3"/>
    <x v="6"/>
    <s v="ASEO OPERACIONAL"/>
    <s v="OPERARIO"/>
    <s v="FAENA"/>
    <s v="N/A"/>
    <s v="NOCHE"/>
    <d v="1899-12-30T19:30:00"/>
    <x v="1"/>
    <s v="SEMANA 14"/>
    <n v="15615"/>
    <s v="NC-32-23"/>
    <s v="CARLOS JIMENES"/>
    <s v="LUIS URBINA"/>
    <n v="56"/>
    <s v="Producto quimico"/>
    <s v="Manos / dedos"/>
    <x v="6"/>
    <x v="12"/>
    <s v="COLABORA SUFRE QUEMADURA EN EN DEDO INDICE Y PULGAR DE MANO DERECHA Y DEDO PULGAR DE MANO IZQUERDA POR CONTACTO CON PRODUCTO QUIMICO AL ESTAR LAVANDO CORTINAS PLASTICAS EN EL PASILLO DE FAENA"/>
    <s v="ACCION"/>
    <s v="SI"/>
    <x v="1"/>
    <s v="NICOLAS GOMEZ"/>
    <m/>
  </r>
  <r>
    <n v="2023"/>
    <s v="ABRIL"/>
    <s v="EL PAICO"/>
    <s v="ALLENDE FROST"/>
    <s v="ANA "/>
    <s v="FEMENINO"/>
    <s v="14246215-K"/>
    <d v="2019-09-09T00:00:00"/>
    <n v="43"/>
    <d v="2023-04-24T00:00:00"/>
    <x v="0"/>
    <s v="N/A"/>
    <s v="N/A"/>
    <s v="N/A"/>
    <n v="0"/>
    <x v="0"/>
    <s v="N/A"/>
    <s v="N/A"/>
    <x v="5"/>
    <s v="DESHUESADO"/>
    <s v="OPERARIO"/>
    <s v="DESHUESADO"/>
    <s v="N/A"/>
    <s v="TARDE"/>
    <d v="1899-12-30T14:50:00"/>
    <x v="5"/>
    <s v="SEMANA 17"/>
    <m/>
    <m/>
    <s v="DANIEL GARRIDO"/>
    <s v="JORGE MEZA"/>
    <n v="48"/>
    <s v="Materiales"/>
    <s v="Manos / dedos"/>
    <x v="1"/>
    <x v="5"/>
    <s v="COLABORADORA SUFRE CONTUSION EN DEDO MEDIUM DE MANO IZQUIERDA AL DEJAR ROLLO DE LAMINA SOBRE MESA DE FILETILLO EN DESHUESADO DE PECHUGA"/>
    <s v="ACCION"/>
    <s v="SI"/>
    <x v="0"/>
    <s v="NICOLAS GOMEZ"/>
    <s v="CARLOS CARTAGENA"/>
  </r>
  <r>
    <n v="2023"/>
    <s v="MAYO"/>
    <s v="EL PAICO"/>
    <s v="VILLALOBOS VALENZUELA"/>
    <s v="PABLO"/>
    <s v="MASCULINO"/>
    <s v="19382613-K"/>
    <d v="2022-08-18T00:00:00"/>
    <n v="8"/>
    <d v="2023-05-13T00:00:00"/>
    <x v="2"/>
    <s v="N/A"/>
    <s v="N/A"/>
    <s v="N/A"/>
    <n v="0"/>
    <x v="0"/>
    <s v="N/A"/>
    <s v="N/A"/>
    <x v="5"/>
    <s v="DESHUESADO"/>
    <s v="OPERARIO"/>
    <s v="DESHUESADO"/>
    <s v="N/A"/>
    <s v="MAÑANA"/>
    <d v="1899-12-30T10:00:00"/>
    <x v="2"/>
    <s v="SEMANA 19"/>
    <m/>
    <m/>
    <s v="DANIEL GARRIDO"/>
    <s v="JOSE CARVALLO"/>
    <n v="27"/>
    <s v="Cajas"/>
    <s v="Brazo"/>
    <x v="4"/>
    <x v="13"/>
    <s v="COLABORADOR SUFRE DOLENCIA EN MUÑECA DERECHA POR TORSION AL AFIRMAR CAJA CON PRODUCTO EN DESHUESADO"/>
    <s v="ACCION"/>
    <s v="SI"/>
    <x v="0"/>
    <s v="ALAN CARRASCO"/>
    <s v="WLADIMIR CALDERON "/>
  </r>
  <r>
    <n v="2023"/>
    <s v="MAYO"/>
    <s v="EL PAICO"/>
    <s v="VICENCIO ARAYA"/>
    <s v="MARIANEL"/>
    <s v="FEMENINO"/>
    <s v="20424728-5"/>
    <d v="2022-01-19T00:00:00"/>
    <n v="15"/>
    <d v="2023-05-08T00:00:00"/>
    <x v="2"/>
    <d v="2023-05-08T00:00:00"/>
    <d v="2023-05-15T00:00:00"/>
    <s v="N/A"/>
    <n v="8"/>
    <x v="1"/>
    <s v="LGF"/>
    <s v="LGF2"/>
    <x v="6"/>
    <s v="ASEO OPERACIONAL"/>
    <s v="OPERARIO"/>
    <s v="CINTA TRIMIN"/>
    <s v="CINTA TRIMIN"/>
    <s v="NOCHE"/>
    <d v="1899-12-30T01:05:00"/>
    <x v="5"/>
    <s v="SEMANA 19"/>
    <n v="15681"/>
    <s v="NC-7-23."/>
    <s v="CARLOS JIMENES"/>
    <s v="PATRICIO PALACIOS"/>
    <n v="22"/>
    <s v="Maquinarias"/>
    <s v="Manos / dedos"/>
    <x v="1"/>
    <x v="2"/>
    <s v="COLABORADORA SUFRE CONTUSION EN MANO IZQUIERDA,  POR ATRAPAMIENTO CUANDO SE ENCONTRABA LIMPIANDO CINTA TRIMIN EN EL AREA DESHUESADO "/>
    <s v="ACCION"/>
    <s v="SI"/>
    <x v="1"/>
    <s v="NICOLAS GOMEZ"/>
    <s v="CHISTIAN JHONS"/>
  </r>
  <r>
    <n v="2023"/>
    <s v="MAYO"/>
    <s v="EL PAICO"/>
    <s v="VAZQUEZ RIVEROS"/>
    <s v="PAMELA"/>
    <s v="FEMENINO"/>
    <s v="16985189-1"/>
    <d v="2022-12-13T00:00:00"/>
    <n v="4"/>
    <d v="2023-05-09T00:00:00"/>
    <x v="1"/>
    <s v="N/A"/>
    <s v="N/A"/>
    <s v="N/A"/>
    <n v="0"/>
    <x v="0"/>
    <s v="N/A"/>
    <s v="N/A"/>
    <x v="5"/>
    <s v="DESHUESADO"/>
    <s v="OPERARIO"/>
    <s v="TROZADO DE PAVO"/>
    <s v="N/A"/>
    <s v="MAÑANA"/>
    <d v="1899-12-30T13:40:00"/>
    <x v="4"/>
    <s v="SEMANA 19"/>
    <m/>
    <m/>
    <s v="DANIEL GARRIDO"/>
    <s v="JOSE CARVALLO"/>
    <n v="37"/>
    <s v="Materia Prima"/>
    <s v="Multiples"/>
    <x v="1"/>
    <x v="1"/>
    <s v="COLABORADORA SUFRE CAIDA A NIVEL AL PISAR RESTOS DE PRODUCTOS QUE SE ENCONTRABAN EN EL PISO, CUANDO PASABA POR EL AREA DE TROZADO DE PAVO"/>
    <s v="CONDICION"/>
    <s v="SI"/>
    <x v="0"/>
    <s v="NICOLAS GOMEZ"/>
    <s v="WLADIMIR CALDERON "/>
  </r>
  <r>
    <n v="2023"/>
    <s v="MAYO"/>
    <s v="EL PAICO"/>
    <s v="VARGAS ROJAS"/>
    <s v="TOMAS"/>
    <s v="MASCULINO"/>
    <s v="21171568-5"/>
    <d v="2023-03-14T00:00:00"/>
    <n v="2"/>
    <d v="2023-05-22T00:00:00"/>
    <x v="1"/>
    <s v="N/A"/>
    <s v="N/A"/>
    <s v="N/A"/>
    <n v="0"/>
    <x v="0"/>
    <s v="N/A"/>
    <s v="N/A"/>
    <x v="5"/>
    <s v="DESHUESADO"/>
    <s v="OPERARIO"/>
    <s v="DESHUESADO"/>
    <s v="EQUIPO PARA MOVIMIENTO DE CARGA (GRUAS O TRANSPALETAS)"/>
    <s v="MAÑANA"/>
    <d v="1899-12-30T08:30:00"/>
    <x v="5"/>
    <s v="SEMANA 21"/>
    <m/>
    <m/>
    <s v="DANIEL GARRIDO"/>
    <s v="JOSE CARVALLO"/>
    <n v="19"/>
    <s v="Equipos Transporte de carga"/>
    <s v="Pie"/>
    <x v="1"/>
    <x v="4"/>
    <s v="COLABORADOR SUFRE CONTUSION EN PIE IZQUIERDO POR TRANSPALETA ELECTRICA MANEJADA POR COMPAÑERO, MIENTRAS ARREGLABA UNA CAJA EN EL AREA DE DESHUESADO"/>
    <s v="ACCION"/>
    <s v="SI"/>
    <x v="0"/>
    <s v="NICOLAS GOMEZ"/>
    <s v="CARLOS CARTAGENA"/>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
  <r>
    <n v="2023"/>
    <x v="0"/>
    <s v="EL PAICO"/>
    <s v="VERA CATALAN"/>
    <s v="IVAN "/>
    <s v="MASCULINO"/>
    <s v="18488665-0 "/>
    <d v="2019-04-08T00:00:00"/>
    <n v="45"/>
    <d v="2023-01-18T00:00:00"/>
    <s v="ANTIGUO"/>
    <d v="2023-01-18T00:00:00"/>
    <s v="N/A"/>
    <s v="N/A"/>
    <n v="0"/>
    <s v="STP"/>
    <s v="N/A"/>
    <s v="N/A"/>
    <x v="0"/>
    <s v="BODEGA"/>
    <s v="OPERARIO"/>
    <s v="BODEGA"/>
    <s v="N/A"/>
    <s v="MAÑANA"/>
    <d v="1899-12-30T13:30:00"/>
    <s v="MIERCOLES"/>
    <s v="SEMANA 3"/>
    <m/>
    <m/>
    <s v="BORIS PONCE"/>
    <x v="0"/>
    <n v="28"/>
    <x v="0"/>
    <x v="0"/>
    <s v="Otros"/>
    <x v="0"/>
    <s v="TRABAJADOR SUBRE TIRON AL ESTAR CORTANDO LAS AMARRAS (VARIAS) DEL PALLET Y AL MOVERLAS SIENTE DOLOR QUE VA DESDE LA MITAD DE LA PALMA HASTA EL CODO, EL CUAL VA EN AUMENTO Y AVISA A SU SUPERVISOR "/>
    <s v="ACCION"/>
    <s v="SI"/>
    <s v="NO"/>
    <s v="ALAN CARRASCO"/>
    <s v="GABRIELA CABEZAS "/>
    <m/>
  </r>
  <r>
    <n v="2023"/>
    <x v="0"/>
    <s v="EL PAICO"/>
    <s v="ROCHA VARELA"/>
    <s v="MARIANA"/>
    <s v="FEMENINO"/>
    <s v="15596634-3"/>
    <d v="2021-02-09T00:00:00"/>
    <n v="23"/>
    <d v="2023-01-19T00:00:00"/>
    <s v="ANTIGUO"/>
    <s v="N/A"/>
    <s v="N/A"/>
    <s v="N/A"/>
    <n v="0"/>
    <s v="STP"/>
    <s v="N/A"/>
    <s v="N/A"/>
    <x v="1"/>
    <s v="CALIBRADO"/>
    <s v="OPERARIO"/>
    <s v="BAÑO MUJERES"/>
    <s v="N/A"/>
    <s v="MAÑANA"/>
    <d v="1899-12-30T11:20:00"/>
    <s v="JUEVES"/>
    <s v="SEMANA 3"/>
    <m/>
    <m/>
    <s v="GUILLERMO NARVAEZ"/>
    <x v="1"/>
    <n v="39"/>
    <x v="1"/>
    <x v="0"/>
    <s v="Contusión"/>
    <x v="1"/>
    <s v="COLABORADOR AL ESTAR DESPLAZANDOSE AL INTERIOR DEL BAÑO DE MUJERES, RESBALA PROBOCANDOLE UNA CONTUSION EN LA MUQUEÑA IZQUIERDA."/>
    <s v="ACCION"/>
    <s v="SI"/>
    <s v="NO"/>
    <s v="NICOLAS GOMEZ"/>
    <s v="CHRISTIAN JHONS"/>
    <m/>
  </r>
  <r>
    <n v="2023"/>
    <x v="0"/>
    <s v="EL PAICO"/>
    <s v="QUIROZ SAAVEDRA"/>
    <s v="JORGE"/>
    <s v="MASCULINO"/>
    <s v="10261648-0"/>
    <d v="2002-08-23T00:00:00"/>
    <n v="244"/>
    <d v="2023-01-21T00:00:00"/>
    <s v="ANTIGUO"/>
    <d v="2023-01-23T00:00:00"/>
    <d v="2023-02-04T00:00:00"/>
    <s v="N/A"/>
    <n v="13"/>
    <s v="CTP"/>
    <s v="LGF"/>
    <s v="LGF2"/>
    <x v="2"/>
    <s v="CHILLER DE AGUA"/>
    <s v="OPERARIO"/>
    <s v="CHILLER DE AGUA "/>
    <s v="CINTA DE TRANSPORTE"/>
    <s v="MAÑANA"/>
    <d v="1899-12-30T12:10:00"/>
    <s v="SABADO"/>
    <s v="SEMANA 3"/>
    <n v="15430"/>
    <s v="NC-11-23"/>
    <s v="NICOLAS MOYANO"/>
    <x v="2"/>
    <n v="58"/>
    <x v="2"/>
    <x v="0"/>
    <s v="Atrición"/>
    <x v="2"/>
    <s v="TRABAJADOR EL CUAL SE ENCONTRABA TRANSLANDO LA CINTA TRANSPORTADORA PARA TRABAJAR EN LA HEMBRA SE APRETA EL DEDO  PULGAR DE MANO DERECHA"/>
    <s v="ACCION"/>
    <s v="SI"/>
    <s v="SI"/>
    <s v="NICOLAS GOMEZ"/>
    <s v="CARLOS CARTAGENA"/>
    <s v="TRANSPORTE DE CINTA"/>
  </r>
  <r>
    <n v="2023"/>
    <x v="0"/>
    <s v="EL PAICO"/>
    <s v="PEREZ CAMPOS"/>
    <s v="CARMEN"/>
    <s v="FEMENINO"/>
    <s v="11608562-3"/>
    <d v="1998-04-01T00:00:00"/>
    <n v="297"/>
    <d v="2023-01-13T00:00:00"/>
    <s v="ANTIGUO"/>
    <s v="N/A"/>
    <s v="N/A"/>
    <s v="N/A"/>
    <n v="0"/>
    <s v="STP"/>
    <s v="N/A"/>
    <s v="N/A"/>
    <x v="3"/>
    <s v="SANGRADO DE POLLOS"/>
    <s v="OPERARIO"/>
    <s v="SALA DE SANGRADO"/>
    <s v="N/A"/>
    <s v="MAÑANA"/>
    <d v="1899-12-30T04:00:00"/>
    <s v="VIERNES"/>
    <s v="SEMANA 2"/>
    <m/>
    <m/>
    <s v="JAIME JORQUERA"/>
    <x v="3"/>
    <n v="52"/>
    <x v="3"/>
    <x v="0"/>
    <s v="Otros"/>
    <x v="3"/>
    <s v="TRABAJADORA SE ENCONTRABA REALIZANDO INSPECCION DE ASEO PREOPERACIONAL EN SALA DE SANGRADO, AL MOMENTO DE PASAR MANO POR GUIAS SE ENTIERRA UNA ESCIRLA DE METAL EN DEDO ANULAR EL CUAL FUE RETIRADO AL MOMENTO"/>
    <s v="CONDICION"/>
    <s v="SI"/>
    <s v="NO"/>
    <s v="CARLOS ORELLANA"/>
    <s v="CARLOS CARTAGENA"/>
    <m/>
  </r>
  <r>
    <n v="2023"/>
    <x v="0"/>
    <s v="EL PAICO"/>
    <s v="PEÑA ASTORGA"/>
    <s v="GUSTAVO"/>
    <s v="MASCULINO"/>
    <s v="17225054-8"/>
    <d v="2019-11-11T00:00:00"/>
    <n v="37"/>
    <d v="2023-01-03T00:00:00"/>
    <s v="ANTIGUO"/>
    <s v="N/A"/>
    <s v="N/A"/>
    <s v="N/A"/>
    <n v="0"/>
    <s v="STP"/>
    <s v="N/A"/>
    <s v="N/A"/>
    <x v="2"/>
    <s v="EVISCERADO"/>
    <s v="OPERARIO"/>
    <s v="LINEA DESCOLGADO DE BANDEJAS"/>
    <s v="N/A"/>
    <s v="MAÑANA"/>
    <d v="1899-12-30T13:45:00"/>
    <s v="MARTES"/>
    <s v="SEMANA 1"/>
    <m/>
    <m/>
    <s v="NICOLAS MOYANO"/>
    <x v="4"/>
    <n v="33"/>
    <x v="0"/>
    <x v="1"/>
    <s v="Herida cortante"/>
    <x v="4"/>
    <s v="ESTABA BAJANDO BANDEJA DE LINEA DE DESCOLGADO AL MOMENTO DE RETIRAR UNA BANDEJA LA QUE VENIA GOLPEA PARPADO DERECHO"/>
    <s v="ACCION"/>
    <s v="SI"/>
    <s v="NO"/>
    <s v="NICOLAS GOMEZ"/>
    <s v="CHRISTIAN JHONS"/>
    <m/>
  </r>
  <r>
    <n v="2023"/>
    <x v="0"/>
    <s v="EL PAICO"/>
    <s v="MORENO LORCA"/>
    <s v="OSCAR"/>
    <s v="MASCULINO"/>
    <s v="10874086-8"/>
    <d v="2023-01-17T00:00:00"/>
    <n v="0"/>
    <d v="2023-01-23T00:00:00"/>
    <s v="NUEVO"/>
    <d v="2023-01-24T00:00:00"/>
    <d v="2023-03-25T00:00:00"/>
    <s v="N/A"/>
    <n v="2"/>
    <s v="CTP"/>
    <s v="N/A"/>
    <s v="N/A"/>
    <x v="4"/>
    <s v="EMPAQUE"/>
    <s v="OPERARIO"/>
    <s v="CAMARA 201 ORIENTE"/>
    <s v="N/A"/>
    <s v="MAÑANA"/>
    <d v="1899-12-30T11:30:00"/>
    <s v="LUNES"/>
    <s v="SEMANA 4"/>
    <n v="15435"/>
    <s v="NC-09-23"/>
    <s v="FRANCISCO QUEZADA"/>
    <x v="5"/>
    <n v="52"/>
    <x v="4"/>
    <x v="2"/>
    <s v="Contusión"/>
    <x v="1"/>
    <s v="TRABAJADOR CUANDO SE TRANSLADABA A DEJAR INSUMOS DE TRABAJO (PISO DE ENCONTRABA CAPA DE HIELO) ESTE RESBALA CAYENDO DE ESPALDA GOLPEANDOSE LADO DERECHO A NIVEL DE LA CINTURA Y SU CODO IZQUERDO "/>
    <s v="CONDICION"/>
    <s v="SI"/>
    <s v="SI"/>
    <s v="ALAN CARRASCO"/>
    <s v="CHRISTIAN JHONS"/>
    <s v="TRANSITO POR AREAS DE PROCESO"/>
  </r>
  <r>
    <n v="2023"/>
    <x v="0"/>
    <s v="EL PAICO"/>
    <s v="MIRANDA GOMEZ"/>
    <s v="JOSELYN"/>
    <s v="FEMENINO"/>
    <s v="18487450-4"/>
    <d v="2022-05-09T00:00:00"/>
    <n v="8"/>
    <d v="2023-01-23T00:00:00"/>
    <s v="INTERMEDIO"/>
    <d v="2023-01-24T00:00:00"/>
    <d v="2023-01-28T00:00:00"/>
    <s v="N/A"/>
    <n v="5"/>
    <s v="CTP"/>
    <s v="N/A"/>
    <s v="N/A"/>
    <x v="4"/>
    <s v="EMPAQUE"/>
    <s v="OPERARIO"/>
    <s v="CAMARINES DE MUJER"/>
    <s v="N/A"/>
    <s v="TARDE"/>
    <d v="1899-12-30T14:15:00"/>
    <s v="LUNES"/>
    <s v="SEMANA 4"/>
    <n v="15436"/>
    <s v="NC-10-23"/>
    <s v="FRANCISCO QUEZADA"/>
    <x v="5"/>
    <n v="29"/>
    <x v="3"/>
    <x v="3"/>
    <s v="Contusión"/>
    <x v="5"/>
    <s v="TRABAJADORA QUE SE ENCONTRABA CAMBIANDO SU VESTIMENTA EN CAMARINES DE MUJER SE GOLPEA DEDO MEÑIQUE DEL PIE DERECHO CON UNA SILLA DE FIERRO PRESENTE EN EL LUGAR"/>
    <s v="ACCION"/>
    <s v="SI"/>
    <s v="SI"/>
    <s v="ALAN CARRASCO"/>
    <s v="CHRISTIAN JHONS"/>
    <s v="CAMBIO DE ROPA EN CAMARINES"/>
  </r>
  <r>
    <n v="2023"/>
    <x v="0"/>
    <s v="EL PAICO"/>
    <s v="MENDEZ DEL CASTILLO"/>
    <s v="DANIELA"/>
    <s v="FEMENINO"/>
    <s v="15822820-3"/>
    <d v="2021-01-25T00:00:00"/>
    <n v="23"/>
    <d v="2023-01-03T00:00:00"/>
    <s v="ANTIGUO"/>
    <d v="2023-01-04T00:00:00"/>
    <d v="2023-01-12T00:00:00"/>
    <s v="N/A"/>
    <n v="9"/>
    <s v="CTP"/>
    <s v="N/A"/>
    <s v="N/A"/>
    <x v="5"/>
    <s v="TROZADO AUTOMATICO"/>
    <s v="OPERARIO"/>
    <s v="ESCALERA PRINCIPAL"/>
    <s v="N/A"/>
    <s v="TARDE"/>
    <d v="1899-12-30T19:50:00"/>
    <s v="MARTES"/>
    <s v="SEMANA 1"/>
    <n v="15412"/>
    <s v="NC-04-23"/>
    <s v="DANIEL GARRIDO"/>
    <x v="6"/>
    <n v="37"/>
    <x v="1"/>
    <x v="4"/>
    <s v="Torsión"/>
    <x v="1"/>
    <s v="TRABAJADORA SUFRE CAIDA AL BAJAR ESCALERA PRINCIPAL, EN EL DESCANSO HABIA TIERRA , LA CUAL PISA RESBALANDOSE Y SUFRIENDO UNA HIPEREXTENSION DE RODILLA IZQUIERDA"/>
    <s v="CONDICION"/>
    <s v="NO"/>
    <s v="SI"/>
    <s v="NICOLAS GOMEZ"/>
    <s v="CHRISTIAN JHONS"/>
    <s v="TRANSITO POR AREAS COMUNES"/>
  </r>
  <r>
    <n v="2023"/>
    <x v="0"/>
    <s v="EL PAICO"/>
    <s v="INFANTE GUTIERREZ"/>
    <s v="TERESA"/>
    <s v="FEMENINO"/>
    <s v="16795621-1"/>
    <d v="2014-10-06T00:00:00"/>
    <n v="99"/>
    <d v="2023-01-07T00:00:00"/>
    <s v="ANTIGUO"/>
    <d v="2023-01-10T00:00:00"/>
    <d v="2023-01-17T00:00:00"/>
    <d v="2023-01-10T00:00:00"/>
    <n v="8"/>
    <s v="CTP"/>
    <s v="N/A"/>
    <s v="N/A"/>
    <x v="6"/>
    <s v="SALA DE SALMUERA"/>
    <s v="OPERARIO"/>
    <s v="SALA DE SALMUERA "/>
    <s v="N/A"/>
    <s v="NOCHE"/>
    <d v="1899-12-30T22:40:00"/>
    <s v="SABADO"/>
    <s v="SEMANA 1"/>
    <n v="15413"/>
    <s v="NC-03-23"/>
    <s v="CARLOS JIMENEZ"/>
    <x v="7"/>
    <n v="35"/>
    <x v="3"/>
    <x v="4"/>
    <s v="Contusión"/>
    <x v="6"/>
    <s v="TRABAJADOR CUANDO LIMPIABA EN SALA SALMUERA SE CAE DE TARIMA GOLPEANDOSE LA RODILLA IZQUIERDA"/>
    <s v="CONDICION"/>
    <s v="SI"/>
    <s v="SI"/>
    <s v="CARLOS ORELLANA"/>
    <s v="CHRISTIAN JHONS"/>
    <s v="LIMPIEZA DE SUPERFICIE SOBRE TARIMA/ESCALERA"/>
  </r>
  <r>
    <n v="2023"/>
    <x v="0"/>
    <s v="EL PAICO"/>
    <s v="HOSTIL"/>
    <s v="SMITH"/>
    <s v="MASCULINO"/>
    <s v="26204649-4"/>
    <d v="2022-11-14T00:00:00"/>
    <n v="1"/>
    <d v="2023-01-04T00:00:00"/>
    <s v="NUEVO"/>
    <s v="N/A"/>
    <s v="N/A"/>
    <s v="N/A"/>
    <n v="0"/>
    <s v="STP"/>
    <s v="N/A"/>
    <s v="N/A"/>
    <x v="6"/>
    <s v="ASEO PREOPERACIONAL"/>
    <s v="OPERARIO"/>
    <s v="TROZADO DE POLLO"/>
    <s v="N/A"/>
    <s v="NOCHE"/>
    <d v="1899-12-30T02:00:00"/>
    <s v="MIERCOLES"/>
    <s v="SEMANA 1"/>
    <m/>
    <m/>
    <s v="CARLOS JIMENEZ"/>
    <x v="7"/>
    <n v="34"/>
    <x v="3"/>
    <x v="4"/>
    <s v="Contusión"/>
    <x v="6"/>
    <s v="TRABAJADOR SUFRE CAIDA DE DISTINTO NIVEL AL BAJAR UNA ESCALERA EN TROZADO DE POLLO LUEGO DE FINALIZAR LA LIMPIEZA DE UN EQUIPO"/>
    <s v="ACCION"/>
    <s v="SI"/>
    <s v="NO"/>
    <s v="NICOLAS GOMEZ"/>
    <s v="CHRISTIAN JHONS"/>
    <s v="TRANSITO POR AREAS DE PROCESO"/>
  </r>
  <r>
    <n v="2023"/>
    <x v="0"/>
    <s v="EL PAICO"/>
    <s v="HIDALGO"/>
    <s v="ARISLEYDA"/>
    <s v="FEMENINO"/>
    <s v="26622517-2"/>
    <d v="2020-02-03T00:00:00"/>
    <n v="35"/>
    <d v="2023-01-19T00:00:00"/>
    <s v="ANTIGUO"/>
    <s v="N/A"/>
    <s v="N/A"/>
    <s v="N/A"/>
    <n v="0"/>
    <s v="STP"/>
    <s v="N/A"/>
    <s v="N/A"/>
    <x v="5"/>
    <s v="DESHUESADO"/>
    <s v="OPERARIO"/>
    <s v="DESPLUMADO"/>
    <s v="N/A"/>
    <s v="MAÑANA"/>
    <d v="1899-12-30T05:30:00"/>
    <s v="JUEVES"/>
    <s v="SEMANA 3"/>
    <m/>
    <m/>
    <s v="DANIEL GARRIDO"/>
    <x v="8"/>
    <n v="32"/>
    <x v="0"/>
    <x v="0"/>
    <s v="Contusión"/>
    <x v="4"/>
    <s v="TRABAJADORA AL COMENZAR SU TURNO, ORDENABA SU PUESTO DE TRABAJO CUANDO LE CAE UNA TABLA GOLPANDOLA EN DEDOS MEDIO Y ANULAR DE LA MANO IZQUERDA"/>
    <s v="ACCION"/>
    <s v="SI"/>
    <s v="NO"/>
    <s v="NICOLAS GOMEZ"/>
    <s v="CHRISTIAN JHONS"/>
    <s v="REALIZANDO LABORES DE ASEO"/>
  </r>
  <r>
    <n v="2023"/>
    <x v="0"/>
    <s v="EL PAICO"/>
    <s v="GALVEZ MANZO"/>
    <s v="DAVID"/>
    <s v="MASCULINO "/>
    <s v="18029574-7"/>
    <d v="2021-12-13T00:00:00"/>
    <n v="13"/>
    <d v="2023-01-18T00:00:00"/>
    <s v="INTERMEDIO"/>
    <s v="N/A"/>
    <s v="N/A"/>
    <s v="N/A"/>
    <s v="O"/>
    <s v="STP"/>
    <s v="N/A"/>
    <s v="N/A"/>
    <x v="6"/>
    <s v="FAENA"/>
    <s v="OPERARIO"/>
    <s v="DESPLUMADO"/>
    <s v="N/A"/>
    <s v="NOCHE"/>
    <d v="1899-12-30T22:25:00"/>
    <s v="MIERCOLES"/>
    <s v="SEMANA 3"/>
    <m/>
    <m/>
    <s v="CARLOS JIMENEZ"/>
    <x v="9"/>
    <n v="31"/>
    <x v="4"/>
    <x v="2"/>
    <s v="Contusión"/>
    <x v="6"/>
    <s v="COLABORADOR SUFRE CAIDA DE DISTINTO NIVEL DESDE TARIMA DE TRABAJO, CUANDO SE ENCONTRABA REALIZANDO LABORESDE ASEO PREOPERACIONAL EN LA SALA DE DESPLUMADO ENTRE DOS MAQUINAS EN LA SALA, PROPBOCANDOLE LESIONES EN COSTILLAS Y RODILLA IZQUERDA."/>
    <s v="ACCION"/>
    <s v="SI"/>
    <s v="NO"/>
    <s v="ALAN CARRASCO"/>
    <s v="GABRIELA CABEZAS "/>
    <s v="LIMPIEZA DE SUPERFICIE SOBRE TARIMA/ESCALERA"/>
  </r>
  <r>
    <n v="2023"/>
    <x v="0"/>
    <s v="EL PAICO"/>
    <s v="GALVEZ MANZO"/>
    <s v="DAVID"/>
    <s v="MASCULINO"/>
    <s v="18029574-7"/>
    <d v="2021-12-13T00:00:00"/>
    <n v="13"/>
    <d v="2023-01-18T00:00:00"/>
    <s v="INTERMEDIO"/>
    <d v="2023-01-20T00:00:00"/>
    <d v="2023-02-04T00:00:00"/>
    <s v="N/A"/>
    <n v="16"/>
    <s v="CTP"/>
    <s v="N/A"/>
    <s v="N/A"/>
    <x v="6"/>
    <s v="ASEO PREOPERACIONAL"/>
    <s v="OPERARIO"/>
    <s v="SALA DE DESPLUMADO"/>
    <s v="N/A"/>
    <s v="TARDE"/>
    <d v="1899-12-30T22:25:00"/>
    <s v="MIERCOLES"/>
    <s v="SEMANA 3"/>
    <n v="15426"/>
    <s v="NC-08-23"/>
    <s v="CARLOS JIMENEZ"/>
    <x v="9"/>
    <n v="31"/>
    <x v="3"/>
    <x v="2"/>
    <s v="Contusión"/>
    <x v="6"/>
    <s v="TRABAJADOR AL ESTAR REALIZANDO LIMPIEZA EN SALA DE DESPLUMADO CAE DESDE UNA TARIMA GOLPEANDOSE PARILLA COSTAL DERECHA Y RODILLA IZQUERDA"/>
    <s v="ACCION"/>
    <s v="SI"/>
    <s v="SI"/>
    <s v="NICOLAS GOMEZ"/>
    <s v="GABRIELA CABEZAS "/>
    <s v="LIMPIEZA DE SUPERFICIE SOBRE TARIMA/ESCALERA"/>
  </r>
  <r>
    <n v="2023"/>
    <x v="1"/>
    <s v="EL PAICO"/>
    <s v="ZUAZO GARAY"/>
    <s v="ALEJANDRO "/>
    <s v="MASCULINO"/>
    <s v="20403022-7"/>
    <d v="2022-08-18T00:00:00"/>
    <n v="5"/>
    <d v="2023-02-15T00:00:00"/>
    <s v="NUEVO"/>
    <d v="2023-02-15T00:00:00"/>
    <d v="2023-02-15T00:00:00"/>
    <s v="N/A"/>
    <n v="0"/>
    <s v="STP"/>
    <s v="N/A"/>
    <s v="N/A"/>
    <x v="5"/>
    <s v="T. AUTOMATICO"/>
    <s v="OPERARIO"/>
    <s v="BISN DE CARCASA"/>
    <s v="N/A"/>
    <s v="MAÑANA"/>
    <d v="1899-12-30T07:05:00"/>
    <s v="MIERCOLES"/>
    <s v="SEMANA 7"/>
    <n v="15478"/>
    <s v="NC-99-23"/>
    <s v="DANIEL GARRIDO"/>
    <x v="10"/>
    <n v="22"/>
    <x v="5"/>
    <x v="0"/>
    <s v="Contusión"/>
    <x v="5"/>
    <s v="COLABORADOR AL RETIRAR BINS DE CARCASAS PARA SACARA BADEJAS, EL BINS SE DEVUELVE Y PROBOCA EL APICIONAMIENTO CONTRA LA ESTRUCTURA DE LA CINTA, PROBOCANDO UNA CONTUSION EN MANO DERECHA"/>
    <s v="ACCION"/>
    <s v="SI"/>
    <s v="SI"/>
    <s v="ALAN CARRASCO "/>
    <s v="CHRISTIAN JHONS"/>
    <s v="MOVIMIENTO DE MATERIALES (BINS, PALLET, BANDEJAS)"/>
  </r>
  <r>
    <n v="2023"/>
    <x v="1"/>
    <s v="EL PAICO"/>
    <s v="ZARATE BALLESTEROS"/>
    <s v="MANUEL"/>
    <s v="MASCULINO"/>
    <s v="20123390-9"/>
    <d v="2021-11-22T00:00:00"/>
    <n v="14"/>
    <d v="2023-02-07T00:00:00"/>
    <s v="INTERMEDIO"/>
    <s v="N/A"/>
    <s v="N/A"/>
    <s v="N/A"/>
    <n v="0"/>
    <s v="STP"/>
    <s v="N/A"/>
    <s v="N/A"/>
    <x v="2"/>
    <s v="CHILLER DE PANAS"/>
    <s v="OPERARIO"/>
    <s v="CHILLER DE PANAS"/>
    <s v="N/A"/>
    <s v="TARDE"/>
    <d v="1899-12-30T22:30:00"/>
    <s v="MARTES"/>
    <s v="SEMANA 6"/>
    <m/>
    <m/>
    <s v="NICOLAS MOYANO"/>
    <x v="11"/>
    <n v="24"/>
    <x v="6"/>
    <x v="5"/>
    <s v="Conjuntivitis"/>
    <x v="7"/>
    <s v="TRABAJADOR SE ENCONTRABA LIMPIANDO PANAS DE POLLO EN SALA DE CHILLER DE PANAS EN ESE MOMENTO SE PROYECTADA BILIS AL OJO DERECHO"/>
    <s v="ACCION"/>
    <s v="SI"/>
    <s v="NO"/>
    <s v="NICOLAS GOMEZ"/>
    <s v="CHRISTIAN JHONS"/>
    <m/>
  </r>
  <r>
    <n v="2023"/>
    <x v="1"/>
    <s v="EL PAICO"/>
    <s v="ORTIZ GONZALEZ"/>
    <s v="AUGUSTO"/>
    <s v="MASCULINO"/>
    <s v="15532741-3"/>
    <d v="2022-07-25T00:00:00"/>
    <n v="6"/>
    <d v="2023-02-14T00:00:00"/>
    <s v="NUEVO"/>
    <s v="N/A"/>
    <s v="N/A"/>
    <s v="N/A"/>
    <n v="0"/>
    <s v="STP"/>
    <s v="N/A"/>
    <s v="N/A"/>
    <x v="7"/>
    <s v="PULPA"/>
    <s v="OPERARIO"/>
    <s v="PULPA"/>
    <s v="N/A"/>
    <s v="MAÑANA"/>
    <d v="1899-12-30T08:30:00"/>
    <s v="MARTES"/>
    <s v="SEMANA 7"/>
    <m/>
    <m/>
    <s v="OCTAVIO MUÑOZ"/>
    <x v="12"/>
    <n v="41"/>
    <x v="5"/>
    <x v="6"/>
    <s v="Contusión"/>
    <x v="5"/>
    <s v="COLABORADOR SUFRE GOLPE EN TESTICULO POR BINS EL EVENTO SE PRODUJO CUANDO RESBALA AL MOMENTO DE ESTAR VACIANDO BANDEJAS. "/>
    <s v="ACCION"/>
    <s v="SI"/>
    <s v="NO"/>
    <s v="ALAN CARRASCO "/>
    <s v="WLADIMIR CALDERON "/>
    <m/>
  </r>
  <r>
    <n v="2023"/>
    <x v="1"/>
    <s v="EL PAICO"/>
    <s v="OLATE CASTILLO"/>
    <s v="KATHERINE"/>
    <s v="FEMENINO"/>
    <s v="16181592-6"/>
    <d v="2012-05-07T00:00:00"/>
    <n v="129"/>
    <d v="2023-02-18T00:00:00"/>
    <s v="ANTIGUO"/>
    <s v="N/A"/>
    <s v="N/A"/>
    <s v="N/A"/>
    <n v="0"/>
    <s v="STP"/>
    <s v="N/A"/>
    <s v="N/A"/>
    <x v="5"/>
    <s v="DESHUESADO"/>
    <s v="OPERARIO"/>
    <s v="PORTERIA "/>
    <s v="N/A"/>
    <s v="MAÑANA"/>
    <d v="1899-12-30T06:15:00"/>
    <s v="SABADO"/>
    <s v="SEMANA 7"/>
    <m/>
    <m/>
    <s v="DANIEL GARRIDO"/>
    <x v="10"/>
    <n v="38"/>
    <x v="1"/>
    <x v="0"/>
    <s v="Contusión"/>
    <x v="1"/>
    <s v="COLABORADORA SUFRE CAIDA A NIVEL  APOYANDO AMBAS MANOS EN EL PISO, AL INGRESAR A LA PLANTA, ESTA TROPIEZA Y CAE "/>
    <s v="ACCION"/>
    <s v="SI"/>
    <s v="NO"/>
    <s v="ALAN CARRASCO "/>
    <s v="WLADIMIR CALDERON "/>
    <s v="TRANSITO POR AREAS COMUNES"/>
  </r>
  <r>
    <n v="2023"/>
    <x v="1"/>
    <s v="EL PAICO"/>
    <s v="MENDEZ DEL CASTILLO"/>
    <s v="DANIELA "/>
    <s v="FEMENINO"/>
    <s v="15822820-3"/>
    <d v="2021-01-25T00:00:00"/>
    <n v="24"/>
    <d v="2023-02-18T00:00:00"/>
    <s v="ANTIGUO"/>
    <d v="2023-02-20T00:00:00"/>
    <d v="2023-02-25T00:00:00"/>
    <s v="N/A"/>
    <n v="6"/>
    <s v="CTP"/>
    <s v="N/A"/>
    <s v="N/A"/>
    <x v="5"/>
    <s v="T. AUTOMATICO"/>
    <s v="OPERARIO"/>
    <s v="DEHUESADO"/>
    <s v="N/A"/>
    <s v="TARDE"/>
    <d v="1899-12-30T22:45:00"/>
    <s v="VIERNES"/>
    <s v="SEMANA 7"/>
    <n v="15494"/>
    <s v="NC-16-2023"/>
    <s v="DANIEL GARRIDO"/>
    <x v="6"/>
    <n v="38"/>
    <x v="6"/>
    <x v="4"/>
    <s v="Contusión"/>
    <x v="1"/>
    <s v="COLABORADORA  SUFRE CAIDA A NIVEL MAS CONTUSION EN RODILLA IZQUIERDA Y SENO DERECHO, AL PISAR MATERIA PRIMA CUANDO SE DIRIGIA A LOS CAMARINES EN T. AUTOMATICO"/>
    <s v="CONDICION"/>
    <s v="SI"/>
    <s v="SI"/>
    <s v="ALAN CARRASCO "/>
    <s v="MICHELLE SANCHEZ"/>
    <s v="TRANSITO POR AREAS DE PROCESO"/>
  </r>
  <r>
    <n v="2023"/>
    <x v="1"/>
    <s v="EL PAICO"/>
    <s v="HERRERA PINTO"/>
    <s v="JHONY"/>
    <s v="MASCULINO"/>
    <s v="20789495-8"/>
    <d v="2022-11-29T00:00:00"/>
    <n v="2"/>
    <d v="2023-02-15T00:00:00"/>
    <s v="NUEVO"/>
    <s v="N/A"/>
    <s v="N/A"/>
    <s v="N/A"/>
    <n v="0"/>
    <s v="STP"/>
    <s v="N/A"/>
    <s v="N/A"/>
    <x v="5"/>
    <s v="TROZADO DE POLLO"/>
    <s v="OPERARIO"/>
    <s v="TROZADO DE POLLO AUTOMATICO"/>
    <m/>
    <s v="MAÑANA"/>
    <d v="1899-12-30T14:50:00"/>
    <s v="MIERCOLES"/>
    <s v="SEMANA 7"/>
    <m/>
    <m/>
    <s v="DANIEL GARRIDO"/>
    <x v="10"/>
    <n v="22"/>
    <x v="3"/>
    <x v="7"/>
    <s v="Contusión"/>
    <x v="4"/>
    <s v="TRABAJADOR QUE SE ENCONTRABA DE REGRESO DE SU HORARIO DE COLACION SE ENCONTRABA ALISTANDO SU PECHERA DE TRABAJO, CUANDO CAE SOBRE SU ESPALDA UN GANCHO METALICO. "/>
    <s v="CONDICION "/>
    <s v="SI"/>
    <s v="NO"/>
    <s v="ALAN CARRASCO"/>
    <s v="CARLOS CARTAGENA"/>
    <s v="LINEA DE ESPURGO TROZADO AUTOMATICO"/>
  </r>
  <r>
    <n v="2023"/>
    <x v="1"/>
    <s v="EL PAICO"/>
    <s v="GUAJARDO VERA"/>
    <s v="SEBASTIAN"/>
    <s v="MASCULINO"/>
    <s v="19211824-7"/>
    <d v="2021-05-03T00:00:00"/>
    <n v="21"/>
    <d v="2023-02-03T00:00:00"/>
    <s v="ANTIGUO"/>
    <s v="N/A"/>
    <s v="N/A"/>
    <s v="N/A"/>
    <n v="0"/>
    <s v="STP"/>
    <s v="LGF"/>
    <s v="LGF4"/>
    <x v="8"/>
    <s v="REPORTE DE CAJAS"/>
    <s v="MECANICO"/>
    <s v="REPORTE DE CAJAS"/>
    <s v="EQUIPO PARA MOVIMIENTO DE CARGA (GRUAS O TRANSPALETAS)"/>
    <s v="MAÑANA"/>
    <d v="1899-12-30T10:26:00"/>
    <s v="VIERNES"/>
    <s v="SEMANA 5"/>
    <m/>
    <m/>
    <s v="VICTOR GOMEZ"/>
    <x v="13"/>
    <n v="27"/>
    <x v="7"/>
    <x v="3"/>
    <s v="Contusión"/>
    <x v="4"/>
    <s v="TRABAJADOR ESTEBA REPARANDO UNA MAQUINA AL COSTADO DE LA LINEA DE CONGELADO (PP) REVISANDO UNA MAQUINA CUANDO EL OPERADOR DE TRANPALETA RETROCEDE Y GOLPEA SU TOBILLO DERECHO"/>
    <s v="ACCION"/>
    <s v="SI"/>
    <s v="NO"/>
    <s v="NICOLAS GOMEZ"/>
    <s v="CARLOS CARTAGENA"/>
    <m/>
  </r>
  <r>
    <n v="2023"/>
    <x v="1"/>
    <s v="EL PAICO"/>
    <s v="FIGUEROA RECABARREN"/>
    <s v="JASON "/>
    <s v="MASCULINO"/>
    <s v="21242262-2"/>
    <d v="2022-11-07T00:00:00"/>
    <n v="3"/>
    <d v="2023-02-16T00:00:00"/>
    <s v="NUEVO"/>
    <s v="N/A"/>
    <s v="N/A"/>
    <s v="N/A"/>
    <n v="0"/>
    <s v="STP"/>
    <s v="N/A"/>
    <s v="N/A"/>
    <x v="7"/>
    <s v="REPORTE DE CAJAS"/>
    <s v="OPERARIO"/>
    <s v="REPORTE DE CAJAS"/>
    <s v="N/A"/>
    <s v="MAÑANA"/>
    <d v="1899-12-30T08:28:00"/>
    <s v="JUEVES"/>
    <s v="SEMANA 7"/>
    <m/>
    <m/>
    <s v="OCTAVIO MUÑOZ"/>
    <x v="14"/>
    <n v="20"/>
    <x v="8"/>
    <x v="0"/>
    <s v="Herida cortante"/>
    <x v="3"/>
    <s v="COLABORADOR AL BAJAR UN PALLET SE CORTA EL DEDO ANULAR IZQUIERDO , AL ESTAR BAJANDO CAJAS "/>
    <s v="CONDICION"/>
    <s v="SI"/>
    <s v="NO"/>
    <s v="ALAN CARRASCO "/>
    <s v="CHRISTIAN JHONS"/>
    <m/>
  </r>
  <r>
    <n v="2023"/>
    <x v="1"/>
    <s v="EL PAICO"/>
    <s v="BAHAMONDEZ ABARCA"/>
    <s v="MARIA TERESA"/>
    <s v="FEMENINO"/>
    <s v="11527148-2"/>
    <d v="1998-03-17T00:00:00"/>
    <n v="299"/>
    <d v="2023-02-28T00:00:00"/>
    <s v="ANTIGUO"/>
    <s v="N/A"/>
    <s v="N/A"/>
    <s v="N/A"/>
    <n v="0"/>
    <s v="STP"/>
    <s v="N/A"/>
    <s v="N/A"/>
    <x v="7"/>
    <s v="REPORTE DE CAJAS"/>
    <s v="OPERARIO"/>
    <s v="REPORTE DE CAJAS"/>
    <s v="N/A"/>
    <s v="MAÑANA"/>
    <d v="1899-12-30T05:30:00"/>
    <s v="MARTES"/>
    <s v="SEMANA 9"/>
    <m/>
    <m/>
    <s v="OCTAVIO MUÑOZ"/>
    <x v="14"/>
    <n v="52"/>
    <x v="0"/>
    <x v="0"/>
    <s v="Contusión"/>
    <x v="5"/>
    <s v="COLABORA SUFRE CONTUSION EN MANO DERECHA CUANDO SE ENCONTRABA CAMBIANDO ROLLO DE LAMINA EN MAQUINA ISHIDA"/>
    <s v="CONDICION"/>
    <s v="SI"/>
    <s v="NO"/>
    <s v="NICOLAS GOMEZ"/>
    <s v="CHISTIAN JHONS"/>
    <m/>
  </r>
  <r>
    <n v="2023"/>
    <x v="1"/>
    <s v="EL PAICO"/>
    <s v="ARMIJO CORDERO"/>
    <s v="FRANCISCO"/>
    <s v="MASCULINO"/>
    <s v="7.885.635-1"/>
    <d v="2004-09-22T00:00:00"/>
    <n v="221"/>
    <d v="2023-02-25T00:00:00"/>
    <s v="ANTIGUO"/>
    <s v="N/A"/>
    <s v="N/A"/>
    <s v="N/A"/>
    <n v="0"/>
    <s v="STP"/>
    <s v="N/A"/>
    <s v="N/A"/>
    <x v="9"/>
    <s v="BAÑOS FAENA"/>
    <s v="OPERARIO"/>
    <s v="BAÑO EVISERADO"/>
    <s v="N/A"/>
    <s v="MAÑANA"/>
    <d v="1899-12-30T05:15:00"/>
    <s v="SABADO"/>
    <s v="SEMANA 8"/>
    <m/>
    <m/>
    <s v="DANIEL GARRIDO"/>
    <x v="15"/>
    <n v="64"/>
    <x v="3"/>
    <x v="0"/>
    <s v="Herida cortante"/>
    <x v="8"/>
    <s v="COLABORADOR SUFRE CORTE EN DEDO INDICE DE MANO DERECHA AL APOYARSE EN PUERTA DE BAÑO DE EVISERADO"/>
    <s v="CONDICION"/>
    <s v="SI"/>
    <s v="NO"/>
    <s v="ALAN CARRASCO "/>
    <s v="CHRISTIAN JHONS"/>
    <m/>
  </r>
  <r>
    <n v="2023"/>
    <x v="1"/>
    <s v="EL PAICO"/>
    <s v=" REYES FUENTES"/>
    <s v="JONHFER"/>
    <s v="MASCULINO"/>
    <s v="26466499-3"/>
    <d v="2020-02-24T00:00:00"/>
    <n v="35"/>
    <d v="2023-02-11T00:00:00"/>
    <s v="ANTIGUO"/>
    <s v="N/A"/>
    <s v="N/A"/>
    <s v="N/A"/>
    <n v="0"/>
    <s v="STP"/>
    <s v="N/A"/>
    <s v="N/A"/>
    <x v="6"/>
    <s v="TRAZADO DE PAVO"/>
    <s v="OPERARIO"/>
    <s v="SALA JAPON "/>
    <s v="N/A"/>
    <s v="NOCHE"/>
    <d v="1899-12-30T03:30:00"/>
    <s v="SABADO"/>
    <s v="SEMANA 6"/>
    <m/>
    <m/>
    <s v="CARLOS JIMENEZ"/>
    <x v="16"/>
    <n v="39"/>
    <x v="9"/>
    <x v="5"/>
    <s v="Quemadura"/>
    <x v="9"/>
    <s v="COLABORADOR SUFRE INHALACION DE VAPOR DEL CLORO AL MEZACLAR AGUA CALIENTE, EN SALA JAPON "/>
    <s v="ACCION"/>
    <s v="SI"/>
    <s v="NO"/>
    <s v="ALAN CARRASCO "/>
    <s v="CHRISTIAN JHONS"/>
    <s v="MANIPULACION DE PRODUCTO QUIMICO"/>
  </r>
  <r>
    <n v="2023"/>
    <x v="2"/>
    <s v="EL PAICO"/>
    <s v="TRUJILLO ELGUETA "/>
    <s v="KEVIN"/>
    <s v="MASCULINO"/>
    <s v="18346564-6"/>
    <d v="2021-10-12T00:00:00"/>
    <n v="17"/>
    <d v="2023-03-24T00:00:00"/>
    <s v="INTERMEDIO"/>
    <s v="N/A"/>
    <s v="N/A"/>
    <s v="N/A"/>
    <n v="0"/>
    <s v="STP"/>
    <s v="N/A"/>
    <s v="N/A"/>
    <x v="8"/>
    <s v="MANTENCION"/>
    <s v="COORDINADOR"/>
    <s v="CALIBRADO"/>
    <s v="N/A"/>
    <s v="MAÑANA"/>
    <d v="1899-12-30T09:50:00"/>
    <s v="VIERNES"/>
    <s v="SEMANA 12"/>
    <m/>
    <m/>
    <s v="VICTOR GOMEZ"/>
    <x v="13"/>
    <n v="31"/>
    <x v="0"/>
    <x v="0"/>
    <s v="Herida cortante"/>
    <x v="8"/>
    <s v="COLABORADOR QUE SE ENCONTRABA REALIZANDO CAMBIO DE CINTA EN EL AREA DE CALIBRADO DE PECHUGAS SUFRE CORTE CON BORDE DE ESCALERA EN DEDO MEÑIQUE IZQUERDO"/>
    <s v="CONDICION"/>
    <s v="SI"/>
    <s v="NO"/>
    <s v="ALAN CARRASCO"/>
    <s v="CHISTIAN JHONS"/>
    <m/>
  </r>
  <r>
    <n v="2023"/>
    <x v="2"/>
    <s v="EL PAICO"/>
    <s v="TRUJILLO ALARCON "/>
    <s v="ANGELA VERONICA"/>
    <s v="FEMENINO"/>
    <s v="15401811-5+tipo_acc+*-+"/>
    <d v="2014-10-06T00:00:00"/>
    <n v="101"/>
    <d v="2023-03-17T00:00:00"/>
    <s v="ANTIGUO"/>
    <s v="N/A"/>
    <s v="N/A"/>
    <s v="N/A"/>
    <n v="0"/>
    <s v="STP"/>
    <s v="N/A"/>
    <s v="N/A"/>
    <x v="5"/>
    <s v="DESHUESADO"/>
    <s v="OPERARIO"/>
    <s v="DESHUESADO"/>
    <s v="N/A"/>
    <s v="MAÑANA"/>
    <d v="1899-12-30T13:00:00"/>
    <s v="VIERNES"/>
    <s v="SEMANA 11"/>
    <m/>
    <m/>
    <s v="DANIEL GARRIDO"/>
    <x v="10"/>
    <n v="40"/>
    <x v="0"/>
    <x v="2"/>
    <s v="Contusión"/>
    <x v="5"/>
    <s v="COLABORA SUFRE CAIDA DESDE ESCALON DE TARIMA DE TRABAJO, GOLPEANDOSE EN BRAZO Y ESPALDA"/>
    <s v="ACCION"/>
    <s v="SI"/>
    <s v="NO"/>
    <s v="NICOLAS GOMEZ"/>
    <s v="MICHELLE SANCHEZ"/>
    <s v="LABORES SOBRE TARIMA/ESCALERA"/>
  </r>
  <r>
    <n v="2023"/>
    <x v="2"/>
    <s v="EL PAICO"/>
    <s v="SANTIBAÑEZ MARIN"/>
    <s v="KARLA"/>
    <s v="FEMENINO"/>
    <s v="17802999-1"/>
    <d v="2020-05-29T00:00:00"/>
    <n v="33"/>
    <d v="2023-03-01T00:00:00"/>
    <s v="ANTIGUO"/>
    <s v="N/A"/>
    <s v="N/A"/>
    <s v="N/A"/>
    <n v="0"/>
    <s v="STP"/>
    <s v="N/A"/>
    <s v="N/A"/>
    <x v="1"/>
    <s v="METALQUIMIA"/>
    <s v="OPERARIO"/>
    <s v="METALQUIMIA"/>
    <s v="N/A"/>
    <s v="NOCHE"/>
    <d v="1899-12-30T01:20:00"/>
    <s v="MIERCOLES"/>
    <s v="SEMANA 9"/>
    <m/>
    <m/>
    <s v="GUILLERMO NARVAEZ"/>
    <x v="17"/>
    <n v="32"/>
    <x v="9"/>
    <x v="5"/>
    <s v="Otros"/>
    <x v="7"/>
    <s v="COLABORADORA QUE SE ENCONTRABAN ASEANDO MAQUINA METALQUIMIA, AL APLICAR  BIO REMOVE SUFRE SALPICADURA DE ESTE EN SU OJO DERECHO."/>
    <s v="ACCION"/>
    <s v="SI"/>
    <s v="NO"/>
    <s v="ALAN CARRASCO "/>
    <s v="CHISTIAN JHONS"/>
    <m/>
  </r>
  <r>
    <n v="2023"/>
    <x v="2"/>
    <s v="EL PAICO"/>
    <s v="RODRIGUEZ ESPINOZA"/>
    <s v="LUIS MIGUEL"/>
    <s v="MASCULINO"/>
    <s v="18461734-K"/>
    <d v="2022-09-22T00:00:00"/>
    <n v="5"/>
    <d v="2023-03-15T00:00:00"/>
    <s v="NUEVO"/>
    <s v="N/A"/>
    <s v="N/A"/>
    <s v="N/A"/>
    <n v="0"/>
    <s v="STP"/>
    <s v="N/A"/>
    <s v="N/A"/>
    <x v="8"/>
    <m/>
    <s v="MECANICO"/>
    <s v="DESPLUMADO DE PAVO"/>
    <s v="N/A"/>
    <s v="MAÑANA"/>
    <d v="1899-12-30T15:15:00"/>
    <s v="MIERCOLES"/>
    <s v="SEMANA 11"/>
    <m/>
    <m/>
    <s v="VICTOR GOMEZ"/>
    <x v="4"/>
    <n v="29"/>
    <x v="3"/>
    <x v="7"/>
    <s v="Quemadura"/>
    <x v="10"/>
    <s v="COLABORADOR SUFRE QUEMADURA EN CUELLO CUANDO CAMBIABA MANGUERA DE SOPLADORORES EN DESPLUMADO DE PAVO"/>
    <s v="CONDICION"/>
    <s v="SI"/>
    <s v="NO"/>
    <s v="ALAN CARRASCO"/>
    <s v="CHRISTIAN JHONS"/>
    <m/>
  </r>
  <r>
    <n v="2023"/>
    <x v="2"/>
    <s v="EL PAICO"/>
    <s v="RIQUELME JARA"/>
    <s v="LUIS FELIPE"/>
    <s v="MASCULINO"/>
    <s v="20140706-0"/>
    <d v="2022-11-11T00:00:00"/>
    <n v="3"/>
    <d v="2023-03-10T00:00:00"/>
    <s v="NUEVO"/>
    <d v="2023-03-10T00:00:00"/>
    <d v="2023-03-10T00:00:00"/>
    <s v="N/A"/>
    <n v="0"/>
    <s v="STP"/>
    <s v="N/A"/>
    <s v="N/A"/>
    <x v="1"/>
    <s v="IQF CALIBRADO A"/>
    <s v="OPERARIO"/>
    <s v="BICICLETERO"/>
    <s v="N/A"/>
    <s v="MAÑANA"/>
    <d v="1899-12-30T06:00:00"/>
    <s v="VIERNES"/>
    <s v="SEMANA 10"/>
    <s v="N/A"/>
    <s v="NC-22-2023"/>
    <s v="GUILLERMO NARVAEZ"/>
    <x v="4"/>
    <n v="23"/>
    <x v="1"/>
    <x v="2"/>
    <s v="Contusión"/>
    <x v="1"/>
    <s v="COLABORADOR SUFRE CAIDA AL INGRESO DE LA PLANTA "/>
    <s v="CONDICION"/>
    <s v="SI"/>
    <s v="SI"/>
    <s v="ALAN CARRASCO"/>
    <s v="CARLOS CARTAGENA"/>
    <s v="TRANSITO POR AREAS COMUNES"/>
  </r>
  <r>
    <n v="2023"/>
    <x v="2"/>
    <s v="EL PAICO"/>
    <s v="PINTO VILLAGRA"/>
    <s v="XENDRIX"/>
    <s v="MASCULINO"/>
    <s v="17715504-7"/>
    <d v="2019-05-06T00:00:00"/>
    <n v="46"/>
    <d v="2023-03-17T00:00:00"/>
    <s v="ANTIGUO"/>
    <s v="N/A"/>
    <s v="N/A"/>
    <s v="N/A"/>
    <n v="0"/>
    <s v="STP"/>
    <s v="N/A"/>
    <s v="N/A"/>
    <x v="4"/>
    <s v="ROMANERO CAMARA"/>
    <s v="OPERARIO"/>
    <s v="TUNEL 234"/>
    <s v="N/A"/>
    <s v="MAÑANA"/>
    <d v="1899-12-30T18:00:00"/>
    <s v="VIERNES"/>
    <s v="SEMANA 11"/>
    <m/>
    <m/>
    <s v="FRANCISCO QUEZADA"/>
    <x v="18"/>
    <n v="32"/>
    <x v="0"/>
    <x v="3"/>
    <s v="Contusión"/>
    <x v="5"/>
    <s v="COLABORADOR SUFRE CONTUSION EN PIE DERECHO AL APRETARSE CON PALLET CUANDO SE ENCONTRABA CARGANDO TUNEL 234"/>
    <s v="CONDICION"/>
    <s v="SI"/>
    <s v="NO"/>
    <s v="NICOLAS GOMEZ"/>
    <s v="CARLOS CARTAGENA"/>
    <m/>
  </r>
  <r>
    <n v="2023"/>
    <x v="2"/>
    <s v="EL PAICO"/>
    <s v="PAVEZ CARMONA"/>
    <s v="CAMILA "/>
    <s v="FEMENINO"/>
    <s v="19382606-7"/>
    <d v="2022-07-25T00:00:00"/>
    <n v="7"/>
    <d v="2023-03-02T00:00:00"/>
    <s v="INTERMEDIO"/>
    <d v="2023-03-09T00:00:00"/>
    <d v="2023-03-15T00:00:00"/>
    <s v="N/A"/>
    <n v="7"/>
    <s v="CTP"/>
    <s v="N/A"/>
    <s v="N/A"/>
    <x v="8"/>
    <s v="SALA DE PINTURA"/>
    <s v="TECNICO"/>
    <s v="GALPON DE PINTURA"/>
    <s v="N/A"/>
    <s v="TARDE"/>
    <d v="1899-12-30T16:35:00"/>
    <s v="JUEVES"/>
    <s v="SEMANA 9"/>
    <n v="15554"/>
    <s v="NC-18-2023"/>
    <s v="VICTOR GOMEZ"/>
    <x v="19"/>
    <n v="27"/>
    <x v="1"/>
    <x v="3"/>
    <s v="Contusión"/>
    <x v="5"/>
    <s v="COLABORADORA SE DIRIGIA A SALA DE PINTURAS Y NO VE GRUA ESTACIONADA EN EL PATIO, CON LA CUAL SE PORBOCA UN ATRAPAMIENTO CON SU PIE DERECHO, PROBOCANDO UNA CONTUSION "/>
    <s v="ACCION"/>
    <s v="SI"/>
    <s v="SI"/>
    <s v="ALAN CARRASCO"/>
    <s v="CARLOS CARTAGENA"/>
    <s v="TRANSITO POR AREAS COMUNES"/>
  </r>
  <r>
    <n v="2023"/>
    <x v="2"/>
    <s v="EL PAICO"/>
    <s v="OLY"/>
    <s v="CHARLES"/>
    <s v="MASCULINO"/>
    <s v="25968215-0"/>
    <d v="2021-08-11T00:00:00"/>
    <n v="19"/>
    <d v="2023-03-31T00:00:00"/>
    <s v="ANTIGUO"/>
    <s v="N/A"/>
    <s v="N/A"/>
    <s v="N/A"/>
    <n v="0"/>
    <s v="STP"/>
    <s v="N/A"/>
    <s v="N/A"/>
    <x v="5"/>
    <s v="T. AUTOMATICO"/>
    <s v="OPERARIO"/>
    <s v="T. AUTOMATICO"/>
    <s v="N/A"/>
    <s v="MAÑANA"/>
    <d v="1899-12-30T08:45:00"/>
    <s v="VIERNES"/>
    <s v="SEMANA 13"/>
    <m/>
    <m/>
    <s v="DANIEL GARRIDO"/>
    <x v="20"/>
    <n v="51"/>
    <x v="6"/>
    <x v="5"/>
    <s v="Conjuntivitis"/>
    <x v="7"/>
    <s v="COLABORADOR SE ENCONTRABA EXPURGANDO PRODUCTO EN SU PUESTO DE TRABAJO SALPICANDO LIQUIDO EN AMBOS OJOS"/>
    <s v="ACCION"/>
    <s v="SI"/>
    <s v="NO"/>
    <s v="ALAN CARRASCO"/>
    <s v="CARLOS CARTAGENA"/>
    <s v="MANIPULACION DE MATERIA PRIMA"/>
  </r>
  <r>
    <n v="2023"/>
    <x v="2"/>
    <s v="EL PAICO"/>
    <s v="NUÑEZ ESCARATE"/>
    <s v="VICTOR"/>
    <s v="MASCULINO"/>
    <s v="8649246-6"/>
    <d v="2006-03-10T00:00:00"/>
    <n v="204"/>
    <d v="2023-03-17T00:00:00"/>
    <s v="ANTIGUO"/>
    <s v="N/A"/>
    <s v="N/A"/>
    <s v="N/A"/>
    <n v="0"/>
    <s v="STP"/>
    <s v="N/A"/>
    <s v="N/A"/>
    <x v="5"/>
    <s v="T. AUTOMATICO"/>
    <s v="OPERARIO"/>
    <s v="T. AUTOMATICO"/>
    <s v="N/A"/>
    <s v="TARDE"/>
    <d v="1899-12-30T20:40:00"/>
    <s v="VIERNES"/>
    <s v="SEMANA 11"/>
    <m/>
    <m/>
    <s v="DANIEL GARRIDO"/>
    <x v="6"/>
    <n v="63"/>
    <x v="9"/>
    <x v="5"/>
    <s v="Conjuntivitis"/>
    <x v="7"/>
    <s v="COLABORADOR SUFRE CAIDA DE LIQUIDO (ACIDO PERACETICO) EN OJO, ESTO OCURRE AL SACAR MATERIA PRIMA QUE SE ENCONTRABA ATASCADA EN LA LINEA"/>
    <s v="ACCION"/>
    <s v="NO"/>
    <s v="NO"/>
    <s v="ALAN CARRASCO"/>
    <s v="MICHELLE SANCHEZ"/>
    <s v="RETIRO DE PRODUCTO ATASCADO"/>
  </r>
  <r>
    <n v="2023"/>
    <x v="2"/>
    <s v="EL PAICO"/>
    <s v="MUÑOZ ISLA"/>
    <s v="JESSICA"/>
    <s v="FEMENINO"/>
    <s v="16669807-3"/>
    <d v="2020-01-20T00:00:00"/>
    <n v="38"/>
    <d v="2023-03-31T00:00:00"/>
    <s v="ANTIGUO"/>
    <d v="2023-03-31T00:00:00"/>
    <s v="06-042023"/>
    <s v="N/A"/>
    <n v="7"/>
    <s v="CTP"/>
    <s v="N/A"/>
    <s v="N/A"/>
    <x v="5"/>
    <s v="SALA DE PROCESO"/>
    <s v="OPERARIO"/>
    <s v="SALA DE PROCESO"/>
    <s v="N/A"/>
    <s v="MAÑANA"/>
    <d v="1899-12-30T12:55:00"/>
    <s v="VIERNES"/>
    <s v="SEMANA 13"/>
    <n v="15596"/>
    <s v="NC-29-2023"/>
    <s v="DANIEL GARRIDO"/>
    <x v="10"/>
    <n v="36"/>
    <x v="10"/>
    <x v="0"/>
    <s v="Herida cortante"/>
    <x v="8"/>
    <s v="COLABORADORA SUFRE CORTE EN MANO DERECHA CUANDO SE ENCONTRABA SACANDO FILO A SU CUCHILLO JUNTO A COMPAÑERA DE TRABAJO."/>
    <s v="ACCION"/>
    <s v="SI"/>
    <s v="SI"/>
    <s v="ALAN CARRASCO"/>
    <s v="CARLOS CARTAGENA"/>
    <s v="MANIPULACIÓN DE CUCHILLO Y/O MANTENER FILO"/>
  </r>
  <r>
    <n v="2023"/>
    <x v="2"/>
    <s v="EL PAICO"/>
    <s v="MIRANDA GOMEZ"/>
    <s v="ANA GABRIELA"/>
    <s v="FEMENINO"/>
    <s v="18778202-3"/>
    <d v="2022-07-26T00:00:00"/>
    <n v="7"/>
    <d v="2023-03-09T00:00:00"/>
    <s v="INTERMEDIO"/>
    <s v="N/A"/>
    <s v="N/A"/>
    <s v="N/A"/>
    <n v="0"/>
    <s v="STP"/>
    <s v="N/A"/>
    <s v="N/A"/>
    <x v="1"/>
    <s v="CALIBRADO"/>
    <s v="OPERARIO"/>
    <s v="CALIBRADO"/>
    <s v="N/A"/>
    <s v="TARDE"/>
    <d v="1899-12-30T15:15:00"/>
    <s v="JUEVES"/>
    <s v="SEMANA 10"/>
    <m/>
    <m/>
    <s v="GUILLERMO NARVAEZ"/>
    <x v="21"/>
    <n v="29"/>
    <x v="3"/>
    <x v="4"/>
    <s v="Contusión"/>
    <x v="5"/>
    <s v="COLABORADORA SE ENCONTRABA BAJANDO ESCALERAS EN CALIBRADO CUANDO SE GOLPEA LA RODILLLA IZQUIERDA CON PASAMANOS "/>
    <s v="ACCION"/>
    <s v="SI"/>
    <s v="NO"/>
    <s v="ALAN CARRASCO"/>
    <s v="WLADIMIR CALDERON "/>
    <m/>
  </r>
  <r>
    <n v="2023"/>
    <x v="2"/>
    <s v="EL PAICO"/>
    <s v="MARIN VARGAS"/>
    <s v="CAROLINA"/>
    <s v="FEMENINO"/>
    <s v="19212976-1"/>
    <d v="2021-09-13T00:00:00"/>
    <n v="18"/>
    <d v="2023-03-31T00:00:00"/>
    <s v="INTERMEDIO"/>
    <s v="N/A"/>
    <s v="N/A"/>
    <s v="N/A"/>
    <n v="0"/>
    <s v="STP"/>
    <s v="N/A"/>
    <s v="N/A"/>
    <x v="2"/>
    <s v="EVISCERADO"/>
    <s v="OPERARIO"/>
    <s v="CAMARINES DE MUJER"/>
    <s v="N/A"/>
    <s v="MAÑANA"/>
    <d v="1899-12-30T11:30:00"/>
    <s v="VIERNES"/>
    <s v="SEMANA 13"/>
    <m/>
    <m/>
    <s v="NICOLAS MOYANO"/>
    <x v="11"/>
    <n v="26"/>
    <x v="11"/>
    <x v="4"/>
    <s v="Otros"/>
    <x v="11"/>
    <s v="COLABORADORA SUFRE PICADURA DE INSECTO EN PIERNA DERECHA, CUANDO ESTABA COLOCANDO SU ROPA DE TRABAJO"/>
    <s v="CONDICION"/>
    <s v="SI"/>
    <s v="NO"/>
    <s v="ALAN CARRASCO"/>
    <s v="CARLOS CARTAGENA"/>
    <m/>
  </r>
  <r>
    <n v="2023"/>
    <x v="2"/>
    <s v="EL PAICO"/>
    <s v="LARA SOTO"/>
    <s v="EDITH "/>
    <s v="FEMENINO"/>
    <s v="16670482-0"/>
    <d v="2020-01-13T00:00:00"/>
    <n v="38"/>
    <d v="2023-03-23T00:00:00"/>
    <s v="ANTIGUO"/>
    <s v="N/A"/>
    <s v="N/A"/>
    <s v="N/A"/>
    <n v="0"/>
    <s v="STP"/>
    <s v="N/A"/>
    <s v="N/A"/>
    <x v="6"/>
    <s v="ASEO OPERACIONAL"/>
    <s v="OPERARIO"/>
    <s v="DESPLUMADO"/>
    <s v="N/A"/>
    <s v="TARDE"/>
    <d v="1899-12-30T04:30:00"/>
    <s v="JUEVES"/>
    <s v="SEMANA 12"/>
    <m/>
    <m/>
    <s v="CARLOS JIMENES"/>
    <x v="22"/>
    <n v="35"/>
    <x v="3"/>
    <x v="0"/>
    <s v="Contusión"/>
    <x v="4"/>
    <s v="COLABORADORA QUE SE ENCONTRABA REALIZANDO ASEO EN PISOS SUFRE GOLPE EN MANO DERECHA CON PUERTA DE VAIVEN AL INGRESO DE DESPLUMADO "/>
    <s v="CONDICION"/>
    <s v="SI"/>
    <s v="NO"/>
    <s v="NICOLAS GOMEZ"/>
    <s v="WLADIMIR CALDERON "/>
    <s v="REALIZANDO LABORES DE ASEO"/>
  </r>
  <r>
    <n v="2023"/>
    <x v="2"/>
    <s v="EL PAICO"/>
    <s v="HUINAO CARTAGENA"/>
    <s v="MANUEL"/>
    <s v="MASCULINO"/>
    <s v="15403657-1"/>
    <d v="2022-11-04T00:00:00"/>
    <n v="4"/>
    <d v="2023-03-08T00:00:00"/>
    <s v="NUEVO"/>
    <d v="2023-03-10T00:00:00"/>
    <d v="2023-03-10T00:00:00"/>
    <s v="N/A"/>
    <n v="0"/>
    <s v="STP"/>
    <s v="N/A"/>
    <s v="N/A"/>
    <x v="1"/>
    <s v="IQF 1"/>
    <s v="OPERARIO"/>
    <s v="IQF1"/>
    <s v="N/A"/>
    <s v="TARDE"/>
    <d v="1899-12-30T18:35:00"/>
    <s v="MIERCOLES"/>
    <s v="SEMANA 10"/>
    <n v="15564"/>
    <s v="NC-21-2023"/>
    <s v="GUILLERMO NARVAEZ"/>
    <x v="4"/>
    <n v="39"/>
    <x v="0"/>
    <x v="0"/>
    <s v="Contusión"/>
    <x v="4"/>
    <s v="COLABORADOR SUFRE CONTUSION EN MUÑECA IZQUERDA CUANDO SE ENCONTRABA ARMANDO PALLET CON BANDEJAS DE FILETILLO DE POLLO "/>
    <s v="ACCION"/>
    <s v="SI"/>
    <s v="SI"/>
    <s v="NICOLAS GOMEZ"/>
    <s v="CHISTIAN JHONS"/>
    <s v="ARMADO DE PALLET"/>
  </r>
  <r>
    <n v="2023"/>
    <x v="2"/>
    <s v="EL PAICO"/>
    <s v="HERRERA PINTO"/>
    <s v="JHONY"/>
    <s v="MASCULINO"/>
    <s v="20789495-8"/>
    <d v="2022-11-29T00:00:00"/>
    <n v="3"/>
    <d v="2023-03-14T00:00:00"/>
    <s v="NUEVO"/>
    <s v="N/A"/>
    <s v="N/A"/>
    <s v="N/A"/>
    <n v="0"/>
    <s v="STP"/>
    <s v="N/A"/>
    <s v="N/A"/>
    <x v="5"/>
    <s v="T. AUTOMATICO"/>
    <s v="OPERARIO"/>
    <s v="T. AUTOMATICO"/>
    <s v="N/A"/>
    <s v="MAÑANA"/>
    <d v="1899-12-30T09:45:00"/>
    <s v="MARTES"/>
    <s v="SEMANA 11"/>
    <m/>
    <m/>
    <s v="DANIEL GARRIDO"/>
    <x v="10"/>
    <n v="22"/>
    <x v="3"/>
    <x v="4"/>
    <s v="Contusión"/>
    <x v="4"/>
    <s v="COLABORADOR SUFRE GOLPE EN PIERNA DERECHA CON BASE METALICA DE GANCHO QUE SE DESPRENDE DE UNA CINTA "/>
    <s v="CONDICION"/>
    <s v="SI"/>
    <s v="NO"/>
    <s v="NICOLAS GOMEZ"/>
    <s v="WLADIMIR CALDERON "/>
    <s v="LINEA DE ESPURGO TROZADO AUTOMATICO"/>
  </r>
  <r>
    <n v="2023"/>
    <x v="2"/>
    <s v="EL PAICO"/>
    <s v="HENRIQUEZ VARGAS"/>
    <s v="FERNANDO"/>
    <s v="MASCULINO"/>
    <s v="18538961-8"/>
    <d v="2022-11-04T00:00:00"/>
    <n v="4"/>
    <d v="2023-03-19T00:00:00"/>
    <s v="NUEVO"/>
    <s v="N/A"/>
    <s v="N/A"/>
    <s v="N/A"/>
    <n v="0"/>
    <s v="STP"/>
    <s v="N/A"/>
    <s v="N/A"/>
    <x v="8"/>
    <s v="MANTENCION"/>
    <s v="COORDINADOR"/>
    <s v="T. AUTOMATICO"/>
    <s v="N/A"/>
    <s v="MAÑANA"/>
    <d v="1899-12-30T15:30:00"/>
    <s v="DOMINGO"/>
    <s v="SEMANA 11"/>
    <m/>
    <m/>
    <s v="VICTOR GOMEZ"/>
    <x v="23"/>
    <n v="29"/>
    <x v="0"/>
    <x v="5"/>
    <s v="Contusión"/>
    <x v="4"/>
    <s v="COLABORADOR SUFRE GOLPE EN OJO DERECHO CONLLAVE CUANDO SE ENCONTRABA APRETANDO LOS PERNOS DE ESTACION DE GIRO EN LINEA 2 DE TROZADO DE POLLO AUTOMATICO"/>
    <s v="ACCION"/>
    <s v="SI"/>
    <s v="NO"/>
    <s v="ALAN CARRASCO"/>
    <s v="CARLOS CARTAGENA"/>
    <m/>
  </r>
  <r>
    <n v="2023"/>
    <x v="2"/>
    <s v="EL PAICO"/>
    <s v="ESPINOZA MALDONADO"/>
    <s v="ROMINA"/>
    <s v="FEMENINO"/>
    <s v="17986193-3"/>
    <d v="2017-08-16T00:00:00"/>
    <n v="66"/>
    <d v="2023-03-01T00:00:00"/>
    <s v="ANTIGUO"/>
    <d v="2023-03-01T00:00:00"/>
    <d v="2023-03-02T00:00:00"/>
    <s v="N/A"/>
    <n v="2"/>
    <s v="CTP"/>
    <s v="LGF"/>
    <s v="LGF3"/>
    <x v="6"/>
    <s v="SALA DE TAMBLE"/>
    <s v="OPERARIO"/>
    <s v="SALA DE TAMBLE"/>
    <s v="N/A"/>
    <s v="NOCHE"/>
    <d v="1899-12-30T04:00:00"/>
    <s v="MIERCOLES"/>
    <s v="SEMANA 9"/>
    <n v="15530"/>
    <s v="NC-19-2023"/>
    <s v="CARLOS JIMENEZ"/>
    <x v="7"/>
    <n v="31"/>
    <x v="9"/>
    <x v="4"/>
    <s v="Quemadura"/>
    <x v="12"/>
    <s v="COLABORADORA QUE SE ENCONTRABA ESPONJANDO TAMBLED, AL MOMENTO DEL ENJUAGE DERRAMA DETERGENTE BIO REMOVE EN PIERNA DERECHA."/>
    <s v="ACCION"/>
    <s v="SI"/>
    <s v="SI"/>
    <s v="ALAN CARRASCO "/>
    <s v="CHISTIAN JHONS"/>
    <s v="MANIPULACION DE PRODUCTO QUIMICO"/>
  </r>
  <r>
    <n v="2023"/>
    <x v="2"/>
    <s v="EL PAICO"/>
    <s v="CONTRERAS GARATE"/>
    <s v="SALVADOR"/>
    <s v="MASCULINO"/>
    <s v="14436436-8"/>
    <d v="2021-03-08T00:00:00"/>
    <n v="24"/>
    <d v="2023-03-27T00:00:00"/>
    <s v="ANTIGUO"/>
    <s v="N/A"/>
    <s v="N/A"/>
    <s v="N/A"/>
    <n v="0"/>
    <s v="STP"/>
    <s v="N/A"/>
    <s v="N/A"/>
    <x v="6"/>
    <s v="ASEO OPERACIONAL"/>
    <s v="OPERARIO"/>
    <s v="VESTIDORES "/>
    <s v="N/A"/>
    <s v="TARDE"/>
    <d v="1899-12-30T14:30:00"/>
    <s v="LUNES"/>
    <s v="SEMANA 13"/>
    <m/>
    <m/>
    <s v="CARLOS JIMENES"/>
    <x v="24"/>
    <n v="32"/>
    <x v="12"/>
    <x v="7"/>
    <s v="Otros"/>
    <x v="13"/>
    <s v="COLABORADOR SIENTE FUERTE DOLOR EN LA CINTURA CUANDO SE VESTIA CON SU ROPA DE TRABAJO EN CAMARINES DE LA PLANTA "/>
    <s v="ACCION"/>
    <s v="SI"/>
    <s v="NO"/>
    <s v="ALAN CARRASCO"/>
    <s v="CARLOS CARTAGENA"/>
    <s v="CAMBIO DE ROPA EN CAMARINES"/>
  </r>
  <r>
    <n v="2023"/>
    <x v="2"/>
    <s v="EL PAICO"/>
    <s v="CHAVANNES"/>
    <s v="ESTILUS"/>
    <s v="MASCULINO"/>
    <s v="26172618-1"/>
    <d v="2019-10-14T00:00:00"/>
    <n v="40"/>
    <d v="2023-03-08T00:00:00"/>
    <s v="ANTIGUO"/>
    <s v="N/A"/>
    <s v="N/A"/>
    <s v="N/A"/>
    <n v="0"/>
    <s v="STP"/>
    <s v="N/A"/>
    <s v="N/A"/>
    <x v="2"/>
    <s v="EVISCERADO"/>
    <s v="OPERARIO"/>
    <s v="EVICERADO"/>
    <s v="N/A"/>
    <s v="TARDE"/>
    <d v="1899-12-30T18:20:00"/>
    <s v="MIERCOLES"/>
    <s v="SEMANA 10"/>
    <m/>
    <m/>
    <s v="NICOLAS MOYANO"/>
    <x v="2"/>
    <n v="34"/>
    <x v="13"/>
    <x v="3"/>
    <s v="Herida cortante"/>
    <x v="8"/>
    <s v="COLABORADOR SE ENCONTRABA SACANDO FILO A CUCHILLO, CUANDO ESTE CAE EN SU PIE DERECHO PRODUCIENDO UNA HERIDA CORTANTE"/>
    <s v="CONDICION"/>
    <s v="SI"/>
    <s v="NO"/>
    <s v="NICOLAS GOMEZ"/>
    <s v="CHRISTIAN JHONS"/>
    <m/>
  </r>
  <r>
    <n v="2023"/>
    <x v="2"/>
    <s v="EL PAICO"/>
    <s v="CASTRO CABRERA"/>
    <s v="ALEJANDRA"/>
    <s v="FEMENINO"/>
    <s v="13771008-0"/>
    <d v="2022-12-20T00:00:00"/>
    <n v="2"/>
    <d v="2023-03-04T00:00:00"/>
    <s v="NUEVO"/>
    <s v="N/A"/>
    <s v="N/A"/>
    <s v="N/A"/>
    <n v="0"/>
    <s v="STP"/>
    <s v="N/A"/>
    <s v="N/A"/>
    <x v="5"/>
    <s v="SELECCIÓN PECHUGA"/>
    <s v="OPERARIO"/>
    <s v="ESCALERAS COSTADO DE INGRESO PRINCIPAL"/>
    <s v="N/A"/>
    <s v="MAÑANA"/>
    <d v="1899-12-30T11:10:00"/>
    <s v="SABADO"/>
    <s v="SEMANA 9"/>
    <m/>
    <m/>
    <s v="DANIEL GARRIDO"/>
    <x v="10"/>
    <n v="43"/>
    <x v="1"/>
    <x v="7"/>
    <s v="Contusión"/>
    <x v="6"/>
    <s v="COLABORADORA SE ENCONTRABA BAJANDO POR LAS ESCALERAS UBICADAS AL COSTADO DE ENTRADA PRINCIPAL, SE RESBALA PROBONCANDO UNA CONTUCION EN COXIS."/>
    <s v="ACCION"/>
    <s v="SI"/>
    <s v="NO"/>
    <s v="NICOLAS GOMEZ"/>
    <s v="CHISTIAN JHONS"/>
    <s v="TRANSITO POR AREAS COMUNES"/>
  </r>
  <r>
    <n v="2023"/>
    <x v="2"/>
    <s v="EL PAICO"/>
    <s v="CARREÑO CERDA"/>
    <s v="FRANCISCO"/>
    <s v="MASCULINO"/>
    <s v="16340355-2"/>
    <d v="2022-10-17T00:00:00"/>
    <n v="4"/>
    <d v="2023-03-03T00:00:00"/>
    <s v="NUEVO"/>
    <d v="2023-03-03T00:00:00"/>
    <d v="2023-03-03T00:00:00"/>
    <s v="N/A"/>
    <n v="0"/>
    <s v="STP"/>
    <s v="N/A"/>
    <s v="N/A"/>
    <x v="2"/>
    <s v="COLGADO DE AVES"/>
    <s v="OPERARIO"/>
    <s v="COLGADO DE AVES"/>
    <s v="N/A"/>
    <s v="MAÑANA"/>
    <d v="1899-12-30T07:00:00"/>
    <s v="VIERNES"/>
    <s v="SEMANA 9"/>
    <n v="15542"/>
    <s v="NC-23-2023"/>
    <s v="NICOLAS MOYANO"/>
    <x v="25"/>
    <n v="37"/>
    <x v="11"/>
    <x v="5"/>
    <s v="Conjuntivitis"/>
    <x v="7"/>
    <s v="COLABORADOR SE ENCONTRABA EN LINEA COLGADO DE AVES, CUANDO SUFRE UNA PROYECCION DE PARTICULA EN OJO DERECHO PROVOCANDO INFLAMACION EN LA PARTE AFECTADA"/>
    <s v="CONDICION"/>
    <s v="SI"/>
    <s v="SI"/>
    <s v="NICOLAS GOMEZ"/>
    <s v="CARLOS CARTAGENA"/>
    <s v="COLGADO DE AVES VIVAS"/>
  </r>
  <r>
    <n v="2023"/>
    <x v="2"/>
    <s v="EL PAICO"/>
    <s v="CARANCIO ALEGRIA"/>
    <s v="MARCELO"/>
    <s v="MASCULINO"/>
    <s v="14439094-6"/>
    <d v="2018-11-19T00:00:00"/>
    <n v="52"/>
    <d v="2023-03-23T00:00:00"/>
    <s v="ANTIGUO"/>
    <s v="N/A"/>
    <s v="N/A"/>
    <s v="N/A"/>
    <n v="0"/>
    <s v="STP"/>
    <s v="N/A"/>
    <s v="N/A"/>
    <x v="5"/>
    <s v="DESHUESADO"/>
    <s v="OPERARIO"/>
    <m/>
    <s v="N/A"/>
    <s v="MAÑANA"/>
    <m/>
    <s v="JUEVES"/>
    <s v="SEMANA 12"/>
    <m/>
    <m/>
    <s v="DANIEL GARRIDO"/>
    <x v="4"/>
    <n v="49"/>
    <x v="0"/>
    <x v="7"/>
    <s v="Otros"/>
    <x v="0"/>
    <s v="COLABORADOR SE ENCONTRABA LEVANTANDO BANDEJAS CON POLLO, SIENTE DOLOR EN ESPALDA AL EJERCER FUERZA"/>
    <s v="ACCION"/>
    <s v="SI"/>
    <s v="NO"/>
    <s v="NICOLAS GOMEZ"/>
    <s v="CARLOS CARTAGENA"/>
    <s v="MOVIMIENTO DE MATERIALES (BINS, PALLET, BANDEJAS)"/>
  </r>
  <r>
    <n v="2023"/>
    <x v="2"/>
    <s v="EL PAICO"/>
    <s v="BARRAZA PERALTA"/>
    <s v="ISABEL"/>
    <s v="FEMENINO"/>
    <s v="9683999-5"/>
    <d v="2013-11-18T00:00:00"/>
    <n v="112"/>
    <d v="2023-03-22T00:00:00"/>
    <s v="ANTIGUO"/>
    <d v="2023-03-10T00:00:00"/>
    <d v="2023-03-10T00:00:00"/>
    <s v="N/A"/>
    <n v="0"/>
    <s v="STP"/>
    <s v="N/A"/>
    <s v="N/A"/>
    <x v="6"/>
    <s v="ASEO OPERACIONAL"/>
    <s v="OPERARIO"/>
    <s v="IQF4"/>
    <s v="N/A"/>
    <s v="MAÑANA"/>
    <d v="1899-12-30T11:40:00"/>
    <s v="MIERCOLES"/>
    <s v="SEMANA 12"/>
    <n v="15582"/>
    <s v="NC-20-2023"/>
    <s v="CARLOS JIMENES"/>
    <x v="26"/>
    <n v="58"/>
    <x v="4"/>
    <x v="8"/>
    <s v="Contusión"/>
    <x v="1"/>
    <s v="COLABORADORA SUFRE CAIDA MISMO NIVEL CUANDO SE ENCONTRABA SECANDO AGUA EN PISO DE IQF4"/>
    <s v="CONDICION"/>
    <s v="SI"/>
    <s v="SI"/>
    <s v="ALAN CARRASCO"/>
    <s v="WLADIMIR CALDERON "/>
    <s v="REALIZANDO LABORES DE ASEO"/>
  </r>
  <r>
    <n v="2023"/>
    <x v="2"/>
    <s v="EL PAICO"/>
    <s v="AGUILAR CORTES"/>
    <s v="LUIS"/>
    <s v="MASCULINO"/>
    <s v="9886055-K"/>
    <d v="2019-06-17T00:00:00"/>
    <n v="44"/>
    <d v="2023-03-01T00:00:00"/>
    <s v="ANTIGUO"/>
    <s v="N/A"/>
    <s v="N/A"/>
    <s v="N/A"/>
    <n v="0"/>
    <s v="STP"/>
    <s v="N/A"/>
    <s v="N/A"/>
    <x v="6"/>
    <s v="EVISCERADO"/>
    <s v="OPERARIO"/>
    <s v="EVICERADO"/>
    <s v="N/A"/>
    <s v="NOCHE"/>
    <d v="1899-12-30T22:05:00"/>
    <s v="MIERCOLES"/>
    <s v="SEMANA 9"/>
    <m/>
    <m/>
    <s v="CARLOS JIMENEZ"/>
    <x v="9"/>
    <n v="59"/>
    <x v="9"/>
    <x v="5"/>
    <s v="Otros"/>
    <x v="7"/>
    <s v="COLABORADOR QUE SE ENCONTRABA TRANVASIJANDO DETERGENTE, SUFRE SALPICADURA EN SU OJO IZQUERDO"/>
    <s v="ACCION"/>
    <s v="SI"/>
    <s v="NO"/>
    <s v="ALAN CARRASCO "/>
    <s v="WLADIMIR CALDERON "/>
    <s v="MANIPULACION DE PRODUCTO QUIMICO"/>
  </r>
  <r>
    <n v="2023"/>
    <x v="3"/>
    <s v="EL PAICO"/>
    <s v="VILLALOBOS VALENZUELA"/>
    <s v="PABLO"/>
    <s v="MASCULINO"/>
    <s v="19382613-K"/>
    <d v="2022-08-18T00:00:00"/>
    <n v="7"/>
    <d v="2023-04-04T00:00:00"/>
    <s v="INTERMEDIO"/>
    <s v="N/A"/>
    <s v="N/A"/>
    <s v="N/A"/>
    <n v="0"/>
    <s v="STP"/>
    <s v="N/A"/>
    <s v="N/A"/>
    <x v="5"/>
    <s v="DESHUESADO"/>
    <s v="OPERARIO"/>
    <s v="PASILLO CAMARA 206"/>
    <s v="N/A"/>
    <s v="TARDE"/>
    <d v="1899-12-30T00:45:00"/>
    <s v="MIERCOLES"/>
    <s v="SEMANA 14"/>
    <m/>
    <m/>
    <s v="DANIEL GARRIDO"/>
    <x v="10"/>
    <n v="27"/>
    <x v="7"/>
    <x v="7"/>
    <s v="Otros"/>
    <x v="0"/>
    <s v="COLABORADOR SUFRE TIRON EN ESPALDA Y CUELLO CUANDO SE ENCONTRABA MOVILIZANDO BINS CON PRODUCTO EN TRANSPALETA MANUAL "/>
    <s v="ACCION"/>
    <s v="SI"/>
    <s v="NO"/>
    <s v="NICOLAS GOMEZ"/>
    <s v="CHISTIAN JHONS"/>
    <s v="MOVIMIENTO DE MATERIALES (BINS, PALLET, BANDEJAS)"/>
  </r>
  <r>
    <n v="2023"/>
    <x v="3"/>
    <s v="EL PAICO"/>
    <s v="VIDAL ZAMBRANO"/>
    <s v="JAVIER"/>
    <s v="MASCULINO"/>
    <s v="21169027-5"/>
    <d v="2022-08-01T00:00:00"/>
    <n v="8"/>
    <d v="2023-04-12T00:00:00"/>
    <s v="INTERMEDIO"/>
    <s v="N/A"/>
    <s v="N/A"/>
    <s v="N/A"/>
    <n v="0"/>
    <s v="STP"/>
    <s v="LGF"/>
    <s v="LGF4"/>
    <x v="4"/>
    <s v="FRIGORIFICO"/>
    <s v="OPERARIO"/>
    <s v="TUNEL 4"/>
    <s v="EQUIPO PARA MOVIMIENTO DE CARGA (GRUAS O TRANSPALETAS)"/>
    <s v="MAÑANA"/>
    <d v="1899-12-30T09:45:00"/>
    <s v="MIERCOLES"/>
    <s v="SEMANA 15"/>
    <m/>
    <m/>
    <s v="FRANCISCO QUEZADA"/>
    <x v="27"/>
    <n v="20"/>
    <x v="2"/>
    <x v="3"/>
    <s v="Contusión"/>
    <x v="4"/>
    <s v="COLABORADOR SUFRE CONTUSION EN PIE IZQUIERDO POR COLICION ENTRE DOS TRANSPALETAS EN TUNEL 4 "/>
    <s v="ACCION"/>
    <s v="SI"/>
    <s v="NO"/>
    <s v="NICOLAS GOMEZ"/>
    <s v="CARLOS CARTAGENA"/>
    <m/>
  </r>
  <r>
    <n v="2023"/>
    <x v="3"/>
    <s v="EL PAICO"/>
    <s v="VASQUEZ CORRAL"/>
    <s v="JOSE"/>
    <s v="MASCULINO"/>
    <s v="9029022-3"/>
    <d v="2004-06-15T00:00:00"/>
    <n v="226"/>
    <d v="2023-04-18T00:00:00"/>
    <s v="ANTIGUO"/>
    <s v="N/A"/>
    <s v="N/A"/>
    <s v="N/A"/>
    <n v="0"/>
    <s v="STP"/>
    <s v="N/A"/>
    <s v="N/A"/>
    <x v="1"/>
    <s v="IQF"/>
    <s v="OPERARIO"/>
    <s v="IQF"/>
    <s v="N/A"/>
    <s v="TARDE"/>
    <d v="1899-12-30T15:30:00"/>
    <s v="MARTES"/>
    <s v="SEMANA 16"/>
    <m/>
    <m/>
    <s v="GUILLERMO NARVAEZ"/>
    <x v="21"/>
    <n v="63"/>
    <x v="14"/>
    <x v="0"/>
    <s v="Contusión"/>
    <x v="0"/>
    <s v="COLABORADOR SUFRE DOLOR EN MUÑECA IZQUERDA AL TOMAR CAJA EN LINEA DE IQF"/>
    <s v="ACCION"/>
    <s v="SI"/>
    <s v="NO"/>
    <s v="ALAN CARRASCO"/>
    <s v="MICHELLE SANCHEZ"/>
    <m/>
  </r>
  <r>
    <n v="2023"/>
    <x v="3"/>
    <s v="EL PAICO"/>
    <s v="VALDIVIA PEÑALOZA"/>
    <s v="JAIME"/>
    <s v="MASCULINO"/>
    <s v="14140942-5"/>
    <d v="2021-06-01T00:00:00"/>
    <n v="22"/>
    <d v="2023-04-17T00:00:00"/>
    <s v="ANTIGUO"/>
    <s v="N/A"/>
    <s v="N/A"/>
    <s v="N/A"/>
    <n v="0"/>
    <s v="STP"/>
    <s v="LGF"/>
    <s v="LGF4"/>
    <x v="1"/>
    <s v="IQF Y CALIBRADO"/>
    <s v="OPERARIO"/>
    <s v="CAMARA 208"/>
    <s v="EQUIPO PARA MOVIMIENTO DE CARGA (GRUAS O TRANSPALETAS)"/>
    <s v="MAÑANA"/>
    <d v="1899-12-30T10:06:00"/>
    <s v="LUNES"/>
    <s v="SEMANA 16"/>
    <m/>
    <m/>
    <s v="GUILLERMO NARVAEZ"/>
    <x v="17"/>
    <n v="42"/>
    <x v="7"/>
    <x v="0"/>
    <s v="Contusión"/>
    <x v="4"/>
    <s v="COLABORADOR SUFRE GOLPE EN MUÑECA IZQUERDA AL SER COLICIONADO POR OPERADOR DE TRANSPALETA ELECTRICA CUANDO ESTABA ENTRANDO A CAMARA 208"/>
    <s v="ACCION"/>
    <s v="SI"/>
    <s v="NO"/>
    <s v="ALAN CARRASCO"/>
    <s v="CHISTIAN JHONS"/>
    <m/>
  </r>
  <r>
    <n v="2023"/>
    <x v="3"/>
    <s v="EL PAICO"/>
    <s v="SANTIS RAMIREZ"/>
    <s v="JANIS"/>
    <s v="FEMENINO"/>
    <s v="19858836-9"/>
    <d v="2021-05-10T00:00:00"/>
    <n v="23"/>
    <d v="2023-04-11T00:00:00"/>
    <s v="ANTIGUO"/>
    <s v="N/A"/>
    <s v="N/A"/>
    <s v="N/A"/>
    <n v="0"/>
    <s v="STP"/>
    <s v="N/A"/>
    <s v="N/A"/>
    <x v="5"/>
    <s v="DESHUESADO"/>
    <s v="OPERARIO"/>
    <s v="CAMARA 208"/>
    <s v="N/A"/>
    <s v="MAÑANA"/>
    <d v="1899-12-30T08:55:00"/>
    <s v="MARTES"/>
    <s v="SEMANA 15"/>
    <m/>
    <m/>
    <s v="DANIEL GARRIDO"/>
    <x v="28"/>
    <n v="25"/>
    <x v="4"/>
    <x v="2"/>
    <s v="Contusión"/>
    <x v="1"/>
    <s v="COLABORADORA SUFRE CONTUSION EN ESPALDA Y CABEZA POR CAIDA MISMO NIVEL AL PISAR HIELO QUE SE ENCONTRABA EN PISO DE CAMARA 208 ROTULANDO BINS"/>
    <s v="CONDICION"/>
    <s v="SI"/>
    <s v="NO"/>
    <s v="NICOLAS GOMEZ"/>
    <s v="CARLOS CARTAGENA"/>
    <s v="TRANSITO POR AREAS DE PROCESO"/>
  </r>
  <r>
    <n v="2023"/>
    <x v="3"/>
    <s v="EL PAICO"/>
    <s v="RAGA VAZQUEZ"/>
    <s v="ELIZABETH"/>
    <s v="FEMENINO"/>
    <s v="26199492-5"/>
    <d v="2022-11-22T00:00:00"/>
    <n v="4"/>
    <d v="2023-04-19T00:00:00"/>
    <s v="NUEVO"/>
    <s v="N/A"/>
    <s v="N/A"/>
    <s v="N/A"/>
    <n v="0"/>
    <s v="STP"/>
    <s v="N/A"/>
    <s v="N/A"/>
    <x v="1"/>
    <s v="IQF"/>
    <s v="OPERARIO"/>
    <s v="IQF"/>
    <s v="N/A"/>
    <s v="TARDE"/>
    <d v="1899-12-30T19:00:00"/>
    <s v="MIERCOLES"/>
    <s v="SEMANA 16"/>
    <m/>
    <m/>
    <s v="GUILLERMO NARVAEZ"/>
    <x v="21"/>
    <n v="35"/>
    <x v="6"/>
    <x v="5"/>
    <s v="Conjuntivitis"/>
    <x v="7"/>
    <s v="COLABORADORA SUFRE IRRITACION OCULAR EN OJO IZQUIERDO POR PROYECCION DE PARTICULAS CUANDO SE ENCONTRABA MANIPULANDO PRODUCTOS EN BANDEJAS EN LINEA IQF"/>
    <s v="ACCION"/>
    <s v="SI"/>
    <s v="NO"/>
    <s v="NICOLAS GOMEZ"/>
    <s v="WLADIMIR CALDERON "/>
    <m/>
  </r>
  <r>
    <n v="2023"/>
    <x v="3"/>
    <s v="EL PAICO"/>
    <s v="PAVEZ AGUILA"/>
    <s v="PAULA"/>
    <s v="FEMENINO"/>
    <s v="20424217-8"/>
    <d v="2023-01-09T00:00:00"/>
    <n v="3"/>
    <d v="2023-04-24T00:00:00"/>
    <s v="NUEVO"/>
    <s v="N/A"/>
    <s v="N/A"/>
    <s v="N/A"/>
    <n v="0"/>
    <s v="STP"/>
    <s v="N/A"/>
    <s v="N/A"/>
    <x v="1"/>
    <s v="IQF"/>
    <s v="OPERARIO"/>
    <s v="IQF"/>
    <s v="N/A"/>
    <s v="TARDE"/>
    <d v="1899-12-30T22:30:00"/>
    <s v="LUNES"/>
    <s v="SEMANA 17"/>
    <m/>
    <m/>
    <s v="GUILLERMO NARVAEZ"/>
    <x v="17"/>
    <n v="23"/>
    <x v="4"/>
    <x v="4"/>
    <s v="Contusión"/>
    <x v="6"/>
    <s v="COLABORADOR SUFRE GOLPE EN RODILLA IZQUIERDA POR CAIDA DE DISTINTO NIVEL CUANDO SE ENCONTRABA MOVILIZANDO BANDEJAS EN LINEA DE IQF."/>
    <s v="CONDICION"/>
    <s v="SI"/>
    <s v="NO"/>
    <s v="ALAN CARRASCO"/>
    <s v="CARLOS CARTAGENA"/>
    <m/>
  </r>
  <r>
    <n v="2023"/>
    <x v="3"/>
    <s v="EL PAICO"/>
    <s v="NORAMBUENA CARVAJAL"/>
    <s v="RODRIGO"/>
    <s v="MASCULINO"/>
    <s v="16788251-K"/>
    <d v="2012-02-01T00:00:00"/>
    <n v="134"/>
    <d v="2023-04-15T00:00:00"/>
    <s v="ANTIGUO"/>
    <d v="2023-04-15T00:00:00"/>
    <d v="2023-09-24T00:00:00"/>
    <s v="N/A"/>
    <n v="163"/>
    <s v="CTP"/>
    <s v="LGF"/>
    <s v="LGF2"/>
    <x v="7"/>
    <s v="SALA DE PULPA"/>
    <s v="OPERARIO"/>
    <s v="SALA DE PULPA"/>
    <s v="MAQUINA BAADER"/>
    <s v="MAÑANA"/>
    <d v="1899-12-30T11:40:00"/>
    <s v="SABADO"/>
    <s v="SEMANA 15"/>
    <n v="15621"/>
    <s v="NC-35-23"/>
    <s v="OCTAVIO MUÑOZ"/>
    <x v="14"/>
    <n v="35"/>
    <x v="2"/>
    <x v="0"/>
    <s v="Fractura"/>
    <x v="2"/>
    <s v="COLABORADOR SUFRE DESPRENDIMIENTO EN DEDO ANULAR SUPERIOR DERECHO, POR ATRAPAMIENTO MIENTRAS OPERABA MAQUINA BAADER EN SALA DE PULPA."/>
    <s v="ACCION"/>
    <s v="SI"/>
    <s v="SI"/>
    <s v="ALAN CARRASCO"/>
    <s v="WLADIMIR CALDERON "/>
    <s v="OPERACIÓN DE MAQUINAS, EQUIPOS O HERRAMIENTAS MOTRICES"/>
  </r>
  <r>
    <n v="2023"/>
    <x v="3"/>
    <s v="EL PAICO"/>
    <s v="MENA MATTA"/>
    <s v="NINOSHKA"/>
    <s v="FEMENINO"/>
    <s v="18528198-1"/>
    <d v="2023-03-27T00:00:00"/>
    <n v="0"/>
    <d v="2023-04-22T00:00:00"/>
    <s v="NUEVO"/>
    <d v="2023-04-24T00:00:00"/>
    <d v="2023-04-27T00:00:00"/>
    <s v="N/A"/>
    <n v="4"/>
    <s v="CTP"/>
    <s v="N/A"/>
    <s v="N/A"/>
    <x v="4"/>
    <s v="FRIGORIFICO"/>
    <s v="OPERARIO"/>
    <s v="PASILLO B CAMARA "/>
    <s v="N/A"/>
    <s v="MAÑANA"/>
    <d v="1899-12-30T06:35:00"/>
    <s v="SABADO"/>
    <s v="SEMANA 16"/>
    <n v="15645"/>
    <s v="NC-52-23"/>
    <s v="FRANCISCO QUEZADA"/>
    <x v="29"/>
    <n v="30"/>
    <x v="4"/>
    <x v="4"/>
    <s v="Contusión"/>
    <x v="1"/>
    <s v="COLABORADORA SUFRE CONTUSION EN RODILLA DERECHA POR CAIDA DE MISMO EN PASILLO DE CAMARA EN EL AREA DE FRIGORIFICO"/>
    <s v="CONDICION"/>
    <s v="SI"/>
    <s v="SI"/>
    <s v="ALAN CARRASCO"/>
    <s v="MICHELLE SANCHEZ"/>
    <s v="TRANSITO POR AREAS DE PROCESO"/>
  </r>
  <r>
    <n v="2023"/>
    <x v="3"/>
    <s v="EL PAICO"/>
    <s v="MELLADO BARRIENTOS"/>
    <s v="POLONIA "/>
    <s v="FEMENINO"/>
    <s v="17422963-5"/>
    <d v="2021-02-22T00:00:00"/>
    <n v="25"/>
    <d v="2023-04-21T00:00:00"/>
    <s v="ANTIGUO"/>
    <d v="2023-04-24T00:00:00"/>
    <d v="2023-04-26T00:00:00"/>
    <s v="N/A"/>
    <n v="3"/>
    <s v="CTP"/>
    <s v="N/A"/>
    <s v="N/A"/>
    <x v="5"/>
    <s v="SALA DE PROCESO"/>
    <s v="OPERARIO"/>
    <s v="SALA DE PROCESO"/>
    <s v="N/A"/>
    <s v="TARDE"/>
    <m/>
    <s v="VIERNES"/>
    <s v="SEMANA 16"/>
    <n v="15647"/>
    <s v="NC-55-23"/>
    <s v="DANIEL GARRIDO"/>
    <x v="10"/>
    <n v="32"/>
    <x v="5"/>
    <x v="0"/>
    <s v="Contusión"/>
    <x v="5"/>
    <s v="COLABORADORA DE TPO SUFRIO CONTUSION EN MANO DERECHA GOLPEADA POR UN BINS, LA TRABAJADORA TENIA LA MANO APOYADA EN UN BINS EN ESE MOMENTO UN MOVILIZADOR ARRASTRA UN BINS CERCANO PARA POSICIONARLO A UN LADO DEL OTRO, EN ESTE MOMENTO NO SE PERCATA DE LA TRABAJADORA Y GOLPEADA SU MANO DEJANDOLA ENTRE AMBOS BINS, EL ACC OCURRIO EN SALA DE PROCESO. "/>
    <s v="ACCION"/>
    <s v="SI"/>
    <s v="SI"/>
    <s v="NICOLAS GOMEZ"/>
    <m/>
    <s v="MANIPULACION DE MATERIA PRIMA"/>
  </r>
  <r>
    <n v="2023"/>
    <x v="3"/>
    <s v="EL PAICO"/>
    <s v="HUINAO CARTAGENA"/>
    <s v="MANUEL"/>
    <s v="MASCULINO"/>
    <s v="15403657-1"/>
    <d v="2022-11-04T00:00:00"/>
    <n v="5"/>
    <d v="2023-04-27T00:00:00"/>
    <s v="NUEVO"/>
    <s v="N/A"/>
    <s v="N/A"/>
    <d v="2023-04-28T00:00:00"/>
    <n v="0"/>
    <s v="STP"/>
    <s v="N/A"/>
    <s v="N/A"/>
    <x v="1"/>
    <s v="CALIBRADO"/>
    <s v="OPERARIO"/>
    <s v="TROZADO DE POLLO"/>
    <s v="N/A"/>
    <s v="MAÑANA"/>
    <d v="1899-12-30T08:10:00"/>
    <s v="JUEVES"/>
    <s v="SEMANA 17"/>
    <m/>
    <m/>
    <s v="GUILLERMO NARVAEZ"/>
    <x v="21"/>
    <n v="40"/>
    <x v="5"/>
    <x v="3"/>
    <s v="Contusión"/>
    <x v="4"/>
    <s v="COLABORADOR SUFRE CONTUSION EN PIE DERECHO AL SE GOLPEADO POR COMPAÑERO QUE TRASLABA BINS CON PRODUCTO EN PASILLO DE TROZADO DE POLLO"/>
    <s v="ACCION"/>
    <s v="SI"/>
    <s v="NO"/>
    <s v="NICOLAS GOMEZ"/>
    <s v="WLADIMIR CALDERON "/>
    <m/>
  </r>
  <r>
    <n v="2023"/>
    <x v="3"/>
    <s v="EL PAICO"/>
    <s v="GUIÑEZ GARRIDO"/>
    <s v="PATRICIO"/>
    <s v="MASCULINO"/>
    <s v="14008724-6"/>
    <d v="2022-11-15T00:00:00"/>
    <n v="5"/>
    <d v="2023-04-24T00:00:00"/>
    <s v="NUEVO"/>
    <s v="N/A"/>
    <s v="N/A"/>
    <s v="N/A"/>
    <n v="0"/>
    <s v="STP"/>
    <s v="N/A"/>
    <s v="N/A"/>
    <x v="1"/>
    <s v="CALIBRADO"/>
    <s v="OPERARIO"/>
    <s v="EMPAQUE"/>
    <s v="N/A"/>
    <s v="MAÑANA"/>
    <d v="1899-12-30T08:00:00"/>
    <s v="LUNES"/>
    <s v="SEMANA 17"/>
    <m/>
    <m/>
    <s v="GUILLERMO NARVAEZ"/>
    <x v="1"/>
    <n v="41"/>
    <x v="0"/>
    <x v="1"/>
    <s v="Contusión"/>
    <x v="4"/>
    <s v="COLABORADOR SUFRE GOLPE EN POMULO IZQUIERDO POR TAPA DE CAJA CUANDO SE ENCONTRABA SACANDO ZUNCHOS EN EL AREA DE EMPAQUE"/>
    <s v="ACCION"/>
    <s v="SI"/>
    <s v="NO"/>
    <s v="NICOLAS GOMEZ"/>
    <s v="CARLOS CARTAGENA"/>
    <m/>
  </r>
  <r>
    <n v="2023"/>
    <x v="3"/>
    <s v="EL PAICO"/>
    <s v="GONZALEZ MEDINA"/>
    <s v="ERIKA"/>
    <s v="FEMENINO"/>
    <s v="15624346-9"/>
    <d v="1993-01-06T00:00:00"/>
    <n v="363"/>
    <d v="2023-04-27T00:00:00"/>
    <s v="ANTIGUO"/>
    <s v="N/A"/>
    <s v="N/A"/>
    <s v="N/A"/>
    <n v="0"/>
    <s v="STP"/>
    <s v="N/A"/>
    <s v="N/A"/>
    <x v="5"/>
    <s v="PROLIJADO"/>
    <s v="OPERARIO"/>
    <s v="LINEA PROLIJADO"/>
    <s v="N/A"/>
    <s v="MAÑANA"/>
    <d v="1899-12-30T12:30:00"/>
    <s v="VIERNES"/>
    <s v="SEMANA 17"/>
    <m/>
    <m/>
    <s v="DANIEL GARRIDO"/>
    <x v="10"/>
    <n v="55"/>
    <x v="0"/>
    <x v="0"/>
    <s v="Herida cortante"/>
    <x v="3"/>
    <s v="COLABORADORA SUFRE CORTE EN DEDO ANULAR DE MANO DERECHA CON CUCHILLO, EN LINEA PROLIJADO DE PECHUGAS"/>
    <s v="ACCION"/>
    <s v="SI"/>
    <s v="NO"/>
    <s v="ALAN CARRASCO"/>
    <s v="CARLOS CARTAGENA"/>
    <s v="REALIZANDO LABORES DE CORTE "/>
  </r>
  <r>
    <n v="2023"/>
    <x v="3"/>
    <s v="EL PAICO"/>
    <s v="GONALEZ NIDA"/>
    <s v="MAURICIO"/>
    <s v="MASCULINO"/>
    <s v="20122752-6"/>
    <d v="2023-03-14T00:00:00"/>
    <n v="0"/>
    <d v="2023-04-10T00:00:00"/>
    <s v="NUEVO"/>
    <d v="2023-04-11T00:00:00"/>
    <d v="2023-04-12T00:00:00"/>
    <s v="N/A"/>
    <n v="1"/>
    <s v="CTP"/>
    <s v="N/A"/>
    <s v="N/A"/>
    <x v="5"/>
    <s v="DESHUESADO"/>
    <s v="OPERARIO"/>
    <s v="DESHUESADO"/>
    <s v="N/A"/>
    <s v="MAÑANA"/>
    <d v="1899-12-30T08:30:00"/>
    <s v="LUNES"/>
    <s v="SEMANA 15"/>
    <n v="15618"/>
    <s v="NC-50-23"/>
    <s v="DANIEL GARRIDO"/>
    <x v="10"/>
    <n v="24"/>
    <x v="6"/>
    <x v="5"/>
    <s v="Conjuntivitis"/>
    <x v="7"/>
    <s v="COLABORADOR SUFRE INFLAMACION EN OJO IZQUIERDO POR SALPICADURA DE PRODUCTO AL ESTAR LIMPIANDO PECHUGAS EN LINEA DE PROLIJADO"/>
    <s v="ACCION"/>
    <s v="SI"/>
    <s v="SI"/>
    <s v="NICOLAS GOMEZ"/>
    <s v="CARLOS CARTAGENA"/>
    <s v="MANIPULACION DE MATERIA PRIMA"/>
  </r>
  <r>
    <n v="2023"/>
    <x v="3"/>
    <s v="EL PAICO"/>
    <s v="ESPINOZA PINTO"/>
    <s v="JORGE"/>
    <s v="MASCULINO"/>
    <s v="19849137-3"/>
    <d v="2022-11-14T00:00:00"/>
    <n v="5"/>
    <d v="2023-04-24T00:00:00"/>
    <s v="NUEVO"/>
    <d v="2023-04-24T00:00:00"/>
    <d v="2023-04-24T00:00:00"/>
    <s v="N/A"/>
    <n v="0"/>
    <s v="STP"/>
    <s v="N/A"/>
    <s v="N/A"/>
    <x v="5"/>
    <s v="TROZADO AUTOMATICO"/>
    <s v="OPERARIO"/>
    <s v="TROZADO AUTOMATICO"/>
    <s v="N/A"/>
    <s v="TARDE"/>
    <d v="1899-12-30T16:00:00"/>
    <s v="LUNES"/>
    <s v="SEMANA 17"/>
    <n v="15646"/>
    <s v="NC-53-23"/>
    <s v="DANIEL GARRIDO"/>
    <x v="6"/>
    <n v="24"/>
    <x v="0"/>
    <x v="3"/>
    <s v="Herida cortante"/>
    <x v="3"/>
    <s v="COLABORADOR SUFRE HERIDA PUNZANTE AL PISAR TABLA CON CLAVO QUE SE ENCONTRABA EN SUELO DE PASILLO C "/>
    <s v="CONDICION"/>
    <s v="SI"/>
    <s v="SI"/>
    <s v="ALAN CARRASCO"/>
    <s v="CARLOS CARTAGENA"/>
    <s v="MOVIMIENTO DE MATERIALES (BINS, PALLET, BANDEJAS)"/>
  </r>
  <r>
    <n v="2023"/>
    <x v="3"/>
    <s v="EL PAICO"/>
    <s v="DURAN OYANEDEL"/>
    <s v="CRISTIAN"/>
    <s v="MASCULINO"/>
    <s v="13334407-1"/>
    <d v="2005-12-01T00:00:00"/>
    <n v="208"/>
    <d v="2023-04-29T00:00:00"/>
    <s v="ANTIGUO"/>
    <d v="2023-04-29T00:00:00"/>
    <d v="2023-05-05T00:00:00"/>
    <s v="N/A"/>
    <n v="7"/>
    <s v="CTP"/>
    <s v="N/A"/>
    <s v="N/A"/>
    <x v="6"/>
    <s v="ASEO OPERACIONAL"/>
    <s v="ENCARGADO DE LINEA"/>
    <s v="PASILLO SALA DE JUEGOS"/>
    <s v="N/A"/>
    <s v="MAÑANA"/>
    <d v="1899-12-30T10:40:00"/>
    <s v="SABADO"/>
    <s v="SEMANA 17"/>
    <n v="15654"/>
    <s v="NC-63-23"/>
    <s v="CARLOS JIMENEZ"/>
    <x v="22"/>
    <n v="47"/>
    <x v="3"/>
    <x v="3"/>
    <s v="Torsión"/>
    <x v="1"/>
    <s v="COLABORADOR DE SSGG SUFRE TORSION DE SU PIERNA IZQUIERDA POR CAIDA A MISMO NIVEL AL REBALAR FUERA DE SALA DE CAPACITACION POR EL PASILLO DE LA SALA DE JUEGOS PRODUCTO DE AGUA EN EL PISO A RAIZ DE UNA GOTERA, ESTO MIENTRAS SE DIRIGIA AL PROCESO POR EL LLAMADO DE UNA CONTINGENCIA."/>
    <s v="CONDICION"/>
    <s v="SI"/>
    <s v="SI"/>
    <s v="NICOLAS GOMEZ"/>
    <s v="CHISTIAN JHONS"/>
    <s v="TRANSITO POR AREAS COMUNES"/>
  </r>
  <r>
    <n v="2023"/>
    <x v="3"/>
    <s v="EL PAICO"/>
    <s v="CASTILLO TRIVIÑO"/>
    <s v="PABLO"/>
    <s v="MASCULINO"/>
    <s v="19409089-7"/>
    <d v="2020-03-16T00:00:00"/>
    <n v="37"/>
    <d v="2023-04-18T00:00:00"/>
    <s v="ANTIGUO"/>
    <d v="2023-04-19T00:00:00"/>
    <d v="2023-04-24T00:00:00"/>
    <s v="N/A"/>
    <n v="6"/>
    <s v="CTP"/>
    <s v="N/A"/>
    <s v="N/A"/>
    <x v="8"/>
    <s v="MANTENCION"/>
    <s v="OPERARIO"/>
    <s v="POZO DE PLUMAS"/>
    <s v="N/A"/>
    <s v="TARDE"/>
    <d v="1899-12-30T18:00:00"/>
    <s v="MARTES"/>
    <s v="SEMANA 16"/>
    <n v="15632"/>
    <s v="NC-51-23"/>
    <s v="VICTOR GOMEZ"/>
    <x v="23"/>
    <n v="27"/>
    <x v="12"/>
    <x v="3"/>
    <s v="Herida cortante"/>
    <x v="13"/>
    <s v="COLABORADOR SUFRE HERIDA EN PIE IZQUIERDO POR ROCE CON ZAPATO DE SEGURIDAD AL REALIZAR SUS LABORES EN POZO DE PLUMAS "/>
    <s v="ACCION"/>
    <s v="SI"/>
    <s v="SI"/>
    <s v="ALAN CARRASCO "/>
    <s v="MICHELLE SANCHEZ"/>
    <s v="LABORES DE MANTENCIÓN"/>
  </r>
  <r>
    <n v="2023"/>
    <x v="3"/>
    <s v="EL PAICO"/>
    <s v="CARRASCO CACERES"/>
    <s v="VICTOR"/>
    <s v="MASCULINO"/>
    <s v="16985231-6"/>
    <d v="2008-07-18T00:00:00"/>
    <n v="176"/>
    <d v="2023-04-12T00:00:00"/>
    <s v="ANTIGUO"/>
    <s v="N/A"/>
    <s v="N/A"/>
    <s v="N/A"/>
    <n v="0"/>
    <s v="STP"/>
    <s v="N/A"/>
    <s v="N/A"/>
    <x v="5"/>
    <s v="TROZADO AUTOMATICO"/>
    <s v="OPERARIO"/>
    <s v="ANDENES"/>
    <s v="N/A"/>
    <s v="TARDE"/>
    <d v="1899-12-30T15:10:00"/>
    <s v="MIERCOLES"/>
    <s v="SEMANA 15"/>
    <m/>
    <m/>
    <s v="DANIEL GARRIDO"/>
    <x v="30"/>
    <n v="34"/>
    <x v="5"/>
    <x v="7"/>
    <s v="Otros"/>
    <x v="0"/>
    <s v="COLABORADOR SUFRE DOLOR EN ESPALDA POR SOBREESFUERZOAL ESTAR MOVIENDO BINS QUE SE ENCONTRABAN APRETADOS EN SECTOR DE ANDENES."/>
    <s v="ACCION"/>
    <s v="SI"/>
    <s v="NO"/>
    <s v="NICOLAS GOMEZ"/>
    <s v="CARLOS CARTAGENA"/>
    <s v="MOVIMIENTO DE MATERIALES (BINS, PALLET, BANDEJAS)"/>
  </r>
  <r>
    <n v="2023"/>
    <x v="3"/>
    <s v="EL PAICO"/>
    <s v="CAMACHO CASTELLANOS"/>
    <s v="JESUS"/>
    <s v="MASCULINO"/>
    <s v="27001301-5"/>
    <d v="2021-04-26T00:00:00"/>
    <n v="23"/>
    <d v="2023-04-04T00:00:00"/>
    <s v="ANTIGUO"/>
    <d v="2023-04-05T00:00:00"/>
    <d v="2023-04-21T00:00:00"/>
    <s v="N/A"/>
    <n v="17"/>
    <s v="CTP"/>
    <s v="N/A"/>
    <s v="N/A"/>
    <x v="5"/>
    <s v="DESHUESADO"/>
    <s v="OPERARIO"/>
    <s v="DESHUESADO"/>
    <s v="N/A"/>
    <s v="TARDE"/>
    <d v="1899-12-30T16:20:00"/>
    <s v="MARTES"/>
    <s v="SEMANA 14"/>
    <n v="15605"/>
    <s v="NC-33-23"/>
    <s v="DANIEL GARRIDO"/>
    <x v="10"/>
    <n v="24"/>
    <x v="2"/>
    <x v="0"/>
    <s v="Herida cortante"/>
    <x v="3"/>
    <s v="COLABORADOR SUFRE HERIDA PENETRANTE EN PALMA DE MANO IZQUERDA AL ESTAR COLGANDO PECHUGAS DE POLLO ENTERAS"/>
    <s v="ACCION"/>
    <s v="SI"/>
    <s v="SI"/>
    <s v="ALAN CARRASCO "/>
    <s v="CARLOS CARTAGENA"/>
    <s v="MANIPULACION DE MATERIA PRIMA"/>
  </r>
  <r>
    <n v="2023"/>
    <x v="3"/>
    <s v="EL PAICO"/>
    <s v="COELHO DE SAUCE"/>
    <s v="SILVIO"/>
    <s v="MASCULINO"/>
    <s v="27133909-7"/>
    <d v="2021-09-13T00:00:00"/>
    <n v="19"/>
    <d v="2023-04-21T00:00:00"/>
    <s v="ANTIGUO"/>
    <s v="N/A"/>
    <s v="N/A"/>
    <s v="N/A"/>
    <n v="0"/>
    <s v="STP"/>
    <s v="LGF"/>
    <s v="LGF4"/>
    <x v="4"/>
    <s v="FRIGORIFICO"/>
    <s v="OPERARIO"/>
    <s v="SALA EMPAQUE TUNEL"/>
    <s v="EQUIPO PARA MOVIMIENTO DE CARGA (GRUAS O TRANSPALETAS)"/>
    <s v="TARDE"/>
    <d v="1899-12-30T14:30:00"/>
    <s v="VIERNES"/>
    <s v="SEMANA 16"/>
    <m/>
    <s v="NC-54-23"/>
    <s v="FRANCISCO QUEZADA"/>
    <x v="29"/>
    <n v="40"/>
    <x v="7"/>
    <x v="2"/>
    <s v="Contusión"/>
    <x v="4"/>
    <s v="COLABORADOR SUFRE GOLPE EN BRAZO Y PIERNA POR ATRAPAMIENTO ENTRE DOS PALLET CON CAJAS EN SALA DE PALLETIZADO EN EL AREA DE FRIGORIFICO "/>
    <s v="ACCION"/>
    <s v="SI"/>
    <s v="SI"/>
    <s v="NICOLAS GOMEZ"/>
    <s v="CHISTIAN JHONS"/>
    <s v="ARMADO DE PALLET"/>
  </r>
  <r>
    <n v="2023"/>
    <x v="3"/>
    <s v="EL PAICO"/>
    <s v="BERNARD "/>
    <s v="ROSE-CARINE"/>
    <s v="FEMENINO"/>
    <s v="26225281-7"/>
    <d v="2021-12-29T00:00:00"/>
    <n v="15"/>
    <d v="2023-04-04T00:00:00"/>
    <s v="INTERMEDIO"/>
    <s v="N/A"/>
    <s v="N/A"/>
    <s v="N/A"/>
    <n v="0"/>
    <s v="STP"/>
    <s v="N/A"/>
    <s v="N/A"/>
    <x v="6"/>
    <s v="ASEO OPERACIONAL"/>
    <s v="OPERARIO"/>
    <s v="DESHUESADO"/>
    <s v="N/A"/>
    <s v="TARDE"/>
    <d v="1899-12-30T08:45:00"/>
    <s v="MARTES"/>
    <s v="SEMANA 14"/>
    <n v="15606"/>
    <s v="NC-31-23"/>
    <s v="CARLOS JIMENES"/>
    <x v="22"/>
    <n v="28"/>
    <x v="4"/>
    <x v="8"/>
    <s v="Contusión"/>
    <x v="1"/>
    <s v="COLABORADORA SUFRE CAIDA EN SALA DE PROCESO GOLPEANDOSE EN HOMBRO IZQUERDO"/>
    <s v="CONDICION"/>
    <s v="SI"/>
    <s v="SI"/>
    <s v="ALAN CARRASCO"/>
    <s v="CARLOS CARTAGENA"/>
    <s v="TRANSITO POR AREAS DE PROCESO"/>
  </r>
  <r>
    <n v="2023"/>
    <x v="3"/>
    <s v="EL PAICO"/>
    <s v="ARAYA MOYANO"/>
    <s v="MARIA INES"/>
    <s v="FEMENINO"/>
    <s v="10999607-6"/>
    <d v="2014-11-10T00:00:00"/>
    <n v="100"/>
    <d v="2023-04-06T00:00:00"/>
    <s v="ANTIGUO"/>
    <d v="2023-04-08T00:00:00"/>
    <d v="2023-04-15T00:00:00"/>
    <s v="N/A"/>
    <n v="8"/>
    <s v="CTP"/>
    <s v="LGF"/>
    <s v="LGF3"/>
    <x v="6"/>
    <s v="ASEO OPERACIONAL"/>
    <s v="OPERARIO"/>
    <s v="FAENA"/>
    <s v="N/A"/>
    <s v="NOCHE"/>
    <d v="1899-12-30T19:30:00"/>
    <s v="JUEVES"/>
    <s v="SEMANA 14"/>
    <n v="15615"/>
    <s v="NC-32-23"/>
    <s v="CARLOS JIMENES"/>
    <x v="9"/>
    <n v="56"/>
    <x v="9"/>
    <x v="0"/>
    <s v="Quemadura"/>
    <x v="12"/>
    <s v="COLABORA SUFRE QUEMADURA EN EN DEDO INDICE Y PULGAR DE MANO DERECHA Y DEDO PULGAR DE MANO IZQUERDA POR CONTACTO CON PRODUCTO QUIMICO AL ESTAR LAVANDO CORTINAS PLASTICAS EN EL PASILLO DE FAENA"/>
    <s v="ACCION"/>
    <s v="SI"/>
    <s v="SI"/>
    <s v="NICOLAS GOMEZ"/>
    <m/>
    <s v="MANIPULACION DE PRODUCTO QUIMICO"/>
  </r>
  <r>
    <n v="2023"/>
    <x v="3"/>
    <s v="EL PAICO"/>
    <s v="ALLENDE FROST"/>
    <s v="ANA "/>
    <s v="FEMENINO"/>
    <s v="14246215-K"/>
    <d v="2019-09-09T00:00:00"/>
    <n v="43"/>
    <d v="2023-04-24T00:00:00"/>
    <s v="ANTIGUO"/>
    <s v="N/A"/>
    <s v="N/A"/>
    <s v="N/A"/>
    <n v="0"/>
    <s v="STP"/>
    <s v="N/A"/>
    <s v="N/A"/>
    <x v="5"/>
    <s v="DESHUESADO"/>
    <s v="OPERARIO"/>
    <s v="DESHUESADO"/>
    <s v="N/A"/>
    <s v="TARDE"/>
    <d v="1899-12-30T14:50:00"/>
    <s v="LUNES"/>
    <s v="SEMANA 17"/>
    <m/>
    <m/>
    <s v="DANIEL GARRIDO"/>
    <x v="31"/>
    <n v="48"/>
    <x v="0"/>
    <x v="0"/>
    <s v="Contusión"/>
    <x v="5"/>
    <s v="COLABORADORA SUFRE CONTUSION EN DEDO MEDIUM DE MANO IZQUIERDA AL DEJAR ROLLO DE LAMINA SOBRE MESA DE FILETILLO EN DESHUESADO DE PECHUGA"/>
    <s v="ACCION"/>
    <s v="SI"/>
    <s v="NO"/>
    <s v="NICOLAS GOMEZ"/>
    <s v="CARLOS CARTAGENA"/>
    <s v="MANIPULACION DE MATERIALES DE TRABAJO"/>
  </r>
  <r>
    <n v="2023"/>
    <x v="4"/>
    <s v="EL PAICO"/>
    <s v="VILLALOBOS VALENZUELA"/>
    <s v="PABLO"/>
    <s v="MASCULINO"/>
    <s v="19382613-K"/>
    <d v="2022-08-18T00:00:00"/>
    <n v="8"/>
    <d v="2023-05-13T00:00:00"/>
    <s v="INTERMEDIO"/>
    <s v="N/A"/>
    <s v="N/A"/>
    <s v="N/A"/>
    <n v="0"/>
    <s v="STP"/>
    <s v="N/A"/>
    <s v="N/A"/>
    <x v="5"/>
    <s v="DESHUESADO"/>
    <s v="OPERARIO"/>
    <s v="DESHUESADO"/>
    <s v="N/A"/>
    <s v="MAÑANA"/>
    <d v="1899-12-30T10:00:00"/>
    <s v="SABADO"/>
    <s v="SEMANA 19"/>
    <m/>
    <m/>
    <s v="DANIEL GARRIDO"/>
    <x v="10"/>
    <n v="27"/>
    <x v="14"/>
    <x v="8"/>
    <s v="Torsión"/>
    <x v="13"/>
    <s v="COLABORADOR SUFRE DOLENCIA EN MUÑECA DERECHA POR TORSION AL AFIRMAR CAJA CON PRODUCTO EN DESHUESADO"/>
    <s v="ACCION"/>
    <s v="SI"/>
    <s v="NO"/>
    <s v="ALAN CARRASCO"/>
    <s v="WLADIMIR CALDERON "/>
    <s v="MOVIMIENTO DE MATERIALES (BINS, PALLET, BANDEJAS)"/>
  </r>
  <r>
    <n v="2023"/>
    <x v="4"/>
    <s v="EL PAICO"/>
    <s v="VICENCIO ARAYA"/>
    <s v="MARIANEL"/>
    <s v="FEMENINO"/>
    <s v="20424728-5"/>
    <d v="2022-01-19T00:00:00"/>
    <n v="15"/>
    <d v="2023-05-08T00:00:00"/>
    <s v="INTERMEDIO"/>
    <d v="2023-05-08T00:00:00"/>
    <d v="2023-05-15T00:00:00"/>
    <s v="N/A"/>
    <n v="8"/>
    <s v="CTP"/>
    <s v="LGF"/>
    <s v="LGF2"/>
    <x v="6"/>
    <s v="ASEO OPERACIONAL"/>
    <s v="OPERARIO"/>
    <s v="CINTA TRIMIN"/>
    <s v="CINTA TRIMIN"/>
    <s v="NOCHE"/>
    <d v="1899-12-30T01:05:00"/>
    <s v="LUNES"/>
    <s v="SEMANA 19"/>
    <n v="15681"/>
    <s v="NC-7-23."/>
    <s v="CARLOS JIMENES"/>
    <x v="7"/>
    <n v="22"/>
    <x v="2"/>
    <x v="0"/>
    <s v="Contusión"/>
    <x v="2"/>
    <s v="COLABORADORA SUFRE CONTUSION EN MANO IZQUIERDA,  POR ATRAPAMIENTO CUANDO SE ENCONTRABA LIMPIANDO CINTA TRIMIN EN EL AREA DESHUESADO "/>
    <s v="ACCION"/>
    <s v="SI"/>
    <s v="SI"/>
    <s v="NICOLAS GOMEZ"/>
    <s v="CHISTIAN JHONS"/>
    <s v="MANIPULACION DE MATERIA PRIMA"/>
  </r>
  <r>
    <n v="2023"/>
    <x v="4"/>
    <s v="EL PAICO"/>
    <s v="VAZQUEZ RIVEROS"/>
    <s v="PAMELA"/>
    <s v="FEMENINO"/>
    <s v="16985189-1"/>
    <d v="2022-12-13T00:00:00"/>
    <n v="4"/>
    <d v="2023-05-09T00:00:00"/>
    <s v="NUEVO"/>
    <s v="N/A"/>
    <s v="N/A"/>
    <s v="N/A"/>
    <n v="0"/>
    <s v="STP"/>
    <s v="N/A"/>
    <s v="N/A"/>
    <x v="5"/>
    <s v="DESHUESADO"/>
    <s v="OPERARIO"/>
    <s v="TROZADO DE PAVO"/>
    <s v="N/A"/>
    <s v="MAÑANA"/>
    <d v="1899-12-30T13:40:00"/>
    <s v="MARTES"/>
    <s v="SEMANA 19"/>
    <m/>
    <m/>
    <s v="DANIEL GARRIDO"/>
    <x v="10"/>
    <n v="37"/>
    <x v="6"/>
    <x v="2"/>
    <s v="Contusión"/>
    <x v="1"/>
    <s v="COLABORADORA SUFRE CAIDA A NIVEL AL PISAR RESTOS DE PRODUCTOS QUE SE ENCONTRABAN EN EL PISO, CUANDO PASABA POR EL AREA DE TROZADO DE PAVO"/>
    <s v="CONDICION"/>
    <s v="SI"/>
    <s v="NO"/>
    <s v="NICOLAS GOMEZ"/>
    <s v="WLADIMIR CALDERON "/>
    <s v="TRANSITO POR AREAS DE PROCESO"/>
  </r>
  <r>
    <n v="2023"/>
    <x v="4"/>
    <s v="EL PAICO"/>
    <s v="VARGAS ROJAS"/>
    <s v="TOMAS"/>
    <s v="MASCULINO"/>
    <s v="21171568-5"/>
    <d v="2023-03-14T00:00:00"/>
    <n v="2"/>
    <d v="2023-05-22T00:00:00"/>
    <s v="NUEVO"/>
    <s v="N/A"/>
    <s v="N/A"/>
    <s v="N/A"/>
    <n v="0"/>
    <s v="STP"/>
    <s v="N/A"/>
    <s v="N/A"/>
    <x v="5"/>
    <s v="DESHUESADO"/>
    <s v="OPERARIO"/>
    <s v="DESHUESADO"/>
    <s v="EQUIPO PARA MOVIMIENTO DE CARGA (GRUAS O TRANSPALETAS)"/>
    <s v="MAÑANA"/>
    <d v="1899-12-30T08:30:00"/>
    <s v="LUNES"/>
    <s v="SEMANA 21"/>
    <m/>
    <m/>
    <s v="DANIEL GARRIDO"/>
    <x v="10"/>
    <n v="19"/>
    <x v="7"/>
    <x v="3"/>
    <s v="Contusión"/>
    <x v="4"/>
    <s v="COLABORADOR SUFRE CONTUSION EN PIE IZQUIERDO POR TRANSPALETA ELECTRICA MANEJADA POR COMPAÑERO, MIENTRAS ARREGLABA UNA CAJA EN EL AREA DE DESHUESADO"/>
    <s v="ACCION"/>
    <s v="SI"/>
    <s v="NO"/>
    <s v="NICOLAS GOMEZ"/>
    <s v="CARLOS CARTAGENA"/>
    <m/>
  </r>
  <r>
    <n v="2023"/>
    <x v="4"/>
    <s v="EL PAICO"/>
    <s v="TORRES JARA"/>
    <s v="JOSE"/>
    <s v="MASCULINO"/>
    <s v="16519060-2"/>
    <d v="2023-05-22T00:00:00"/>
    <n v="0"/>
    <d v="2023-05-24T00:00:00"/>
    <s v="NUEVO"/>
    <s v="N/A"/>
    <s v="N/A"/>
    <s v="N/A"/>
    <n v="0"/>
    <s v="STP"/>
    <s v="N/A"/>
    <s v="N/A"/>
    <x v="2"/>
    <s v="COLGADO DE POLLO"/>
    <s v="OPERARIO"/>
    <s v="FAENA"/>
    <s v="N/A"/>
    <s v="MAÑANA"/>
    <d v="1899-12-30T06:30:00"/>
    <s v="MIERCOLES"/>
    <s v="SEMANA 21"/>
    <m/>
    <m/>
    <s v="NICOLAS MOYANO"/>
    <x v="2"/>
    <n v="36"/>
    <x v="3"/>
    <x v="8"/>
    <s v="Contusión"/>
    <x v="4"/>
    <s v="COLABORADOR SUFRE CONTUSION EN ANTEBRAZO IZQUIERDO AL SER GOLPEADO POR LLAVE METALICA CUANDO SE ENCONTABA RECOGIENDO PRODUCTO PARA COLGARLO."/>
    <s v="ACCION"/>
    <s v="SI"/>
    <s v="NO"/>
    <s v="NICOLAS GOMEZ"/>
    <s v="MICHELLE SANCHEZ"/>
    <m/>
  </r>
  <r>
    <n v="2023"/>
    <x v="4"/>
    <s v="EL PAICO"/>
    <s v="TAPIA GUERRA"/>
    <s v="MARIA"/>
    <s v="FEMENINO"/>
    <s v="15404921-5"/>
    <d v="2018-11-12T00:00:00"/>
    <n v="53"/>
    <d v="2023-05-02T00:00:00"/>
    <s v="ANTIGUO"/>
    <s v="N/A"/>
    <s v="N/A"/>
    <s v="N/A"/>
    <n v="0"/>
    <s v="STP"/>
    <s v="N/A"/>
    <s v="N/A"/>
    <x v="1"/>
    <s v="CALIBRADO"/>
    <s v="OPERARIO"/>
    <s v="IQF 4"/>
    <s v="N/A"/>
    <s v="MAÑANA"/>
    <d v="1899-12-30T05:35:00"/>
    <s v="MARTES"/>
    <s v="SEMANA 18"/>
    <m/>
    <m/>
    <s v="GUILLERMO NARVAEZ"/>
    <x v="17"/>
    <n v="41"/>
    <x v="9"/>
    <x v="2"/>
    <s v="Otros"/>
    <x v="12"/>
    <s v="COLABORADORA SUFRE MOLESTIAS, EN OJOS, NARIZ Y BOCA, POR EXPOSICION A ACIDO PERACETICO EN IQF 4"/>
    <s v="CONDICION"/>
    <s v="SI"/>
    <s v="NO"/>
    <s v="ALAN CARRASCO"/>
    <s v="CARLOS CARTAGENA"/>
    <m/>
  </r>
  <r>
    <n v="2023"/>
    <x v="4"/>
    <s v="EL PAICO"/>
    <s v="SILVA CATALAN "/>
    <s v="SEBASTIAN "/>
    <s v="MASCULINO"/>
    <s v="16291172-4"/>
    <d v="2022-12-19T00:00:00"/>
    <n v="4"/>
    <d v="2023-05-11T00:00:00"/>
    <s v="NUEVO"/>
    <d v="2023-05-11T00:00:00"/>
    <d v="2023-05-17T00:00:00"/>
    <s v="N/A"/>
    <n v="7"/>
    <s v="CTP"/>
    <s v="N/A"/>
    <s v="N/A"/>
    <x v="6"/>
    <s v="ASEO OPERACIONAL"/>
    <s v="OPERARIO"/>
    <s v="SALA ACOPIO DE BINS"/>
    <s v="BINS"/>
    <s v="TARDE"/>
    <d v="1899-12-30T18:25:00"/>
    <s v="JUEVES"/>
    <s v="SEMANA 19"/>
    <n v="15692"/>
    <s v="NC-59-23"/>
    <s v="CARLOS JIMENES"/>
    <x v="32"/>
    <n v="37"/>
    <x v="5"/>
    <x v="0"/>
    <s v="Contusión"/>
    <x v="5"/>
    <s v="COLABORADOR SUFRE GOLPE EN DEDO PULGAR DE MANO DE MANO DERECHA AL ESTAR MOVILIZANDO BINS VACIOS CON TRANSPALETA MANUAL A SAL DE ACOPIO DE BINS SALA LIMPIA"/>
    <s v="ACCION"/>
    <s v="SI"/>
    <s v="SI"/>
    <s v="ALAN CARRASCO"/>
    <s v="CARLOS CARTAGENA"/>
    <s v="MOVIMIENTO DE MATERIALES (BINS, PALLET, BANDEJAS)"/>
  </r>
  <r>
    <n v="2023"/>
    <x v="4"/>
    <s v="EL PAICO"/>
    <s v="SANTIS GONZÁLEZ"/>
    <s v="MAURICIO"/>
    <s v="MASCULINO"/>
    <s v="13771697-6"/>
    <d v="2005-06-01T00:00:00"/>
    <n v="215"/>
    <d v="2023-05-13T00:00:00"/>
    <s v="ANTIGUO"/>
    <s v="N/A"/>
    <s v="N/A"/>
    <s v="N/A"/>
    <n v="0"/>
    <s v="STP"/>
    <s v="N/A"/>
    <s v="N/A"/>
    <x v="7"/>
    <s v="SALA DE PULPA"/>
    <s v="OPERARIO"/>
    <s v="SALA DE PULPA"/>
    <s v="N/A"/>
    <s v="TARDE"/>
    <d v="1899-12-30T16:55:00"/>
    <s v="SABADO"/>
    <s v="SEMANA 19"/>
    <m/>
    <m/>
    <s v="OCTAVIO MUÑOZ"/>
    <x v="14"/>
    <n v="43"/>
    <x v="2"/>
    <x v="0"/>
    <s v="Herida cortante"/>
    <x v="8"/>
    <s v="COLABORADOR SUFRE HERIDA CORTANTE EN DEDO INDICE SUPERIOR IZQUIERDO AL ESTAR SACANDO RINES EN SALA DE PULPA "/>
    <s v="ACCION"/>
    <s v="SI"/>
    <s v="NO"/>
    <s v="ALAN CARRASCO"/>
    <s v="WLADIMIR CALDERON "/>
    <m/>
  </r>
  <r>
    <n v="2023"/>
    <x v="4"/>
    <s v="EL PAICO"/>
    <s v="SANTIBAÑEZ MARIN"/>
    <s v="KARLA"/>
    <s v="FEMENINO"/>
    <s v="17802999-1"/>
    <d v="2020-05-29T00:00:00"/>
    <n v="35"/>
    <d v="2023-05-03T00:00:00"/>
    <s v="ANTIGUO"/>
    <s v="N/A"/>
    <s v="N/A"/>
    <s v="N/A"/>
    <n v="0"/>
    <s v="STP"/>
    <s v="N/A"/>
    <s v="N/A"/>
    <x v="1"/>
    <s v="IQF 2"/>
    <s v="OPERARIO"/>
    <s v="IQF 2"/>
    <s v="TAPA DE CABEZAL DE INYECTORA IQF 2"/>
    <s v="MAÑANA"/>
    <d v="1899-12-30T05:39:00"/>
    <s v="MIERCOLES"/>
    <s v="SEMANA 18"/>
    <m/>
    <m/>
    <s v="GUILLERMO NARVAEZ"/>
    <x v="17"/>
    <n v="32"/>
    <x v="2"/>
    <x v="0"/>
    <s v="Contusión"/>
    <x v="4"/>
    <s v="COLABORADORA DE IQF-CALIBRADO SUFRE CONTUSION EN MANO DERECHA POR APLASTAMIENTO DE TAPA AL MOMENTO SE REALIZAR LIMPIENZA DE MAQUINA INYECTORA IQF-4 SE BAJA LA TAPA DEL CABEZAL GOLPEANDO SU MANO."/>
    <s v="ACCION"/>
    <s v="SI"/>
    <s v="NO"/>
    <s v="CARLOS ORELLANA"/>
    <s v="CHISTIAN JHONS"/>
    <m/>
  </r>
  <r>
    <n v="2023"/>
    <x v="4"/>
    <s v="EL PAICO"/>
    <s v="ROJAS PAVEZ"/>
    <s v="FERNANDO"/>
    <s v="MASCULINO"/>
    <s v="19503953-4"/>
    <d v="2017-06-12T00:00:00"/>
    <n v="71"/>
    <d v="2023-05-26T00:00:00"/>
    <s v="ANTIGUO"/>
    <s v="N/A"/>
    <s v="N/A"/>
    <s v="N/A"/>
    <n v="0"/>
    <s v="STP"/>
    <s v="N/A"/>
    <s v="N/A"/>
    <x v="9"/>
    <s v="TROZADO DE PAVOS"/>
    <s v="OPERARIO"/>
    <s v="PASILLO C "/>
    <s v="N/A"/>
    <s v="TARDE"/>
    <d v="1899-12-30T15:30:00"/>
    <s v="VIERNES"/>
    <s v="SEMANA 21"/>
    <m/>
    <m/>
    <s v="GUILLERMO NARVAEZ"/>
    <x v="33"/>
    <n v="26"/>
    <x v="14"/>
    <x v="0"/>
    <s v="Contusión"/>
    <x v="4"/>
    <s v="COLABORADOR SUFRE CONTUSION EN DEDO MEÑIQUE DE MANO DERECHA CON CAJA CUANDO SE ENCONTRABA MOVILIZANDO "/>
    <s v="ACCION"/>
    <s v="SI"/>
    <s v="NO"/>
    <s v="NICOLAS GOMEZ"/>
    <s v="CARLOS CARTAGENA"/>
    <m/>
  </r>
  <r>
    <n v="2023"/>
    <x v="4"/>
    <s v="EL PAICO"/>
    <s v="RIVEROS CONTRERAS"/>
    <s v="ROMANETT"/>
    <s v="FEMENINO"/>
    <s v="19211635-K"/>
    <d v="2023-04-13T00:00:00"/>
    <n v="1"/>
    <d v="2023-05-16T00:00:00"/>
    <s v="NUEVO"/>
    <d v="2023-05-16T00:00:00"/>
    <s v="N/A"/>
    <s v="N/A"/>
    <n v="0"/>
    <s v="STP"/>
    <s v="N/A"/>
    <s v="N/A"/>
    <x v="5"/>
    <s v="DESHUESADO"/>
    <s v="OPERARIO"/>
    <s v="BAÑO"/>
    <s v="N/A"/>
    <s v="TARDE"/>
    <d v="1899-12-30T18:15:00"/>
    <s v="MARTES"/>
    <s v="SEMANA 20"/>
    <n v="15700"/>
    <s v="NC-67-23"/>
    <s v="DANIEL GARRIDO"/>
    <x v="10"/>
    <n v="27"/>
    <x v="12"/>
    <x v="0"/>
    <s v="Herida cortante"/>
    <x v="8"/>
    <s v="COLABORADORA SUFRE CORTE EN MANO IZQUIERA POR CONTACTO CON TROZO DE LATA QUE SE ENCUENTRA AL INTERIOR DE ZIPER."/>
    <s v="CONDICION"/>
    <s v="NO"/>
    <s v="SI"/>
    <s v="NICOLAS GOMEZ"/>
    <s v="MICHELLE SANCHEZ"/>
    <m/>
  </r>
  <r>
    <n v="2023"/>
    <x v="4"/>
    <s v="EL PAICO"/>
    <s v="REYES BUSTOS"/>
    <s v="ALEXIS"/>
    <s v="MASCULINO"/>
    <s v="20345227-6"/>
    <d v="2023-05-08T00:00:00"/>
    <n v="0"/>
    <d v="2023-05-11T00:00:00"/>
    <s v="NUEVO"/>
    <s v="N/A"/>
    <s v="N/A"/>
    <s v="N/A"/>
    <n v="0"/>
    <s v="STP"/>
    <s v="N/A"/>
    <s v="N/A"/>
    <x v="7"/>
    <s v="REPORTE DE CAJAS"/>
    <s v="OPERARIO"/>
    <s v="REPORTE DE CAJAS"/>
    <s v="CINTA DE TRANSPORTE"/>
    <s v="MAÑANA"/>
    <d v="1900-01-04T03:25:00"/>
    <s v="JUEVES"/>
    <s v="SEMANA 19"/>
    <m/>
    <m/>
    <s v="OCTAVIO MUÑOZ"/>
    <x v="12"/>
    <m/>
    <x v="3"/>
    <x v="0"/>
    <s v="Contusión"/>
    <x v="5"/>
    <s v="COLABORADOR SUFRE CONTUSION EN DEDO ANULAR DE MANO DERECHA CUANDO SE ENCONTRABA SACANDO CAJAS DE CINTA DE TRANS`PORTE EN AREA DE REPORTE DE CAJAS "/>
    <s v="ACCION"/>
    <s v="SI"/>
    <s v="NO"/>
    <s v="NICOLAS GOMEZ"/>
    <s v="CARLOS CARTAGENA"/>
    <m/>
  </r>
  <r>
    <n v="2023"/>
    <x v="4"/>
    <s v="EL PAICO"/>
    <s v="RAMIRES SOTO"/>
    <s v="RAMIRO"/>
    <s v="MASCULINO"/>
    <s v="12178535-8"/>
    <d v="1999-03-01T00:00:00"/>
    <n v="290"/>
    <d v="2023-05-19T00:00:00"/>
    <s v="ANTIGUO"/>
    <s v="N/A"/>
    <s v="N/A"/>
    <s v="N/A"/>
    <n v="0"/>
    <s v="STP"/>
    <s v="N/A"/>
    <s v="N/A"/>
    <x v="5"/>
    <s v="TROZADO AUTOMATICO"/>
    <s v="SUPERVISOR"/>
    <s v="TROZADO AUTOMATICO"/>
    <s v="N/A"/>
    <s v="MAÑANA"/>
    <d v="1899-12-30T11:00:00"/>
    <s v="VIERNES"/>
    <s v="SEMANA 20"/>
    <m/>
    <m/>
    <s v="DANIEL GARRIDO"/>
    <x v="6"/>
    <n v="51"/>
    <x v="6"/>
    <x v="9"/>
    <s v="Contusión"/>
    <x v="4"/>
    <s v="COLABORAOR SUFRE GOLP EN ZONA OCCIPITAL DEL CRANEO AL CAER PRODUCTO DESDE LINEA DEL PROCESO"/>
    <s v="CONDICION"/>
    <s v="SI"/>
    <s v="NO"/>
    <s v="NICOLAS GOMEZ"/>
    <s v="MICHELLE SANCHEZ"/>
    <m/>
  </r>
  <r>
    <n v="2023"/>
    <x v="4"/>
    <s v="EL PAICO"/>
    <s v="ORTUBIA PAVEZ"/>
    <s v="MARIA ISABEL"/>
    <s v="FEMENINO"/>
    <s v="18960205-7"/>
    <d v="2017-04-10T00:00:00"/>
    <n v="72"/>
    <d v="2023-05-02T00:00:00"/>
    <s v="ANTIGUO"/>
    <d v="2023-05-02T00:00:00"/>
    <d v="2023-05-02T00:00:00"/>
    <s v="N/A"/>
    <n v="0"/>
    <s v="STP"/>
    <s v="N/A"/>
    <s v="N/A"/>
    <x v="5"/>
    <s v="DESHUESADO"/>
    <s v="OPERARIO"/>
    <s v="ESTACIONAMIENTO PLANTA"/>
    <s v="N/A"/>
    <s v="MAÑANA"/>
    <d v="1899-12-30T06:15:00"/>
    <s v="MARTES"/>
    <s v="SEMANA 18"/>
    <n v="155661"/>
    <s v="NC-65-23"/>
    <s v="DANIEL GARRIDO"/>
    <x v="31"/>
    <n v="28"/>
    <x v="15"/>
    <x v="3"/>
    <s v="Contusión"/>
    <x v="5"/>
    <s v="COLABORADORA SUFRE CONTUSION EN PIE IZQUIERDO AL GOLPEARSE CON SOPORTE DE ASIENTO CUANDO SE ENCONTRABA BAJANDO DE VANS DE TRANSPORTE EN ESTACIONAMIENTO DE PLANTA"/>
    <s v="ACCION"/>
    <s v="NO"/>
    <s v="SI"/>
    <s v="ALAN CARRASCO"/>
    <s v="CARLOS CARTAGENA"/>
    <s v="TRANSITO POR AREAS COMUNES"/>
  </r>
  <r>
    <n v="2023"/>
    <x v="4"/>
    <s v="EL PAICO"/>
    <s v="OROZCO MENDIBURRE"/>
    <s v="KAREN"/>
    <s v="FEMENINO"/>
    <s v="15327303-0"/>
    <d v="2022-12-13T00:00:00"/>
    <n v="4"/>
    <d v="2023-05-12T00:00:00"/>
    <s v="NUEVO"/>
    <s v="N/A"/>
    <s v="N/A"/>
    <s v="N/A"/>
    <n v="0"/>
    <s v="STP"/>
    <s v="N/A"/>
    <s v="N/A"/>
    <x v="5"/>
    <s v="DESHUESADO"/>
    <s v="OPERARIO"/>
    <s v="IQF 2"/>
    <s v="N/A"/>
    <s v="TARDE"/>
    <d v="1899-12-30T20:05:00"/>
    <s v="VIERNES"/>
    <s v="SEMANA 19"/>
    <m/>
    <m/>
    <s v="DANIEL GARRIDO"/>
    <x v="31"/>
    <n v="41"/>
    <x v="1"/>
    <x v="2"/>
    <s v="Contusión"/>
    <x v="1"/>
    <s v="COLABORADORA SUFRE CONTUSIÓN EN ZONA ESCAPULAR, CODO Y MUÑECA DERECHA AL TRANSITITAR POR IQF 2 YA QUE SE ENCONTRABA ESCARCHA EN EL PISO. "/>
    <s v="CONDICION"/>
    <s v="SI"/>
    <s v="NO"/>
    <s v="ALAN CARRASCO"/>
    <s v="MICHELLE SANCHEZ"/>
    <s v="TRANSITO POR AREAS DE PROCESO"/>
  </r>
  <r>
    <n v="2023"/>
    <x v="4"/>
    <s v="EL PAICO"/>
    <s v="MUÑOZ MARQUEZ"/>
    <s v="RAIMUNDO"/>
    <s v="MASCULINO"/>
    <s v="17008287-7"/>
    <d v="2022-11-14T00:00:00"/>
    <n v="6"/>
    <d v="2023-05-29T00:00:00"/>
    <s v="NUEVO"/>
    <s v="N/A"/>
    <s v="N/A"/>
    <s v="N/A"/>
    <n v="0"/>
    <s v="STP"/>
    <s v="N/A"/>
    <s v="N/A"/>
    <x v="2"/>
    <s v="MENUDENCIAS"/>
    <s v="OPERARIO"/>
    <s v="FAENA"/>
    <s v="N/A"/>
    <s v="TARDE"/>
    <d v="1899-12-30T16:45:00"/>
    <s v="LUNES"/>
    <s v="SEMANA 22"/>
    <m/>
    <m/>
    <s v="NICOLAS MOYANO"/>
    <x v="2"/>
    <n v="34"/>
    <x v="6"/>
    <x v="5"/>
    <s v="Conjuntivitis"/>
    <x v="7"/>
    <s v="COLABORADOR SUFRE MOLESTIA OCULAR POR PROYECCION DE PARTICULAS (BILIS) EN OJO DERECHO AL LIMPIAR MENUDENCIAS EN EL AREA DE FAENA"/>
    <s v="ACCION"/>
    <s v="SI"/>
    <s v="NO"/>
    <s v="ALAN CARRASCO"/>
    <s v="WLADIMIR CALDERON "/>
    <m/>
  </r>
  <r>
    <n v="2023"/>
    <x v="4"/>
    <s v="EL PAICO"/>
    <s v="MORENO VERGARA"/>
    <s v="NICOLE"/>
    <s v="MASCULINO"/>
    <s v="17781406-7"/>
    <d v="2023-01-24T00:00:00"/>
    <n v="3"/>
    <d v="2023-05-23T00:00:00"/>
    <s v="NUEVO"/>
    <d v="2023-05-29T00:00:00"/>
    <d v="2023-05-29T00:00:00"/>
    <s v="N/A"/>
    <n v="0"/>
    <s v="STP"/>
    <s v="N/A"/>
    <s v="N/A"/>
    <x v="6"/>
    <s v="ASEO ZONA LIMPIA"/>
    <s v="OPERARIO"/>
    <s v="DRONT POINT"/>
    <s v="N/A"/>
    <s v="NOCHE"/>
    <d v="1899-12-30T04:10:00"/>
    <s v="MARTES"/>
    <s v="SEMANA 21"/>
    <m/>
    <m/>
    <s v="CARLOS JIMENES"/>
    <x v="34"/>
    <n v="32"/>
    <x v="0"/>
    <x v="0"/>
    <s v="Contusión"/>
    <x v="4"/>
    <s v="COLABORADORA SUFRE CONTUSION EN MANO DERECHA AL SER GOLPEADA POR FIERRO CUANDO SE ENCONTRABA ENJUAGANDO ISHIDA"/>
    <s v="ACCION"/>
    <s v="SI"/>
    <s v="NO"/>
    <s v="NICOLAS GOMEZ"/>
    <s v="CARLOS CARTAGENA"/>
    <m/>
  </r>
  <r>
    <n v="2023"/>
    <x v="4"/>
    <s v="EL PAICO"/>
    <s v="MONTOYA MONSALVE"/>
    <s v="LONDY"/>
    <s v="MASCULINO"/>
    <s v="26201884-9"/>
    <d v="2020-09-22T00:00:00"/>
    <n v="31"/>
    <d v="2023-05-02T00:00:00"/>
    <s v="ANTIGUO"/>
    <d v="2023-05-03T00:00:00"/>
    <s v="N/A"/>
    <s v="N/A"/>
    <n v="0"/>
    <s v="STP"/>
    <s v="N/A"/>
    <s v="N/A"/>
    <x v="6"/>
    <s v="ASEO OPERACIONAL"/>
    <s v="OPERARIO"/>
    <s v="DESPLUMADO"/>
    <s v="N/A"/>
    <s v="NOCHE"/>
    <d v="1899-12-30T03:10:00"/>
    <s v="MARTES"/>
    <s v="SEMANA 18"/>
    <n v="15673"/>
    <s v="NC-64-23"/>
    <s v="CARLOS JIMENEZ"/>
    <x v="9"/>
    <n v="34"/>
    <x v="9"/>
    <x v="5"/>
    <s v="Conjuntivitis"/>
    <x v="7"/>
    <s v="COLABORADORA SUFRE MOLESTIA OCULAR POR PROYECCION DE PARTICULAS LIQUIDAS AL ROPERSE LLAVE QUE SE ENCONTRABA SANITIZANDO EN SALA DE DESPLUMADO"/>
    <s v="CONDICION"/>
    <s v="SI"/>
    <s v="SI"/>
    <s v="NICOLAS GOMEZ"/>
    <s v="WLADIMIR CALDERON "/>
    <s v="REALIZANDO LABORES DE ASEO"/>
  </r>
  <r>
    <n v="2023"/>
    <x v="4"/>
    <s v="EL PAICO"/>
    <s v="LOYOLA CASTRO"/>
    <s v="MANUEL"/>
    <s v="MASCULINO"/>
    <s v="12238115-2"/>
    <d v="2000-07-06T00:00:00"/>
    <n v="274"/>
    <d v="2023-05-16T00:00:00"/>
    <s v="ANTIGUO"/>
    <s v="N/A"/>
    <s v="N/A"/>
    <s v="N/A"/>
    <n v="0"/>
    <s v="STP"/>
    <s v="N/A"/>
    <s v="N/A"/>
    <x v="9"/>
    <s v="LÍNEA DE CONOS"/>
    <s v="OPERARIO"/>
    <s v="LINEA DE CONOS"/>
    <s v="N/A"/>
    <s v="MAÑANA"/>
    <d v="1899-12-30T05:10:00"/>
    <s v="MARTES"/>
    <s v="SEMANA 20"/>
    <m/>
    <m/>
    <s v="GUILLERMO NARVAEZ"/>
    <x v="15"/>
    <n v="51"/>
    <x v="0"/>
    <x v="3"/>
    <s v="Contusión"/>
    <x v="4"/>
    <s v="COLABORADOR SUFRE CONTUSION EN PIE DERECHO AL CAER PISO METALICO SOBRE SU PIE CUANDO SE ENCONTRABA ORDENANDO SU 'PUESTO DE TRABAJO EN LÍNEA DE CONOS "/>
    <s v="ACCION"/>
    <s v="SI"/>
    <s v="NO"/>
    <s v="ALAN CARRASCO"/>
    <s v="MICHELLE SANCHEZ"/>
    <m/>
  </r>
  <r>
    <n v="2023"/>
    <x v="4"/>
    <s v="EL PAICO"/>
    <s v="LLANTEN MELO"/>
    <s v="JONATHAN"/>
    <s v="MASCULINO"/>
    <s v="16181057-6"/>
    <d v="2007-02-01T00:00:00"/>
    <n v="195"/>
    <d v="2023-05-17T00:00:00"/>
    <s v="ANTIGUO"/>
    <d v="2023-05-18T00:00:00"/>
    <d v="2023-05-24T00:00:00"/>
    <s v="N/A"/>
    <n v="7"/>
    <s v="CTP"/>
    <s v="LGF"/>
    <s v="LGF2"/>
    <x v="5"/>
    <s v="DESHUESADO"/>
    <s v="OPERARADOR TECNICO "/>
    <s v="Carrusel HQ sur"/>
    <s v="HQ sur"/>
    <s v="TARDE"/>
    <d v="1899-12-30T22:55:00"/>
    <s v="JUEVES"/>
    <s v="SEMANA 20"/>
    <n v="15701"/>
    <s v="NC-71-23"/>
    <s v="DANIEL GARRIDO"/>
    <x v="10"/>
    <n v="37"/>
    <x v="2"/>
    <x v="0"/>
    <s v="Atrición"/>
    <x v="2"/>
    <s v="COLABORADOR SUFRE ATRISION EN DEDO ANULAR DE MANO DERECHA POR ATRAPAMIENTO MIENTRAS SE ENCONTRABA REALIZABNDO GIRO EN CARRUSEL DE MAQUINA HQ DE MANERA MANUAL "/>
    <s v="ACCION"/>
    <s v="SI"/>
    <s v="SI"/>
    <s v="NICOLAS GOMEZ"/>
    <s v="CARLOS CARTAGENA"/>
    <m/>
  </r>
  <r>
    <n v="2023"/>
    <x v="4"/>
    <s v="EL PAICO"/>
    <s v="HUINAO CARTAGENA"/>
    <s v="MANUEL"/>
    <s v="MASCULINO"/>
    <s v="15403657-1"/>
    <d v="2022-11-04T00:00:00"/>
    <n v="6"/>
    <d v="2023-05-30T00:00:00"/>
    <s v="NUEVO"/>
    <s v="N/A"/>
    <s v="N/A"/>
    <s v="N/A"/>
    <n v="0"/>
    <s v="STP"/>
    <s v="N/A"/>
    <s v="N/A"/>
    <x v="1"/>
    <s v="IQF"/>
    <s v="OPERARIO"/>
    <s v="IQF 1"/>
    <s v="N/A"/>
    <s v="TARDE"/>
    <d v="1899-12-30T17:50:00"/>
    <s v="MARTES"/>
    <s v="SEMANA 22"/>
    <m/>
    <m/>
    <s v="GUILLERMO NARVAEZ"/>
    <x v="21"/>
    <n v="40"/>
    <x v="11"/>
    <x v="8"/>
    <s v="Otros"/>
    <x v="11"/>
    <s v="COLABORADOR SUFRE PICADURA DE INSECTO EN BRAZO DERECHO CUANDO SE ENCONTRABA PASANDO BANDEJAS EN IQF 1"/>
    <s v="ACCION"/>
    <s v="SI"/>
    <s v="NO"/>
    <s v="NICOLAS GOMEZ"/>
    <s v="CARLOS CARTAGENA"/>
    <m/>
  </r>
  <r>
    <n v="2023"/>
    <x v="4"/>
    <s v="EL PAICO"/>
    <s v="GONZALEZ ESCARATE"/>
    <s v="PABLO"/>
    <s v="MASCULINO"/>
    <s v="20880331-K"/>
    <d v="2023-03-13T00:00:00"/>
    <n v="2"/>
    <d v="2023-05-13T00:00:00"/>
    <s v="NUEVO"/>
    <s v="N/A"/>
    <s v="N/A"/>
    <s v="N/A"/>
    <n v="0"/>
    <s v="STP"/>
    <s v="N/A"/>
    <s v="N/A"/>
    <x v="2"/>
    <s v="CHILLER"/>
    <s v="OPERARIO"/>
    <s v="CHILLER CORAZON"/>
    <s v="N/A"/>
    <s v="MAÑANA"/>
    <d v="1899-12-30T08:25:00"/>
    <s v="SABADO"/>
    <s v="SEMANA 19"/>
    <m/>
    <m/>
    <s v="NICOLAS MOYANO"/>
    <x v="2"/>
    <n v="21"/>
    <x v="6"/>
    <x v="5"/>
    <s v="Conjuntivitis"/>
    <x v="7"/>
    <s v="COLABIORADOR SUFRE MOLESTIA OCULAR POR PROYECCION DE PARTICULAS LIQUIDAS, MIENTRAS SE ENCONTRABA SEPARANDO PRODUCTO EN CHILLER DE CORAZON"/>
    <s v="ACCION"/>
    <s v="SI"/>
    <s v="NO"/>
    <s v="ALAN CARRASCO"/>
    <s v="WLADIMIR CALDERON "/>
    <m/>
  </r>
  <r>
    <n v="2023"/>
    <x v="4"/>
    <s v="EL PAICO"/>
    <s v="ESPINOZA PADILLA"/>
    <s v="PAULINA"/>
    <s v="FEMENINO"/>
    <s v="17133880-8"/>
    <d v="2022-06-14T00:00:00"/>
    <n v="10"/>
    <d v="2023-05-03T00:00:00"/>
    <s v="INTERMEDIO"/>
    <s v="N/A"/>
    <s v="N/A"/>
    <s v="N/A"/>
    <n v="0"/>
    <s v="STP"/>
    <s v="N/A"/>
    <s v="N/A"/>
    <x v="1"/>
    <s v="CALIBRADO"/>
    <s v="OPERARIO"/>
    <s v="CALIBRADO"/>
    <s v="N/A"/>
    <s v="TARDE"/>
    <d v="1899-12-30T22:30:00"/>
    <s v="MIERCOLES"/>
    <s v="SEMANA 18"/>
    <m/>
    <m/>
    <s v="GUILLERMO NARVAEZ"/>
    <x v="1"/>
    <n v="34"/>
    <x v="14"/>
    <x v="10"/>
    <s v="Contusión"/>
    <x v="4"/>
    <s v="COLABORADORA DE IQF-CALIBRADO SUFRE CONTUSION EN ZONA TORAXICA AL MOMENTO DE RETIRAR UNA CAJA DE LA LINEA DE TRABAJO"/>
    <s v="ACCION"/>
    <s v="SI"/>
    <s v="NO"/>
    <s v="NICOLAS GOMEZ"/>
    <s v="CHISTIAN JHONS"/>
    <m/>
  </r>
  <r>
    <n v="2023"/>
    <x v="4"/>
    <s v="EL PAICO"/>
    <s v="DIAZ ROJAS"/>
    <s v="KATIUSKA "/>
    <s v="FEMENINO"/>
    <s v="16817017-3"/>
    <d v="2023-01-17T00:00:00"/>
    <n v="3"/>
    <d v="2023-05-03T00:00:00"/>
    <s v="NUEVO"/>
    <s v="N/A"/>
    <s v="N/A"/>
    <s v="N/A"/>
    <n v="0"/>
    <s v="STP"/>
    <s v="N/A"/>
    <s v="N/A"/>
    <x v="5"/>
    <s v="DESHUESADO"/>
    <s v="OPERARIO"/>
    <s v="DESHUESADO"/>
    <s v="N/A"/>
    <s v="TARDE"/>
    <d v="1899-12-30T18:30:00"/>
    <s v="MIERCOLES"/>
    <s v="SEMANA 18"/>
    <m/>
    <m/>
    <s v="DANIEL GARRIDO"/>
    <x v="10"/>
    <n v="35"/>
    <x v="16"/>
    <x v="0"/>
    <s v="Contusión"/>
    <x v="0"/>
    <s v="COLABORADORA DE TPO SUFRE CONTUSION E INFLAMACION EN MANO DERECHA AL MOMENTO DE LEVANTAR BANDEJA EN SALA DE DESHUEZADO MIENTRAS REALIZABA LABORES DE PROLIJADO"/>
    <s v="ACCION"/>
    <s v="SI"/>
    <s v="NO"/>
    <s v="NICOLAS GOMEZ"/>
    <s v="CHISTIAN JHONS"/>
    <s v="LABORES DE PROLIJADO DE PECHUGA"/>
  </r>
  <r>
    <n v="2023"/>
    <x v="4"/>
    <s v="EL PAICO"/>
    <s v="DIAZ ALABARCE"/>
    <s v="YERCO"/>
    <s v="MASCULINO"/>
    <s v="16241507-7"/>
    <d v="2023-01-16T00:00:00"/>
    <n v="4"/>
    <d v="2023-05-16T00:00:00"/>
    <s v="NUEVO"/>
    <d v="2023-05-16T00:00:00"/>
    <s v="N/A"/>
    <s v="N/A"/>
    <n v="0"/>
    <s v="STP"/>
    <s v="N/A"/>
    <s v="N/A"/>
    <x v="2"/>
    <s v="CALIBRADO DE PAVOS"/>
    <s v="OPERARIO"/>
    <s v="BAÑO"/>
    <s v="N/A"/>
    <s v="MAÑANA"/>
    <d v="1899-12-30T12:10:00"/>
    <s v="MARTES"/>
    <s v="SEMANA 20"/>
    <n v="15699"/>
    <s v="NC-68-23"/>
    <s v="NICOLAS MOYANO"/>
    <x v="11"/>
    <n v="37"/>
    <x v="3"/>
    <x v="3"/>
    <s v="Herida cortante"/>
    <x v="1"/>
    <s v="COLABORADOR SUFRE HERIDA CORTANTE EN PIE DERECHO POR CERAMICA EN MALAS CONDICIONES AL CAER EN BAÑO DE LA PLANTA"/>
    <s v="CONDICION"/>
    <s v="NO"/>
    <s v="SI"/>
    <s v="ALAN CARRASCO"/>
    <s v="MICHELLE SANCHEZ"/>
    <m/>
  </r>
  <r>
    <n v="2023"/>
    <x v="4"/>
    <s v="EL PAICO"/>
    <s v="CHACON "/>
    <s v="SOLEDAD"/>
    <s v="FEMENINO"/>
    <s v="15325840-6"/>
    <d v="2014-05-02T00:00:00"/>
    <n v="108"/>
    <d v="2023-05-08T00:00:00"/>
    <s v="ANTIGUO"/>
    <d v="2023-05-08T00:00:00"/>
    <d v="2023-05-08T00:00:00"/>
    <s v="N/A"/>
    <n v="0"/>
    <s v="STP"/>
    <s v="N/A"/>
    <s v="N/A"/>
    <x v="5"/>
    <s v="AUTOMATICO"/>
    <s v="OPERARIO"/>
    <s v="LÍNEA ALA MEDIA"/>
    <s v="N/A"/>
    <s v="MAÑANA"/>
    <d v="1899-12-30T09:30:00"/>
    <s v="LUNES"/>
    <s v="SEMANA 19"/>
    <m/>
    <m/>
    <s v="DANIEL GARRIDO"/>
    <x v="28"/>
    <n v="41"/>
    <x v="14"/>
    <x v="7"/>
    <s v="Otros"/>
    <x v="0"/>
    <s v="COLABORADORA SUFRE DOLOR EN ZONA DORSAL DERECHA CUANDO SE ENCONTRABA MOVIENDO BANDEJAS CON PRODUCTO EN LÍNEA DE ALA MEDIA "/>
    <s v="ACCION"/>
    <s v="SI"/>
    <s v="NO"/>
    <s v="NICOLAS GOMEZ"/>
    <s v="MICHELLE SANCHEZ"/>
    <s v="MOVIMIENTO DE MATERIALES (BINS, PALLET, BANDEJAS)"/>
  </r>
  <r>
    <n v="2023"/>
    <x v="4"/>
    <s v="EL PAICO"/>
    <s v="CASTILLO GUICO"/>
    <s v="JOSE"/>
    <s v="MASCULINO"/>
    <s v="19213143-K"/>
    <d v="2022-08-18T00:00:00"/>
    <n v="8"/>
    <d v="2023-05-03T00:00:00"/>
    <s v="INTERMEDIO"/>
    <s v="N/A"/>
    <s v="N/A"/>
    <s v="N/A"/>
    <n v="0"/>
    <s v="STP"/>
    <s v="N/A"/>
    <s v="N/A"/>
    <x v="2"/>
    <s v="EVICERADO"/>
    <s v="OPERARIO"/>
    <s v="EVICERADO"/>
    <s v="N/A"/>
    <s v="MAÑANA"/>
    <d v="1899-12-30T15:55:00"/>
    <s v="MIERCOLES"/>
    <s v="SEMANA 18"/>
    <m/>
    <m/>
    <s v="NICOLAS MOYANO"/>
    <x v="4"/>
    <n v="26"/>
    <x v="6"/>
    <x v="5"/>
    <s v="Conjuntivitis"/>
    <x v="7"/>
    <s v="COLABORADOR SUFRE PROYECCION DE BILIS EN OJO IZQUIERDO CUANDO SE ENCONTRABA  COLGANDO PANAS EN EL AREA DE EVICERADO"/>
    <s v="ACCION"/>
    <s v="SI"/>
    <s v="NO"/>
    <s v="NICOLAS GOMEZ"/>
    <s v="CHISTIAN JHONS"/>
    <m/>
  </r>
  <r>
    <n v="2023"/>
    <x v="4"/>
    <s v="EL PAICO"/>
    <s v="CACERES PALMA"/>
    <s v="CRISTOPHER"/>
    <s v="MASCULINO"/>
    <s v="19211902-2"/>
    <d v="2016-11-21T00:00:00"/>
    <n v="77"/>
    <d v="2023-05-20T00:00:00"/>
    <s v="ANTIGUO"/>
    <d v="2023-05-22T00:00:00"/>
    <d v="2023-06-02T00:00:00"/>
    <s v="N/A"/>
    <n v="12"/>
    <s v="CTP"/>
    <s v="LGF"/>
    <s v="LGF8"/>
    <x v="6"/>
    <s v="ASEO ZONA LIMPIA"/>
    <s v="OPERARIO"/>
    <s v="DESHUESADO"/>
    <s v="HQ "/>
    <s v="NOCHE"/>
    <d v="1899-12-30T05:00:00"/>
    <s v="SABADO"/>
    <s v="SEMANA 20"/>
    <n v="15707"/>
    <s v="NC-70-23"/>
    <s v="CARLOS JIMENES"/>
    <x v="7"/>
    <n v="27"/>
    <x v="17"/>
    <x v="4"/>
    <s v="Quemadura"/>
    <x v="13"/>
    <s v="COLABORADOR SUFRE QUEMADURA EN PIERNA DERECHA POR VAPOR, AL ESTAR CERRANDO LLAVE DE PASO DE DUCTO EN SALA DE DESHUESADO."/>
    <s v="ACCION"/>
    <s v="SI"/>
    <s v="SI"/>
    <s v="ALAN CARRASCO"/>
    <s v="WLADIMIR CALDERON "/>
    <m/>
  </r>
  <r>
    <n v="2023"/>
    <x v="4"/>
    <s v="EL PAICO"/>
    <s v="ARAVENA NUÑEZ"/>
    <s v="ROCÍO"/>
    <s v="FEMENINO"/>
    <s v="20060554-3"/>
    <d v="1999-07-18T00:00:00"/>
    <n v="285"/>
    <d v="2023-05-02T00:00:00"/>
    <s v="ANTIGUO"/>
    <s v="N/A"/>
    <s v="N/A"/>
    <s v="N/A"/>
    <n v="0"/>
    <s v="STP"/>
    <s v="N/A"/>
    <s v="N/A"/>
    <x v="4"/>
    <s v="CAMARA"/>
    <s v="OPERARIO"/>
    <s v="DESPACHO"/>
    <s v="N/A"/>
    <s v="NOCHE"/>
    <d v="1899-12-30T22:10:00"/>
    <s v="MARTES"/>
    <s v="SEMANA 18"/>
    <m/>
    <m/>
    <s v="FRANCISCO QUEZADA"/>
    <x v="35"/>
    <n v="23"/>
    <x v="14"/>
    <x v="8"/>
    <s v="Contusión"/>
    <x v="5"/>
    <s v="COLABORADORA SUFRE CONTUSION EN BRAZO IZQUIERDO AL SER GOLPEADA POR EL CONTRARIO CAJA DE PRODUCTO (12KILOS) EN SECTOR DESPACHO DEL AREA DE FRIGORIFICO"/>
    <s v="ACCION"/>
    <s v="SI"/>
    <s v="NO"/>
    <s v="NICOLAS GOMEZ"/>
    <s v="CARLOS CARTAGENA"/>
    <m/>
  </r>
  <r>
    <n v="2023"/>
    <x v="4"/>
    <s v="EL PAICO"/>
    <s v="AHUMADA CASTILLO"/>
    <s v="JUAN "/>
    <s v="MASCULINO"/>
    <s v="18096461-4"/>
    <d v="2022-07-12T00:00:00"/>
    <n v="10"/>
    <d v="2023-05-16T00:00:00"/>
    <s v="INTERMEDIO"/>
    <s v="N/A"/>
    <s v="N/A"/>
    <s v="N/A"/>
    <n v="0"/>
    <s v="STP"/>
    <s v="N/A"/>
    <s v="N/A"/>
    <x v="8"/>
    <s v="MANTENCION"/>
    <s v="OPERARIO"/>
    <s v="MONTESA"/>
    <s v="EQUIPO PARA MOVIMIENTO DE CARGA (GRUAS O TRANSPALETAS)"/>
    <s v="MAÑANA"/>
    <d v="1899-12-30T11:30:00"/>
    <s v="SABADO"/>
    <s v="SEMANA 18"/>
    <m/>
    <m/>
    <s v="VICTOR GOMEZ"/>
    <x v="36"/>
    <n v="31"/>
    <x v="7"/>
    <x v="3"/>
    <s v="Contusión"/>
    <x v="4"/>
    <s v="COLABORADOR SUFRE CONTUSION EN PIE DERECHO AL SER GOLPEADO POR TRANSPALETA MANUAL, CUANDO SE DIRIGIA HA MAQUINA ESMIPACK "/>
    <s v="ACCION"/>
    <s v="SI"/>
    <s v="NO"/>
    <s v="ALAN CARRASCO"/>
    <s v="CARLOS CARTAGENA"/>
    <m/>
  </r>
  <r>
    <n v="2023"/>
    <x v="5"/>
    <s v="EL PAICO"/>
    <s v="ZURITA LEIVA"/>
    <s v="JORGE"/>
    <s v="MASCULINO"/>
    <s v="13771226-1"/>
    <d v="2000-10-18T00:00:00"/>
    <n v="271"/>
    <d v="2023-06-13T00:00:00"/>
    <s v="ANTIGUO"/>
    <s v="N/A"/>
    <s v="N/A"/>
    <s v="N/A"/>
    <n v="0"/>
    <s v="STP"/>
    <s v="N/A"/>
    <s v="N/A"/>
    <x v="4"/>
    <s v="CAMARA"/>
    <s v="OPERADOR DE MAQUINA"/>
    <s v="SALA BATERIAS"/>
    <s v="N/A"/>
    <s v="TARDE"/>
    <d v="1899-12-30T17:50:00"/>
    <s v="MARTES"/>
    <s v="SEMANA 24"/>
    <m/>
    <m/>
    <s v="FRANCISCO QUEZADA"/>
    <x v="29"/>
    <n v="43"/>
    <x v="12"/>
    <x v="5"/>
    <s v="Conjuntivitis"/>
    <x v="7"/>
    <s v="COLABORADOR SUFRE MOLESTIA OCULAR POR PROYECCION DE PARTICULAS LIQUIDAS CUANDO SE ENCONTRABA REALIZANDO CAMBIO DE BATERIA."/>
    <s v="ACCION"/>
    <s v="SI"/>
    <s v="NO"/>
    <s v="ALAN CARRASCO"/>
    <s v="WLADIMIR CALDERON "/>
    <m/>
  </r>
  <r>
    <n v="2023"/>
    <x v="5"/>
    <s v="EL PAICO"/>
    <s v="VARGAS HERNANDEZ"/>
    <s v="LUIS"/>
    <s v="MASCULINO"/>
    <s v="9947369-K"/>
    <d v="2015-04-20T00:00:00"/>
    <n v="97"/>
    <d v="2023-06-17T00:00:00"/>
    <s v="ANTIGUO"/>
    <d v="2023-06-19T00:00:00"/>
    <d v="2023-06-23T00:00:00"/>
    <s v="N/A"/>
    <n v="5"/>
    <s v="CTP"/>
    <s v="N/A"/>
    <s v="N/A"/>
    <x v="2"/>
    <s v="EVICERADO PAVOS"/>
    <s v="OPERARIO"/>
    <s v="CHILLER MENUDENCIA"/>
    <s v="N/A"/>
    <s v="MAÑANA"/>
    <d v="1899-12-30T10:20:00"/>
    <s v="SABADO"/>
    <s v="SEMANA 24"/>
    <n v="15761"/>
    <s v="NC-101-23"/>
    <s v="NICOLAS MOYANO"/>
    <x v="11"/>
    <n v="58"/>
    <x v="1"/>
    <x v="7"/>
    <s v="Contusión"/>
    <x v="1"/>
    <s v="COLABORADOR SUFRE GOLPE EN ESPALDA POR CAIDA MISMO NIVEL CUANDO TRANSITABA POR PASILLO DE CHILLER MENUDENCIAS "/>
    <s v="CONDICION"/>
    <s v="SI"/>
    <s v="SI"/>
    <s v="ALAN CARRASCO"/>
    <s v="SANDRA LAYANA"/>
    <m/>
  </r>
  <r>
    <n v="2023"/>
    <x v="5"/>
    <s v="EL PAICO"/>
    <s v="TORRES ALVARADO"/>
    <s v="BRYAN"/>
    <s v="MASCULINO"/>
    <s v="20722483-9"/>
    <d v="2021-04-12T00:00:00"/>
    <n v="25"/>
    <d v="2023-06-08T00:00:00"/>
    <s v="ANTIGUO"/>
    <s v="N/A"/>
    <s v="N/A"/>
    <s v="N/A"/>
    <n v="0"/>
    <s v="STP"/>
    <s v="N/A"/>
    <s v="N/A"/>
    <x v="2"/>
    <s v="EVISCERADO POLLOS"/>
    <s v="OPERARIO"/>
    <s v="EVICERADO"/>
    <s v="N/A"/>
    <s v="MAÑANA"/>
    <d v="1899-12-30T11:50:00"/>
    <s v="JUEVES"/>
    <s v="SEMANA 23"/>
    <m/>
    <m/>
    <s v="NICOLAS MOYANO"/>
    <x v="4"/>
    <n v="21"/>
    <x v="6"/>
    <x v="5"/>
    <s v="Conjuntivitis"/>
    <x v="7"/>
    <s v="COLABORADOR SUFRE MOLESTIA OCULAR POR PROYECCION DE PARTICULAS CUANDO ESTABA ASPIRANDO POLLO "/>
    <s v="ACCION"/>
    <s v="SI"/>
    <s v="NO"/>
    <s v="NICOLAS GOMEZ"/>
    <s v="CHISTIAN JHONS"/>
    <m/>
  </r>
  <r>
    <n v="2023"/>
    <x v="5"/>
    <s v="EL PAICO"/>
    <s v="TORRES ALVARADO"/>
    <s v="BRYAN"/>
    <s v="MASCULINO"/>
    <s v="20722483-9"/>
    <d v="2021-04-12T00:00:00"/>
    <n v="26"/>
    <d v="2023-06-14T00:00:00"/>
    <s v="ANTIGUO"/>
    <s v="N/A"/>
    <s v="N/A"/>
    <s v="N/A"/>
    <n v="0"/>
    <s v="STP"/>
    <s v="N/A"/>
    <s v="N/A"/>
    <x v="2"/>
    <s v="EVISCERADO POLLOS"/>
    <s v="OPERARIO"/>
    <s v="EVICERADO"/>
    <s v="N/A"/>
    <s v="MAÑANA"/>
    <m/>
    <s v="MIERCOLES"/>
    <s v="SEMANA 24"/>
    <m/>
    <m/>
    <s v="NICOLAS MOYANO"/>
    <x v="37"/>
    <n v="21"/>
    <x v="0"/>
    <x v="8"/>
    <s v="Herida cortante"/>
    <x v="8"/>
    <s v="COLABORADOR SUFRE HERIDA CORTANTE LEVE EN BRAZO IZQUIERDO POR CUCHILLO AL ESTAR CORTANDO PECHUGA DE POLLO "/>
    <s v="ACCION"/>
    <s v="SI"/>
    <s v="NO"/>
    <s v="NICOLAS GOMEZ"/>
    <s v="CARLOS CARTAGENA"/>
    <m/>
  </r>
  <r>
    <n v="2023"/>
    <x v="5"/>
    <s v="EL PAICO"/>
    <s v="TORO OROSCO"/>
    <s v="GIANINA"/>
    <s v="FEMENINO"/>
    <s v="17518601-8"/>
    <d v="2019-01-14T00:00:00"/>
    <n v="52"/>
    <d v="2023-06-01T00:00:00"/>
    <s v="ANTIGUO"/>
    <d v="2023-06-07T00:00:00"/>
    <d v="2023-06-07T00:00:00"/>
    <s v="N/A"/>
    <n v="0"/>
    <s v="STP"/>
    <s v="N/A"/>
    <s v="N/A"/>
    <x v="6"/>
    <s v="ASEO"/>
    <s v="OPERARIO"/>
    <s v="DROP POINT"/>
    <s v="N/A"/>
    <s v="NOCHE"/>
    <d v="1899-12-30T02:50:00"/>
    <s v="JUEVES"/>
    <s v="SEMANA 22"/>
    <n v="15749"/>
    <s v="NC-106-23"/>
    <s v="CARLOS JIMENEZ"/>
    <x v="7"/>
    <n v="34"/>
    <x v="4"/>
    <x v="0"/>
    <s v="Contusión"/>
    <x v="1"/>
    <s v="COLABORADORA SUFRE CONTUSIÓN EN MANO IZQUIERDA POR CAIDA MISMO NIVEL MIENTRAS TRASLADABA MANGUERA EN MAQUINA DROP POINT EN CALIBRADO AL ENCONTRASERSE REALIZANDO ASEO PRE-OPERACIONAL"/>
    <s v="ACCION"/>
    <s v="SI"/>
    <s v="SI"/>
    <s v="ALAN CARRASCO"/>
    <s v="WLADIMIR CALDERON "/>
    <m/>
  </r>
  <r>
    <n v="2023"/>
    <x v="5"/>
    <s v="EL PAICO"/>
    <s v="RUBIO LOPEZ"/>
    <s v="CLAUDIA"/>
    <s v="FEMENINO"/>
    <s v="12723602-K"/>
    <d v="2007-06-01T00:00:00"/>
    <n v="192"/>
    <d v="2023-06-02T00:00:00"/>
    <s v="ANTIGUO"/>
    <d v="2023-06-05T00:00:00"/>
    <d v="2023-06-05T00:00:00"/>
    <s v="N/A"/>
    <n v="0"/>
    <s v="STP"/>
    <s v="N/A"/>
    <s v="N/A"/>
    <x v="7"/>
    <s v="REPORTE LINEA ISHIDA B"/>
    <s v="OPERARIO"/>
    <s v="REPORTE DE CAJAS"/>
    <s v="N/A"/>
    <s v="MAÑANA"/>
    <d v="1899-12-30T07:40:00"/>
    <s v="VIERNES"/>
    <s v="SEMANA 22"/>
    <n v="15729"/>
    <s v="NC-107-23"/>
    <s v="OCTAVIO MUÑOZ"/>
    <x v="38"/>
    <n v="48"/>
    <x v="0"/>
    <x v="0"/>
    <s v="Contusión"/>
    <x v="4"/>
    <s v="COLABORADORA SUFRE CONTUSIÓN EN DEDO INDICE DERECHO POR ROLLO DE LAMINAS CUANDO SE ENCONTRABA SACANDO ESTE DE MUEBLE CON EL OBJETIVO DE SER CAMBIADO"/>
    <s v="ACCION"/>
    <s v="SI"/>
    <s v="SI"/>
    <s v="NICOLAS GOMEZ"/>
    <s v="WLADIMIR CALDERON "/>
    <m/>
  </r>
  <r>
    <n v="2023"/>
    <x v="5"/>
    <s v="EL PAICO"/>
    <s v="RODRIGUEZ MONJES"/>
    <s v="ANYBEL"/>
    <s v="FEMENINO"/>
    <s v="27091787-9"/>
    <d v="2020-03-16T00:00:00"/>
    <n v="38"/>
    <d v="2023-06-02T00:00:00"/>
    <s v="ANTIGUO"/>
    <s v="N/A"/>
    <s v="N/A"/>
    <s v="N/A"/>
    <n v="0"/>
    <s v="STP"/>
    <s v="N/A"/>
    <s v="N/A"/>
    <x v="5"/>
    <s v="DESHUESADO"/>
    <s v="OPERARIO"/>
    <s v="DESHUESADO"/>
    <s v="N/A"/>
    <s v="MAÑANA"/>
    <d v="1899-12-30T07:45:00"/>
    <s v="VIERNES"/>
    <s v="SEMANA 22"/>
    <m/>
    <m/>
    <s v="DANIEL GARRIDO"/>
    <x v="31"/>
    <n v="32"/>
    <x v="6"/>
    <x v="5"/>
    <s v="Conjuntivitis"/>
    <x v="7"/>
    <s v="COLABORADOR SUFRE MOLESTIA OCULAR POR PROYECCION DE PARTICULAS AL ESTAR SELECCIONANDO PECHUGA EN LINEA DESHUESADO "/>
    <s v="ACCION"/>
    <s v="SI"/>
    <s v="NO"/>
    <s v="NICOLAS GOMEZ"/>
    <s v="WLADIMIR CALDERON "/>
    <m/>
  </r>
  <r>
    <n v="2023"/>
    <x v="5"/>
    <s v="EL PAICO"/>
    <s v="QUISPE CHASIQUIZA"/>
    <s v="MARIA FERNANDA"/>
    <s v="FEMENINO"/>
    <s v="26068322-5"/>
    <d v="2023-01-09T00:00:00"/>
    <n v="5"/>
    <d v="2023-06-28T00:00:00"/>
    <s v="NUEVO"/>
    <d v="2023-06-29T00:00:00"/>
    <d v="2023-07-04T00:00:00"/>
    <s v="N/A"/>
    <n v="6"/>
    <s v="CTP"/>
    <s v="N/A"/>
    <s v="N/A"/>
    <x v="4"/>
    <s v="CAMARA"/>
    <s v="OPERARIO"/>
    <s v="CAMARA"/>
    <s v="N/A"/>
    <s v="MAÑANA"/>
    <d v="1899-12-30T10:30:00"/>
    <s v="MIERCOLES"/>
    <s v="SEMANA 26"/>
    <n v="15779"/>
    <s v="NC-102-23"/>
    <s v="FRANCISCO QUEZADA"/>
    <x v="39"/>
    <n v="40"/>
    <x v="6"/>
    <x v="0"/>
    <s v="Contusión"/>
    <x v="4"/>
    <s v="COLABORADORA SUFRE CONTUSION EN DEDO MEÑIQUE DE MANO IZQUIERDA AL SER GOLPEADA POR BLOQUE DE PECHUGA DE POLLO CONGELADA CUANDO SE ENCONTRABA VOLTEANDO ESTOS EN SALA DE EMPAQUE "/>
    <s v="ACCION"/>
    <s v="SI"/>
    <s v="SI"/>
    <s v="NICOLAS GOMEZ"/>
    <s v="CHISTIAN JHONS"/>
    <m/>
  </r>
  <r>
    <n v="2023"/>
    <x v="5"/>
    <s v="EL PAICO"/>
    <s v="MONTENEGRO GALLARDO"/>
    <s v="RAUL"/>
    <s v="MASCULINO"/>
    <s v="21623760-9"/>
    <d v="2022-11-29T00:00:00"/>
    <n v="6"/>
    <d v="2023-06-12T00:00:00"/>
    <s v="NUEVO"/>
    <d v="2023-06-12T00:00:00"/>
    <d v="2023-06-12T00:00:00"/>
    <s v="N/A"/>
    <n v="0"/>
    <s v="STP"/>
    <s v="N/A"/>
    <s v="N/A"/>
    <x v="5"/>
    <s v="DESHUESADO"/>
    <s v="OPERARIO"/>
    <s v="CAMARA 208"/>
    <s v="N/A"/>
    <s v="MAÑANA"/>
    <d v="1899-12-30T07:45:00"/>
    <s v="LUNES"/>
    <s v="SEMANA 24"/>
    <n v="15748"/>
    <s v="NC-108-23"/>
    <s v="DANIEL GARRIDO"/>
    <x v="31"/>
    <n v="19"/>
    <x v="1"/>
    <x v="2"/>
    <s v="Contusión"/>
    <x v="1"/>
    <s v="COLABORADOR SUFRE CONTUSION EN TOBILLO Y RODILLA DERECHA, POR CAIDA MISMO NIVEL PRODUTO DE PRESENCIA DE HIELO EN SUPERFICIE DE TRANSITO EN CAMARA 208"/>
    <s v="CONDICION"/>
    <s v="SI"/>
    <s v="SI"/>
    <s v="ALAN CARRASCO"/>
    <s v="CHISTIAN JHONS"/>
    <m/>
  </r>
  <r>
    <n v="2023"/>
    <x v="5"/>
    <s v="EL PAICO"/>
    <s v="MALDONADO ACEVEDO"/>
    <s v="FELIPE"/>
    <s v="MASCULINO"/>
    <s v="18667787-0"/>
    <d v="2023-06-01T00:00:00"/>
    <n v="0"/>
    <d v="2023-06-30T00:00:00"/>
    <s v="NUEVO"/>
    <d v="2023-07-03T00:00:00"/>
    <d v="2023-07-03T00:00:00"/>
    <s v="N/A"/>
    <n v="0"/>
    <s v="STP"/>
    <s v="N/A"/>
    <s v="N/A"/>
    <x v="1"/>
    <s v="CALIBRADO"/>
    <s v="OPERARIO"/>
    <s v="CALIBRADO"/>
    <s v="N/A"/>
    <s v="MAÑANA"/>
    <d v="1899-12-30T10:30:00"/>
    <s v="VIERNES"/>
    <s v="SEMANA 26"/>
    <n v="15784"/>
    <s v="NC-98-23"/>
    <s v="GUILLERMO NARVAEZ"/>
    <x v="21"/>
    <m/>
    <x v="3"/>
    <x v="3"/>
    <s v="Contusión"/>
    <x v="5"/>
    <s v="COLABORADOR SUFRE CONTUSION EN PIE IZQUIERDO POR GOLPE CONTRA ESTRUCTURA METALICA AL ENCONTRARSE PESADNO BOLSAS DE PRODUCTO EN EL AREA DE CALIBRADO"/>
    <s v="ACCION"/>
    <s v="SI"/>
    <s v="SI"/>
    <s v="NICOLAS GOMEZ"/>
    <s v="WLADIMIR CALDERON "/>
    <m/>
  </r>
  <r>
    <n v="2023"/>
    <x v="5"/>
    <s v="EL PAICO"/>
    <s v="LOYOLA CARVAJAL"/>
    <s v="NATALIA"/>
    <s v="FEMENINO"/>
    <s v="18623311-5"/>
    <d v="2022-05-24T00:00:00"/>
    <n v="12"/>
    <d v="2023-06-21T00:00:00"/>
    <s v="INTERMEDIO"/>
    <s v="N/A"/>
    <s v="N/A"/>
    <s v="N/A"/>
    <n v="0"/>
    <s v="STP"/>
    <s v="N/A"/>
    <s v="N/A"/>
    <x v="4"/>
    <s v="CAMARA"/>
    <s v="OPERADOR DE MAQUINA"/>
    <s v="CAMARA"/>
    <s v="N/A"/>
    <s v="MAÑANA"/>
    <d v="1899-12-30T07:00:00"/>
    <s v="MIERCOLES"/>
    <s v="SEMANA 25"/>
    <m/>
    <m/>
    <s v="FRANCISCO QUEZADA"/>
    <x v="29"/>
    <n v="29"/>
    <x v="6"/>
    <x v="0"/>
    <s v="Contusión"/>
    <x v="4"/>
    <s v="COLABORADORA SUFRE CONTUSION EN DEDO ANULAR SUPERIOR IZQUIERDO AL SEL GOLPEADA POR BLOQUE EN TUNEL DE CAMARA "/>
    <s v="ACCION"/>
    <s v="SI"/>
    <s v="NO"/>
    <s v="NICOLAS GOMEZ"/>
    <s v="WLADIMIR CALDERON "/>
    <m/>
  </r>
  <r>
    <n v="2023"/>
    <x v="5"/>
    <s v="EL PAICO"/>
    <s v="HUINAO CARTAGENA"/>
    <s v="MANUEL"/>
    <s v="MASCULINO"/>
    <s v="15403657-1"/>
    <d v="2022-11-04T00:00:00"/>
    <n v="7"/>
    <d v="2023-06-14T00:00:00"/>
    <s v="INTERMEDIO"/>
    <d v="2023-06-14T00:00:00"/>
    <d v="2023-06-14T00:00:00"/>
    <d v="2023-06-20T00:00:00"/>
    <n v="0"/>
    <s v="STP"/>
    <s v="N/A"/>
    <s v="N/A"/>
    <x v="1"/>
    <s v="IQF CALIBRADO C"/>
    <s v="OPERARIO"/>
    <s v="PASILLO PRINCIPAL"/>
    <s v="N/A"/>
    <s v="TARDE"/>
    <d v="1899-12-30T22:10:00"/>
    <s v="MIERCOLES"/>
    <s v="SEMANA 24"/>
    <n v="15564"/>
    <s v="NC-100-23"/>
    <s v="GUILLERMO NARVAEZ"/>
    <x v="21"/>
    <n v="40"/>
    <x v="1"/>
    <x v="4"/>
    <s v="Contusión"/>
    <x v="1"/>
    <s v="COLABORADOR SUFRE CONTUSION EN RODILLA DERECHA POR CAIDA MISMO EN PASILLO PRINCIPAL"/>
    <s v="CONDICION"/>
    <s v="NO"/>
    <s v="SI"/>
    <s v="NICOLAS GOMEZ"/>
    <s v="MICHELLE SANCHEZ"/>
    <m/>
  </r>
  <r>
    <n v="2023"/>
    <x v="5"/>
    <s v="EL PAICO"/>
    <s v="GONZALEZ MENDOZA"/>
    <s v="CINTIA"/>
    <s v="FEMENINO"/>
    <s v="15778582-6"/>
    <d v="2017-04-03T00:00:00"/>
    <n v="74"/>
    <d v="2023-06-09T00:00:00"/>
    <s v="ANTIGUO"/>
    <d v="2023-06-09T00:00:00"/>
    <s v="N/A"/>
    <d v="2023-06-12T00:00:00"/>
    <n v="2"/>
    <s v="CTP"/>
    <s v="LGF"/>
    <s v="LGF4"/>
    <x v="7"/>
    <s v="REPORTE DE CAJAS"/>
    <s v="OPERARIO"/>
    <s v="REPORTE DE CAJAS"/>
    <s v="EQUIPO PARA MOVIMIENTO DE CARGA (GRUAS O TRANSPALETAS)"/>
    <s v="MAÑANA"/>
    <d v="1899-12-30T14:00:00"/>
    <s v="VIERNES"/>
    <s v="SEMANA 23"/>
    <n v="15745"/>
    <s v="NC-73-23"/>
    <s v="OCTAVIO MUÑOZ"/>
    <x v="12"/>
    <n v="39"/>
    <x v="7"/>
    <x v="2"/>
    <s v="Contusión"/>
    <x v="4"/>
    <s v="TRABAJADORA DE P.POSTERIORES SUFRE CONTUSION EN COSTADO DERECHO DEL CUERPO POR APLASTAMIENTO OCACIONADO POR EQUIPO DE MOVIMIENTO DE CARGA, EL HECHO OCURRIO EN REPORTE DE CAJAS AL MOMENTO DE QUE LA TRABAJADORA SE ENCONTRARA VALIDANDO PALLETS FRENTE A ROMANA"/>
    <s v="ACCION"/>
    <s v="SI"/>
    <s v="SI"/>
    <s v="ALAN CARRASCO"/>
    <s v="MICHELLE SANCHEZ"/>
    <m/>
  </r>
  <r>
    <n v="2023"/>
    <x v="5"/>
    <s v="EL PAICO"/>
    <s v="ESCOBAR HUANCA"/>
    <s v="MIRIAM "/>
    <s v="FEMENINO"/>
    <s v="27616460-0"/>
    <d v="2022-05-16T00:00:00"/>
    <n v="12"/>
    <d v="2023-06-06T00:00:00"/>
    <s v="INTERMEDIO"/>
    <s v="NA"/>
    <s v="N/A"/>
    <s v="N/A"/>
    <n v="0"/>
    <s v="STP"/>
    <s v="N/A"/>
    <s v="N/A"/>
    <x v="6"/>
    <s v="ASEO ZONA LIMPIA"/>
    <s v="OPERARIO"/>
    <s v="EMBALAJE Y ETIQUEDADO"/>
    <s v="N/A"/>
    <s v="NOCHE"/>
    <d v="1899-12-30T03:15:00"/>
    <s v="MARTES"/>
    <s v="SEMANA 23"/>
    <m/>
    <m/>
    <s v="CARLOS JIMENEZ"/>
    <x v="7"/>
    <n v="25"/>
    <x v="9"/>
    <x v="11"/>
    <s v="Otros"/>
    <x v="9"/>
    <s v="COLABORADORA SUFRE DISNEA POR EXPOSICIÓN A PRODUCTO QUIMICO CUANDO SE ENCONTRABA REALIZANDO ASEO PRE-OPERACIONAL EN SALA."/>
    <s v="ACCION"/>
    <s v="SI"/>
    <s v="NO"/>
    <s v="NICOLAS GOMEZ"/>
    <s v="MICHELLE SANCHEZ"/>
    <m/>
  </r>
  <r>
    <n v="2023"/>
    <x v="5"/>
    <s v="EL PAICO"/>
    <s v="CESPEDES SANZANA"/>
    <s v="DANIEL"/>
    <s v="MASCULINO"/>
    <s v="20345018-4"/>
    <d v="2023-05-22T00:00:00"/>
    <n v="0"/>
    <d v="2023-06-07T00:00:00"/>
    <s v="NUEVO"/>
    <s v="N/A"/>
    <s v="N/A"/>
    <s v="N/A"/>
    <n v="0"/>
    <s v="STP"/>
    <s v="N/A"/>
    <s v="N/A"/>
    <x v="2"/>
    <s v="EVISERADO"/>
    <s v="OPERARIO"/>
    <s v="MAQUINA DE CONTRES"/>
    <s v="MAQUINA DE CONTRES"/>
    <s v="TARDE"/>
    <d v="1899-12-30T08:40:00"/>
    <s v="MIERCOLES"/>
    <s v="SEMANA 23"/>
    <m/>
    <m/>
    <s v="NICOLAS MOYANO"/>
    <x v="11"/>
    <n v="23"/>
    <x v="2"/>
    <x v="0"/>
    <s v="Herida cortante"/>
    <x v="13"/>
    <s v="COLABORADOR SUFRE HERIDA EN DEDO MEÑIQUE DE MANO DERECHA POR RODILLO DE CINTA CUANRO SE ENCONTRABA LIANDO CONTRES"/>
    <s v="ACCION"/>
    <s v="SI"/>
    <s v="NO"/>
    <s v="ALAN CARRASCO"/>
    <s v="CARLOS CARTAGENA"/>
    <m/>
  </r>
  <r>
    <n v="2023"/>
    <x v="5"/>
    <s v="EL PAICO"/>
    <s v="CATALAN ALVARADO"/>
    <s v="ERIK "/>
    <s v="MASCULINO"/>
    <s v="20871209-8"/>
    <d v="2022-10-24T00:00:00"/>
    <n v="7"/>
    <d v="2023-06-14T00:00:00"/>
    <s v="INTERMEDIO"/>
    <s v="N/A"/>
    <s v="N/A"/>
    <s v="N/A"/>
    <n v="0"/>
    <s v="STP"/>
    <s v="N/A"/>
    <s v="N/A"/>
    <x v="1"/>
    <s v="IQF CALIBRADO C"/>
    <s v="OPERARIO"/>
    <s v="IQF"/>
    <s v="N/A"/>
    <s v="NOCHE"/>
    <d v="1899-12-30T04:45:00"/>
    <s v="MIERCOLES"/>
    <s v="SEMANA 24"/>
    <m/>
    <m/>
    <s v="GUILLERMO NARVAEZ"/>
    <x v="21"/>
    <n v="21"/>
    <x v="0"/>
    <x v="0"/>
    <s v="Contusión"/>
    <x v="4"/>
    <s v="COLABORADOR SUFRE CONTUSION EN DEDO MEDIO SUPERIOR DERECHO CON OBJETO METALICO AL ESTAR REALIZANDO CAMBIO DE ROLLO EN MAQUINA SUPER CONTAC"/>
    <s v="ACCION"/>
    <s v="SI"/>
    <s v="NO"/>
    <s v="NICOLAS GOMEZ"/>
    <s v="WLADIMIR CALDERON "/>
    <m/>
  </r>
  <r>
    <n v="2023"/>
    <x v="5"/>
    <s v="EL PAICO"/>
    <s v="BARRERA PEREZ"/>
    <s v="KATHERINE"/>
    <s v="FEMENINO"/>
    <s v="18454833-K"/>
    <d v="2015-01-12T00:00:00"/>
    <n v="100"/>
    <d v="2023-05-31T00:00:00"/>
    <s v="ANTIGUO"/>
    <s v="N/A"/>
    <s v="N/A"/>
    <s v="N/A"/>
    <n v="0"/>
    <s v="STP"/>
    <s v="N/A"/>
    <s v="N/A"/>
    <x v="5"/>
    <s v="DESHUESADO"/>
    <s v="OPERARIO"/>
    <s v="DESHUESADO DE POLLO"/>
    <s v="N/A"/>
    <s v="TARDE"/>
    <d v="1899-12-30T00:20:00"/>
    <s v="JUEVES"/>
    <s v="SEMANA 23"/>
    <m/>
    <m/>
    <s v="DANIEL GARRIDO"/>
    <x v="10"/>
    <n v="30"/>
    <x v="1"/>
    <x v="4"/>
    <s v="Contusión"/>
    <x v="1"/>
    <s v="COLABORADORA SUFRE CONTUSION EN RODILLA POR CAIDA MISMO NIVEL POR PRESENCIA DE RESTOS CARNICOS EN SUPERFICIE DE TRABAJO"/>
    <s v="CONDICION"/>
    <s v="NO"/>
    <s v="NO"/>
    <s v="ALAN CARRASCO"/>
    <s v="CHISTIAN JHONS"/>
    <m/>
  </r>
  <r>
    <n v="2023"/>
    <x v="6"/>
    <s v="EL PAICO"/>
    <s v="VILLEGAS VALECILLOS"/>
    <s v="ALI"/>
    <s v="MASCULINO"/>
    <s v="27131221-0"/>
    <d v="2023-07-10T00:00:00"/>
    <n v="0"/>
    <d v="2023-07-19T00:00:00"/>
    <s v="NUEVO"/>
    <d v="2023-07-19T00:00:00"/>
    <d v="2023-07-23T00:00:00"/>
    <s v="N/A"/>
    <n v="5"/>
    <s v="CTP"/>
    <s v="N/A"/>
    <s v="N/A"/>
    <x v="5"/>
    <s v="DESHUESADO"/>
    <s v="OPERARIO"/>
    <s v="LINEA HQ "/>
    <s v="N/A"/>
    <s v="MAÑANA"/>
    <d v="1899-12-30T07:30:00"/>
    <s v="MIERCOLES"/>
    <s v="SEMANA 29"/>
    <n v="15810"/>
    <s v="NC-88-23"/>
    <s v="DANIEL GARRIDO"/>
    <x v="10"/>
    <n v="35"/>
    <x v="3"/>
    <x v="0"/>
    <s v="Herida cortante"/>
    <x v="3"/>
    <s v="COLABORDOR SUFRE HERIDA CORTANTE EN MANO DERECHA, POR CONTACTO CON OBJETO PUNZANTE, CUANDO SE ENCONTRBA REALIZANDO LABOR DE COLGADO DE PECHUGA EN LINEA DE MAQUINA HQ NORTE"/>
    <s v="ACCION"/>
    <s v="SI"/>
    <s v="SI"/>
    <s v="NICOLAS GOMEZ"/>
    <s v="MICHELLE SANCHEZ"/>
    <m/>
  </r>
  <r>
    <n v="2023"/>
    <x v="6"/>
    <s v="EL PAICO"/>
    <s v="VELASQUEZ RUZ"/>
    <s v="LUIS"/>
    <s v="MASCULINO"/>
    <s v="9841139-9"/>
    <d v="2022-03-04T00:00:00"/>
    <n v="16"/>
    <d v="2023-07-21T00:00:00"/>
    <s v="INTERMEDIO"/>
    <s v="N/A"/>
    <s v="N/A"/>
    <s v="N/A"/>
    <n v="0"/>
    <s v="STP"/>
    <s v="N/A"/>
    <s v="N/A"/>
    <x v="7"/>
    <s v="PULPA"/>
    <s v="OPERARIO"/>
    <s v="PULPA"/>
    <s v="N/A"/>
    <s v="TARDE"/>
    <d v="1899-12-30T21:00:00"/>
    <s v="VIERNES"/>
    <s v="SEMANA 29"/>
    <m/>
    <m/>
    <s v="OCTAVIO MUÑOZ"/>
    <x v="40"/>
    <n v="60"/>
    <x v="6"/>
    <x v="1"/>
    <s v="Herida cortante"/>
    <x v="4"/>
    <s v="COLABORADOR SUFRE CONTUSION CON HERIDA CORTANTE EN NARIZ AL SER GOLPEADO POR BANDEJA PLASTICA CON PRODUCTO CONGELADO "/>
    <s v="ACCION"/>
    <s v="SI"/>
    <s v="NO"/>
    <s v="ALAN CARRASCO"/>
    <s v="CARLOS CARTAGENA"/>
    <m/>
  </r>
  <r>
    <n v="2023"/>
    <x v="6"/>
    <s v="EL PAICO"/>
    <s v="TORRES ALVARADO"/>
    <s v="BRYAN"/>
    <s v="MASCULINO"/>
    <s v="20722483-9"/>
    <d v="2021-04-12T00:00:00"/>
    <n v="27"/>
    <d v="2023-07-22T00:00:00"/>
    <s v="ANTIGUO"/>
    <d v="2023-07-22T00:00:00"/>
    <m/>
    <s v="N/A"/>
    <n v="108"/>
    <s v="CTP"/>
    <s v="N/A"/>
    <s v="N/A"/>
    <x v="2"/>
    <s v="EVISCERADO PAVO"/>
    <s v="OPERARIO"/>
    <s v="EVISCERADO PAVO"/>
    <s v="N/A"/>
    <s v="MAÑANA"/>
    <d v="1899-12-30T10:00:00"/>
    <s v="SABADO"/>
    <s v="SEMANA 29"/>
    <n v="15818"/>
    <s v="NC-90-23"/>
    <s v="NICOLAS MOYANO"/>
    <x v="2"/>
    <n v="21"/>
    <x v="13"/>
    <x v="0"/>
    <s v="Herida cortante"/>
    <x v="8"/>
    <s v="COLABORADOR SUFRE HERIDA CORTANTE EN DEDO PULGAR DERECHO AL REALIZAR UNA MALA MANIOBRA CUANDO IBA A TOMAR SU CHUCHILLO PARA COMENZAR SUS LABORES."/>
    <s v="ACCION"/>
    <s v="SI"/>
    <s v="SI"/>
    <s v="NICOLAS GOMEZ"/>
    <s v="CHISTIAN JHONS"/>
    <m/>
  </r>
  <r>
    <n v="2023"/>
    <x v="6"/>
    <s v="EL PAICO"/>
    <s v="ROSALES MALDONADO"/>
    <s v="JESUS"/>
    <s v="MASCULINO"/>
    <s v="17225475-6"/>
    <d v="2022-09-22T00:00:00"/>
    <n v="9"/>
    <d v="2023-07-17T00:00:00"/>
    <s v="INTERMEDIO"/>
    <s v="N/A"/>
    <s v="N/A"/>
    <s v="N/A"/>
    <n v="0"/>
    <s v="STP"/>
    <s v="N/A"/>
    <s v="N/A"/>
    <x v="8"/>
    <s v="MANTENCION"/>
    <s v="ELECTRICO"/>
    <s v="CHILLER DE AGUA "/>
    <s v="N/A"/>
    <s v="NOCHE"/>
    <d v="1899-12-30T05:00:00"/>
    <s v="LUNES"/>
    <s v="SEMANA 29"/>
    <m/>
    <m/>
    <s v="VICTOR GOMEZ"/>
    <x v="41"/>
    <n v="34"/>
    <x v="0"/>
    <x v="5"/>
    <s v="Conjuntivitis"/>
    <x v="7"/>
    <s v="COLABORADOR SUFRE MOLESTIA OCULAR POR PROYECCION DE PARTICULAS LIQUIDAS (OXIDO), CUANDO SE ENCONTRABA REALIZANDO LIMPIEZA DE CABLES DE ENCHUFE QUE SE ENCONTRABA CON OXIDO, EN CHILLER DE AGUA."/>
    <s v="ACCION"/>
    <s v="SI"/>
    <s v="NO"/>
    <s v="ALAN CARRASCO"/>
    <s v="CARLOS CARTAGENA"/>
    <m/>
  </r>
  <r>
    <n v="2023"/>
    <x v="6"/>
    <s v="EL PAICO"/>
    <s v="ROJAS ZAMORA"/>
    <s v="DIEGO"/>
    <s v="MASCULINO"/>
    <s v="19848137-8"/>
    <d v="2023-07-10T00:00:00"/>
    <n v="0"/>
    <d v="2023-07-27T00:00:00"/>
    <s v="NUEVO"/>
    <d v="2023-07-27T00:00:00"/>
    <d v="2023-07-27T00:00:00"/>
    <s v="N/A"/>
    <n v="0"/>
    <s v="STP"/>
    <s v="N/A"/>
    <s v="N/A"/>
    <x v="7"/>
    <s v="PULPA"/>
    <s v="OPERARIO"/>
    <s v="PULPA"/>
    <s v="EQUIPO PARA MOVIMIENTO DE CARGA (GRUAS O TRANSPALETAS)"/>
    <s v="MAÑANA"/>
    <d v="1899-12-30T11:30:00"/>
    <s v="JUEVES"/>
    <s v="SEMANA 30"/>
    <n v="15826"/>
    <s v="NC-110-23"/>
    <s v="OCTAVIO MUÑOZ"/>
    <x v="14"/>
    <n v="25"/>
    <x v="1"/>
    <x v="8"/>
    <s v="Torsión"/>
    <x v="1"/>
    <s v="COLABORADOR SUFRE TORSION EN MUÑECA IZQUIERDA POR CAIDA MISMO NIVEL PRODUCTO DE PISO RESBALADIZO CUANDO SE ENCONTRABA MOVILIZANDO BINS CON PRODUCTO CON TRANSPALETA MANUAL."/>
    <s v="CONDICION"/>
    <s v="SI"/>
    <s v="SI"/>
    <s v="NICOLAS GOMEZ"/>
    <s v="MICHELLE SANCHEZ"/>
    <m/>
  </r>
  <r>
    <n v="2023"/>
    <x v="6"/>
    <s v="EL PAICO"/>
    <s v="ROA SILVA"/>
    <s v="CRISTIAN"/>
    <s v="MASCULINO"/>
    <s v="18960494-7"/>
    <d v="2020-06-02T00:00:00"/>
    <n v="36"/>
    <d v="2023-06-30T00:00:00"/>
    <s v="ANTIGUO"/>
    <d v="2023-07-03T00:00:00"/>
    <d v="2023-07-05T00:00:00"/>
    <s v="N/A"/>
    <n v="3"/>
    <s v="CTP"/>
    <s v="N/A"/>
    <s v="N/A"/>
    <x v="1"/>
    <s v="CALIBRADO"/>
    <s v="OPERARIO"/>
    <s v="CALIBRADO"/>
    <s v="N/A"/>
    <s v="MAÑANA"/>
    <d v="1899-12-30T16:30:00"/>
    <s v="VIERNES"/>
    <s v="SEMANA 26"/>
    <n v="15785"/>
    <s v="NC-103-23"/>
    <s v="GUILLERMO NARVAEZ"/>
    <x v="42"/>
    <n v="28"/>
    <x v="12"/>
    <x v="4"/>
    <s v="Contusión"/>
    <x v="4"/>
    <s v="COLABORADOR SUFRE CONTUSION EN RODILLA IZQUIERDA AL RECIBIR GOLPE EN CAMPEONATO DE FUTBOL DENTRO DE LA EMPRESA"/>
    <s v="ACCION"/>
    <s v="NO"/>
    <s v="SI"/>
    <s v="ALAN CARRASCO"/>
    <s v="CHISTIAN JHONS"/>
    <m/>
  </r>
  <r>
    <n v="2023"/>
    <x v="6"/>
    <s v="EL PAICO"/>
    <s v="PULGAR ORTIZ"/>
    <s v="DAGOBERTO"/>
    <s v="MASCULINO"/>
    <s v="20879659-3"/>
    <d v="2023-03-20T00:00:00"/>
    <n v="3"/>
    <d v="2023-07-11T00:00:00"/>
    <s v="NUEVO"/>
    <d v="2023-07-12T00:00:00"/>
    <d v="2023-07-14T00:00:00"/>
    <s v="N/A"/>
    <n v="3"/>
    <s v="CTP"/>
    <s v="N/A"/>
    <s v="N/A"/>
    <x v="5"/>
    <s v="DESHUESADO"/>
    <s v="OPERARIO"/>
    <s v="TAMBORES LINEA HQ"/>
    <s v="N/A"/>
    <s v="TARDE"/>
    <d v="1899-12-30T20:00:00"/>
    <s v="MARTES"/>
    <s v="SEMANA 28"/>
    <n v="15798"/>
    <s v="NC-86-23"/>
    <s v="DANIEL GARRIDO"/>
    <x v="10"/>
    <n v="21"/>
    <x v="4"/>
    <x v="4"/>
    <s v="Contusión"/>
    <x v="1"/>
    <s v="COLABORADOR SUFRE CONTUSION EN EXTREMIDAD INFERIOR DERECHA POR CAIDA MISMO NIVEL, CUANDO SE DIRIGIA A TAMBORES DE LINEA HQ."/>
    <s v="CONDICION"/>
    <s v="SI"/>
    <s v="SI"/>
    <s v="NICOLAS GOMEZ"/>
    <s v="MICHELLE SANCHEZ"/>
    <m/>
  </r>
  <r>
    <n v="2023"/>
    <x v="6"/>
    <s v="EL PAICO"/>
    <s v="PEREZ OVALLE"/>
    <s v="ALEJANDRA"/>
    <s v="FEMENINO"/>
    <s v="14321846-5"/>
    <d v="2013-07-10T00:00:00"/>
    <n v="120"/>
    <d v="2023-07-28T00:00:00"/>
    <s v="ANTIGUO"/>
    <s v="N/A"/>
    <s v="N/A"/>
    <s v="N/A"/>
    <n v="0"/>
    <s v="STP"/>
    <s v="N/A"/>
    <s v="N/A"/>
    <x v="7"/>
    <s v="REPORTE DE CAJAS"/>
    <s v="OPERARIO"/>
    <s v="REPORTE DE CAJAS"/>
    <s v="N/A"/>
    <s v="TARDE"/>
    <d v="1899-12-30T21:40:00"/>
    <s v="VIERNES"/>
    <s v="SEMANA 30"/>
    <m/>
    <m/>
    <s v="OCTAVIO MUÑOZ"/>
    <x v="12"/>
    <n v="47"/>
    <x v="14"/>
    <x v="8"/>
    <s v="Otros"/>
    <x v="0"/>
    <s v="COLABORADORA SUFRE DOLENCIA EN ANTEBRAZO DERECHO AL ESTAR REALIZANDO LABORES CON CAJAS EN LINEA DE EMPAQUE FRESCO "/>
    <s v="ACCION"/>
    <s v="SI"/>
    <s v="NO"/>
    <s v="ALAN CARRASCO"/>
    <s v="WLADIMIR CALDERON "/>
    <m/>
  </r>
  <r>
    <n v="2023"/>
    <x v="6"/>
    <s v="EL PAICO"/>
    <s v="NAVARRO GONZALEZ"/>
    <s v="XIMENA"/>
    <s v="FEMENINO"/>
    <s v="16266713-0"/>
    <d v="2016-12-05T00:00:00"/>
    <n v="79"/>
    <d v="2023-07-26T00:00:00"/>
    <s v="ANTIGUO"/>
    <s v="N/A"/>
    <s v="N/A"/>
    <s v="N/A"/>
    <n v="0"/>
    <s v="STP"/>
    <s v="N/A"/>
    <s v="N/A"/>
    <x v="6"/>
    <s v="ASEO ZONA LIMPIA"/>
    <s v="OPERARIO"/>
    <s v="EMPACADORA DE TRUTOS"/>
    <s v="MAQUINA EMPACADORA DE TRUTOS"/>
    <s v="NOCHE"/>
    <d v="1899-12-30T00:00:00"/>
    <s v="MIERCOLES"/>
    <s v="SEMANA 30"/>
    <m/>
    <m/>
    <s v="CARLOS JIMENEZ"/>
    <x v="7"/>
    <n v="38"/>
    <x v="16"/>
    <x v="2"/>
    <s v="Contusión"/>
    <x v="4"/>
    <s v="COLABORADORA SUFRE CONTUSION EN ANTEBRAZO Y DEDO INDICE Y MANO DERECHA AL SER GOLPEADA POR BANDEJA DE MAQUINA EMPACADORA DE TRUTOS CUANDO SE ENCONTRABA SACANDO RESTOS CARNICOS PRESENTES EN DICHA BANDEJA."/>
    <s v="ACCION"/>
    <s v="SI"/>
    <s v="NO"/>
    <s v="ALAN CARRASCO"/>
    <s v="CARLOS CARTAGENA"/>
    <m/>
  </r>
  <r>
    <n v="2023"/>
    <x v="6"/>
    <s v="EL PAICO"/>
    <s v="MIRANDA LOYOLA"/>
    <s v="CAMILA "/>
    <s v="FEMENINO"/>
    <s v="21797530-1"/>
    <d v="2023-03-27T00:00:00"/>
    <n v="3"/>
    <d v="2023-07-05T00:00:00"/>
    <s v="NUEVO"/>
    <d v="2023-07-06T00:00:00"/>
    <d v="2023-07-06T00:00:00"/>
    <s v="N/A"/>
    <n v="0"/>
    <s v="STP"/>
    <s v="N/A"/>
    <s v="N/A"/>
    <x v="4"/>
    <s v="CAMARA"/>
    <s v="OPERARIO"/>
    <s v="SALA EMPAQUE TUNEL"/>
    <s v="N/A"/>
    <s v="MAÑANA"/>
    <d v="1899-12-30T09:10:00"/>
    <s v="MIERCOLES"/>
    <s v="SEMANA 27"/>
    <n v="15793"/>
    <s v="NC-109-23"/>
    <s v="FRANCISCO QUEZADA"/>
    <x v="29"/>
    <n v="18"/>
    <x v="14"/>
    <x v="8"/>
    <s v="Contusión"/>
    <x v="4"/>
    <s v="COLABORAORA SUFRE CONTUSION EN HOMBRO DERECHO AL SER GOLPEADAPOR CAJA CON PRODUCTO CUANDO SE ENCONTRABA BAJANDO CAJAS DE PALLETS EN SALA DE EMPAQUE DE TUNEL"/>
    <s v="ACCION"/>
    <s v="SI "/>
    <s v="SI"/>
    <s v="ALAN CARRASCO"/>
    <s v="CHISTIAN JHONS"/>
    <m/>
  </r>
  <r>
    <n v="2023"/>
    <x v="6"/>
    <s v="EL PAICO"/>
    <s v="LUCERO GUAJARDO"/>
    <s v="BENITO"/>
    <s v="MASCULINO"/>
    <s v="17902888-3"/>
    <d v="2020-03-09T00:00:00"/>
    <n v="40"/>
    <d v="2023-07-10T00:00:00"/>
    <s v="ANTIGUO"/>
    <d v="2023-07-10T00:00:00"/>
    <d v="2023-07-10T00:00:00"/>
    <s v="N/A"/>
    <n v="0"/>
    <s v="STP"/>
    <s v="N/A"/>
    <s v="N/A"/>
    <x v="7"/>
    <s v="REPORTE LINEA ISHIDA A"/>
    <s v="OPERARIO"/>
    <s v="CAMARA 202"/>
    <s v="N/A"/>
    <s v="MAÑANA"/>
    <d v="1899-12-30T15:30:00"/>
    <s v="LUNES"/>
    <s v="SEMANA 28"/>
    <n v="15796"/>
    <s v="NC-104-23"/>
    <s v="OCTAVIO MUÑOZ"/>
    <x v="12"/>
    <n v="32"/>
    <x v="8"/>
    <x v="3"/>
    <s v="Herida cortante"/>
    <x v="3"/>
    <s v="COLABORADOR SUFRE HERIDA PUNZANTE EN PIE DERECHO AL PISAR CLAVO QUE SE ENCONTRABA EN TABLA DE PALLETS. "/>
    <s v="ACCION"/>
    <s v="SI"/>
    <s v="SI"/>
    <s v="NICOLAS GOMEZ"/>
    <s v="CHISTIAN JHONS"/>
    <m/>
  </r>
  <r>
    <n v="2023"/>
    <x v="6"/>
    <s v="EL PAICO"/>
    <s v="LOPEZ TEJERINA"/>
    <s v="ROSMERY"/>
    <s v="FEMENINO"/>
    <s v="22622736-9"/>
    <d v="2020-09-22T00:00:00"/>
    <n v="33"/>
    <d v="2023-07-03T00:00:00"/>
    <s v="ANTIGUO"/>
    <s v="N/A"/>
    <s v="N/A"/>
    <s v="N/A"/>
    <n v="0"/>
    <s v="STP"/>
    <s v="N/A"/>
    <s v="N/A"/>
    <x v="6"/>
    <s v="ASEO OPERACIONAL"/>
    <s v="OPERARIO"/>
    <s v="PASILLO PRINCIPAL"/>
    <s v="N/A"/>
    <s v="TARDE"/>
    <d v="1899-12-30T19:45:00"/>
    <s v="LUNES"/>
    <s v="SEMANA 27"/>
    <m/>
    <m/>
    <s v="CARLOS JIMENES"/>
    <x v="43"/>
    <n v="54"/>
    <x v="0"/>
    <x v="8"/>
    <s v="Otros"/>
    <x v="0"/>
    <s v="COLABORADORA SUFRE DOLOR EN HOMBRO IZQUIERDO POR MOVIMIENTO AL MAL EJECUTADO CUANDO SE ENCONTRABA SACANDO BOLSAS DE BASURA EN EL PASILLO PRINCIPAL"/>
    <s v="ACCION"/>
    <s v="SI"/>
    <s v="NO"/>
    <s v="ALAN CARRASCO"/>
    <s v="MICHELLE SANCHEZ"/>
    <m/>
  </r>
  <r>
    <n v="2023"/>
    <x v="6"/>
    <s v="EL PAICO"/>
    <s v="ESCOBAR HUANCA"/>
    <s v="MIRIAM "/>
    <s v="FEMENINO"/>
    <s v="27616460-0"/>
    <d v="2022-05-16T00:00:00"/>
    <n v="13"/>
    <d v="2023-07-03T00:00:00"/>
    <s v="INTERMEDIO"/>
    <s v="N/A"/>
    <s v="N/A"/>
    <s v="N/A"/>
    <n v="0"/>
    <s v="STP"/>
    <s v="N/A"/>
    <s v="N/A"/>
    <x v="6"/>
    <s v="ASEO ZONA LIMPIA"/>
    <s v="OPERARIO"/>
    <s v="BAJADA ESCALERA EMBALAJE Y ETIQUETADO"/>
    <s v="N/A"/>
    <s v="NOCHE"/>
    <d v="1899-12-30T03:00:00"/>
    <s v="LUNES"/>
    <s v="SEMANA 27"/>
    <m/>
    <m/>
    <s v="CARLOS JIMENEZ"/>
    <x v="7"/>
    <n v="25"/>
    <x v="3"/>
    <x v="4"/>
    <s v="Contusión"/>
    <x v="6"/>
    <s v="COLABORADORA SUFRE CONTUSION EN PIERNA DERECHA POR CAIDA DISTINTO NIVEL AL RESBALARSE CUANDO BAJABA ESCALERA EN SALA DE EMBALAJE Y ETIQUETADO MIENTRAS REALIZABA LABORES DE ASEO PREOPERACIONAL"/>
    <s v="CONDICION"/>
    <s v="SI"/>
    <s v="NO"/>
    <s v="NICOLAS GOMEZ"/>
    <s v="CARLOS CARTAGENA"/>
    <m/>
  </r>
  <r>
    <n v="2023"/>
    <x v="6"/>
    <s v="EL PAICO"/>
    <s v="DEVIA JIMENEZ"/>
    <s v="LUIS"/>
    <s v="MASCULINO"/>
    <s v="11280722-5"/>
    <d v="2020-09-22T00:00:00"/>
    <n v="33"/>
    <d v="2023-07-17T00:00:00"/>
    <s v="ANTIGUO"/>
    <s v="N/A"/>
    <s v="N/A"/>
    <s v="N/A"/>
    <n v="0"/>
    <s v="STP"/>
    <s v="N/A"/>
    <s v="N/A"/>
    <x v="6"/>
    <s v="ASEO OPERACIONAL"/>
    <s v="OPERARIO"/>
    <s v="CASINO EMPRESA"/>
    <s v="N/A"/>
    <s v="MAÑANA"/>
    <d v="1899-12-30T08:45:00"/>
    <s v="LUNES"/>
    <s v="SEMANA 29"/>
    <m/>
    <m/>
    <s v="CARLOS JIMENEZ"/>
    <x v="44"/>
    <n v="55"/>
    <x v="12"/>
    <x v="0"/>
    <s v="Quemadura"/>
    <x v="10"/>
    <s v="COLABORADOR SUFRE LEVE QUEMADURA EN MANO IZQUIERDA, POR CONTACTO CON AGUA CALIENTE, CUANDO SE ENCONTRABA CERRANDO TAPA DE TERMO EN CASINO QUE DE LA EMPRESA"/>
    <s v="ACCION"/>
    <s v="NO"/>
    <s v="NO"/>
    <s v="ALAN CARRASCO"/>
    <s v="CARLOS CARTAGENA"/>
    <m/>
  </r>
  <r>
    <n v="2023"/>
    <x v="6"/>
    <s v="EL PAICO"/>
    <s v="DARISSANTE"/>
    <s v="WILTHON"/>
    <s v="MASCULINO"/>
    <s v="26281940-K"/>
    <d v="2022-03-07T00:00:00"/>
    <n v="16"/>
    <d v="2023-07-27T00:00:00"/>
    <s v="INTERMEDIO"/>
    <s v="N/A"/>
    <s v="N/A"/>
    <s v="N/A"/>
    <n v="0"/>
    <s v="STP"/>
    <s v="N/A"/>
    <s v="N/A"/>
    <x v="5"/>
    <s v="DESHUESADO"/>
    <s v="OPERARIO"/>
    <s v="ESCALERA ACCESO PRINCIPAL"/>
    <s v="N/A"/>
    <s v="TARDE"/>
    <d v="1899-12-30T14:35:00"/>
    <s v="JUEVES"/>
    <s v="SEMANA 30"/>
    <m/>
    <m/>
    <s v="DANIEL GARRIDO"/>
    <x v="10"/>
    <n v="41"/>
    <x v="1"/>
    <x v="8"/>
    <s v="Contusión"/>
    <x v="6"/>
    <s v="COLABORADOR SUFRE CONTUSION EN CODO IZQUIERDO POR CAIDA DE DISTINTO  NIVEL CUANDO SE ENCONTRABA BAJANDO ESTALERAS DE ACCESO PRINCIPAL"/>
    <s v="CONDICION"/>
    <s v="NO"/>
    <s v="NO"/>
    <s v="ALAN CARRASCO"/>
    <s v="MICHELLE SANCHEZ"/>
    <m/>
  </r>
  <r>
    <n v="2023"/>
    <x v="6"/>
    <s v="EL PAICO"/>
    <s v="CONTRERAS PERALTA"/>
    <s v="JUAN CARLOS"/>
    <s v="MASCULINO"/>
    <s v="14006777-6"/>
    <d v="2021-09-01T00:00:00"/>
    <n v="22"/>
    <d v="2023-07-04T00:00:00"/>
    <s v="ANTIGUO"/>
    <s v="N/A"/>
    <s v="N/A"/>
    <s v="N/A"/>
    <n v="0"/>
    <s v="STP"/>
    <s v="N/A"/>
    <s v="N/A"/>
    <x v="1"/>
    <s v="CALIBRADO"/>
    <s v="OPERARIO"/>
    <s v="CALIBRADO"/>
    <s v="N/A"/>
    <s v="MAÑANA"/>
    <d v="1899-12-30T12:20:00"/>
    <s v="MARTES"/>
    <s v="SEMANA 27"/>
    <m/>
    <m/>
    <s v="GUILLERMO NARVAEZ"/>
    <x v="1"/>
    <n v="43"/>
    <x v="14"/>
    <x v="1"/>
    <s v="Herida cortante"/>
    <x v="4"/>
    <s v="COLABORADOR SUFRE HERIDA CORTANTE EN NARIZ AL SER GOLPEADO POR CAJA DE CARTON VACIA, CUANDO SE ENCONTRABA CARGANDO CAJAS EN EL AREA DE CALIBRADO."/>
    <s v="ACCION"/>
    <s v="SI"/>
    <s v="NO"/>
    <s v="NICOLAS GOMEZ"/>
    <s v="WLADIMIR CALDERON "/>
    <m/>
  </r>
  <r>
    <n v="2023"/>
    <x v="6"/>
    <s v="EL PAICO"/>
    <s v="ATABALES MORALES"/>
    <s v="MANUEL"/>
    <s v="MASCULINO"/>
    <s v="15405907-5"/>
    <d v="2022-07-12T00:00:00"/>
    <n v="12"/>
    <d v="2023-07-19T00:00:00"/>
    <s v="INTERMEDIO"/>
    <d v="2023-07-19T00:00:00"/>
    <d v="2023-07-21T00:00:00"/>
    <s v="N/A"/>
    <n v="3"/>
    <s v="CTP"/>
    <s v="N/A"/>
    <s v="N/A"/>
    <x v="5"/>
    <s v="DESHUESADO"/>
    <s v="OPERARIO"/>
    <s v="DESHUESADO DE PECEHUGA"/>
    <s v="EQUIPO PARA MOVIMIENTO DE CARGA (GRUAS O TRANSPALETAS)"/>
    <s v="MAÑANA"/>
    <d v="1899-12-30T09:30:00"/>
    <s v="MIERCOLES"/>
    <s v="SEMANA 29"/>
    <n v="15808"/>
    <s v="NC-89-23"/>
    <s v="DANIEL GARRIDO"/>
    <x v="10"/>
    <n v="40"/>
    <x v="7"/>
    <x v="3"/>
    <s v="Contusión"/>
    <x v="4"/>
    <s v="COLABORADOR SUFRE CONTUSION EN TOBILLO DE PIE IZQUIERDO AL SER GOLPEADO POR TRANSPALETA MANUAL CUANDO SE ENCONTRABA MOVILIZANDO BINS CON PRODUCTO EN SALA DE DESHUESADO DE PECHUGA."/>
    <s v="CONDICION"/>
    <s v="SI"/>
    <s v="SI"/>
    <s v="NICOLAS GOMEZ"/>
    <s v="MICHELLE SANCHEZ"/>
    <m/>
  </r>
  <r>
    <n v="2023"/>
    <x v="7"/>
    <s v="EL PAICO"/>
    <s v="VILCHES SOTO"/>
    <s v="VIVIANA"/>
    <s v="FEMENINO"/>
    <s v="16789251-5"/>
    <d v="2015-09-28T00:00:00"/>
    <n v="94"/>
    <d v="2023-08-11T00:00:00"/>
    <s v="ANTIGUO"/>
    <d v="2023-08-11T00:00:00"/>
    <d v="2023-08-11T00:00:00"/>
    <s v="N/A"/>
    <n v="0"/>
    <s v="STP"/>
    <s v="N/A"/>
    <s v="N/A"/>
    <x v="5"/>
    <s v="DESHUESADO"/>
    <s v="OPERARIO"/>
    <s v="MAQUINA HQ SUR"/>
    <s v="MAQUINA HQ SUR"/>
    <s v="MAÑANA"/>
    <d v="1902-07-18T00:00:00"/>
    <s v="VIERNES"/>
    <s v="SEMANA 32"/>
    <n v="15857"/>
    <s v="NC-117-23"/>
    <s v="DANIEL GARRIDO"/>
    <x v="31"/>
    <n v="35"/>
    <x v="2"/>
    <x v="0"/>
    <s v="Herida cortante"/>
    <x v="8"/>
    <s v="COLABORADORA SUFRE HERIDA   CORTANTE EN DEDO ANULAR DERECHO POR CONTACTO CON OBJETO CORTANTE, ESTRUCTURA FIJA DE MAQUINA HQ SUR, EL EVENTO SE PRODUJO CUANDO SE ENCONTRABA REALIZANDO RETIRO DE PRODUCTO CARNICO DESDE LÍNEA DE COLGADO"/>
    <s v="CONDICION"/>
    <s v="S"/>
    <s v="SI"/>
    <s v="NICOLAS GOMEZ"/>
    <s v="CHISTIAN JHONS"/>
    <m/>
  </r>
  <r>
    <n v="2023"/>
    <x v="7"/>
    <s v="EL PAICO"/>
    <s v="SILVA OSORIO"/>
    <s v="IRIS"/>
    <s v="FEMENINO"/>
    <s v="13772577-0"/>
    <d v="2013-08-07T00:00:00"/>
    <n v="120"/>
    <d v="2023-08-18T00:00:00"/>
    <s v="ANTIGUO"/>
    <s v="N/A"/>
    <s v="N/A"/>
    <s v="N/A"/>
    <n v="0"/>
    <s v="STP"/>
    <s v="N/A"/>
    <s v="N/A"/>
    <x v="5"/>
    <s v="TROZADO AUTOMATICO"/>
    <s v="OPERARIO"/>
    <s v="TROZADO DE POLLO"/>
    <s v="N/A"/>
    <s v="MAÑANA"/>
    <d v="1899-12-30T11:45:00"/>
    <s v="VIERNES"/>
    <s v="SEMANA 33"/>
    <m/>
    <m/>
    <s v="DANIEL GARRIDO"/>
    <x v="28"/>
    <n v="43"/>
    <x v="5"/>
    <x v="0"/>
    <s v="Atrición"/>
    <x v="4"/>
    <s v="COLABORADORA SUFRE CONTUSION EN DEDO PULGAR DERECHO POR ATRISIÓN AL SUFRIR GOLP ENTRE DOS BINS CON PRODUCTO CUANDO SE ENCONTRABA EMPUJANDO BINS QUE IBA A SER RETIRADO"/>
    <s v="ACCION"/>
    <s v="SI"/>
    <s v="NO"/>
    <s v="ALAN CARRASCO "/>
    <s v="CARLOS CARTAGENA"/>
    <m/>
  </r>
  <r>
    <n v="2023"/>
    <x v="7"/>
    <s v="EL PAICO"/>
    <s v="SAAVEDA ADASME"/>
    <s v="FRANCISCO"/>
    <s v="MASCULINO"/>
    <s v="16576716-0"/>
    <d v="2018-05-14T00:00:00"/>
    <n v="63"/>
    <d v="2023-08-24T00:00:00"/>
    <s v="ANTIGUO"/>
    <s v="N/A"/>
    <s v="N/A"/>
    <s v="N/A"/>
    <n v="0"/>
    <s v="STP"/>
    <s v="N/A"/>
    <s v="N/A"/>
    <x v="5"/>
    <s v="TROZADO AUTOMATICO"/>
    <s v="OPERARIO"/>
    <s v="SALA DE PULPA"/>
    <s v="EQUIPO PARA MOVIMIENTO DE CARGA (GRUAS O TRANSPALETAS)"/>
    <s v="TARDE"/>
    <d v="1899-12-30T23:15:00"/>
    <s v="JUEVES"/>
    <s v="SEMANA 34"/>
    <m/>
    <m/>
    <s v="DANIEL GARRIDO"/>
    <x v="28"/>
    <n v="36"/>
    <x v="7"/>
    <x v="0"/>
    <s v="Contusión"/>
    <x v="5"/>
    <s v="COLABORADOR SUFRE CONTUSION EN MANO DERECHA AL SER GOLPEADO CONTRA MANURIO DE TRANSPALETA ELECTRICA CUANDO SE ENCONTRABA EMPUJANDO DOS BINS CON PRODUCTO EN SALA DE PULPA "/>
    <s v="ACCION"/>
    <s v="SI"/>
    <s v="NO"/>
    <s v="NICOLAS GOMEZ"/>
    <s v="MICHELLE SANCHEZ"/>
    <m/>
  </r>
  <r>
    <n v="2023"/>
    <x v="7"/>
    <s v="EL PAICO"/>
    <s v="RODRIGUEZ MONJES"/>
    <s v="ANYIBEL"/>
    <s v="FEMENINO"/>
    <s v="27091787-9"/>
    <d v="2020-03-16T00:00:00"/>
    <n v="41"/>
    <d v="2023-08-25T00:00:00"/>
    <s v="ANTIGUO"/>
    <s v="N/A"/>
    <s v="N/A"/>
    <s v="N/A"/>
    <n v="0"/>
    <s v="STP"/>
    <s v="N/A"/>
    <s v="N/A"/>
    <x v="5"/>
    <s v="DESHUESADO"/>
    <s v="OPERARIO"/>
    <s v="PASILLO IQF 4"/>
    <s v="N/A"/>
    <s v="MAÑANA"/>
    <d v="1899-12-30T10:45:00"/>
    <s v="VIERNES"/>
    <s v="SEMANA 34"/>
    <m/>
    <m/>
    <s v="DANIEL GARRIDO"/>
    <x v="31"/>
    <n v="32"/>
    <x v="1"/>
    <x v="4"/>
    <s v="Contusión"/>
    <x v="1"/>
    <s v="COLABORADORA SUFRE CONTUSION EN RODILLA IZQUIERDA PRODUCTO DE CAÍDA MISMO NIVEL EN PASILLO DE IQF 4, POR PRESENCIA DE HIELO Y RESTOS CÁRNICOS EN SUPERFICIE DE TRANSITO"/>
    <s v="ACCION"/>
    <s v="SI"/>
    <s v="NO"/>
    <s v="NICOLAS GOMEZ"/>
    <s v="WLADIMIR CALDERON "/>
    <m/>
  </r>
  <r>
    <n v="2023"/>
    <x v="7"/>
    <s v="EL PAICO"/>
    <s v="REYES AHUE"/>
    <s v="KELY"/>
    <s v="FEMENINO"/>
    <s v="25370294-K"/>
    <d v="2022-02-07T00:00:00"/>
    <n v="17"/>
    <d v="2023-08-01T00:00:00"/>
    <s v="INTERMEDIO"/>
    <s v="N/A"/>
    <s v="N/A"/>
    <s v="N/A"/>
    <n v="0"/>
    <s v="STP"/>
    <s v="N/A"/>
    <s v="N/A"/>
    <x v="4"/>
    <s v="CAMARA"/>
    <s v="OPERARIO"/>
    <s v="SALA DESPACHO CONGELADO"/>
    <s v="N/A"/>
    <s v="TARDE"/>
    <d v="1899-12-30T16:05:00"/>
    <s v="MARTES"/>
    <s v="SEMANA 31"/>
    <m/>
    <m/>
    <s v="FRANCISCO QUEZADA"/>
    <x v="18"/>
    <n v="36"/>
    <x v="4"/>
    <x v="7"/>
    <s v="Otros"/>
    <x v="13"/>
    <s v="COLABORADORA SUFRE DOLOR LUMBAR POR RESBALARSE AL PISAR UN TROZO DE HIELO CUANDO SE ENCONTRABAJA ARMANDO PALLETS EN SALA SALA DE DESPACHO CONGELADO"/>
    <s v="CONDICION"/>
    <s v="SI"/>
    <s v="NO"/>
    <s v="ALAN CARRASCO"/>
    <s v="WLADIMIR CALDERON "/>
    <m/>
  </r>
  <r>
    <n v="2023"/>
    <x v="7"/>
    <s v="EL PAICO"/>
    <s v="RAMOS VARGAS"/>
    <s v="IRMA"/>
    <s v="FEMENINO"/>
    <s v="10259422-3"/>
    <d v="2023-06-01T00:00:00"/>
    <n v="2"/>
    <d v="2023-08-29T00:00:00"/>
    <s v="NUEVO"/>
    <s v="N/A"/>
    <s v="N/A"/>
    <s v="N/A"/>
    <n v="0"/>
    <s v="STP"/>
    <s v="LGF"/>
    <s v="LGF8"/>
    <x v="1"/>
    <s v="CALIBRADO"/>
    <s v="OPERARIO"/>
    <s v="SELLADO DE PRODUCTO"/>
    <s v="SELADORA DE BOLSA"/>
    <s v="INTERMEDIO"/>
    <d v="1899-12-30T18:10:00"/>
    <s v="MARTES"/>
    <s v="SEMANA 35"/>
    <m/>
    <m/>
    <s v="OCTAVIO MUÑOZ"/>
    <x v="17"/>
    <n v="57"/>
    <x v="2"/>
    <x v="0"/>
    <s v="Quemadura"/>
    <x v="10"/>
    <s v="COLABORADORA SUFRE QUEMADURA EN DEDO INDICE, MEDIO Y ANULAR DE MANO IZQUIERDA POR CONTACT CON MAQUINA SELLADORA DE BOLSAS EN EL AREA DE CALIBRADO"/>
    <s v="ACCION"/>
    <s v="SI"/>
    <s v="NO"/>
    <s v="ALAN CARARSCO"/>
    <s v="WLADIMIR CALDERON "/>
    <m/>
  </r>
  <r>
    <n v="2023"/>
    <x v="7"/>
    <s v="EL PAICO"/>
    <s v="POSTIGO VILCHES"/>
    <s v="BRYAN"/>
    <s v="MASCULINO"/>
    <s v="19501136-2"/>
    <d v="2023-07-17T00:00:00"/>
    <n v="1"/>
    <d v="2023-08-30T00:00:00"/>
    <s v="NUEVO"/>
    <s v="N/A"/>
    <s v="N/A"/>
    <s v="N/A"/>
    <n v="0"/>
    <s v="STP"/>
    <s v="N/A"/>
    <s v="N/A"/>
    <x v="5"/>
    <s v="DESHUESADO"/>
    <s v="OPERARIO"/>
    <s v="BAÑO DE HOMBRES"/>
    <s v="N/A"/>
    <s v="TARDE"/>
    <d v="1899-12-30T18:45:00"/>
    <s v="MIERCOLES"/>
    <s v="SEMANA 35"/>
    <m/>
    <m/>
    <s v="DANIEL GARRIDO"/>
    <x v="45"/>
    <n v="26"/>
    <x v="1"/>
    <x v="0"/>
    <s v="Contusión"/>
    <x v="1"/>
    <s v="COLABORADOR SUFRE CONTUSION EN MUÑECA DERECHA POR GOLPE CONTRA MESON DE ENTREGA DE CIPER EN BAÑO DE HOMBRES"/>
    <s v="ACCION"/>
    <s v="NO"/>
    <s v="NO"/>
    <s v="ALAN CARRASCO"/>
    <s v="CARLOS CARTAGENA"/>
    <m/>
  </r>
  <r>
    <n v="2023"/>
    <x v="7"/>
    <s v="EL PAICO"/>
    <s v="MORALES NUÑEZ"/>
    <s v="JAIME"/>
    <s v="MASCULINO"/>
    <s v="10410053-8"/>
    <d v="1999-08-14T00:00:00"/>
    <n v="287"/>
    <d v="2023-08-09T00:00:00"/>
    <s v="ANTIGUO"/>
    <d v="2023-08-10T00:00:00"/>
    <d v="2023-08-11T00:00:00"/>
    <s v="N/A"/>
    <n v="1"/>
    <s v="CTP"/>
    <s v="N/A"/>
    <s v="N/A"/>
    <x v="4"/>
    <s v="CAMARA"/>
    <s v="ENCARGADO DE LINEA"/>
    <s v="PASILLO D"/>
    <s v="N/A"/>
    <s v="MAÑANA"/>
    <d v="1899-12-30T10:20:00"/>
    <s v="MIERCOLES"/>
    <s v="SEMANA 32"/>
    <n v="15854"/>
    <s v="NC-115-23"/>
    <s v="FRANCISCO QUEZADA"/>
    <x v="18"/>
    <n v="57"/>
    <x v="1"/>
    <x v="2"/>
    <s v="Contusión"/>
    <x v="1"/>
    <s v="COLABORADOR SUFRE CONTUSIÓN EN MANO Y BRAZO IZQUIERDO POR CAIDA MISMO NIVEL PRODUCTO DE PRESENCIA DE RESTOS CARNICOS EN SUPERFICIE DE TRANSITO, CUANDO SE ENCONTRABA TRANSITANDO POR PASILLLO D"/>
    <s v="CONDICION"/>
    <s v="SI"/>
    <s v="SI"/>
    <s v="ALAN CARRASCO"/>
    <s v="WLADIMIR CALDERON "/>
    <m/>
  </r>
  <r>
    <n v="2023"/>
    <x v="7"/>
    <s v="EL PAICO"/>
    <s v="MELLADO DELGADO"/>
    <s v="NICOLAS"/>
    <s v="MASCULINO"/>
    <s v="18960555-2"/>
    <d v="2022-04-04T00:00:00"/>
    <n v="16"/>
    <d v="2023-08-21T00:00:00"/>
    <s v="INTERMEDIO"/>
    <s v="N/A"/>
    <s v="N/A"/>
    <s v="N/A"/>
    <n v="0"/>
    <s v="STP"/>
    <s v="N/A"/>
    <s v="N/A"/>
    <x v="5"/>
    <s v="TROZADO AUTOMATICO"/>
    <s v="TECNICO"/>
    <s v="TROZADO DE POLLO AUTOMATICO"/>
    <s v="N/A"/>
    <s v="MAÑANA"/>
    <d v="1899-12-30T10:40:00"/>
    <s v="LUNES"/>
    <s v="SEMANA 34"/>
    <m/>
    <m/>
    <s v="DANIEL GARRIDO"/>
    <x v="6"/>
    <n v="28"/>
    <x v="4"/>
    <x v="0"/>
    <s v="Contusión"/>
    <x v="1"/>
    <s v="COLABORADOR SUFRE CONTUSION EN MANO DERECHA POR CAIDA MISMO NIVEL PRODUCTO DE RESTOR CARNICOS EN SUPERFICIE DDE TRABAJO CUANDO SE ENCONTRABA AJUSTANDO MODULO PROCESADOR DE TRUTO"/>
    <s v="CONDICION"/>
    <s v="SI"/>
    <s v="NO"/>
    <s v="ALAN CARRASCO"/>
    <s v="WLADIMIR CALDERON "/>
    <m/>
  </r>
  <r>
    <n v="2023"/>
    <x v="7"/>
    <s v="EL PAICO"/>
    <s v="MAULEN MAULEN "/>
    <s v="ALDO"/>
    <s v="MASCULINO"/>
    <s v="20136430-2"/>
    <d v="2019-10-07T00:00:00"/>
    <n v="45"/>
    <d v="2023-08-01T00:00:00"/>
    <s v="ANTIGUO"/>
    <d v="2023-08-01T00:00:00"/>
    <s v="N/A"/>
    <s v="N/A"/>
    <n v="0"/>
    <s v="STP"/>
    <s v="N/A"/>
    <s v="N/A"/>
    <x v="1"/>
    <s v="IQF/CALIBRADO A"/>
    <s v="OPERARIO"/>
    <s v="SALA METALQUIMIA"/>
    <s v="N/A"/>
    <s v="NOCHE"/>
    <d v="1899-12-30T01:00:00"/>
    <s v="MARTES"/>
    <s v="SEMANA 31"/>
    <n v="15833"/>
    <s v="NC-111-23"/>
    <s v="OCTAVIO MUÑOZ"/>
    <x v="17"/>
    <n v="24"/>
    <x v="9"/>
    <x v="5"/>
    <s v="Conjuntivitis"/>
    <x v="7"/>
    <s v="COLABORADOR SUFRE MOLESTIA OCULAR POR PROYECCION DE PARTILUCAS LIQUIDAS (AGUA MAS TEC-500) CUANDO SE ENCONTRABA REALIZANDO ASEO A MAQUINA METALQUIMIA"/>
    <s v="ACCION"/>
    <s v="SI"/>
    <s v="SI"/>
    <s v="ALAN CARRASCO"/>
    <s v="SANDRA LAYANA"/>
    <m/>
  </r>
  <r>
    <n v="2023"/>
    <x v="7"/>
    <s v="EL PAICO"/>
    <s v="MAULEN MALDONADO"/>
    <s v="JOSE"/>
    <s v="MASCULINO"/>
    <s v="7327744-2"/>
    <d v="2007-08-01T00:00:00"/>
    <n v="192"/>
    <d v="2023-08-09T00:00:00"/>
    <s v="ANTIGUO"/>
    <d v="2023-08-10T00:00:00"/>
    <d v="2023-08-14T00:00:00"/>
    <s v="N/A"/>
    <n v="5"/>
    <s v="CTP"/>
    <s v="N/A"/>
    <s v="N/A"/>
    <x v="6"/>
    <s v="ASEO"/>
    <s v="OPERARIO"/>
    <s v="CAMARIN "/>
    <s v="N/A"/>
    <s v="MAÑANA"/>
    <d v="1899-12-30T05:45:00"/>
    <s v="MIERCOLES"/>
    <s v="SEMANA 32"/>
    <n v="15853"/>
    <s v="NC-116-23"/>
    <s v="CARLOS JIMENEZ"/>
    <x v="46"/>
    <n v="70"/>
    <x v="3"/>
    <x v="0"/>
    <s v="Herida cortante"/>
    <x v="5"/>
    <s v="COLABORADOR SUFRE HERIDA CORTANTE EN DEDO INDICE SUPERIOR IZQUIERDO AL GOLPEARSE CONTRA SILLA QUE SE ENCONTRABA EN CAMARIN, CUANDO SE ENCONTRABA CAMBIANDO SU VESTIMENTA PARA INGREZAR A TRABAJAR "/>
    <s v="CONDICION"/>
    <s v="NO"/>
    <s v="SI"/>
    <s v="ALAN CARRASCO"/>
    <s v="WLADIMIR CALDERON "/>
    <m/>
  </r>
  <r>
    <n v="2023"/>
    <x v="7"/>
    <s v="EL PAICO"/>
    <s v="MALAGUEÑO VILLALOBOS"/>
    <s v="PABLO"/>
    <s v="MASCULINO"/>
    <s v="18957463-0"/>
    <d v="2023-03-13T00:00:00"/>
    <n v="4"/>
    <d v="2023-08-02T00:00:00"/>
    <s v="NUEVO"/>
    <s v="N/A"/>
    <s v="N/A"/>
    <s v="N/A"/>
    <n v="0"/>
    <s v="STP"/>
    <s v="LGF"/>
    <s v="LGF8"/>
    <x v="8"/>
    <s v="MANTENCION"/>
    <s v="ELECTRICO"/>
    <s v="SALA BOMBA PERACETICO"/>
    <s v="N/A"/>
    <s v="TARDE"/>
    <d v="1899-12-30T18:30:00"/>
    <s v="MIERCOLES"/>
    <s v="SEMANA 31"/>
    <m/>
    <m/>
    <s v="VICTOR GOMEZ"/>
    <x v="23"/>
    <n v="28"/>
    <x v="9"/>
    <x v="4"/>
    <s v="Quemadura"/>
    <x v="12"/>
    <s v="COLABORADOR SUFRE QUEMADURA EN ZONA GEMERAL DE PIERNA IZQUIERDA POR CONTACTO CON PRODUCTO QUÍMICO,CUANDO SE ENCONTRABA REALIZANDO LABORES DE REVISION DE BOMBA DE PERACETICO"/>
    <s v="ACCION"/>
    <s v="SI"/>
    <s v="NO"/>
    <s v="ALAN CARRASCO"/>
    <s v="CARLOS CARTAGENA"/>
    <m/>
  </r>
  <r>
    <n v="2023"/>
    <x v="7"/>
    <s v="EL PAICO"/>
    <s v="LUCERO ROJAS"/>
    <s v="SEBASTIAN"/>
    <s v="MASCULINO"/>
    <s v="18628732-0"/>
    <d v="2023-06-19T00:00:00"/>
    <n v="2"/>
    <d v="2023-08-21T00:00:00"/>
    <s v="NUEVO"/>
    <s v="N/A"/>
    <s v="N/A"/>
    <s v="N/A"/>
    <n v="0"/>
    <s v="STP"/>
    <s v="N/A"/>
    <s v="N/A"/>
    <x v="7"/>
    <s v="REPORTE DE CAJAS"/>
    <s v="OPERARIO"/>
    <s v="PULPA"/>
    <s v="N/A"/>
    <s v="MAÑANA"/>
    <d v="1899-12-30T12:40:00"/>
    <s v="LUNES"/>
    <s v="SEMANA 34"/>
    <m/>
    <m/>
    <s v="OCTAVIO MUÑOZ"/>
    <x v="38"/>
    <n v="29"/>
    <x v="5"/>
    <x v="3"/>
    <s v="Contusión"/>
    <x v="4"/>
    <s v="COLABORADOR SUFRE CONTUSION EN DEDO PULGAR INFERIOR DERECHO AL SER GOLPEADO POR BINS QUE ERA LLEVADO POR COMPAÑERO DE TRABAJO"/>
    <s v="ACCION"/>
    <s v="SI"/>
    <s v="NO"/>
    <s v="ALAN CARRASCO"/>
    <s v="WLADIMIR CALDERON "/>
    <m/>
  </r>
  <r>
    <n v="2023"/>
    <x v="7"/>
    <s v="EL PAICO"/>
    <s v="IBARRA"/>
    <s v="JOSE"/>
    <s v="MASCULINO"/>
    <s v="11170619-0"/>
    <d v="2022-11-04T00:00:00"/>
    <n v="9"/>
    <d v="2023-08-22T00:00:00"/>
    <s v="INTERMEDIO"/>
    <s v="N/A"/>
    <s v="N/A"/>
    <s v="N/A"/>
    <n v="0"/>
    <s v="STP"/>
    <s v="N/A"/>
    <s v="N/A"/>
    <x v="2"/>
    <s v="CALIBRADO PAVOS"/>
    <s v="OPERARIO"/>
    <s v="EVISCERADO"/>
    <s v="N/A"/>
    <s v="TARDE"/>
    <d v="1899-12-30T17:10:00"/>
    <s v="MARTES"/>
    <s v="SEMAN 34"/>
    <m/>
    <m/>
    <s v="NICOLAS MOYANO"/>
    <x v="37"/>
    <n v="59"/>
    <x v="6"/>
    <x v="5"/>
    <s v="Conjuntivitis"/>
    <x v="7"/>
    <s v="COLABORADOR SUFRE MOLESTIA OCULAR POR PROYECCION DE PARTICULAS EN OJO IZQUIERDO CUANDO DE ENCONTRABA SACANDO VICESAR QUE ESTABAN ENRREDADAS"/>
    <s v="ACCION"/>
    <s v="SI"/>
    <s v="NO"/>
    <s v="NICOLAS GOMEZ"/>
    <s v="CARLOS CARTAGENA"/>
    <m/>
  </r>
  <r>
    <n v="2023"/>
    <x v="7"/>
    <s v="EL PAICO"/>
    <s v="HERNANDEZ DIAZ"/>
    <s v="SERGIO"/>
    <s v="MASCULINO"/>
    <s v="19212501-4"/>
    <d v="2023-07-10T00:00:00"/>
    <n v="0"/>
    <d v="2023-08-07T00:00:00"/>
    <s v="NUEVO"/>
    <s v="N/A"/>
    <s v="N/A"/>
    <s v="N/A"/>
    <n v="0"/>
    <s v="STP"/>
    <s v="N/A"/>
    <s v="N/A"/>
    <x v="5"/>
    <s v="AUTOMATICO"/>
    <s v="OPERARIO"/>
    <s v="COLAGADO DE POLLO"/>
    <s v="N/A"/>
    <s v="TARDE"/>
    <d v="1899-12-30T19:00:00"/>
    <s v="LUNES"/>
    <s v="SEMANA 32"/>
    <m/>
    <m/>
    <s v="DANIEL GARRIDO"/>
    <x v="28"/>
    <n v="27"/>
    <x v="6"/>
    <x v="7"/>
    <s v="Otros"/>
    <x v="0"/>
    <s v="COLABORADOR SUFRE DOLENCIA EN ESPALDA POR MOVIMIENTO REPETITIVO AL REALIZAR LABOR DE GOLGADO DE PRODUCTO EN TROZADO DE POLLO AUTOMATICO"/>
    <s v="ACCION"/>
    <s v="SI"/>
    <s v="NO"/>
    <s v="NICOLAS GOMEZ"/>
    <s v="WLADIMIR CALDERON "/>
    <m/>
  </r>
  <r>
    <n v="2023"/>
    <x v="7"/>
    <s v="EL PAICO"/>
    <s v="GUERRA CABRERA"/>
    <s v="JORGE"/>
    <s v="MASCULINO"/>
    <s v="17987132-7"/>
    <d v="2010-04-23T00:00:00"/>
    <n v="160"/>
    <d v="2023-08-30T00:00:00"/>
    <s v="ANTIGUO"/>
    <d v="2023-08-30T00:00:00"/>
    <d v="2023-08-31T00:00:00"/>
    <s v="N/A"/>
    <n v="13"/>
    <s v="CTP"/>
    <s v="N/A"/>
    <s v="N/A"/>
    <x v="5"/>
    <s v="DESHUESADO"/>
    <s v="OPERARIO"/>
    <s v="AFUERA DE PORTERIA"/>
    <s v="N/A"/>
    <s v="MAÑANA"/>
    <d v="1899-12-30T06:00:00"/>
    <s v="MIERCOLES"/>
    <s v="SEMANA 35"/>
    <n v="15892"/>
    <s v="NC-127-23"/>
    <s v="DANIEL GARRIDO"/>
    <x v="10"/>
    <n v="31"/>
    <x v="15"/>
    <x v="3"/>
    <s v="Torsión"/>
    <x v="6"/>
    <s v="COLABORADOR SUFRE TORSION EN PIE DERECHO POR CAIDA DISTINTO NIVEL CUANDO SE ECONTRABA BAJANDO DE FURGON DE TRANSPORTE"/>
    <s v="ACCION"/>
    <s v="NO"/>
    <s v="SI"/>
    <s v="NICOLAS GOMEZ"/>
    <s v="CARLOS CARTAGENA"/>
    <m/>
  </r>
  <r>
    <n v="2023"/>
    <x v="7"/>
    <s v="EL PAICO"/>
    <s v="GONZALEZ FERNANDEZ"/>
    <s v="DENISSE"/>
    <s v="FEMENINO"/>
    <s v="15542013-8"/>
    <d v="2019-07-01T00:00:00"/>
    <n v="49"/>
    <d v="2023-08-29T00:00:00"/>
    <s v="ANTIGUO"/>
    <s v="N/A"/>
    <s v="N/A"/>
    <s v="N/A"/>
    <n v="0"/>
    <s v="STP"/>
    <s v="N/A"/>
    <s v="N/A"/>
    <x v="10"/>
    <s v="ROMANA PULPAS"/>
    <s v="ROMANERO"/>
    <s v="ROMANA DE PULPAS"/>
    <s v="N/A"/>
    <s v="MAÑANA "/>
    <d v="1899-12-30T05:40:00"/>
    <s v="MARTES"/>
    <s v="SEMANA 35"/>
    <m/>
    <m/>
    <s v="LUIS ESPEJO"/>
    <x v="47"/>
    <n v="40"/>
    <x v="6"/>
    <x v="5"/>
    <s v="Conjuntivitis"/>
    <x v="7"/>
    <s v="COLABORA SUFRE  MOLESTIA OCULAR EN OJO DERECHOPOR PROYECCIÓN DE PARTICULAS LIQUIDAS CUANDO SE ENCONTRABA ORDENANDO SU PUESTO DE TRABAJO PARA COMENZAR EL TURNO"/>
    <s v="ACCION"/>
    <s v="SI"/>
    <s v="NO"/>
    <s v="NICOLAS GOMEZ"/>
    <s v="WLADIMIR CALDERON "/>
    <m/>
  </r>
  <r>
    <n v="2023"/>
    <x v="7"/>
    <s v="EL PAICO"/>
    <s v="GOMEZ FARIAS"/>
    <s v="VICTOR"/>
    <s v="MASCULINO"/>
    <s v="16341630-1"/>
    <d v="2004-09-13T00:00:00"/>
    <n v="226"/>
    <d v="2023-07-21T00:00:00"/>
    <s v="ANTIGUO"/>
    <d v="2023-08-21T00:00:00"/>
    <d v="2023-08-21T00:00:00"/>
    <s v="N/A"/>
    <n v="0"/>
    <s v="STP"/>
    <s v="N/A"/>
    <s v="N/A"/>
    <x v="8"/>
    <s v="MANTENIMIENTO"/>
    <s v="JEFE DE MANTENCION"/>
    <s v="CHILLER DE AIRE"/>
    <s v="N/A"/>
    <s v="MAÑANA"/>
    <d v="1899-12-30T19:00:00"/>
    <s v="VIERNES"/>
    <s v="SEMANA 29"/>
    <n v="15878"/>
    <s v="NC-124-23"/>
    <s v="VICTOR GOMEZ"/>
    <x v="48"/>
    <n v="37"/>
    <x v="1"/>
    <x v="8"/>
    <s v="Contusión"/>
    <x v="1"/>
    <s v="COLABORADOR SUFRE CONTUSIÓN EN CODO IZQUIERDO POR CAIDA MISMO NIVEL PRODUCTO DE HIELO PRESENTE EN SUPERFCIE DE TRANSITO EN EL SECTOR DE CHILER DE AIRE "/>
    <s v="CONDICION"/>
    <s v="SI"/>
    <s v="SI"/>
    <s v="ALAN CARRASCO"/>
    <s v="N/A"/>
    <m/>
  </r>
  <r>
    <n v="2023"/>
    <x v="7"/>
    <s v="EL PAICO"/>
    <s v="CONTRERAS PERALTA"/>
    <s v="JUAN "/>
    <s v="MASCULINO"/>
    <s v="14006777-6"/>
    <d v="2021-09-01T00:00:00"/>
    <n v="23"/>
    <d v="2023-08-21T00:00:00"/>
    <s v="ANTIGUO"/>
    <s v="N/A"/>
    <s v="N/A"/>
    <s v="N/A"/>
    <n v="0"/>
    <s v="STP"/>
    <s v="N/A"/>
    <s v="N/A"/>
    <x v="1"/>
    <s v="DROPPOINT"/>
    <s v="OPERARIO"/>
    <s v="LINEA DROPPOINT"/>
    <s v="N/A"/>
    <s v="TARDE"/>
    <d v="1899-12-30T18:25:00"/>
    <s v="LUNES"/>
    <s v="SEMANA 34"/>
    <m/>
    <m/>
    <s v="OCTAVIO MUÑOZ"/>
    <x v="1"/>
    <n v="43"/>
    <x v="3"/>
    <x v="1"/>
    <s v="Herida cortante"/>
    <x v="5"/>
    <s v="COLABORADOR SUFRE HERIDA SUPERFICIAL EN ROSTRO AL SER GOLPEADO CONTRA LATA DE ESTRUCTURA DE MAQUINA DROPPOINT CUANDO SE ENCONTRABA SACANDO UN ATASCO DE CAJAS "/>
    <s v="ACCION"/>
    <s v="SI"/>
    <s v="NO"/>
    <s v="NICOLAS GOMEZ"/>
    <s v="WLADIMIR CALDERON "/>
    <m/>
  </r>
  <r>
    <n v="2023"/>
    <x v="7"/>
    <s v="EL PAICO"/>
    <s v="CID ARAOS"/>
    <s v="CLAUDIO"/>
    <s v="MASCULINO"/>
    <s v="19212600-2"/>
    <d v="2017-10-23T00:00:00"/>
    <n v="69"/>
    <d v="2023-08-22T00:00:00"/>
    <s v="ANTIGUO"/>
    <d v="2023-08-22T00:00:00"/>
    <d v="2023-08-22T00:00:00"/>
    <s v="N/A"/>
    <n v="0"/>
    <s v="STP"/>
    <s v="N/A"/>
    <s v="N/A"/>
    <x v="8"/>
    <s v="MANTENIMIENTO"/>
    <s v="COORDINADOR"/>
    <s v="RECEPCIÓN DE POLLO"/>
    <s v="N/A"/>
    <s v="MAÑANA"/>
    <d v="1899-12-30T13:50:00"/>
    <s v="MARTES"/>
    <s v="SEMANA 34"/>
    <n v="15877"/>
    <s v="NC-123-23"/>
    <s v="VICTOR GOMEZ"/>
    <x v="36"/>
    <n v="27"/>
    <x v="3"/>
    <x v="7"/>
    <s v="Herida cortante"/>
    <x v="8"/>
    <s v="COLABORADOR SUFRE HERIDA CORTANTE EN ZONA LUMBAR AL TENER CONTACTO CON PERFIL DE ESTRUCTURA METALICA AL PASAR POR BAJO DE CINTA TRANSPORTADORA."/>
    <s v="ACCION"/>
    <s v="SI"/>
    <s v="SI"/>
    <s v="ALAN CARRASCO"/>
    <s v="CARLOS CARTAGENA"/>
    <m/>
  </r>
  <r>
    <n v="2023"/>
    <x v="7"/>
    <s v="EL PAICO"/>
    <s v="CARVAJAL CEPEDA "/>
    <s v="MICHEL HERNAN"/>
    <s v="MASCULINO"/>
    <s v="17081441-K"/>
    <d v="2017-08-01T00:00:00"/>
    <n v="72"/>
    <d v="2023-08-08T00:00:00"/>
    <s v="ANTIGUO"/>
    <d v="2023-08-08T00:00:00"/>
    <d v="2023-08-13T00:00:00"/>
    <d v="2023-08-14T00:00:00"/>
    <n v="11"/>
    <s v="CTP"/>
    <s v="LGF"/>
    <s v="LGF2"/>
    <x v="8"/>
    <s v="MANTENIMIENTO"/>
    <s v="COODINADOR"/>
    <s v="IQF4"/>
    <s v="N/A"/>
    <s v="MAÑANA"/>
    <d v="1899-12-30T14:45:00"/>
    <s v="MARTES"/>
    <s v="SEMANA 32"/>
    <n v="15847"/>
    <s v="NC-113-24"/>
    <s v="VICTOR GOMEZ"/>
    <x v="13"/>
    <n v="35"/>
    <x v="2"/>
    <x v="0"/>
    <s v="Atrición"/>
    <x v="2"/>
    <s v="COLABORADOR SUFRE HERIDA CORTANTE POR ATRAPAMIENTO EN DEDO MEDIO DERECHO, CUANDO SE ENCONTRABA REALIZANDO INSPECCION EN INYECTORA CFS650 EN EL IQF 4"/>
    <s v="ACCION"/>
    <s v="SI"/>
    <s v="SI"/>
    <s v="ALAN CARRASCO"/>
    <s v="MICHELLE SANCHEZ"/>
    <m/>
  </r>
  <r>
    <n v="2023"/>
    <x v="7"/>
    <s v="EL PAICO"/>
    <s v="CARANCIO NUÑEZ"/>
    <s v="CRISTIAN "/>
    <s v="MASCULINO"/>
    <s v="13247799-K"/>
    <d v="2023-06-01T00:00:00"/>
    <n v="2"/>
    <d v="2023-08-23T00:00:00"/>
    <s v="NUEVO"/>
    <s v="N/A"/>
    <s v="N/A"/>
    <s v="N/A"/>
    <n v="0"/>
    <s v="STP"/>
    <s v="N/A"/>
    <s v="N/A"/>
    <x v="1"/>
    <s v="IQF CALIBRADO C"/>
    <s v="OPERARIO"/>
    <s v="SALA DE PROCESO"/>
    <s v="N/A"/>
    <s v="INTERMEDIO"/>
    <d v="1899-12-30T16:30:00"/>
    <s v="MIERCOLES"/>
    <s v="SEMANA 34"/>
    <m/>
    <m/>
    <s v="OCTAVIO MUÑOZ"/>
    <x v="42"/>
    <n v="45"/>
    <x v="16"/>
    <x v="0"/>
    <s v="Torsión"/>
    <x v="5"/>
    <s v="COLABORADOR SUFRE TORSION DE DEDO PULGAR IZQUIERDO AL SER GOLPEADO CONTRA BANDEJA CUANDO SE ENCONTRABA ARMANDO PALLETS CON BLOQUES"/>
    <s v="ACCION"/>
    <s v="SI"/>
    <s v="NO"/>
    <s v="NICOLAS GOMEZ"/>
    <s v="CHISTIAN JHONS"/>
    <m/>
  </r>
  <r>
    <n v="2023"/>
    <x v="7"/>
    <s v="EL PAICO"/>
    <s v="CANTILLANA CARDENAS"/>
    <s v="ACLICIO"/>
    <s v="MASCULINO"/>
    <s v="9868246-5"/>
    <d v="2019-06-24T00:00:00"/>
    <n v="49"/>
    <d v="2023-08-14T00:00:00"/>
    <s v="ANTIGUO"/>
    <s v="N/A"/>
    <s v="N/A"/>
    <s v="N/A"/>
    <n v="0"/>
    <s v="STP"/>
    <s v="N/A"/>
    <s v="N/A"/>
    <x v="7"/>
    <s v="REPORTE LINEA ISHIDA "/>
    <s v="OPERARIO"/>
    <s v="ANDEN "/>
    <s v="N/A"/>
    <s v="TARDE"/>
    <d v="1899-12-30T21:00:00"/>
    <s v="LUNES"/>
    <s v="SEMANA 33"/>
    <m/>
    <m/>
    <s v="OCTAVIO MUÑOZ"/>
    <x v="38"/>
    <n v="60"/>
    <x v="0"/>
    <x v="4"/>
    <s v="Herida cortante"/>
    <x v="4"/>
    <s v="COLABORADOR SUFRE HERIDA ABRASIVA EN PIERNA IZQUIERDA AL SER GOLPEADO POR PALLET QUE CAE DESDE ALTURA CUANDO SE ENCONTRABA MOVILIZANDO ESTOS HACIA ANDEN UTILIZANDO TRANSPALETA MANUAL"/>
    <s v="ACCION"/>
    <s v="SI"/>
    <s v="NO"/>
    <s v="ALAN CARRASCO "/>
    <s v="MICHELLE SANCHEZ"/>
    <m/>
  </r>
  <r>
    <n v="2023"/>
    <x v="7"/>
    <s v="EL PAICO"/>
    <s v="CANALES NAVARRO"/>
    <s v="AILIN"/>
    <s v="FEMENINO"/>
    <s v="20424089-2"/>
    <d v="2023-08-01T00:00:00"/>
    <n v="0"/>
    <d v="2023-08-21T00:00:00"/>
    <s v="NUEVO"/>
    <s v="N/A"/>
    <s v="N/A"/>
    <s v="N/A"/>
    <n v="0"/>
    <s v="STP"/>
    <s v="N/A"/>
    <s v="N/A"/>
    <x v="1"/>
    <s v="CALIBRADO"/>
    <s v="OPERARIO"/>
    <s v="CALIBRADO"/>
    <s v="N/A"/>
    <s v="MAÑANA"/>
    <d v="1899-12-30T12:50:00"/>
    <s v="LUNES"/>
    <s v="SEMANA 34"/>
    <m/>
    <m/>
    <s v="OCTAVIO MUÑOZ"/>
    <x v="42"/>
    <n v="23"/>
    <x v="6"/>
    <x v="0"/>
    <s v="Contusión"/>
    <x v="4"/>
    <s v="COLABORADORA DE IQF-CALIBRADO SUFRIO GOLPE EN DEDO ANULAR DE MANO DERECHA POR CAIDA DE UNA PECHIGA CONGELADA DESDE EL CAPACHO UEGO DE QUE ESTE SE LLENARA EN LINEA DE EMPACADO"/>
    <s v="CONDICION"/>
    <s v="SI"/>
    <s v="NO"/>
    <s v="ALAN CARRASCO"/>
    <s v="WLADIMIR CALDERON "/>
    <m/>
  </r>
  <r>
    <n v="2023"/>
    <x v="7"/>
    <s v="EL PAICO"/>
    <s v="CAMPOS DIAZ"/>
    <s v="PATRICIO"/>
    <s v="MASCULINO"/>
    <s v="11696586-0"/>
    <d v="2018-10-16T00:00:00"/>
    <n v="57"/>
    <d v="2023-08-04T00:00:00"/>
    <s v="ANTIGUO"/>
    <d v="2023-08-04T00:00:00"/>
    <d v="2023-08-04T00:00:00"/>
    <s v="N/A"/>
    <n v="0"/>
    <s v="STP"/>
    <s v="N/A"/>
    <s v="N/A"/>
    <x v="6"/>
    <s v="ASEO OPERACIONAL"/>
    <s v="ENCARGADO SSGG"/>
    <s v="ECORILES"/>
    <s v="N/A"/>
    <s v="TARDE"/>
    <d v="1899-12-30T13:45:00"/>
    <s v="VIERNES"/>
    <s v="SEMANA 31"/>
    <n v="15840"/>
    <s v="NC-112-23"/>
    <s v="CARLOS JIMENEZ"/>
    <x v="49"/>
    <n v="52"/>
    <x v="11"/>
    <x v="2"/>
    <s v="Otros"/>
    <x v="11"/>
    <s v="COLABORADOR SUFRE PICADURA DE AVEJA EN ROSTRO Y ESPALDA CUANDO SE ENCONTRABA MOVIENDO CARRO QUE SE ENCONTRABA SOBRE PASTO EN SECTOR DE ECORILES"/>
    <s v="CONDICION"/>
    <s v="SI"/>
    <s v="SI"/>
    <s v="NICOLAS GOMEZ"/>
    <s v="MICHELLE SANCHEZ"/>
    <m/>
  </r>
  <r>
    <n v="2023"/>
    <x v="7"/>
    <s v="EL PAICO"/>
    <s v="CAMACHO CASTELLANOS"/>
    <s v="JESUS"/>
    <s v="MASCULINO"/>
    <s v="27001301-5"/>
    <d v="2021-04-26T00:00:00"/>
    <n v="28"/>
    <d v="2023-09-04T00:00:00"/>
    <s v="ANTIGUO"/>
    <s v="N/A"/>
    <s v="N/A"/>
    <s v="N/A"/>
    <n v="0"/>
    <s v="STP"/>
    <s v="N/A"/>
    <s v="N/A"/>
    <x v="5"/>
    <s v="DESHUESADO"/>
    <s v="OPERADOR DE MAQUINA"/>
    <s v="MAQUINA HQ NORTE"/>
    <s v="MAQUINA HQ NORTE"/>
    <s v="TARDE"/>
    <d v="1899-12-30T21:57:00"/>
    <s v="LUNES"/>
    <s v="SEMANA 36"/>
    <m/>
    <m/>
    <s v="DANIEL GARRIDO"/>
    <x v="10"/>
    <n v="25"/>
    <x v="2"/>
    <x v="3"/>
    <s v="Otros"/>
    <x v="8"/>
    <s v="COLABORADOR SUFRE CORTE EN BOTA DE IZQUIERDA CON CUCHILLO DE TENDON PRESENTE EN MAQUINA HQ NORTE AL MOMENTO DE EMPUJAR UN CARRO DE MAQUINA QUE SE ENCONTRABA ATASCADO "/>
    <s v="ACCION"/>
    <s v="SI"/>
    <s v="NO"/>
    <s v="NICOLAS GOMEZ"/>
    <s v="WLADIMIR CALDERON "/>
    <m/>
  </r>
  <r>
    <n v="2023"/>
    <x v="7"/>
    <s v="EL PAICO"/>
    <s v="BRAVO SAEZ"/>
    <s v="ALEXIS"/>
    <s v="MASCULINO"/>
    <s v="14006048-8"/>
    <d v="2019-07-29T00:00:00"/>
    <n v="48"/>
    <d v="2023-08-07T00:00:00"/>
    <s v="ANTIGUO"/>
    <s v="N/A"/>
    <s v="N/A"/>
    <s v="N/A"/>
    <n v="0"/>
    <s v="STP"/>
    <s v="N/A"/>
    <s v="N/A"/>
    <x v="7"/>
    <s v="PULPAS A"/>
    <s v="MOVILIZADOR"/>
    <s v="DESPACHO FRESCO"/>
    <s v="N/A"/>
    <s v="MAÑANA"/>
    <d v="1899-12-30T12:15:00"/>
    <s v="LUNES"/>
    <s v="SEMANA 32"/>
    <m/>
    <m/>
    <s v="OCTAVIO MUÑOZ"/>
    <x v="14"/>
    <n v="46"/>
    <x v="7"/>
    <x v="1"/>
    <s v="Herida cortante"/>
    <x v="5"/>
    <s v="COLABORADOR SUFRE HERIDA CORTANTE EN NARIZ AL SER GOLPEADO CONTRA ESTRUCTURA METALICA SOBRESALIENTE DE CARRO METALICO CUANDO SE ENCONTRABA AYUDANDO A GRUERO A SACAR FIERRO DE CARRO QUE SE ENCONTRABA ATASCADO "/>
    <s v="ACCION"/>
    <s v="SI"/>
    <s v="NO"/>
    <s v="NICOLAS GOMEZ"/>
    <s v="CHISTIAN JHONS"/>
    <m/>
  </r>
  <r>
    <n v="2023"/>
    <x v="7"/>
    <s v="EL PAICO"/>
    <s v="BENOIT"/>
    <s v="RINEL"/>
    <s v="MASCULINO"/>
    <s v="26237764-4"/>
    <d v="2021-11-03T00:00:00"/>
    <n v="21"/>
    <d v="2023-08-10T00:00:00"/>
    <s v="ANTIGUO"/>
    <s v="N/A"/>
    <s v="N/A"/>
    <s v="N/A"/>
    <n v="0"/>
    <s v="STP"/>
    <s v="N/A"/>
    <s v="N/A"/>
    <x v="5"/>
    <s v="DESHUESADO"/>
    <s v="OPERARIO"/>
    <s v="DROP POINT"/>
    <s v="EQUIPO PARA MOVIMIENTO DE CARGA (GRUAS O TRANSPALETAS)"/>
    <s v="TARDE"/>
    <d v="1899-12-30T16:45:00"/>
    <s v="JUEVES"/>
    <s v="SEMANA 32"/>
    <m/>
    <m/>
    <s v="DANIEL GARRIDO"/>
    <x v="10"/>
    <n v="37"/>
    <x v="7"/>
    <x v="0"/>
    <s v="Contusión"/>
    <x v="4"/>
    <s v="COLABORADOR SUFRE CONTUSION EN RODILLA DERECHA AL SER GOLPEADO POR EQUIPO DE MOVIMIENTO DE CARGA"/>
    <s v="ACCION"/>
    <s v="SI"/>
    <s v="NO"/>
    <s v="NICOLAS GOMEZ"/>
    <s v="MICHELLE SANCHEZ"/>
    <m/>
  </r>
  <r>
    <n v="2023"/>
    <x v="7"/>
    <s v="EL PAICO"/>
    <s v="BALLADARES VILLAVICENCIO"/>
    <s v="JORGE"/>
    <s v="MASCULINO"/>
    <s v="17398280-1"/>
    <d v="2008-01-10T00:00:00"/>
    <n v="187"/>
    <d v="2023-08-23T00:00:00"/>
    <s v="ANTIGUO"/>
    <s v="N/A"/>
    <s v="N/A"/>
    <s v="N/A"/>
    <n v="0"/>
    <s v="STP"/>
    <s v="N/A"/>
    <s v="N/A"/>
    <x v="4"/>
    <s v="CAMARA"/>
    <s v="OPERARIO"/>
    <s v="DESPACHO CONGELADO"/>
    <s v="N/A"/>
    <s v="MAÑANA"/>
    <d v="1899-12-30T12:30:00"/>
    <s v="MIERCOLES"/>
    <s v="SEMANA 34"/>
    <m/>
    <m/>
    <s v="FRANCISCO QUEZADA"/>
    <x v="29"/>
    <n v="33"/>
    <x v="14"/>
    <x v="0"/>
    <s v="Torsión"/>
    <x v="4"/>
    <s v="COLABORADOR SUFRE TORSIÓN EN MUÑECA IZQUIERDA AL SER GOLPEADO POR CAJA QUE CAE DESDE PALLETS CUANDO SE ENCONTRABA REPARANDO CAJAS"/>
    <s v="ACCION"/>
    <s v="SI"/>
    <s v="NO"/>
    <s v="ALAN CARRASCO"/>
    <s v="CHISTIAN JHONS"/>
    <m/>
  </r>
  <r>
    <n v="2023"/>
    <x v="7"/>
    <s v="EL PAICO"/>
    <s v="AHUMADA CASTILLO"/>
    <s v="JUAN"/>
    <s v="MASCULINO"/>
    <s v="18096461-4"/>
    <d v="2022-07-12T00:00:00"/>
    <n v="13"/>
    <d v="2023-08-12T00:00:00"/>
    <s v="INTERMEDIO"/>
    <s v="N/A"/>
    <s v="N/A"/>
    <s v="N/A"/>
    <n v="0"/>
    <s v="STP"/>
    <s v="LGF"/>
    <s v="LGF6"/>
    <x v="8"/>
    <s v="MANTENIMIENTO"/>
    <s v="ELECTRICO"/>
    <s v="TALLER MANTENIMIENTO"/>
    <s v="N/A"/>
    <s v="TARDE"/>
    <d v="1899-12-30T21:40:00"/>
    <s v="SABADO"/>
    <s v="SEMANA 32"/>
    <m/>
    <m/>
    <s v="VICTOR GOMEZ"/>
    <x v="36"/>
    <n v="31"/>
    <x v="18"/>
    <x v="8"/>
    <s v="Otros"/>
    <x v="14"/>
    <s v="COLABORADOR SUFRE GOLPE DE CORRIENTE EN MANO IZQUIERDA POR CONTACTO CON TABLERO DE PRUEBA"/>
    <s v="ACCION"/>
    <s v="SI"/>
    <s v="NO"/>
    <s v="ALAN CARRASCO"/>
    <s v="MICHELLE SANCHEZ"/>
    <m/>
  </r>
  <r>
    <n v="2023"/>
    <x v="7"/>
    <s v="EL PAICO"/>
    <s v="AHUMADA CARRASCO "/>
    <s v="BENJAMIN"/>
    <s v="MASCULINO"/>
    <s v="20783005-4"/>
    <d v="2022-11-11T00:00:00"/>
    <n v="9"/>
    <d v="2023-08-21T00:00:00"/>
    <s v="INTERMEDIO"/>
    <s v="N/A"/>
    <s v="N/A"/>
    <s v="N/A"/>
    <n v="0"/>
    <s v="STP"/>
    <s v="N/A"/>
    <s v="N/A"/>
    <x v="2"/>
    <s v="EVISCERADO"/>
    <s v="OPERARIO"/>
    <s v="EVISCERADO  "/>
    <s v="N/A"/>
    <s v="TARDE"/>
    <d v="1899-12-30T17:30:00"/>
    <s v="LUNES"/>
    <s v="SEMANA 34"/>
    <m/>
    <m/>
    <s v="NICOLAS MOYANO"/>
    <x v="2"/>
    <n v="22"/>
    <x v="1"/>
    <x v="0"/>
    <s v="Torsión"/>
    <x v="4"/>
    <s v="COLABORADOR SUFRE TORSION EN MUÑECA DERECHA AL GOLPEARSE CONTRA BARANDA DE ESCALERA QUE SE ENCUENTRA EN SALA DE EVISCERADO"/>
    <s v="ACCION"/>
    <s v="SI"/>
    <s v="NO"/>
    <s v="NICOLAS GOMEZ"/>
    <s v="WLADIMIR CALDERON "/>
    <m/>
  </r>
  <r>
    <n v="2023"/>
    <x v="7"/>
    <s v="EL PAICO"/>
    <s v="AGUILERA SERRANO"/>
    <s v="MARITZA"/>
    <s v="FEMENINO"/>
    <s v="12859577-5"/>
    <d v="2016-12-16T00:00:00"/>
    <n v="80"/>
    <d v="2023-08-17T00:00:00"/>
    <s v="ANTIGUO"/>
    <d v="2023-08-17T00:00:00"/>
    <d v="2023-08-17T00:00:00"/>
    <d v="2023-08-23T00:00:00"/>
    <n v="3"/>
    <s v="CTP"/>
    <s v="LGF"/>
    <s v="LGF8"/>
    <x v="7"/>
    <s v="REPORTE LINEA ISHIDA"/>
    <s v="OPERARIO"/>
    <s v="REPORTE DE CAJAS"/>
    <s v="MAQUINA MONTEZA"/>
    <s v="MAÑANA"/>
    <d v="1899-12-30T12:20:00"/>
    <s v="JUEVES"/>
    <s v="SEMANA 33"/>
    <n v="15872"/>
    <s v="NC-120-23"/>
    <s v="OCTAVIO MUÑOZ"/>
    <x v="14"/>
    <n v="48"/>
    <x v="2"/>
    <x v="8"/>
    <s v="Quemadura"/>
    <x v="10"/>
    <s v="COLABORADORA SUFRE QUEMADURA EN ANTE BRAZO DERECHO POR CONTACTO CON ESTRUCTURA METALICA AL SACAR CAJA DE PRDUCTO QUE SE ENCONTRABA DENTRO DE MAQUINA MONTEZA ESTO DEBIDO AL CORTE DE ENERGIA EN LA PLANTA."/>
    <s v="ACCION"/>
    <s v="SI"/>
    <s v="SI"/>
    <s v="NICOLAS GOMEZ"/>
    <s v="MICHELLE SANCHEZ"/>
    <m/>
  </r>
  <r>
    <n v="2023"/>
    <x v="8"/>
    <s v="EL PAICO"/>
    <s v="SEPULVEDA SOTO"/>
    <s v="NELLY"/>
    <s v="FEMENINO"/>
    <s v="9455533-7"/>
    <d v="2019-12-09T00:00:00"/>
    <n v="45"/>
    <d v="2023-09-12T00:00:00"/>
    <s v="ANTIGUO"/>
    <d v="2023-09-13T00:00:00"/>
    <d v="2023-09-13T00:00:00"/>
    <s v="N/A"/>
    <n v="0"/>
    <s v="STP"/>
    <s v="N/A"/>
    <s v="N/A"/>
    <x v="6"/>
    <s v="ASEO OPERACIONAL"/>
    <s v="OPERARIO"/>
    <s v="IQF 4"/>
    <s v="N/A"/>
    <s v="TARDE"/>
    <d v="1899-12-30T17:20:00"/>
    <s v="MARTES"/>
    <s v="SEMANA 37"/>
    <n v="15917"/>
    <s v="NC-132-23"/>
    <s v="CARLOS JIMENEZ"/>
    <x v="44"/>
    <n v="58"/>
    <x v="1"/>
    <x v="7"/>
    <s v="Contusión"/>
    <x v="1"/>
    <s v="COLABORADORA SUFRE CAIDA MISMO NIVEL CUANDO AL PISAR SUPERFICIE DE TRANSITO QUE SE ENCONTRABA SIN REJA DE PROTECCION DE DESAHUE EN PASILLO DE IQF4"/>
    <s v="CONDICION"/>
    <s v="SI"/>
    <s v="SI"/>
    <s v="ALAN CARRASCO"/>
    <s v="CHISTIAN JHONS"/>
    <m/>
  </r>
  <r>
    <n v="2023"/>
    <x v="8"/>
    <s v="EL PAICO"/>
    <s v="ROSALES MALDONADO"/>
    <s v="JESUS"/>
    <s v="MASCULINO"/>
    <s v="17225475-6"/>
    <d v="2022-09-22T00:00:00"/>
    <n v="11"/>
    <d v="2023-09-11T00:00:00"/>
    <s v="INTERMEDIO"/>
    <s v="N/A"/>
    <s v="N/A"/>
    <s v="N/A"/>
    <n v="0"/>
    <s v="STP"/>
    <s v="N/A"/>
    <s v="N/A"/>
    <x v="8"/>
    <s v="MANTENCION"/>
    <s v="ELECTRICO"/>
    <s v="ESACALERA MAQUINA HQ NORTE"/>
    <s v="N/A"/>
    <s v="MAÑANA"/>
    <d v="1899-12-30T14:45:00"/>
    <s v="LUNES"/>
    <s v="SEMANA 37"/>
    <m/>
    <m/>
    <s v="VICTOR GOMEZ"/>
    <x v="41"/>
    <n v="34"/>
    <x v="1"/>
    <x v="4"/>
    <s v="Otros"/>
    <x v="13"/>
    <s v="COLABORADOR SUFRE DOLOR EN PIERNA IZQUIERDA AL RESBALAR CUANDO SE ENCONTRABA BAJANDO DE ESCALERA EN MAQUINA HQ NORTE"/>
    <s v="CONDICION"/>
    <s v="SI"/>
    <s v="NO"/>
    <s v="NICOLAS GOMEZ"/>
    <s v="CARLOS CARTAGENA"/>
    <m/>
  </r>
  <r>
    <n v="2023"/>
    <x v="8"/>
    <s v="EL PAICO"/>
    <s v="ROJAS QUINTERO"/>
    <s v="MARIO"/>
    <s v="MASCULINO"/>
    <s v="16342271-9"/>
    <d v="2023-07-03T00:00:00"/>
    <n v="2"/>
    <d v="2023-09-14T00:00:00"/>
    <s v="NUEVO"/>
    <s v="N/A"/>
    <s v="N/A"/>
    <s v="N/A"/>
    <n v="0"/>
    <s v="STP"/>
    <s v="N/A"/>
    <s v="N/A"/>
    <x v="4"/>
    <s v="CAMARA"/>
    <s v="OPERARIO"/>
    <s v="SALA DE EMPAQUE"/>
    <s v="N/A"/>
    <s v="TARDE"/>
    <d v="1899-12-30T15:00:00"/>
    <s v="JUEVES"/>
    <s v="SEMANA 37"/>
    <m/>
    <m/>
    <s v="FRANCISCO QUEZADA"/>
    <x v="18"/>
    <n v="43"/>
    <x v="14"/>
    <x v="7"/>
    <s v="Otros"/>
    <x v="0"/>
    <s v="CLABORADOR SUFRE DOLOR EN PARILLA COSTAL DERECHA POR SOBREESFUERZO CUANDO SE ENCONTRABA REARMANDO PALLETS CON CAJAS"/>
    <s v="ACCION"/>
    <s v="SI"/>
    <s v="NO"/>
    <s v="ALAN CARRASCO"/>
    <s v="WLADIMIR CALDERON "/>
    <m/>
  </r>
  <r>
    <n v="2023"/>
    <x v="8"/>
    <s v="EL PAICO"/>
    <s v="RIQUELME ZUÑIGA"/>
    <s v="VICTOR"/>
    <s v="MASCULINO"/>
    <s v="20654845-2"/>
    <d v="2022-02-03T00:00:00"/>
    <n v="19"/>
    <d v="2023-09-12T00:00:00"/>
    <s v="ANTIGUO"/>
    <s v="N/A"/>
    <s v="N/A"/>
    <s v="N/A"/>
    <n v="0"/>
    <s v="STP"/>
    <s v="N/A"/>
    <s v="N/A"/>
    <x v="4"/>
    <s v="CAMARA"/>
    <s v="MOVILIZADOR"/>
    <s v="PUERTA DE TUNEL 6"/>
    <s v="N/A"/>
    <s v="MAÑANA"/>
    <d v="1899-12-30T06:30:00"/>
    <s v="MARTES"/>
    <s v="SEMANA 37"/>
    <m/>
    <m/>
    <s v="FRANCISCO QUEZADA"/>
    <x v="29"/>
    <n v="22"/>
    <x v="3"/>
    <x v="0"/>
    <s v="Contusión"/>
    <x v="5"/>
    <s v="COLABORADOR SUFRE CONTUSION EN DEDO INDICE DERECHO AL SER GOLPEADO CONTRA PUERTA DE TUNEL 6, CUANDO SE ENCONTRABA ABRIENDO ESTA QUE SE ENCONTRABA CON HIELO."/>
    <s v="ACCION"/>
    <s v="SI"/>
    <s v="NO"/>
    <s v="NICOLAS GOMEZ"/>
    <s v="CHISTIAN JHONS"/>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5">
  <r>
    <n v="2023"/>
    <s v="ENERO"/>
    <s v="EL PAICO"/>
    <s v="VERA CATALAN"/>
    <s v="IVAN "/>
    <s v="MASCULINO"/>
    <s v="18488665-0 "/>
    <d v="2019-04-08T00:00:00"/>
    <n v="45"/>
    <d v="2023-01-18T00:00:00"/>
    <x v="0"/>
    <d v="2023-01-18T00:00:00"/>
    <s v="N/A"/>
    <s v="N/A"/>
    <n v="0"/>
    <x v="0"/>
    <s v="N/A"/>
    <s v="N/A"/>
    <x v="0"/>
    <s v="BODEGA"/>
    <s v="OPERARIO"/>
    <s v="BODEGA"/>
    <s v="N/A"/>
    <s v="MAÑANA"/>
    <d v="1899-12-30T13:30:00"/>
    <s v="MIERCOLES"/>
    <s v="SEMANA 3"/>
    <m/>
    <m/>
    <s v="BORIS PONCE"/>
    <s v="VICTORIA MILLANERS"/>
    <n v="28"/>
    <x v="0"/>
    <x v="0"/>
    <x v="0"/>
    <x v="0"/>
    <s v="TRABAJADOR SUBRE TIRON AL ESTAR CORTANDO LAS AMARRAS (VARIAS) DEL PALLET Y AL MOVERLAS SIENTE DOLOR QUE VA DESDE LA MITAD DE LA PALMA HASTA EL CODO, EL CUAL VA EN AUMENTO Y AVISA A SU SUPERVISOR "/>
    <s v="ACCION"/>
    <s v="SI"/>
    <x v="0"/>
    <s v="ALAN CARRASCO"/>
    <s v="GABRIELA CABEZAS "/>
    <m/>
  </r>
  <r>
    <n v="2023"/>
    <s v="ENERO"/>
    <s v="EL PAICO"/>
    <s v="ROCHA VARELA"/>
    <s v="MARIANA"/>
    <s v="FEMENINO"/>
    <s v="15596634-3"/>
    <d v="2021-02-09T00:00:00"/>
    <n v="23"/>
    <d v="2023-01-19T00:00:00"/>
    <x v="0"/>
    <s v="N/A"/>
    <s v="N/A"/>
    <s v="N/A"/>
    <n v="0"/>
    <x v="0"/>
    <s v="N/A"/>
    <s v="N/A"/>
    <x v="1"/>
    <s v="CALIBRADO"/>
    <s v="OPERARIO"/>
    <s v="BAÑO MUJERES"/>
    <s v="N/A"/>
    <s v="MAÑANA"/>
    <d v="1899-12-30T11:20:00"/>
    <s v="JUEVES"/>
    <s v="SEMANA 3"/>
    <m/>
    <m/>
    <s v="GUILLERMO NARVAEZ"/>
    <s v="FERNANDO FUENTEALBA"/>
    <n v="39"/>
    <x v="1"/>
    <x v="0"/>
    <x v="1"/>
    <x v="1"/>
    <s v="COLABORADOR AL ESTAR DESPLAZANDOSE AL INTERIOR DEL BAÑO DE MUJERES, RESBALA PROBOCANDOLE UNA CONTUSION EN LA MUQUEÑA IZQUIERDA."/>
    <s v="ACCION"/>
    <s v="SI"/>
    <x v="0"/>
    <s v="NICOLAS GOMEZ"/>
    <s v="CHRISTIAN JHONS"/>
    <m/>
  </r>
  <r>
    <n v="2023"/>
    <s v="ENERO"/>
    <s v="EL PAICO"/>
    <s v="QUIROZ SAAVEDRA"/>
    <s v="JORGE"/>
    <s v="MASCULINO"/>
    <s v="10261648-0"/>
    <d v="2002-08-23T00:00:00"/>
    <n v="244"/>
    <d v="2023-01-21T00:00:00"/>
    <x v="0"/>
    <d v="2023-01-23T00:00:00"/>
    <d v="2023-02-04T00:00:00"/>
    <s v="N/A"/>
    <n v="13"/>
    <x v="1"/>
    <s v="LGF"/>
    <s v="LGF2"/>
    <x v="2"/>
    <s v="CHILLER DE AGUA"/>
    <s v="OPERARIO"/>
    <s v="CHILLER DE AGUA "/>
    <s v="CINTA DE TRANSPORTE"/>
    <s v="MAÑANA"/>
    <d v="1899-12-30T12:10:00"/>
    <s v="SABADO"/>
    <s v="SEMANA 3"/>
    <n v="15430"/>
    <s v="NC-11-23"/>
    <s v="NICOLAS MOYANO"/>
    <s v="ERWIN GATICA"/>
    <n v="58"/>
    <x v="2"/>
    <x v="0"/>
    <x v="2"/>
    <x v="2"/>
    <s v="TRABAJADOR EL CUAL SE ENCONTRABA TRANSLANDO LA CINTA TRANSPORTADORA PARA TRABAJAR EN LA HEMBRA SE APRETA EL DEDO  PULGAR DE MANO DERECHA"/>
    <s v="ACCION"/>
    <s v="SI"/>
    <x v="1"/>
    <s v="NICOLAS GOMEZ"/>
    <s v="CARLOS CARTAGENA"/>
    <s v="TRANSPORTE DE CINTA"/>
  </r>
  <r>
    <n v="2023"/>
    <s v="ENERO"/>
    <s v="EL PAICO"/>
    <s v="PEREZ CAMPOS"/>
    <s v="CARMEN"/>
    <s v="FEMENINO"/>
    <s v="11608562-3"/>
    <d v="1998-04-01T00:00:00"/>
    <n v="297"/>
    <d v="2023-01-13T00:00:00"/>
    <x v="0"/>
    <s v="N/A"/>
    <s v="N/A"/>
    <s v="N/A"/>
    <n v="0"/>
    <x v="0"/>
    <s v="N/A"/>
    <s v="N/A"/>
    <x v="3"/>
    <s v="SANGRADO DE POLLOS"/>
    <s v="OPERARIO"/>
    <s v="SALA DE SANGRADO"/>
    <s v="N/A"/>
    <s v="MAÑANA"/>
    <d v="1899-12-30T04:00:00"/>
    <s v="VIERNES"/>
    <s v="SEMANA 2"/>
    <m/>
    <m/>
    <s v="JAIME JORQUERA"/>
    <s v="HECNIMAR URDANETA"/>
    <n v="52"/>
    <x v="3"/>
    <x v="0"/>
    <x v="0"/>
    <x v="3"/>
    <s v="TRABAJADORA SE ENCONTRABA REALIZANDO INSPECCION DE ASEO PREOPERACIONAL EN SALA DE SANGRADO, AL MOMENTO DE PASAR MANO POR GUIAS SE ENTIERRA UNA ESCIRLA DE METAL EN DEDO ANULAR EL CUAL FUE RETIRADO AL MOMENTO"/>
    <s v="CONDICION"/>
    <s v="SI"/>
    <x v="0"/>
    <s v="CARLOS ORELLANA"/>
    <s v="CARLOS CARTAGENA"/>
    <m/>
  </r>
  <r>
    <n v="2023"/>
    <s v="ENERO"/>
    <s v="EL PAICO"/>
    <s v="PEÑA ASTORGA"/>
    <s v="GUSTAVO"/>
    <s v="MASCULINO"/>
    <s v="17225054-8"/>
    <d v="2019-11-11T00:00:00"/>
    <n v="37"/>
    <d v="2023-01-03T00:00:00"/>
    <x v="0"/>
    <s v="N/A"/>
    <s v="N/A"/>
    <s v="N/A"/>
    <n v="0"/>
    <x v="0"/>
    <s v="N/A"/>
    <s v="N/A"/>
    <x v="2"/>
    <s v="EVISCERADO"/>
    <s v="OPERARIO"/>
    <s v="LINEA DESCOLGADO DE BANDEJAS"/>
    <s v="N/A"/>
    <s v="MAÑANA"/>
    <d v="1899-12-30T13:45:00"/>
    <s v="MARTES"/>
    <s v="SEMANA 1"/>
    <m/>
    <m/>
    <s v="NICOLAS MOYANO"/>
    <m/>
    <n v="33"/>
    <x v="0"/>
    <x v="1"/>
    <x v="3"/>
    <x v="4"/>
    <s v="ESTABA BAJANDO BANDEJA DE LINEA DE DESCOLGADO AL MOMENTO DE RETIRAR UNA BANDEJA LA QUE VENIA GOLPEA PARPADO DERECHO"/>
    <s v="ACCION"/>
    <s v="SI"/>
    <x v="0"/>
    <s v="NICOLAS GOMEZ"/>
    <s v="CHRISTIAN JHONS"/>
    <m/>
  </r>
  <r>
    <n v="2023"/>
    <s v="ENERO"/>
    <s v="EL PAICO"/>
    <s v="MORENO LORCA"/>
    <s v="OSCAR"/>
    <s v="MASCULINO"/>
    <s v="10874086-8"/>
    <d v="2023-01-17T00:00:00"/>
    <n v="0"/>
    <d v="2023-01-23T00:00:00"/>
    <x v="1"/>
    <d v="2023-01-24T00:00:00"/>
    <d v="2023-03-25T00:00:00"/>
    <s v="N/A"/>
    <n v="2"/>
    <x v="1"/>
    <s v="N/A"/>
    <s v="N/A"/>
    <x v="4"/>
    <s v="EMPAQUE"/>
    <s v="OPERARIO"/>
    <s v="CAMARA 201 ORIENTE"/>
    <s v="N/A"/>
    <s v="MAÑANA"/>
    <d v="1899-12-30T11:30:00"/>
    <s v="LUNES"/>
    <s v="SEMANA 4"/>
    <n v="15435"/>
    <s v="NC-09-23"/>
    <s v="FRANCISCO QUEZADA"/>
    <s v="JUAN VILLAVICENCIO"/>
    <n v="52"/>
    <x v="4"/>
    <x v="2"/>
    <x v="1"/>
    <x v="1"/>
    <s v="TRABAJADOR CUANDO SE TRANSLADABA A DEJAR INSUMOS DE TRABAJO (PISO DE ENCONTRABA CAPA DE HIELO) ESTE RESBALA CAYENDO DE ESPALDA GOLPEANDOSE LADO DERECHO A NIVEL DE LA CINTURA Y SU CODO IZQUERDO "/>
    <s v="CONDICION"/>
    <s v="SI"/>
    <x v="1"/>
    <s v="ALAN CARRASCO"/>
    <s v="CHRISTIAN JHONS"/>
    <s v="TRANSITO POR AREAS DE PROCESO"/>
  </r>
  <r>
    <n v="2023"/>
    <s v="ENERO"/>
    <s v="EL PAICO"/>
    <s v="MIRANDA GOMEZ"/>
    <s v="JOSELYN"/>
    <s v="FEMENINO"/>
    <s v="18487450-4"/>
    <d v="2022-05-09T00:00:00"/>
    <n v="8"/>
    <d v="2023-01-23T00:00:00"/>
    <x v="2"/>
    <d v="2023-01-24T00:00:00"/>
    <d v="2023-01-28T00:00:00"/>
    <s v="N/A"/>
    <n v="5"/>
    <x v="1"/>
    <s v="N/A"/>
    <s v="N/A"/>
    <x v="4"/>
    <s v="EMPAQUE"/>
    <s v="OPERARIO"/>
    <s v="CAMARINES DE MUJER"/>
    <s v="N/A"/>
    <s v="TARDE"/>
    <d v="1899-12-30T14:15:00"/>
    <s v="LUNES"/>
    <s v="SEMANA 4"/>
    <n v="15436"/>
    <s v="NC-10-23"/>
    <s v="FRANCISCO QUEZADA"/>
    <s v="JUAN VILLAVICENCIO"/>
    <n v="29"/>
    <x v="3"/>
    <x v="3"/>
    <x v="1"/>
    <x v="5"/>
    <s v="TRABAJADORA QUE SE ENCONTRABA CAMBIANDO SU VESTIMENTA EN CAMARINES DE MUJER SE GOLPEA DEDO MEÑIQUE DEL PIE DERECHO CON UNA SILLA DE FIERRO PRESENTE EN EL LUGAR"/>
    <s v="ACCION"/>
    <s v="SI"/>
    <x v="1"/>
    <s v="ALAN CARRASCO"/>
    <s v="CHRISTIAN JHONS"/>
    <s v="CAMBIO DE ROPA EN CAMARINES"/>
  </r>
  <r>
    <n v="2023"/>
    <s v="ENERO"/>
    <s v="EL PAICO"/>
    <s v="MENDEZ DEL CASTILLO"/>
    <s v="DANIELA"/>
    <s v="FEMENINO"/>
    <s v="15822820-3"/>
    <d v="2021-01-25T00:00:00"/>
    <n v="23"/>
    <d v="2023-01-03T00:00:00"/>
    <x v="0"/>
    <d v="2023-01-04T00:00:00"/>
    <d v="2023-01-12T00:00:00"/>
    <s v="N/A"/>
    <n v="9"/>
    <x v="1"/>
    <s v="N/A"/>
    <s v="N/A"/>
    <x v="5"/>
    <s v="TROZADO AUTOMATICO"/>
    <s v="OPERARIO"/>
    <s v="ESCALERA PRINCIPAL"/>
    <s v="N/A"/>
    <s v="TARDE"/>
    <d v="1899-12-30T19:50:00"/>
    <s v="MARTES"/>
    <s v="SEMANA 1"/>
    <n v="15412"/>
    <s v="NC-04-23"/>
    <s v="DANIEL GARRIDO"/>
    <s v="RAMIRO RAMIREZ"/>
    <n v="37"/>
    <x v="1"/>
    <x v="4"/>
    <x v="4"/>
    <x v="1"/>
    <s v="TRABAJADORA SUFRE CAIDA AL BAJAR ESCALERA PRINCIPAL, EN EL DESCANSO HABIA TIERRA , LA CUAL PISA RESBALANDOSE Y SUFRIENDO UNA HIPEREXTENSION DE RODILLA IZQUIERDA"/>
    <s v="CONDICION"/>
    <s v="NO"/>
    <x v="1"/>
    <s v="NICOLAS GOMEZ"/>
    <s v="CHRISTIAN JHONS"/>
    <s v="TRANSITO POR AREAS COMUNES"/>
  </r>
  <r>
    <n v="2023"/>
    <s v="ENERO"/>
    <s v="EL PAICO"/>
    <s v="INFANTE GUTIERREZ"/>
    <s v="TERESA"/>
    <s v="FEMENINO"/>
    <s v="16795621-1"/>
    <d v="2014-10-06T00:00:00"/>
    <n v="99"/>
    <d v="2023-01-07T00:00:00"/>
    <x v="0"/>
    <d v="2023-01-10T00:00:00"/>
    <d v="2023-01-17T00:00:00"/>
    <d v="2023-01-10T00:00:00"/>
    <n v="8"/>
    <x v="1"/>
    <s v="N/A"/>
    <s v="N/A"/>
    <x v="6"/>
    <s v="SALA DE SALMUERA"/>
    <s v="OPERARIO"/>
    <s v="SALA DE SALMUERA "/>
    <s v="N/A"/>
    <s v="NOCHE"/>
    <d v="1899-12-30T22:40:00"/>
    <s v="SABADO"/>
    <s v="SEMANA 1"/>
    <n v="15413"/>
    <s v="NC-03-23"/>
    <s v="CARLOS JIMENEZ"/>
    <s v="PATRICIO PALACIOS"/>
    <n v="35"/>
    <x v="3"/>
    <x v="4"/>
    <x v="1"/>
    <x v="6"/>
    <s v="TRABAJADOR CUANDO LIMPIABA EN SALA SALMUERA SE CAE DE TARIMA GOLPEANDOSE LA RODILLA IZQUIERDA"/>
    <s v="CONDICION"/>
    <s v="SI"/>
    <x v="1"/>
    <s v="CARLOS ORELLANA"/>
    <s v="CHRISTIAN JHONS"/>
    <s v="LIMPIEZA DE SUPERFICIE SOBRE TARIMA/ESCALERA"/>
  </r>
  <r>
    <n v="2023"/>
    <s v="ENERO"/>
    <s v="EL PAICO"/>
    <s v="HOSTIL"/>
    <s v="SMITH"/>
    <s v="MASCULINO"/>
    <s v="26204649-4"/>
    <d v="2022-11-14T00:00:00"/>
    <n v="1"/>
    <d v="2023-01-04T00:00:00"/>
    <x v="1"/>
    <s v="N/A"/>
    <s v="N/A"/>
    <s v="N/A"/>
    <n v="0"/>
    <x v="0"/>
    <s v="N/A"/>
    <s v="N/A"/>
    <x v="6"/>
    <s v="ASEO PREOPERACIONAL"/>
    <s v="OPERARIO"/>
    <s v="TROZADO DE POLLO"/>
    <s v="N/A"/>
    <s v="NOCHE"/>
    <d v="1899-12-30T02:00:00"/>
    <s v="MIERCOLES"/>
    <s v="SEMANA 1"/>
    <m/>
    <m/>
    <s v="CARLOS JIMENEZ"/>
    <s v="PATRICIO PALACIOS"/>
    <n v="34"/>
    <x v="3"/>
    <x v="4"/>
    <x v="1"/>
    <x v="6"/>
    <s v="TRABAJADOR SUFRE CAIDA DE DISTINTO NIVEL AL BAJAR UNA ESCALERA EN TROZADO DE POLLO LUEGO DE FINALIZAR LA LIMPIEZA DE UN EQUIPO"/>
    <s v="ACCION"/>
    <s v="SI"/>
    <x v="0"/>
    <s v="NICOLAS GOMEZ"/>
    <s v="CHRISTIAN JHONS"/>
    <s v="TRANSITO POR AREAS DE PROCESO"/>
  </r>
  <r>
    <n v="2023"/>
    <s v="ENERO"/>
    <s v="EL PAICO"/>
    <s v="HIDALGO"/>
    <s v="ARISLEYDA"/>
    <s v="FEMENINO"/>
    <s v="26622517-2"/>
    <d v="2020-02-03T00:00:00"/>
    <n v="35"/>
    <d v="2023-01-19T00:00:00"/>
    <x v="0"/>
    <s v="N/A"/>
    <s v="N/A"/>
    <s v="N/A"/>
    <n v="0"/>
    <x v="0"/>
    <s v="N/A"/>
    <s v="N/A"/>
    <x v="5"/>
    <s v="DESHUESADO"/>
    <s v="OPERARIO"/>
    <s v="DESPLUMADO"/>
    <s v="N/A"/>
    <s v="MAÑANA"/>
    <d v="1899-12-30T05:30:00"/>
    <s v="JUEVES"/>
    <s v="SEMANA 3"/>
    <m/>
    <m/>
    <s v="DANIEL GARRIDO"/>
    <s v="LUIS BUSTAMANTE"/>
    <n v="32"/>
    <x v="0"/>
    <x v="0"/>
    <x v="1"/>
    <x v="4"/>
    <s v="TRABAJADORA AL COMENZAR SU TURNO, ORDENABA SU PUESTO DE TRABAJO CUANDO LE CAE UNA TABLA GOLPANDOLA EN DEDOS MEDIO Y ANULAR DE LA MANO IZQUERDA"/>
    <s v="ACCION"/>
    <s v="SI"/>
    <x v="0"/>
    <s v="NICOLAS GOMEZ"/>
    <s v="CHRISTIAN JHONS"/>
    <s v="REALIZANDO LABORES DE ASEO"/>
  </r>
  <r>
    <n v="2023"/>
    <s v="ENERO"/>
    <s v="EL PAICO"/>
    <s v="GALVEZ MANZO"/>
    <s v="DAVID"/>
    <s v="MASCULINO "/>
    <s v="18029574-7"/>
    <d v="2021-12-13T00:00:00"/>
    <n v="13"/>
    <d v="2023-01-18T00:00:00"/>
    <x v="2"/>
    <s v="N/A"/>
    <s v="N/A"/>
    <s v="N/A"/>
    <s v="O"/>
    <x v="0"/>
    <s v="N/A"/>
    <s v="N/A"/>
    <x v="6"/>
    <s v="FAENA"/>
    <s v="OPERARIO"/>
    <s v="DESPLUMADO"/>
    <s v="N/A"/>
    <s v="NOCHE"/>
    <d v="1899-12-30T22:25:00"/>
    <s v="MIERCOLES"/>
    <s v="SEMANA 3"/>
    <m/>
    <m/>
    <s v="CARLOS JIMENEZ"/>
    <s v="LUIS URBINA"/>
    <n v="31"/>
    <x v="4"/>
    <x v="2"/>
    <x v="1"/>
    <x v="6"/>
    <s v="COLABORADOR SUFRE CAIDA DE DISTINTO NIVEL DESDE TARIMA DE TRABAJO, CUANDO SE ENCONTRABA REALIZANDO LABORESDE ASEO PREOPERACIONAL EN LA SALA DE DESPLUMADO ENTRE DOS MAQUINAS EN LA SALA, PROPBOCANDOLE LESIONES EN COSTILLAS Y RODILLA IZQUERDA."/>
    <s v="ACCION"/>
    <s v="SI"/>
    <x v="0"/>
    <s v="ALAN CARRASCO"/>
    <s v="GABRIELA CABEZAS "/>
    <s v="LIMPIEZA DE SUPERFICIE SOBRE TARIMA/ESCALERA"/>
  </r>
  <r>
    <n v="2023"/>
    <s v="ENERO"/>
    <s v="EL PAICO"/>
    <s v="GALVEZ MANZO"/>
    <s v="DAVID"/>
    <s v="MASCULINO"/>
    <s v="18029574-7"/>
    <d v="2021-12-13T00:00:00"/>
    <n v="13"/>
    <d v="2023-01-18T00:00:00"/>
    <x v="2"/>
    <d v="2023-01-20T00:00:00"/>
    <d v="2023-02-04T00:00:00"/>
    <s v="N/A"/>
    <n v="16"/>
    <x v="1"/>
    <s v="N/A"/>
    <s v="N/A"/>
    <x v="6"/>
    <s v="ASEO PREOPERACIONAL"/>
    <s v="OPERARIO"/>
    <s v="SALA DE DESPLUMADO"/>
    <s v="N/A"/>
    <s v="TARDE"/>
    <d v="1899-12-30T22:25:00"/>
    <s v="MIERCOLES"/>
    <s v="SEMANA 3"/>
    <n v="15426"/>
    <s v="NC-08-23"/>
    <s v="CARLOS JIMENEZ"/>
    <s v="LUIS URBINA"/>
    <n v="31"/>
    <x v="3"/>
    <x v="2"/>
    <x v="1"/>
    <x v="6"/>
    <s v="TRABAJADOR AL ESTAR REALIZANDO LIMPIEZA EN SALA DE DESPLUMADO CAE DESDE UNA TARIMA GOLPEANDOSE PARILLA COSTAL DERECHA Y RODILLA IZQUERDA"/>
    <s v="ACCION"/>
    <s v="SI"/>
    <x v="1"/>
    <s v="NICOLAS GOMEZ"/>
    <s v="GABRIELA CABEZAS "/>
    <s v="LIMPIEZA DE SUPERFICIE SOBRE TARIMA/ESCALERA"/>
  </r>
  <r>
    <n v="2023"/>
    <s v="FEBRERO"/>
    <s v="EL PAICO"/>
    <s v="ZUAZO GARAY"/>
    <s v="ALEJANDRO "/>
    <s v="MASCULINO"/>
    <s v="20403022-7"/>
    <d v="2022-08-18T00:00:00"/>
    <n v="5"/>
    <d v="2023-02-15T00:00:00"/>
    <x v="1"/>
    <d v="2023-02-15T00:00:00"/>
    <d v="2023-02-15T00:00:00"/>
    <s v="N/A"/>
    <n v="0"/>
    <x v="0"/>
    <s v="N/A"/>
    <s v="N/A"/>
    <x v="5"/>
    <s v="T. AUTOMATICO"/>
    <s v="OPERARIO"/>
    <s v="BISN DE CARCASA"/>
    <s v="N/A"/>
    <s v="MAÑANA"/>
    <d v="1899-12-30T07:05:00"/>
    <s v="MIERCOLES"/>
    <s v="SEMANA 7"/>
    <n v="15478"/>
    <s v="NC-99-23"/>
    <s v="DANIEL GARRIDO"/>
    <s v="JOSE CARVALLO"/>
    <n v="22"/>
    <x v="5"/>
    <x v="0"/>
    <x v="1"/>
    <x v="5"/>
    <s v="COLABORADOR AL RETIRAR BINS DE CARCASAS PARA SACARA BADEJAS, EL BINS SE DEVUELVE Y PROBOCA EL APICIONAMIENTO CONTRA LA ESTRUCTURA DE LA CINTA, PROBOCANDO UNA CONTUSION EN MANO DERECHA"/>
    <s v="ACCION"/>
    <s v="SI"/>
    <x v="1"/>
    <s v="ALAN CARRASCO "/>
    <s v="CHRISTIAN JHONS"/>
    <s v="MOVIMIENTO DE MATERIALES (BINS, PALLET, BANDEJAS)"/>
  </r>
  <r>
    <n v="2023"/>
    <s v="FEBRERO"/>
    <s v="EL PAICO"/>
    <s v="ZARATE BALLESTEROS"/>
    <s v="MANUEL"/>
    <s v="MASCULINO"/>
    <s v="20123390-9"/>
    <d v="2021-11-22T00:00:00"/>
    <n v="14"/>
    <d v="2023-02-07T00:00:00"/>
    <x v="2"/>
    <s v="N/A"/>
    <s v="N/A"/>
    <s v="N/A"/>
    <n v="0"/>
    <x v="0"/>
    <s v="N/A"/>
    <s v="N/A"/>
    <x v="2"/>
    <s v="CHILLER DE PANAS"/>
    <s v="OPERARIO"/>
    <s v="CHILLER DE PANAS"/>
    <s v="N/A"/>
    <s v="TARDE"/>
    <d v="1899-12-30T22:30:00"/>
    <s v="MARTES"/>
    <s v="SEMANA 6"/>
    <m/>
    <m/>
    <s v="NICOLAS MOYANO"/>
    <s v="CESAR CARTAGENA"/>
    <n v="24"/>
    <x v="6"/>
    <x v="5"/>
    <x v="5"/>
    <x v="7"/>
    <s v="TRABAJADOR SE ENCONTRABA LIMPIANDO PANAS DE POLLO EN SALA DE CHILLER DE PANAS EN ESE MOMENTO SE PROYECTADA BILIS AL OJO DERECHO"/>
    <s v="ACCION"/>
    <s v="SI"/>
    <x v="0"/>
    <s v="NICOLAS GOMEZ"/>
    <s v="CHRISTIAN JHONS"/>
    <m/>
  </r>
  <r>
    <n v="2023"/>
    <s v="FEBRERO"/>
    <s v="EL PAICO"/>
    <s v="ORTIZ GONZALEZ"/>
    <s v="AUGUSTO"/>
    <s v="MASCULINO"/>
    <s v="15532741-3"/>
    <d v="2022-07-25T00:00:00"/>
    <n v="6"/>
    <d v="2023-02-14T00:00:00"/>
    <x v="1"/>
    <s v="N/A"/>
    <s v="N/A"/>
    <s v="N/A"/>
    <n v="0"/>
    <x v="0"/>
    <s v="N/A"/>
    <s v="N/A"/>
    <x v="7"/>
    <s v="PULPA"/>
    <s v="OPERARIO"/>
    <s v="PULPA"/>
    <s v="N/A"/>
    <s v="MAÑANA"/>
    <d v="1899-12-30T08:30:00"/>
    <s v="MARTES"/>
    <s v="SEMANA 7"/>
    <m/>
    <m/>
    <s v="OCTAVIO MUÑOZ"/>
    <s v="ALEJANDRO SALAS"/>
    <n v="41"/>
    <x v="5"/>
    <x v="6"/>
    <x v="1"/>
    <x v="5"/>
    <s v="COLABORADOR SUFRE GOLPE EN TESTICULO POR BINS EL EVENTO SE PRODUJO CUANDO RESBALA AL MOMENTO DE ESTAR VACIANDO BANDEJAS. "/>
    <s v="ACCION"/>
    <s v="SI"/>
    <x v="0"/>
    <s v="ALAN CARRASCO "/>
    <s v="WLADIMIR CALDERON "/>
    <m/>
  </r>
  <r>
    <n v="2023"/>
    <s v="FEBRERO"/>
    <s v="EL PAICO"/>
    <s v="OLATE CASTILLO"/>
    <s v="KATHERINE"/>
    <s v="FEMENINO"/>
    <s v="16181592-6"/>
    <d v="2012-05-07T00:00:00"/>
    <n v="129"/>
    <d v="2023-02-18T00:00:00"/>
    <x v="0"/>
    <s v="N/A"/>
    <s v="N/A"/>
    <s v="N/A"/>
    <n v="0"/>
    <x v="0"/>
    <s v="N/A"/>
    <s v="N/A"/>
    <x v="5"/>
    <s v="DESHUESADO"/>
    <s v="OPERARIO"/>
    <s v="PORTERIA "/>
    <s v="N/A"/>
    <s v="MAÑANA"/>
    <d v="1899-12-30T06:15:00"/>
    <s v="SABADO"/>
    <s v="SEMANA 7"/>
    <m/>
    <m/>
    <s v="DANIEL GARRIDO"/>
    <s v="JOSE CARVALLO"/>
    <n v="38"/>
    <x v="1"/>
    <x v="0"/>
    <x v="1"/>
    <x v="1"/>
    <s v="COLABORADORA SUFRE CAIDA A NIVEL  APOYANDO AMBAS MANOS EN EL PISO, AL INGRESAR A LA PLANTA, ESTA TROPIEZA Y CAE "/>
    <s v="ACCION"/>
    <s v="SI"/>
    <x v="0"/>
    <s v="ALAN CARRASCO "/>
    <s v="WLADIMIR CALDERON "/>
    <s v="TRANSITO POR AREAS COMUNES"/>
  </r>
  <r>
    <n v="2023"/>
    <s v="FEBRERO"/>
    <s v="EL PAICO"/>
    <s v="MENDEZ DEL CASTILLO"/>
    <s v="DANIELA "/>
    <s v="FEMENINO"/>
    <s v="15822820-3"/>
    <d v="2021-01-25T00:00:00"/>
    <n v="24"/>
    <d v="2023-02-18T00:00:00"/>
    <x v="0"/>
    <d v="2023-02-20T00:00:00"/>
    <d v="2023-02-25T00:00:00"/>
    <s v="N/A"/>
    <n v="6"/>
    <x v="1"/>
    <s v="N/A"/>
    <s v="N/A"/>
    <x v="5"/>
    <s v="T. AUTOMATICO"/>
    <s v="OPERARIO"/>
    <s v="DEHUESADO"/>
    <s v="N/A"/>
    <s v="TARDE"/>
    <d v="1899-12-30T22:45:00"/>
    <s v="VIERNES"/>
    <s v="SEMANA 7"/>
    <n v="15494"/>
    <s v="NC-16-2023"/>
    <s v="DANIEL GARRIDO"/>
    <s v="RAMIRO RAMIREZ"/>
    <n v="38"/>
    <x v="6"/>
    <x v="4"/>
    <x v="1"/>
    <x v="1"/>
    <s v="COLABORADORA  SUFRE CAIDA A NIVEL MAS CONTUSION EN RODILLA IZQUIERDA Y SENO DERECHO, AL PISAR MATERIA PRIMA CUANDO SE DIRIGIA A LOS CAMARINES EN T. AUTOMATICO"/>
    <s v="CONDICION"/>
    <s v="SI"/>
    <x v="1"/>
    <s v="ALAN CARRASCO "/>
    <s v="MICHELLE SANCHEZ"/>
    <s v="TRANSITO POR AREAS DE PROCESO"/>
  </r>
  <r>
    <n v="2023"/>
    <s v="FEBRERO"/>
    <s v="EL PAICO"/>
    <s v="HERRERA PINTO"/>
    <s v="JHONY"/>
    <s v="MASCULINO"/>
    <s v="20789495-8"/>
    <d v="2022-11-29T00:00:00"/>
    <n v="2"/>
    <d v="2023-02-15T00:00:00"/>
    <x v="1"/>
    <s v="N/A"/>
    <s v="N/A"/>
    <s v="N/A"/>
    <n v="0"/>
    <x v="0"/>
    <s v="N/A"/>
    <s v="N/A"/>
    <x v="5"/>
    <s v="TROZADO DE POLLO"/>
    <s v="OPERARIO"/>
    <s v="TROZADO DE POLLO AUTOMATICO"/>
    <m/>
    <s v="MAÑANA"/>
    <d v="1899-12-30T14:50:00"/>
    <s v="MIERCOLES"/>
    <s v="SEMANA 7"/>
    <m/>
    <m/>
    <s v="DANIEL GARRIDO"/>
    <s v="JOSE CARVALLO"/>
    <n v="22"/>
    <x v="3"/>
    <x v="7"/>
    <x v="1"/>
    <x v="4"/>
    <s v="TRABAJADOR QUE SE ENCONTRABA DE REGRESO DE SU HORARIO DE COLACION SE ENCONTRABA ALISTANDO SU PECHERA DE TRABAJO, CUANDO CAE SOBRE SU ESPALDA UN GANCHO METALICO. "/>
    <s v="CONDICION "/>
    <s v="SI"/>
    <x v="0"/>
    <s v="ALAN CARRASCO"/>
    <s v="CARLOS CARTAGENA"/>
    <s v="LINEA DE ESPURGO TROZADO AUTOMATICO"/>
  </r>
  <r>
    <n v="2023"/>
    <s v="FEBRERO"/>
    <s v="EL PAICO"/>
    <s v="GUAJARDO VERA"/>
    <s v="SEBASTIAN"/>
    <s v="MASCULINO"/>
    <s v="19211824-7"/>
    <d v="2021-05-03T00:00:00"/>
    <n v="21"/>
    <d v="2023-02-03T00:00:00"/>
    <x v="0"/>
    <s v="N/A"/>
    <s v="N/A"/>
    <s v="N/A"/>
    <n v="0"/>
    <x v="0"/>
    <s v="LGF"/>
    <s v="LGF4"/>
    <x v="8"/>
    <s v="REPORTE DE CAJAS"/>
    <s v="MECANICO"/>
    <s v="REPORTE DE CAJAS"/>
    <s v="EQUIPO PARA MOVIMIENTO DE CARGA (GRUAS O TRANSPALETAS)"/>
    <s v="MAÑANA"/>
    <d v="1899-12-30T10:26:00"/>
    <s v="VIERNES"/>
    <s v="SEMANA 5"/>
    <m/>
    <m/>
    <s v="VICTOR GOMEZ"/>
    <s v="NICOLAS ROJAS"/>
    <n v="27"/>
    <x v="7"/>
    <x v="3"/>
    <x v="1"/>
    <x v="4"/>
    <s v="TRABAJADOR ESTEBA REPARANDO UNA MAQUINA AL COSTADO DE LA LINEA DE CONGELADO (PP) REVISANDO UNA MAQUINA CUANDO EL OPERADOR DE TRANPALETA RETROCEDE Y GOLPEA SU TOBILLO DERECHO"/>
    <s v="ACCION"/>
    <s v="SI"/>
    <x v="0"/>
    <s v="NICOLAS GOMEZ"/>
    <s v="CARLOS CARTAGENA"/>
    <m/>
  </r>
  <r>
    <n v="2023"/>
    <s v="FEBRERO"/>
    <s v="EL PAICO"/>
    <s v="FIGUEROA RECABARREN"/>
    <s v="JASON "/>
    <s v="MASCULINO"/>
    <s v="21242262-2"/>
    <d v="2022-11-07T00:00:00"/>
    <n v="3"/>
    <d v="2023-02-16T00:00:00"/>
    <x v="1"/>
    <s v="N/A"/>
    <s v="N/A"/>
    <s v="N/A"/>
    <n v="0"/>
    <x v="0"/>
    <s v="N/A"/>
    <s v="N/A"/>
    <x v="7"/>
    <s v="REPORTE DE CAJAS"/>
    <s v="OPERARIO"/>
    <s v="REPORTE DE CAJAS"/>
    <s v="N/A"/>
    <s v="MAÑANA"/>
    <d v="1899-12-30T08:28:00"/>
    <s v="JUEVES"/>
    <s v="SEMANA 7"/>
    <m/>
    <m/>
    <s v="OCTAVIO MUÑOZ"/>
    <s v="MARCOS QUINTANILLA"/>
    <n v="20"/>
    <x v="8"/>
    <x v="0"/>
    <x v="3"/>
    <x v="3"/>
    <s v="COLABORADOR AL BAJAR UN PALLET SE CORTA EL DEDO ANULAR IZQUIERDO , AL ESTAR BAJANDO CAJAS "/>
    <s v="CONDICION"/>
    <s v="SI"/>
    <x v="0"/>
    <s v="ALAN CARRASCO "/>
    <s v="CHRISTIAN JHONS"/>
    <m/>
  </r>
  <r>
    <n v="2023"/>
    <s v="FEBRERO"/>
    <s v="EL PAICO"/>
    <s v="BAHAMONDEZ ABARCA"/>
    <s v="MARIA TERESA"/>
    <s v="FEMENINO"/>
    <s v="11527148-2"/>
    <d v="1998-03-17T00:00:00"/>
    <n v="299"/>
    <d v="2023-02-28T00:00:00"/>
    <x v="0"/>
    <s v="N/A"/>
    <s v="N/A"/>
    <s v="N/A"/>
    <n v="0"/>
    <x v="0"/>
    <s v="N/A"/>
    <s v="N/A"/>
    <x v="7"/>
    <s v="REPORTE DE CAJAS"/>
    <s v="OPERARIO"/>
    <s v="REPORTE DE CAJAS"/>
    <s v="N/A"/>
    <s v="MAÑANA"/>
    <d v="1899-12-30T05:30:00"/>
    <s v="MARTES"/>
    <s v="SEMANA 9"/>
    <m/>
    <m/>
    <s v="OCTAVIO MUÑOZ"/>
    <s v="MARCOS QUINTANILLA"/>
    <n v="52"/>
    <x v="0"/>
    <x v="0"/>
    <x v="1"/>
    <x v="5"/>
    <s v="COLABORA SUFRE CONTUSION EN MANO DERECHA CUANDO SE ENCONTRABA CAMBIANDO ROLLO DE LAMINA EN MAQUINA ISHIDA"/>
    <s v="CONDICION"/>
    <s v="SI"/>
    <x v="0"/>
    <s v="NICOLAS GOMEZ"/>
    <s v="CHISTIAN JHONS"/>
    <m/>
  </r>
  <r>
    <n v="2023"/>
    <s v="FEBRERO"/>
    <s v="EL PAICO"/>
    <s v="ARMIJO CORDERO"/>
    <s v="FRANCISCO"/>
    <s v="MASCULINO"/>
    <s v="7.885.635-1"/>
    <d v="2004-09-22T00:00:00"/>
    <n v="221"/>
    <d v="2023-02-25T00:00:00"/>
    <x v="0"/>
    <s v="N/A"/>
    <s v="N/A"/>
    <s v="N/A"/>
    <n v="0"/>
    <x v="0"/>
    <s v="N/A"/>
    <s v="N/A"/>
    <x v="9"/>
    <s v="BAÑOS FAENA"/>
    <s v="OPERARIO"/>
    <s v="BAÑO EVISERADO"/>
    <s v="N/A"/>
    <s v="MAÑANA"/>
    <d v="1899-12-30T05:15:00"/>
    <s v="SABADO"/>
    <s v="SEMANA 8"/>
    <m/>
    <m/>
    <s v="DANIEL GARRIDO"/>
    <s v="JAQUELIN PAVEZ"/>
    <n v="64"/>
    <x v="3"/>
    <x v="0"/>
    <x v="3"/>
    <x v="8"/>
    <s v="COLABORADOR SUFRE CORTE EN DEDO INDICE DE MANO DERECHA AL APOYARSE EN PUERTA DE BAÑO DE EVISERADO"/>
    <s v="CONDICION"/>
    <s v="SI"/>
    <x v="0"/>
    <s v="ALAN CARRASCO "/>
    <s v="CHRISTIAN JHONS"/>
    <m/>
  </r>
  <r>
    <n v="2023"/>
    <s v="FEBRERO"/>
    <s v="EL PAICO"/>
    <s v=" REYES FUENTES"/>
    <s v="JONHFER"/>
    <s v="MASCULINO"/>
    <s v="26466499-3"/>
    <d v="2020-02-24T00:00:00"/>
    <n v="35"/>
    <d v="2023-02-11T00:00:00"/>
    <x v="0"/>
    <s v="N/A"/>
    <s v="N/A"/>
    <s v="N/A"/>
    <n v="0"/>
    <x v="0"/>
    <s v="N/A"/>
    <s v="N/A"/>
    <x v="6"/>
    <s v="TRAZADO DE PAVO"/>
    <s v="OPERARIO"/>
    <s v="SALA JAPON "/>
    <s v="N/A"/>
    <s v="NOCHE"/>
    <d v="1899-12-30T03:30:00"/>
    <s v="SABADO"/>
    <s v="SEMANA 6"/>
    <m/>
    <m/>
    <s v="CARLOS JIMENEZ"/>
    <s v="PATRICIO MACIEL "/>
    <n v="39"/>
    <x v="9"/>
    <x v="5"/>
    <x v="6"/>
    <x v="9"/>
    <s v="COLABORADOR SUFRE INHALACION DE VAPOR DEL CLORO AL MEZACLAR AGUA CALIENTE, EN SALA JAPON "/>
    <s v="ACCION"/>
    <s v="SI"/>
    <x v="0"/>
    <s v="ALAN CARRASCO "/>
    <s v="CHRISTIAN JHONS"/>
    <s v="MANIPULACION DE PRODUCTO QUIMICO"/>
  </r>
  <r>
    <n v="2023"/>
    <s v="MARZO"/>
    <s v="EL PAICO"/>
    <s v="TRUJILLO ELGUETA "/>
    <s v="KEVIN"/>
    <s v="MASCULINO"/>
    <s v="18346564-6"/>
    <d v="2021-10-12T00:00:00"/>
    <n v="17"/>
    <d v="2023-03-24T00:00:00"/>
    <x v="2"/>
    <s v="N/A"/>
    <s v="N/A"/>
    <s v="N/A"/>
    <n v="0"/>
    <x v="0"/>
    <s v="N/A"/>
    <s v="N/A"/>
    <x v="8"/>
    <s v="MANTENCION"/>
    <s v="COORDINADOR"/>
    <s v="CALIBRADO"/>
    <s v="N/A"/>
    <s v="MAÑANA"/>
    <d v="1899-12-30T09:50:00"/>
    <s v="VIERNES"/>
    <s v="SEMANA 12"/>
    <m/>
    <m/>
    <s v="VICTOR GOMEZ"/>
    <s v="NICOLAS ROJAS"/>
    <n v="31"/>
    <x v="0"/>
    <x v="0"/>
    <x v="3"/>
    <x v="8"/>
    <s v="COLABORADOR QUE SE ENCONTRABA REALIZANDO CAMBIO DE CINTA EN EL AREA DE CALIBRADO DE PECHUGAS SUFRE CORTE CON BORDE DE ESCALERA EN DEDO MEÑIQUE IZQUERDO"/>
    <s v="CONDICION"/>
    <s v="SI"/>
    <x v="0"/>
    <s v="ALAN CARRASCO"/>
    <s v="CHISTIAN JHONS"/>
    <m/>
  </r>
  <r>
    <n v="2023"/>
    <s v="MARZO"/>
    <s v="EL PAICO"/>
    <s v="TRUJILLO ALARCON "/>
    <s v="ANGELA VERONICA"/>
    <s v="FEMENINO"/>
    <s v="15401811-5+tipo_acc+*-+"/>
    <d v="2014-10-06T00:00:00"/>
    <n v="101"/>
    <d v="2023-03-17T00:00:00"/>
    <x v="0"/>
    <s v="N/A"/>
    <s v="N/A"/>
    <s v="N/A"/>
    <n v="0"/>
    <x v="0"/>
    <s v="N/A"/>
    <s v="N/A"/>
    <x v="5"/>
    <s v="DESHUESADO"/>
    <s v="OPERARIO"/>
    <s v="DESHUESADO"/>
    <s v="N/A"/>
    <s v="MAÑANA"/>
    <d v="1899-12-30T13:00:00"/>
    <s v="VIERNES"/>
    <s v="SEMANA 11"/>
    <m/>
    <m/>
    <s v="DANIEL GARRIDO"/>
    <s v="JOSE CARVALLO"/>
    <n v="40"/>
    <x v="0"/>
    <x v="2"/>
    <x v="1"/>
    <x v="5"/>
    <s v="COLABORA SUFRE CAIDA DESDE ESCALON DE TARIMA DE TRABAJO, GOLPEANDOSE EN BRAZO Y ESPALDA"/>
    <s v="ACCION"/>
    <s v="SI"/>
    <x v="0"/>
    <s v="NICOLAS GOMEZ"/>
    <s v="MICHELLE SANCHEZ"/>
    <s v="LABORES SOBRE TARIMA/ESCALERA"/>
  </r>
  <r>
    <n v="2023"/>
    <s v="MARZO"/>
    <s v="EL PAICO"/>
    <s v="SANTIBAÑEZ MARIN"/>
    <s v="KARLA"/>
    <s v="FEMENINO"/>
    <s v="17802999-1"/>
    <d v="2020-05-29T00:00:00"/>
    <n v="33"/>
    <d v="2023-03-01T00:00:00"/>
    <x v="0"/>
    <s v="N/A"/>
    <s v="N/A"/>
    <s v="N/A"/>
    <n v="0"/>
    <x v="0"/>
    <s v="N/A"/>
    <s v="N/A"/>
    <x v="1"/>
    <s v="METALQUIMIA"/>
    <s v="OPERARIO"/>
    <s v="METALQUIMIA"/>
    <s v="N/A"/>
    <s v="NOCHE"/>
    <d v="1899-12-30T01:20:00"/>
    <s v="MIERCOLES"/>
    <s v="SEMANA 9"/>
    <m/>
    <m/>
    <s v="GUILLERMO NARVAEZ"/>
    <s v="FRANCISCO SANCHEZ"/>
    <n v="32"/>
    <x v="9"/>
    <x v="5"/>
    <x v="0"/>
    <x v="7"/>
    <s v="COLABORADORA QUE SE ENCONTRABAN ASEANDO MAQUINA METALQUIMIA, AL APLICAR  BIO REMOVE SUFRE SALPICADURA DE ESTE EN SU OJO DERECHO."/>
    <s v="ACCION"/>
    <s v="SI"/>
    <x v="0"/>
    <s v="ALAN CARRASCO "/>
    <s v="CHISTIAN JHONS"/>
    <m/>
  </r>
  <r>
    <n v="2023"/>
    <s v="MARZO"/>
    <s v="EL PAICO"/>
    <s v="RODRIGUEZ ESPINOZA"/>
    <s v="LUIS MIGUEL"/>
    <s v="MASCULINO"/>
    <s v="18461734-K"/>
    <d v="2022-09-22T00:00:00"/>
    <n v="5"/>
    <d v="2023-03-15T00:00:00"/>
    <x v="1"/>
    <s v="N/A"/>
    <s v="N/A"/>
    <s v="N/A"/>
    <n v="0"/>
    <x v="0"/>
    <s v="N/A"/>
    <s v="N/A"/>
    <x v="8"/>
    <m/>
    <s v="MECANICO"/>
    <s v="DESPLUMADO DE PAVO"/>
    <s v="N/A"/>
    <s v="MAÑANA"/>
    <d v="1899-12-30T15:15:00"/>
    <s v="MIERCOLES"/>
    <s v="SEMANA 11"/>
    <m/>
    <m/>
    <s v="VICTOR GOMEZ"/>
    <m/>
    <n v="29"/>
    <x v="3"/>
    <x v="7"/>
    <x v="6"/>
    <x v="10"/>
    <s v="COLABORADOR SUFRE QUEMADURA EN CUELLO CUANDO CAMBIABA MANGUERA DE SOPLADORORES EN DESPLUMADO DE PAVO"/>
    <s v="CONDICION"/>
    <s v="SI"/>
    <x v="0"/>
    <s v="ALAN CARRASCO"/>
    <s v="CHRISTIAN JHONS"/>
    <m/>
  </r>
  <r>
    <n v="2023"/>
    <s v="MARZO"/>
    <s v="EL PAICO"/>
    <s v="RIQUELME JARA"/>
    <s v="LUIS FELIPE"/>
    <s v="MASCULINO"/>
    <s v="20140706-0"/>
    <d v="2022-11-11T00:00:00"/>
    <n v="3"/>
    <d v="2023-03-10T00:00:00"/>
    <x v="1"/>
    <d v="2023-03-10T00:00:00"/>
    <d v="2023-03-10T00:00:00"/>
    <s v="N/A"/>
    <n v="0"/>
    <x v="0"/>
    <s v="N/A"/>
    <s v="N/A"/>
    <x v="1"/>
    <s v="IQF CALIBRADO A"/>
    <s v="OPERARIO"/>
    <s v="BICICLETERO"/>
    <s v="N/A"/>
    <s v="MAÑANA"/>
    <d v="1899-12-30T06:00:00"/>
    <s v="VIERNES"/>
    <s v="SEMANA 10"/>
    <s v="N/A"/>
    <s v="NC-22-2023"/>
    <s v="GUILLERMO NARVAEZ"/>
    <m/>
    <n v="23"/>
    <x v="1"/>
    <x v="2"/>
    <x v="1"/>
    <x v="1"/>
    <s v="COLABORADOR SUFRE CAIDA AL INGRESO DE LA PLANTA "/>
    <s v="CONDICION"/>
    <s v="SI"/>
    <x v="1"/>
    <s v="ALAN CARRASCO"/>
    <s v="CARLOS CARTAGENA"/>
    <s v="TRANSITO POR AREAS COMUNES"/>
  </r>
  <r>
    <n v="2023"/>
    <s v="MARZO"/>
    <s v="EL PAICO"/>
    <s v="PINTO VILLAGRA"/>
    <s v="XENDRIX"/>
    <s v="MASCULINO"/>
    <s v="17715504-7"/>
    <d v="2019-05-06T00:00:00"/>
    <n v="46"/>
    <d v="2023-03-17T00:00:00"/>
    <x v="0"/>
    <s v="N/A"/>
    <s v="N/A"/>
    <s v="N/A"/>
    <n v="0"/>
    <x v="0"/>
    <s v="N/A"/>
    <s v="N/A"/>
    <x v="4"/>
    <s v="ROMANERO CAMARA"/>
    <s v="OPERARIO"/>
    <s v="TUNEL 234"/>
    <s v="N/A"/>
    <s v="MAÑANA"/>
    <d v="1899-12-30T18:00:00"/>
    <s v="VIERNES"/>
    <s v="SEMANA 11"/>
    <m/>
    <m/>
    <s v="FRANCISCO QUEZADA"/>
    <s v="MAURICIO HERNANDEZ"/>
    <n v="32"/>
    <x v="0"/>
    <x v="3"/>
    <x v="1"/>
    <x v="5"/>
    <s v="COLABORADOR SUFRE CONTUSION EN PIE DERECHO AL APRETARSE CON PALLET CUANDO SE ENCONTRABA CARGANDO TUNEL 234"/>
    <s v="CONDICION"/>
    <s v="SI"/>
    <x v="0"/>
    <s v="NICOLAS GOMEZ"/>
    <s v="CARLOS CARTAGENA"/>
    <m/>
  </r>
  <r>
    <n v="2023"/>
    <s v="MARZO"/>
    <s v="EL PAICO"/>
    <s v="PAVEZ CARMONA"/>
    <s v="CAMILA "/>
    <s v="FEMENINO"/>
    <s v="19382606-7"/>
    <d v="2022-07-25T00:00:00"/>
    <n v="7"/>
    <d v="2023-03-02T00:00:00"/>
    <x v="2"/>
    <d v="2023-03-09T00:00:00"/>
    <d v="2023-03-15T00:00:00"/>
    <s v="N/A"/>
    <n v="7"/>
    <x v="1"/>
    <s v="N/A"/>
    <s v="N/A"/>
    <x v="8"/>
    <s v="SALA DE PINTURA"/>
    <s v="TECNICO"/>
    <s v="GALPON DE PINTURA"/>
    <s v="N/A"/>
    <s v="TARDE"/>
    <d v="1899-12-30T16:35:00"/>
    <s v="JUEVES"/>
    <s v="SEMANA 9"/>
    <n v="15554"/>
    <s v="NC-18-2023"/>
    <s v="VICTOR GOMEZ"/>
    <s v="FRANCISCO ACEVEDO"/>
    <n v="27"/>
    <x v="1"/>
    <x v="3"/>
    <x v="1"/>
    <x v="5"/>
    <s v="COLABORADORA SE DIRIGIA A SALA DE PINTURAS Y NO VE GRUA ESTACIONADA EN EL PATIO, CON LA CUAL SE PORBOCA UN ATRAPAMIENTO CON SU PIE DERECHO, PROBOCANDO UNA CONTUSION "/>
    <s v="ACCION"/>
    <s v="SI"/>
    <x v="1"/>
    <s v="ALAN CARRASCO"/>
    <s v="CARLOS CARTAGENA"/>
    <s v="TRANSITO POR AREAS COMUNES"/>
  </r>
  <r>
    <n v="2023"/>
    <s v="MARZO"/>
    <s v="EL PAICO"/>
    <s v="OLY"/>
    <s v="CHARLES"/>
    <s v="MASCULINO"/>
    <s v="25968215-0"/>
    <d v="2021-08-11T00:00:00"/>
    <n v="19"/>
    <d v="2023-03-31T00:00:00"/>
    <x v="0"/>
    <s v="N/A"/>
    <s v="N/A"/>
    <s v="N/A"/>
    <n v="0"/>
    <x v="0"/>
    <s v="N/A"/>
    <s v="N/A"/>
    <x v="5"/>
    <s v="T. AUTOMATICO"/>
    <s v="OPERARIO"/>
    <s v="T. AUTOMATICO"/>
    <s v="N/A"/>
    <s v="MAÑANA"/>
    <d v="1899-12-30T08:45:00"/>
    <s v="VIERNES"/>
    <s v="SEMANA 13"/>
    <m/>
    <m/>
    <s v="DANIEL GARRIDO"/>
    <s v="MATIAS CASTRO"/>
    <n v="51"/>
    <x v="6"/>
    <x v="5"/>
    <x v="5"/>
    <x v="7"/>
    <s v="COLABORADOR SE ENCONTRABA EXPURGANDO PRODUCTO EN SU PUESTO DE TRABAJO SALPICANDO LIQUIDO EN AMBOS OJOS"/>
    <s v="ACCION"/>
    <s v="SI"/>
    <x v="0"/>
    <s v="ALAN CARRASCO"/>
    <s v="CARLOS CARTAGENA"/>
    <s v="MANIPULACION DE MATERIA PRIMA"/>
  </r>
  <r>
    <n v="2023"/>
    <s v="MARZO"/>
    <s v="EL PAICO"/>
    <s v="NUÑEZ ESCARATE"/>
    <s v="VICTOR"/>
    <s v="MASCULINO"/>
    <s v="8649246-6"/>
    <d v="2006-03-10T00:00:00"/>
    <n v="204"/>
    <d v="2023-03-17T00:00:00"/>
    <x v="0"/>
    <s v="N/A"/>
    <s v="N/A"/>
    <s v="N/A"/>
    <n v="0"/>
    <x v="0"/>
    <s v="N/A"/>
    <s v="N/A"/>
    <x v="5"/>
    <s v="T. AUTOMATICO"/>
    <s v="OPERARIO"/>
    <s v="T. AUTOMATICO"/>
    <s v="N/A"/>
    <s v="TARDE"/>
    <d v="1899-12-30T20:40:00"/>
    <s v="VIERNES"/>
    <s v="SEMANA 11"/>
    <m/>
    <m/>
    <s v="DANIEL GARRIDO"/>
    <s v="RAMIRO RAMIREZ"/>
    <n v="63"/>
    <x v="9"/>
    <x v="5"/>
    <x v="5"/>
    <x v="7"/>
    <s v="COLABORADOR SUFRE CAIDA DE LIQUIDO (ACIDO PERACETICO) EN OJO, ESTO OCURRE AL SACAR MATERIA PRIMA QUE SE ENCONTRABA ATASCADA EN LA LINEA"/>
    <s v="ACCION"/>
    <s v="NO"/>
    <x v="0"/>
    <s v="ALAN CARRASCO"/>
    <s v="MICHELLE SANCHEZ"/>
    <s v="RETIRO DE PRODUCTO ATASCADO"/>
  </r>
  <r>
    <n v="2023"/>
    <s v="MARZO"/>
    <s v="EL PAICO"/>
    <s v="MUÑOZ ISLA"/>
    <s v="JESSICA"/>
    <s v="FEMENINO"/>
    <s v="16669807-3"/>
    <d v="2020-01-20T00:00:00"/>
    <n v="38"/>
    <d v="2023-03-31T00:00:00"/>
    <x v="0"/>
    <d v="2023-03-31T00:00:00"/>
    <s v="06-042023"/>
    <s v="N/A"/>
    <n v="7"/>
    <x v="1"/>
    <s v="N/A"/>
    <s v="N/A"/>
    <x v="5"/>
    <s v="SALA DE PROCESO"/>
    <s v="OPERARIO"/>
    <s v="SALA DE PROCESO"/>
    <s v="N/A"/>
    <s v="MAÑANA"/>
    <d v="1899-12-30T12:55:00"/>
    <s v="VIERNES"/>
    <s v="SEMANA 13"/>
    <n v="15596"/>
    <s v="NC-29-2023"/>
    <s v="DANIEL GARRIDO"/>
    <s v="JOSE CARVALLO"/>
    <n v="36"/>
    <x v="10"/>
    <x v="0"/>
    <x v="3"/>
    <x v="8"/>
    <s v="COLABORADORA SUFRE CORTE EN MANO DERECHA CUANDO SE ENCONTRABA SACANDO FILO A SU CUCHILLO JUNTO A COMPAÑERA DE TRABAJO."/>
    <s v="ACCION"/>
    <s v="SI"/>
    <x v="1"/>
    <s v="ALAN CARRASCO"/>
    <s v="CARLOS CARTAGENA"/>
    <s v="MANIPULACIÓN DE CUCHILLO Y/O MANTENER FILO"/>
  </r>
  <r>
    <n v="2023"/>
    <s v="MARZO"/>
    <s v="EL PAICO"/>
    <s v="MIRANDA GOMEZ"/>
    <s v="ANA GABRIELA"/>
    <s v="FEMENINO"/>
    <s v="18778202-3"/>
    <d v="2022-07-26T00:00:00"/>
    <n v="7"/>
    <d v="2023-03-09T00:00:00"/>
    <x v="2"/>
    <s v="N/A"/>
    <s v="N/A"/>
    <s v="N/A"/>
    <n v="0"/>
    <x v="0"/>
    <s v="N/A"/>
    <s v="N/A"/>
    <x v="1"/>
    <s v="CALIBRADO"/>
    <s v="OPERARIO"/>
    <s v="CALIBRADO"/>
    <s v="N/A"/>
    <s v="TARDE"/>
    <d v="1899-12-30T15:15:00"/>
    <s v="JUEVES"/>
    <s v="SEMANA 10"/>
    <m/>
    <m/>
    <s v="GUILLERMO NARVAEZ"/>
    <s v="MAXIMO CAMPOS"/>
    <n v="29"/>
    <x v="3"/>
    <x v="4"/>
    <x v="1"/>
    <x v="5"/>
    <s v="COLABORADORA SE ENCONTRABA BAJANDO ESCALERAS EN CALIBRADO CUANDO SE GOLPEA LA RODILLLA IZQUIERDA CON PASAMANOS "/>
    <s v="ACCION"/>
    <s v="SI"/>
    <x v="0"/>
    <s v="ALAN CARRASCO"/>
    <s v="WLADIMIR CALDERON "/>
    <m/>
  </r>
  <r>
    <n v="2023"/>
    <s v="MARZO"/>
    <s v="EL PAICO"/>
    <s v="MARIN VARGAS"/>
    <s v="CAROLINA"/>
    <s v="FEMENINO"/>
    <s v="19212976-1"/>
    <d v="2021-09-13T00:00:00"/>
    <n v="18"/>
    <d v="2023-03-31T00:00:00"/>
    <x v="2"/>
    <s v="N/A"/>
    <s v="N/A"/>
    <s v="N/A"/>
    <n v="0"/>
    <x v="0"/>
    <s v="N/A"/>
    <s v="N/A"/>
    <x v="2"/>
    <s v="EVISCERADO"/>
    <s v="OPERARIO"/>
    <s v="CAMARINES DE MUJER"/>
    <s v="N/A"/>
    <s v="MAÑANA"/>
    <d v="1899-12-30T11:30:00"/>
    <s v="VIERNES"/>
    <s v="SEMANA 13"/>
    <m/>
    <m/>
    <s v="NICOLAS MOYANO"/>
    <s v="CESAR CARTAGENA"/>
    <n v="26"/>
    <x v="11"/>
    <x v="4"/>
    <x v="0"/>
    <x v="11"/>
    <s v="COLABORADORA SUFRE PICADURA DE INSECTO EN PIERNA DERECHA, CUANDO ESTABA COLOCANDO SU ROPA DE TRABAJO"/>
    <s v="CONDICION"/>
    <s v="SI"/>
    <x v="0"/>
    <s v="ALAN CARRASCO"/>
    <s v="CARLOS CARTAGENA"/>
    <m/>
  </r>
  <r>
    <n v="2023"/>
    <s v="MARZO"/>
    <s v="EL PAICO"/>
    <s v="LARA SOTO"/>
    <s v="EDITH "/>
    <s v="FEMENINO"/>
    <s v="16670482-0"/>
    <d v="2020-01-13T00:00:00"/>
    <n v="38"/>
    <d v="2023-03-23T00:00:00"/>
    <x v="0"/>
    <s v="N/A"/>
    <s v="N/A"/>
    <s v="N/A"/>
    <n v="0"/>
    <x v="0"/>
    <s v="N/A"/>
    <s v="N/A"/>
    <x v="6"/>
    <s v="ASEO OPERACIONAL"/>
    <s v="OPERARIO"/>
    <s v="DESPLUMADO"/>
    <s v="N/A"/>
    <s v="TARDE"/>
    <d v="1899-12-30T04:30:00"/>
    <s v="JUEVES"/>
    <s v="SEMANA 12"/>
    <m/>
    <m/>
    <s v="CARLOS JIMENES"/>
    <s v="JORDAN FARIAS"/>
    <n v="35"/>
    <x v="3"/>
    <x v="0"/>
    <x v="1"/>
    <x v="4"/>
    <s v="COLABORADORA QUE SE ENCONTRABA REALIZANDO ASEO EN PISOS SUFRE GOLPE EN MANO DERECHA CON PUERTA DE VAIVEN AL INGRESO DE DESPLUMADO "/>
    <s v="CONDICION"/>
    <s v="SI"/>
    <x v="0"/>
    <s v="NICOLAS GOMEZ"/>
    <s v="WLADIMIR CALDERON "/>
    <s v="REALIZANDO LABORES DE ASEO"/>
  </r>
  <r>
    <n v="2023"/>
    <s v="MARZO"/>
    <s v="EL PAICO"/>
    <s v="HUINAO CARTAGENA"/>
    <s v="MANUEL"/>
    <s v="MASCULINO"/>
    <s v="15403657-1"/>
    <d v="2022-11-04T00:00:00"/>
    <n v="4"/>
    <d v="2023-03-08T00:00:00"/>
    <x v="1"/>
    <d v="2023-03-10T00:00:00"/>
    <d v="2023-03-10T00:00:00"/>
    <s v="N/A"/>
    <n v="0"/>
    <x v="0"/>
    <s v="N/A"/>
    <s v="N/A"/>
    <x v="1"/>
    <s v="IQF 1"/>
    <s v="OPERARIO"/>
    <s v="IQF1"/>
    <s v="N/A"/>
    <s v="TARDE"/>
    <d v="1899-12-30T18:35:00"/>
    <s v="MIERCOLES"/>
    <s v="SEMANA 10"/>
    <n v="15564"/>
    <s v="NC-21-2023"/>
    <s v="GUILLERMO NARVAEZ"/>
    <m/>
    <n v="39"/>
    <x v="0"/>
    <x v="0"/>
    <x v="1"/>
    <x v="4"/>
    <s v="COLABORADOR SUFRE CONTUSION EN MUÑECA IZQUERDA CUANDO SE ENCONTRABA ARMANDO PALLET CON BANDEJAS DE FILETILLO DE POLLO "/>
    <s v="ACCION"/>
    <s v="SI"/>
    <x v="1"/>
    <s v="NICOLAS GOMEZ"/>
    <s v="CHISTIAN JHONS"/>
    <s v="ARMADO DE PALLET"/>
  </r>
  <r>
    <n v="2023"/>
    <s v="MARZO"/>
    <s v="EL PAICO"/>
    <s v="HERRERA PINTO"/>
    <s v="JHONY"/>
    <s v="MASCULINO"/>
    <s v="20789495-8"/>
    <d v="2022-11-29T00:00:00"/>
    <n v="3"/>
    <d v="2023-03-14T00:00:00"/>
    <x v="1"/>
    <s v="N/A"/>
    <s v="N/A"/>
    <s v="N/A"/>
    <n v="0"/>
    <x v="0"/>
    <s v="N/A"/>
    <s v="N/A"/>
    <x v="5"/>
    <s v="T. AUTOMATICO"/>
    <s v="OPERARIO"/>
    <s v="T. AUTOMATICO"/>
    <s v="N/A"/>
    <s v="MAÑANA"/>
    <d v="1899-12-30T09:45:00"/>
    <s v="MARTES"/>
    <s v="SEMANA 11"/>
    <m/>
    <m/>
    <s v="DANIEL GARRIDO"/>
    <s v="JOSE CARVALLO"/>
    <n v="22"/>
    <x v="3"/>
    <x v="4"/>
    <x v="1"/>
    <x v="4"/>
    <s v="COLABORADOR SUFRE GOLPE EN PIERNA DERECHA CON BASE METALICA DE GANCHO QUE SE DESPRENDE DE UNA CINTA "/>
    <s v="CONDICION"/>
    <s v="SI"/>
    <x v="0"/>
    <s v="NICOLAS GOMEZ"/>
    <s v="WLADIMIR CALDERON "/>
    <s v="LINEA DE ESPURGO TROZADO AUTOMATICO"/>
  </r>
  <r>
    <n v="2023"/>
    <s v="MARZO"/>
    <s v="EL PAICO"/>
    <s v="HENRIQUEZ VARGAS"/>
    <s v="FERNANDO"/>
    <s v="MASCULINO"/>
    <s v="18538961-8"/>
    <d v="2022-11-04T00:00:00"/>
    <n v="4"/>
    <d v="2023-03-19T00:00:00"/>
    <x v="1"/>
    <s v="N/A"/>
    <s v="N/A"/>
    <s v="N/A"/>
    <n v="0"/>
    <x v="0"/>
    <s v="N/A"/>
    <s v="N/A"/>
    <x v="8"/>
    <s v="MANTENCION"/>
    <s v="COORDINADOR"/>
    <s v="T. AUTOMATICO"/>
    <s v="N/A"/>
    <s v="MAÑANA"/>
    <d v="1899-12-30T15:30:00"/>
    <s v="DOMINGO"/>
    <s v="SEMANA 11"/>
    <m/>
    <m/>
    <s v="VICTOR GOMEZ"/>
    <s v="DANIEL GONZALEZ"/>
    <n v="29"/>
    <x v="0"/>
    <x v="5"/>
    <x v="1"/>
    <x v="4"/>
    <s v="COLABORADOR SUFRE GOLPE EN OJO DERECHO CONLLAVE CUANDO SE ENCONTRABA APRETANDO LOS PERNOS DE ESTACION DE GIRO EN LINEA 2 DE TROZADO DE POLLO AUTOMATICO"/>
    <s v="ACCION"/>
    <s v="SI"/>
    <x v="0"/>
    <s v="ALAN CARRASCO"/>
    <s v="CARLOS CARTAGENA"/>
    <m/>
  </r>
  <r>
    <n v="2023"/>
    <s v="MARZO"/>
    <s v="EL PAICO"/>
    <s v="ESPINOZA MALDONADO"/>
    <s v="ROMINA"/>
    <s v="FEMENINO"/>
    <s v="17986193-3"/>
    <d v="2017-08-16T00:00:00"/>
    <n v="66"/>
    <d v="2023-03-01T00:00:00"/>
    <x v="0"/>
    <d v="2023-03-01T00:00:00"/>
    <d v="2023-03-02T00:00:00"/>
    <s v="N/A"/>
    <n v="2"/>
    <x v="1"/>
    <s v="LGF"/>
    <s v="LGF3"/>
    <x v="6"/>
    <s v="SALA DE TAMBLE"/>
    <s v="OPERARIO"/>
    <s v="SALA DE TAMBLE"/>
    <s v="N/A"/>
    <s v="NOCHE"/>
    <d v="1899-12-30T04:00:00"/>
    <s v="MIERCOLES"/>
    <s v="SEMANA 9"/>
    <n v="15530"/>
    <s v="NC-19-2023"/>
    <s v="CARLOS JIMENEZ"/>
    <s v="PATRICIO PALACIOS"/>
    <n v="31"/>
    <x v="9"/>
    <x v="4"/>
    <x v="6"/>
    <x v="12"/>
    <s v="COLABORADORA QUE SE ENCONTRABA ESPONJANDO TAMBLED, AL MOMENTO DEL ENJUAGE DERRAMA DETERGENTE BIO REMOVE EN PIERNA DERECHA."/>
    <s v="ACCION"/>
    <s v="SI"/>
    <x v="1"/>
    <s v="ALAN CARRASCO "/>
    <s v="CHISTIAN JHONS"/>
    <s v="MANIPULACION DE PRODUCTO QUIMICO"/>
  </r>
  <r>
    <n v="2023"/>
    <s v="MARZO"/>
    <s v="EL PAICO"/>
    <s v="CONTRERAS GARATE"/>
    <s v="SALVADOR"/>
    <s v="MASCULINO"/>
    <s v="14436436-8"/>
    <d v="2021-03-08T00:00:00"/>
    <n v="24"/>
    <d v="2023-03-27T00:00:00"/>
    <x v="0"/>
    <s v="N/A"/>
    <s v="N/A"/>
    <s v="N/A"/>
    <n v="0"/>
    <x v="0"/>
    <s v="N/A"/>
    <s v="N/A"/>
    <x v="6"/>
    <s v="ASEO OPERACIONAL"/>
    <s v="OPERARIO"/>
    <s v="VESTIDORES "/>
    <s v="N/A"/>
    <s v="TARDE"/>
    <d v="1899-12-30T14:30:00"/>
    <s v="LUNES"/>
    <s v="SEMANA 13"/>
    <m/>
    <m/>
    <s v="CARLOS JIMENES"/>
    <s v="JOSELINNE ALARCON"/>
    <n v="32"/>
    <x v="12"/>
    <x v="7"/>
    <x v="0"/>
    <x v="13"/>
    <s v="COLABORADOR SIENTE FUERTE DOLOR EN LA CINTURA CUANDO SE VESTIA CON SU ROPA DE TRABAJO EN CAMARINES DE LA PLANTA "/>
    <s v="ACCION"/>
    <s v="SI"/>
    <x v="0"/>
    <s v="ALAN CARRASCO"/>
    <s v="CARLOS CARTAGENA"/>
    <s v="CAMBIO DE ROPA EN CAMARINES"/>
  </r>
  <r>
    <n v="2023"/>
    <s v="MARZO"/>
    <s v="EL PAICO"/>
    <s v="CHAVANNES"/>
    <s v="ESTILUS"/>
    <s v="MASCULINO"/>
    <s v="26172618-1"/>
    <d v="2019-10-14T00:00:00"/>
    <n v="40"/>
    <d v="2023-03-08T00:00:00"/>
    <x v="0"/>
    <s v="N/A"/>
    <s v="N/A"/>
    <s v="N/A"/>
    <n v="0"/>
    <x v="0"/>
    <s v="N/A"/>
    <s v="N/A"/>
    <x v="2"/>
    <s v="EVISCERADO"/>
    <s v="OPERARIO"/>
    <s v="EVICERADO"/>
    <s v="N/A"/>
    <s v="TARDE"/>
    <d v="1899-12-30T18:20:00"/>
    <s v="MIERCOLES"/>
    <s v="SEMANA 10"/>
    <m/>
    <m/>
    <s v="NICOLAS MOYANO"/>
    <s v="ERWIN GATICA"/>
    <n v="34"/>
    <x v="13"/>
    <x v="3"/>
    <x v="3"/>
    <x v="8"/>
    <s v="COLABORADOR SE ENCONTRABA SACANDO FILO A CUCHILLO, CUANDO ESTE CAE EN SU PIE DERECHO PRODUCIENDO UNA HERIDA CORTANTE"/>
    <s v="CONDICION"/>
    <s v="SI"/>
    <x v="0"/>
    <s v="NICOLAS GOMEZ"/>
    <s v="CHRISTIAN JHONS"/>
    <m/>
  </r>
  <r>
    <n v="2023"/>
    <s v="MARZO"/>
    <s v="EL PAICO"/>
    <s v="CASTRO CABRERA"/>
    <s v="ALEJANDRA"/>
    <s v="FEMENINO"/>
    <s v="13771008-0"/>
    <d v="2022-12-20T00:00:00"/>
    <n v="2"/>
    <d v="2023-03-04T00:00:00"/>
    <x v="1"/>
    <s v="N/A"/>
    <s v="N/A"/>
    <s v="N/A"/>
    <n v="0"/>
    <x v="0"/>
    <s v="N/A"/>
    <s v="N/A"/>
    <x v="5"/>
    <s v="SELECCIÓN PECHUGA"/>
    <s v="OPERARIO"/>
    <s v="ESCALERAS COSTADO DE INGRESO PRINCIPAL"/>
    <s v="N/A"/>
    <s v="MAÑANA"/>
    <d v="1899-12-30T11:10:00"/>
    <s v="SABADO"/>
    <s v="SEMANA 9"/>
    <m/>
    <m/>
    <s v="DANIEL GARRIDO"/>
    <s v="JOSE CARVALLO"/>
    <n v="43"/>
    <x v="1"/>
    <x v="7"/>
    <x v="1"/>
    <x v="6"/>
    <s v="COLABORADORA SE ENCONTRABA BAJANDO POR LAS ESCALERAS UBICADAS AL COSTADO DE ENTRADA PRINCIPAL, SE RESBALA PROBONCANDO UNA CONTUCION EN COXIS."/>
    <s v="ACCION"/>
    <s v="SI"/>
    <x v="0"/>
    <s v="NICOLAS GOMEZ"/>
    <s v="CHISTIAN JHONS"/>
    <s v="TRANSITO POR AREAS COMUNES"/>
  </r>
  <r>
    <n v="2023"/>
    <s v="MARZO"/>
    <s v="EL PAICO"/>
    <s v="CARREÑO CERDA"/>
    <s v="FRANCISCO"/>
    <s v="MASCULINO"/>
    <s v="16340355-2"/>
    <d v="2022-10-17T00:00:00"/>
    <n v="4"/>
    <d v="2023-03-03T00:00:00"/>
    <x v="1"/>
    <d v="2023-03-03T00:00:00"/>
    <d v="2023-03-03T00:00:00"/>
    <s v="N/A"/>
    <n v="0"/>
    <x v="0"/>
    <s v="N/A"/>
    <s v="N/A"/>
    <x v="2"/>
    <s v="COLGADO DE AVES"/>
    <s v="OPERARIO"/>
    <s v="COLGADO DE AVES"/>
    <s v="N/A"/>
    <s v="MAÑANA"/>
    <d v="1899-12-30T07:00:00"/>
    <s v="VIERNES"/>
    <s v="SEMANA 9"/>
    <n v="15542"/>
    <s v="NC-23-2023"/>
    <s v="NICOLAS MOYANO"/>
    <s v="CRISTIAN MESA"/>
    <n v="37"/>
    <x v="11"/>
    <x v="5"/>
    <x v="5"/>
    <x v="7"/>
    <s v="COLABORADOR SE ENCONTRABA EN LINEA COLGADO DE AVES, CUANDO SUFRE UNA PROYECCION DE PARTICULA EN OJO DERECHO PROVOCANDO INFLAMACION EN LA PARTE AFECTADA"/>
    <s v="CONDICION"/>
    <s v="SI"/>
    <x v="1"/>
    <s v="NICOLAS GOMEZ"/>
    <s v="CARLOS CARTAGENA"/>
    <s v="COLGADO DE AVES VIVAS"/>
  </r>
  <r>
    <n v="2023"/>
    <s v="MARZO"/>
    <s v="EL PAICO"/>
    <s v="CARANCIO ALEGRIA"/>
    <s v="MARCELO"/>
    <s v="MASCULINO"/>
    <s v="14439094-6"/>
    <d v="2018-11-19T00:00:00"/>
    <n v="52"/>
    <d v="2023-03-23T00:00:00"/>
    <x v="0"/>
    <s v="N/A"/>
    <s v="N/A"/>
    <s v="N/A"/>
    <n v="0"/>
    <x v="0"/>
    <s v="N/A"/>
    <s v="N/A"/>
    <x v="5"/>
    <s v="DESHUESADO"/>
    <s v="OPERARIO"/>
    <m/>
    <s v="N/A"/>
    <s v="MAÑANA"/>
    <m/>
    <s v="JUEVES"/>
    <s v="SEMANA 12"/>
    <m/>
    <m/>
    <s v="DANIEL GARRIDO"/>
    <m/>
    <n v="49"/>
    <x v="0"/>
    <x v="7"/>
    <x v="0"/>
    <x v="0"/>
    <s v="COLABORADOR SE ENCONTRABA LEVANTANDO BANDEJAS CON POLLO, SIENTE DOLOR EN ESPALDA AL EJERCER FUERZA"/>
    <s v="ACCION"/>
    <s v="SI"/>
    <x v="0"/>
    <s v="NICOLAS GOMEZ"/>
    <s v="CARLOS CARTAGENA"/>
    <s v="MOVIMIENTO DE MATERIALES (BINS, PALLET, BANDEJAS)"/>
  </r>
  <r>
    <n v="2023"/>
    <s v="MARZO"/>
    <s v="EL PAICO"/>
    <s v="BARRAZA PERALTA"/>
    <s v="ISABEL"/>
    <s v="FEMENINO"/>
    <s v="9683999-5"/>
    <d v="2013-11-18T00:00:00"/>
    <n v="112"/>
    <d v="2023-03-22T00:00:00"/>
    <x v="0"/>
    <d v="2023-03-10T00:00:00"/>
    <d v="2023-03-10T00:00:00"/>
    <s v="N/A"/>
    <n v="0"/>
    <x v="0"/>
    <s v="N/A"/>
    <s v="N/A"/>
    <x v="6"/>
    <s v="ASEO OPERACIONAL"/>
    <s v="OPERARIO"/>
    <s v="IQF4"/>
    <s v="N/A"/>
    <s v="MAÑANA"/>
    <d v="1899-12-30T11:40:00"/>
    <s v="MIERCOLES"/>
    <s v="SEMANA 12"/>
    <n v="15582"/>
    <s v="NC-20-2023"/>
    <s v="CARLOS JIMENES"/>
    <s v="ORLANDO FARIAS"/>
    <n v="58"/>
    <x v="4"/>
    <x v="8"/>
    <x v="1"/>
    <x v="1"/>
    <s v="COLABORADORA SUFRE CAIDA MISMO NIVEL CUANDO SE ENCONTRABA SECANDO AGUA EN PISO DE IQF4"/>
    <s v="CONDICION"/>
    <s v="SI"/>
    <x v="1"/>
    <s v="ALAN CARRASCO"/>
    <s v="WLADIMIR CALDERON "/>
    <s v="REALIZANDO LABORES DE ASEO"/>
  </r>
  <r>
    <n v="2023"/>
    <s v="MARZO"/>
    <s v="EL PAICO"/>
    <s v="AGUILAR CORTES"/>
    <s v="LUIS"/>
    <s v="MASCULINO"/>
    <s v="9886055-K"/>
    <d v="2019-06-17T00:00:00"/>
    <n v="44"/>
    <d v="2023-03-01T00:00:00"/>
    <x v="0"/>
    <s v="N/A"/>
    <s v="N/A"/>
    <s v="N/A"/>
    <n v="0"/>
    <x v="0"/>
    <s v="N/A"/>
    <s v="N/A"/>
    <x v="6"/>
    <s v="EVISCERADO"/>
    <s v="OPERARIO"/>
    <s v="EVICERADO"/>
    <s v="N/A"/>
    <s v="NOCHE"/>
    <d v="1899-12-30T22:05:00"/>
    <s v="MIERCOLES"/>
    <s v="SEMANA 9"/>
    <m/>
    <m/>
    <s v="CARLOS JIMENEZ"/>
    <s v="LUIS URBINA"/>
    <n v="59"/>
    <x v="9"/>
    <x v="5"/>
    <x v="0"/>
    <x v="7"/>
    <s v="COLABORADOR QUE SE ENCONTRABA TRANVASIJANDO DETERGENTE, SUFRE SALPICADURA EN SU OJO IZQUERDO"/>
    <s v="ACCION"/>
    <s v="SI"/>
    <x v="0"/>
    <s v="ALAN CARRASCO "/>
    <s v="WLADIMIR CALDERON "/>
    <s v="MANIPULACION DE PRODUCTO QUIMICO"/>
  </r>
  <r>
    <n v="2023"/>
    <s v="ABRIL"/>
    <s v="EL PAICO"/>
    <s v="VILLALOBOS VALENZUELA"/>
    <s v="PABLO"/>
    <s v="MASCULINO"/>
    <s v="19382613-K"/>
    <d v="2022-08-18T00:00:00"/>
    <n v="7"/>
    <d v="2023-04-04T00:00:00"/>
    <x v="2"/>
    <s v="N/A"/>
    <s v="N/A"/>
    <s v="N/A"/>
    <n v="0"/>
    <x v="0"/>
    <s v="N/A"/>
    <s v="N/A"/>
    <x v="5"/>
    <s v="DESHUESADO"/>
    <s v="OPERARIO"/>
    <s v="PASILLO CAMARA 206"/>
    <s v="N/A"/>
    <s v="TARDE"/>
    <d v="1899-12-30T00:45:00"/>
    <s v="MIERCOLES"/>
    <s v="SEMANA 14"/>
    <m/>
    <m/>
    <s v="DANIEL GARRIDO"/>
    <s v="JOSE CARVALLO"/>
    <n v="27"/>
    <x v="7"/>
    <x v="7"/>
    <x v="0"/>
    <x v="0"/>
    <s v="COLABORADOR SUFRE TIRON EN ESPALDA Y CUELLO CUANDO SE ENCONTRABA MOVILIZANDO BINS CON PRODUCTO EN TRANSPALETA MANUAL "/>
    <s v="ACCION"/>
    <s v="SI"/>
    <x v="0"/>
    <s v="NICOLAS GOMEZ"/>
    <s v="CHISTIAN JHONS"/>
    <s v="MOVIMIENTO DE MATERIALES (BINS, PALLET, BANDEJAS)"/>
  </r>
  <r>
    <n v="2023"/>
    <s v="ABRIL"/>
    <s v="EL PAICO"/>
    <s v="VIDAL ZAMBRANO"/>
    <s v="JAVIER"/>
    <s v="MASCULINO"/>
    <s v="21169027-5"/>
    <d v="2022-08-01T00:00:00"/>
    <n v="8"/>
    <d v="2023-04-12T00:00:00"/>
    <x v="2"/>
    <s v="N/A"/>
    <s v="N/A"/>
    <s v="N/A"/>
    <n v="0"/>
    <x v="0"/>
    <s v="LGF"/>
    <s v="LGF4"/>
    <x v="4"/>
    <s v="FRIGORIFICO"/>
    <s v="OPERARIO"/>
    <s v="TUNEL 4"/>
    <s v="EQUIPO PARA MOVIMIENTO DE CARGA (GRUAS O TRANSPALETAS)"/>
    <s v="MAÑANA"/>
    <d v="1899-12-30T09:45:00"/>
    <s v="MIERCOLES"/>
    <s v="SEMANA 15"/>
    <m/>
    <m/>
    <s v="FRANCISCO QUEZADA"/>
    <s v="NELSON PIZARRO"/>
    <n v="20"/>
    <x v="2"/>
    <x v="3"/>
    <x v="1"/>
    <x v="4"/>
    <s v="COLABORADOR SUFRE CONTUSION EN PIE IZQUIERDO POR COLICION ENTRE DOS TRANSPALETAS EN TUNEL 4 "/>
    <s v="ACCION"/>
    <s v="SI"/>
    <x v="0"/>
    <s v="NICOLAS GOMEZ"/>
    <s v="CARLOS CARTAGENA"/>
    <m/>
  </r>
  <r>
    <n v="2023"/>
    <s v="ABRIL"/>
    <s v="EL PAICO"/>
    <s v="VASQUEZ CORRAL"/>
    <s v="JOSE"/>
    <s v="MASCULINO"/>
    <s v="9029022-3"/>
    <d v="2004-06-15T00:00:00"/>
    <n v="226"/>
    <d v="2023-04-18T00:00:00"/>
    <x v="0"/>
    <s v="N/A"/>
    <s v="N/A"/>
    <s v="N/A"/>
    <n v="0"/>
    <x v="0"/>
    <s v="N/A"/>
    <s v="N/A"/>
    <x v="1"/>
    <s v="IQF"/>
    <s v="OPERARIO"/>
    <s v="IQF"/>
    <s v="N/A"/>
    <s v="TARDE"/>
    <d v="1899-12-30T15:30:00"/>
    <s v="MARTES"/>
    <s v="SEMANA 16"/>
    <m/>
    <m/>
    <s v="GUILLERMO NARVAEZ"/>
    <s v="MAXIMO CAMPOS"/>
    <n v="63"/>
    <x v="14"/>
    <x v="0"/>
    <x v="1"/>
    <x v="0"/>
    <s v="COLABORADOR SUFRE DOLOR EN MUÑECA IZQUERDA AL TOMAR CAJA EN LINEA DE IQF"/>
    <s v="ACCION"/>
    <s v="SI"/>
    <x v="0"/>
    <s v="ALAN CARRASCO"/>
    <s v="MICHELLE SANCHEZ"/>
    <m/>
  </r>
  <r>
    <n v="2023"/>
    <s v="ABRIL"/>
    <s v="EL PAICO"/>
    <s v="VALDIVIA PEÑALOZA"/>
    <s v="JAIME"/>
    <s v="MASCULINO"/>
    <s v="14140942-5"/>
    <d v="2021-06-01T00:00:00"/>
    <n v="22"/>
    <d v="2023-04-17T00:00:00"/>
    <x v="0"/>
    <s v="N/A"/>
    <s v="N/A"/>
    <s v="N/A"/>
    <n v="0"/>
    <x v="0"/>
    <s v="LGF"/>
    <s v="LGF4"/>
    <x v="1"/>
    <s v="IQF Y CALIBRADO"/>
    <s v="OPERARIO"/>
    <s v="CAMARA 208"/>
    <s v="EQUIPO PARA MOVIMIENTO DE CARGA (GRUAS O TRANSPALETAS)"/>
    <s v="MAÑANA"/>
    <d v="1899-12-30T10:06:00"/>
    <s v="LUNES"/>
    <s v="SEMANA 16"/>
    <m/>
    <m/>
    <s v="GUILLERMO NARVAEZ"/>
    <s v="FRANCISCO SANCHEZ"/>
    <n v="42"/>
    <x v="7"/>
    <x v="0"/>
    <x v="1"/>
    <x v="4"/>
    <s v="COLABORADOR SUFRE GOLPE EN MUÑECA IZQUERDA AL SER COLICIONADO POR OPERADOR DE TRANSPALETA ELECTRICA CUANDO ESTABA ENTRANDO A CAMARA 208"/>
    <s v="ACCION"/>
    <s v="SI"/>
    <x v="0"/>
    <s v="ALAN CARRASCO"/>
    <s v="CHISTIAN JHONS"/>
    <m/>
  </r>
  <r>
    <n v="2023"/>
    <s v="ABRIL"/>
    <s v="EL PAICO"/>
    <s v="SANTIS RAMIREZ"/>
    <s v="JANIS"/>
    <s v="FEMENINO"/>
    <s v="19858836-9"/>
    <d v="2021-05-10T00:00:00"/>
    <n v="23"/>
    <d v="2023-04-11T00:00:00"/>
    <x v="0"/>
    <s v="N/A"/>
    <s v="N/A"/>
    <s v="N/A"/>
    <n v="0"/>
    <x v="0"/>
    <s v="N/A"/>
    <s v="N/A"/>
    <x v="5"/>
    <s v="DESHUESADO"/>
    <s v="OPERARIO"/>
    <s v="CAMARA 208"/>
    <s v="N/A"/>
    <s v="MAÑANA"/>
    <d v="1899-12-30T08:55:00"/>
    <s v="MARTES"/>
    <s v="SEMANA 15"/>
    <m/>
    <m/>
    <s v="DANIEL GARRIDO"/>
    <s v="ARNALDO VERA"/>
    <n v="25"/>
    <x v="4"/>
    <x v="2"/>
    <x v="1"/>
    <x v="1"/>
    <s v="COLABORADORA SUFRE CONTUSION EN ESPALDA Y CABEZA POR CAIDA MISMO NIVEL AL PISAR HIELO QUE SE ENCONTRABA EN PISO DE CAMARA 208 ROTULANDO BINS"/>
    <s v="CONDICION"/>
    <s v="SI"/>
    <x v="0"/>
    <s v="NICOLAS GOMEZ"/>
    <s v="CARLOS CARTAGENA"/>
    <s v="TRANSITO POR AREAS DE PROCESO"/>
  </r>
  <r>
    <n v="2023"/>
    <s v="ABRIL"/>
    <s v="EL PAICO"/>
    <s v="RAGA VAZQUEZ"/>
    <s v="ELIZABETH"/>
    <s v="FEMENINO"/>
    <s v="26199492-5"/>
    <d v="2022-11-22T00:00:00"/>
    <n v="4"/>
    <d v="2023-04-19T00:00:00"/>
    <x v="1"/>
    <s v="N/A"/>
    <s v="N/A"/>
    <s v="N/A"/>
    <n v="0"/>
    <x v="0"/>
    <s v="N/A"/>
    <s v="N/A"/>
    <x v="1"/>
    <s v="IQF"/>
    <s v="OPERARIO"/>
    <s v="IQF"/>
    <s v="N/A"/>
    <s v="TARDE"/>
    <d v="1899-12-30T19:00:00"/>
    <s v="MIERCOLES"/>
    <s v="SEMANA 16"/>
    <m/>
    <m/>
    <s v="GUILLERMO NARVAEZ"/>
    <s v="MAXIMO CAMPOS"/>
    <n v="35"/>
    <x v="6"/>
    <x v="5"/>
    <x v="5"/>
    <x v="7"/>
    <s v="COLABORADORA SUFRE IRRITACION OCULAR EN OJO IZQUIERDO POR PROYECCION DE PARTICULAS CUANDO SE ENCONTRABA MANIPULANDO PRODUCTOS EN BANDEJAS EN LINEA IQF"/>
    <s v="ACCION"/>
    <s v="SI"/>
    <x v="0"/>
    <s v="NICOLAS GOMEZ"/>
    <s v="WLADIMIR CALDERON "/>
    <m/>
  </r>
  <r>
    <n v="2023"/>
    <s v="ABRIL"/>
    <s v="EL PAICO"/>
    <s v="PAVEZ AGUILA"/>
    <s v="PAULA"/>
    <s v="FEMENINO"/>
    <s v="20424217-8"/>
    <d v="2023-01-09T00:00:00"/>
    <n v="3"/>
    <d v="2023-04-24T00:00:00"/>
    <x v="1"/>
    <s v="N/A"/>
    <s v="N/A"/>
    <s v="N/A"/>
    <n v="0"/>
    <x v="0"/>
    <s v="N/A"/>
    <s v="N/A"/>
    <x v="1"/>
    <s v="IQF"/>
    <s v="OPERARIO"/>
    <s v="IQF"/>
    <s v="N/A"/>
    <s v="TARDE"/>
    <d v="1899-12-30T22:30:00"/>
    <s v="LUNES"/>
    <s v="SEMANA 17"/>
    <m/>
    <m/>
    <s v="GUILLERMO NARVAEZ"/>
    <s v="FRANCISCO SANCHEZ"/>
    <n v="23"/>
    <x v="4"/>
    <x v="4"/>
    <x v="1"/>
    <x v="6"/>
    <s v="COLABORADOR SUFRE GOLPE EN RODILLA IZQUIERDA POR CAIDA DE DISTINTO NIVEL CUANDO SE ENCONTRABA MOVILIZANDO BANDEJAS EN LINEA DE IQF."/>
    <s v="CONDICION"/>
    <s v="SI"/>
    <x v="0"/>
    <s v="ALAN CARRASCO"/>
    <s v="CARLOS CARTAGENA"/>
    <m/>
  </r>
  <r>
    <n v="2023"/>
    <s v="ABRIL"/>
    <s v="EL PAICO"/>
    <s v="NORAMBUENA CARVAJAL"/>
    <s v="RODRIGO"/>
    <s v="MASCULINO"/>
    <s v="16788251-K"/>
    <d v="2012-02-01T00:00:00"/>
    <n v="134"/>
    <d v="2023-04-15T00:00:00"/>
    <x v="0"/>
    <d v="2023-04-15T00:00:00"/>
    <d v="2023-09-24T00:00:00"/>
    <s v="N/A"/>
    <n v="163"/>
    <x v="1"/>
    <s v="LGF"/>
    <s v="LGF2"/>
    <x v="7"/>
    <s v="SALA DE PULPA"/>
    <s v="OPERARIO"/>
    <s v="SALA DE PULPA"/>
    <s v="MAQUINA BAADER"/>
    <s v="MAÑANA"/>
    <d v="1899-12-30T11:40:00"/>
    <s v="SABADO"/>
    <s v="SEMANA 15"/>
    <n v="15621"/>
    <s v="NC-35-23"/>
    <s v="OCTAVIO MUÑOZ"/>
    <s v="MARCOS QUINTANILLA"/>
    <n v="35"/>
    <x v="2"/>
    <x v="0"/>
    <x v="7"/>
    <x v="2"/>
    <s v="COLABORADOR SUFRE DESPRENDIMIENTO EN DEDO ANULAR SUPERIOR DERECHO, POR ATRAPAMIENTO MIENTRAS OPERABA MAQUINA BAADER EN SALA DE PULPA."/>
    <s v="ACCION"/>
    <s v="SI"/>
    <x v="1"/>
    <s v="ALAN CARRASCO"/>
    <s v="WLADIMIR CALDERON "/>
    <s v="OPERACIÓN DE MAQUINAS, EQUIPOS O HERRAMIENTAS MOTRICES"/>
  </r>
  <r>
    <n v="2023"/>
    <s v="ABRIL"/>
    <s v="EL PAICO"/>
    <s v="MENA MATTA"/>
    <s v="NINOSHKA"/>
    <s v="FEMENINO"/>
    <s v="18528198-1"/>
    <d v="2023-03-27T00:00:00"/>
    <n v="0"/>
    <d v="2023-04-22T00:00:00"/>
    <x v="1"/>
    <d v="2023-04-24T00:00:00"/>
    <d v="2023-04-27T00:00:00"/>
    <s v="N/A"/>
    <n v="4"/>
    <x v="1"/>
    <s v="N/A"/>
    <s v="N/A"/>
    <x v="4"/>
    <s v="FRIGORIFICO"/>
    <s v="OPERARIO"/>
    <s v="PASILLO B CAMARA "/>
    <s v="N/A"/>
    <s v="MAÑANA"/>
    <d v="1899-12-30T06:35:00"/>
    <s v="SABADO"/>
    <s v="SEMANA 16"/>
    <n v="15645"/>
    <s v="NC-52-23"/>
    <s v="FRANCISCO QUEZADA"/>
    <s v="ALEJANDRO TORRES"/>
    <n v="30"/>
    <x v="4"/>
    <x v="4"/>
    <x v="1"/>
    <x v="1"/>
    <s v="COLABORADORA SUFRE CONTUSION EN RODILLA DERECHA POR CAIDA DE MISMO EN PASILLO DE CAMARA EN EL AREA DE FRIGORIFICO"/>
    <s v="CONDICION"/>
    <s v="SI"/>
    <x v="1"/>
    <s v="ALAN CARRASCO"/>
    <s v="MICHELLE SANCHEZ"/>
    <s v="TRANSITO POR AREAS DE PROCESO"/>
  </r>
  <r>
    <n v="2023"/>
    <s v="ABRIL"/>
    <s v="EL PAICO"/>
    <s v="MELLADO BARRIENTOS"/>
    <s v="POLONIA "/>
    <s v="FEMENINO"/>
    <s v="17422963-5"/>
    <d v="2021-02-22T00:00:00"/>
    <n v="25"/>
    <d v="2023-04-21T00:00:00"/>
    <x v="0"/>
    <d v="2023-04-24T00:00:00"/>
    <d v="2023-04-26T00:00:00"/>
    <s v="N/A"/>
    <n v="3"/>
    <x v="1"/>
    <s v="N/A"/>
    <s v="N/A"/>
    <x v="5"/>
    <s v="SALA DE PROCESO"/>
    <s v="OPERARIO"/>
    <s v="SALA DE PROCESO"/>
    <s v="N/A"/>
    <s v="TARDE"/>
    <m/>
    <s v="VIERNES"/>
    <s v="SEMANA 16"/>
    <n v="15647"/>
    <s v="NC-55-23"/>
    <s v="DANIEL GARRIDO"/>
    <s v="JOSE CARVALLO"/>
    <n v="32"/>
    <x v="5"/>
    <x v="0"/>
    <x v="1"/>
    <x v="5"/>
    <s v="COLABORADORA DE TPO SUFRIO CONTUSION EN MANO DERECHA GOLPEADA POR UN BINS, LA TRABAJADORA TENIA LA MANO APOYADA EN UN BINS EN ESE MOMENTO UN MOVILIZADOR ARRASTRA UN BINS CERCANO PARA POSICIONARLO A UN LADO DEL OTRO, EN ESTE MOMENTO NO SE PERCATA DE LA TRABAJADORA Y GOLPEADA SU MANO DEJANDOLA ENTRE AMBOS BINS, EL ACC OCURRIO EN SALA DE PROCESO. "/>
    <s v="ACCION"/>
    <s v="SI"/>
    <x v="1"/>
    <s v="NICOLAS GOMEZ"/>
    <m/>
    <s v="MANIPULACION DE MATERIA PRIMA"/>
  </r>
  <r>
    <n v="2023"/>
    <s v="ABRIL"/>
    <s v="EL PAICO"/>
    <s v="HUINAO CARTAGENA"/>
    <s v="MANUEL"/>
    <s v="MASCULINO"/>
    <s v="15403657-1"/>
    <d v="2022-11-04T00:00:00"/>
    <n v="5"/>
    <d v="2023-04-27T00:00:00"/>
    <x v="1"/>
    <s v="N/A"/>
    <s v="N/A"/>
    <d v="2023-04-28T00:00:00"/>
    <n v="0"/>
    <x v="0"/>
    <s v="N/A"/>
    <s v="N/A"/>
    <x v="1"/>
    <s v="CALIBRADO"/>
    <s v="OPERARIO"/>
    <s v="TROZADO DE POLLO"/>
    <s v="N/A"/>
    <s v="MAÑANA"/>
    <d v="1899-12-30T08:10:00"/>
    <s v="JUEVES"/>
    <s v="SEMANA 17"/>
    <m/>
    <m/>
    <s v="GUILLERMO NARVAEZ"/>
    <s v="MAXIMO CAMPOS"/>
    <n v="40"/>
    <x v="5"/>
    <x v="3"/>
    <x v="1"/>
    <x v="4"/>
    <s v="COLABORADOR SUFRE CONTUSION EN PIE DERECHO AL SE GOLPEADO POR COMPAÑERO QUE TRASLABA BINS CON PRODUCTO EN PASILLO DE TROZADO DE POLLO"/>
    <s v="ACCION"/>
    <s v="SI"/>
    <x v="0"/>
    <s v="NICOLAS GOMEZ"/>
    <s v="WLADIMIR CALDERON "/>
    <m/>
  </r>
  <r>
    <n v="2023"/>
    <s v="ABRIL"/>
    <s v="EL PAICO"/>
    <s v="GUIÑEZ GARRIDO"/>
    <s v="PATRICIO"/>
    <s v="MASCULINO"/>
    <s v="14008724-6"/>
    <d v="2022-11-15T00:00:00"/>
    <n v="5"/>
    <d v="2023-04-24T00:00:00"/>
    <x v="1"/>
    <s v="N/A"/>
    <s v="N/A"/>
    <s v="N/A"/>
    <n v="0"/>
    <x v="0"/>
    <s v="N/A"/>
    <s v="N/A"/>
    <x v="1"/>
    <s v="CALIBRADO"/>
    <s v="OPERARIO"/>
    <s v="EMPAQUE"/>
    <s v="N/A"/>
    <s v="MAÑANA"/>
    <d v="1899-12-30T08:00:00"/>
    <s v="LUNES"/>
    <s v="SEMANA 17"/>
    <m/>
    <m/>
    <s v="GUILLERMO NARVAEZ"/>
    <s v="FERNANDO FUENTEALBA"/>
    <n v="41"/>
    <x v="0"/>
    <x v="1"/>
    <x v="1"/>
    <x v="4"/>
    <s v="COLABORADOR SUFRE GOLPE EN POMULO IZQUIERDO POR TAPA DE CAJA CUANDO SE ENCONTRABA SACANDO ZUNCHOS EN EL AREA DE EMPAQUE"/>
    <s v="ACCION"/>
    <s v="SI"/>
    <x v="0"/>
    <s v="NICOLAS GOMEZ"/>
    <s v="CARLOS CARTAGENA"/>
    <m/>
  </r>
  <r>
    <n v="2023"/>
    <s v="ABRIL"/>
    <s v="EL PAICO"/>
    <s v="GONZALEZ MEDINA"/>
    <s v="ERIKA"/>
    <s v="FEMENINO"/>
    <s v="15624346-9"/>
    <d v="1993-01-06T00:00:00"/>
    <n v="363"/>
    <d v="2023-04-27T00:00:00"/>
    <x v="0"/>
    <s v="N/A"/>
    <s v="N/A"/>
    <s v="N/A"/>
    <n v="0"/>
    <x v="0"/>
    <s v="N/A"/>
    <s v="N/A"/>
    <x v="5"/>
    <s v="PROLIJADO"/>
    <s v="OPERARIO"/>
    <s v="LINEA PROLIJADO"/>
    <s v="N/A"/>
    <s v="MAÑANA"/>
    <d v="1899-12-30T12:30:00"/>
    <s v="VIERNES"/>
    <s v="SEMANA 17"/>
    <m/>
    <m/>
    <s v="DANIEL GARRIDO"/>
    <s v="JOSE CARVALLO"/>
    <n v="55"/>
    <x v="0"/>
    <x v="0"/>
    <x v="3"/>
    <x v="3"/>
    <s v="COLABORADORA SUFRE CORTE EN DEDO ANULAR DE MANO DERECHA CON CUCHILLO, EN LINEA PROLIJADO DE PECHUGAS"/>
    <s v="ACCION"/>
    <s v="SI"/>
    <x v="0"/>
    <s v="ALAN CARRASCO"/>
    <s v="CARLOS CARTAGENA"/>
    <s v="REALIZANDO LABORES DE CORTE "/>
  </r>
  <r>
    <n v="2023"/>
    <s v="ABRIL"/>
    <s v="EL PAICO"/>
    <s v="GONALEZ NIDA"/>
    <s v="MAURICIO"/>
    <s v="MASCULINO"/>
    <s v="20122752-6"/>
    <d v="2023-03-14T00:00:00"/>
    <n v="0"/>
    <d v="2023-04-10T00:00:00"/>
    <x v="1"/>
    <d v="2023-04-11T00:00:00"/>
    <d v="2023-04-12T00:00:00"/>
    <s v="N/A"/>
    <n v="1"/>
    <x v="1"/>
    <s v="N/A"/>
    <s v="N/A"/>
    <x v="5"/>
    <s v="DESHUESADO"/>
    <s v="OPERARIO"/>
    <s v="DESHUESADO"/>
    <s v="N/A"/>
    <s v="MAÑANA"/>
    <d v="1899-12-30T08:30:00"/>
    <s v="LUNES"/>
    <s v="SEMANA 15"/>
    <n v="15618"/>
    <s v="NC-50-23"/>
    <s v="DANIEL GARRIDO"/>
    <s v="JOSE CARVALLO"/>
    <n v="24"/>
    <x v="6"/>
    <x v="5"/>
    <x v="5"/>
    <x v="7"/>
    <s v="COLABORADOR SUFRE INFLAMACION EN OJO IZQUIERDO POR SALPICADURA DE PRODUCTO AL ESTAR LIMPIANDO PECHUGAS EN LINEA DE PROLIJADO"/>
    <s v="ACCION"/>
    <s v="SI"/>
    <x v="1"/>
    <s v="NICOLAS GOMEZ"/>
    <s v="CARLOS CARTAGENA"/>
    <s v="MANIPULACION DE MATERIA PRIMA"/>
  </r>
  <r>
    <n v="2023"/>
    <s v="ABRIL"/>
    <s v="EL PAICO"/>
    <s v="ESPINOZA PINTO"/>
    <s v="JORGE"/>
    <s v="MASCULINO"/>
    <s v="19849137-3"/>
    <d v="2022-11-14T00:00:00"/>
    <n v="5"/>
    <d v="2023-04-24T00:00:00"/>
    <x v="1"/>
    <d v="2023-04-24T00:00:00"/>
    <d v="2023-04-24T00:00:00"/>
    <s v="N/A"/>
    <n v="0"/>
    <x v="0"/>
    <s v="N/A"/>
    <s v="N/A"/>
    <x v="5"/>
    <s v="TROZADO AUTOMATICO"/>
    <s v="OPERARIO"/>
    <s v="TROZADO AUTOMATICO"/>
    <s v="N/A"/>
    <s v="TARDE"/>
    <d v="1899-12-30T16:00:00"/>
    <s v="LUNES"/>
    <s v="SEMANA 17"/>
    <n v="15646"/>
    <s v="NC-53-23"/>
    <s v="DANIEL GARRIDO"/>
    <s v="RAMIRO RAMIREZ"/>
    <n v="24"/>
    <x v="0"/>
    <x v="3"/>
    <x v="3"/>
    <x v="3"/>
    <s v="COLABORADOR SUFRE HERIDA PUNZANTE AL PISAR TABLA CON CLAVO QUE SE ENCONTRABA EN SUELO DE PASILLO C "/>
    <s v="CONDICION"/>
    <s v="SI"/>
    <x v="1"/>
    <s v="ALAN CARRASCO"/>
    <s v="CARLOS CARTAGENA"/>
    <s v="MOVIMIENTO DE MATERIALES (BINS, PALLET, BANDEJAS)"/>
  </r>
  <r>
    <n v="2023"/>
    <s v="ABRIL"/>
    <s v="EL PAICO"/>
    <s v="DURAN OYANEDEL"/>
    <s v="CRISTIAN"/>
    <s v="MASCULINO"/>
    <s v="13334407-1"/>
    <d v="2005-12-01T00:00:00"/>
    <n v="208"/>
    <d v="2023-04-29T00:00:00"/>
    <x v="0"/>
    <d v="2023-04-29T00:00:00"/>
    <d v="2023-05-05T00:00:00"/>
    <s v="N/A"/>
    <n v="7"/>
    <x v="1"/>
    <s v="N/A"/>
    <s v="N/A"/>
    <x v="6"/>
    <s v="ASEO OPERACIONAL"/>
    <s v="ENCARGADO DE LINEA"/>
    <s v="PASILLO SALA DE JUEGOS"/>
    <s v="N/A"/>
    <s v="MAÑANA"/>
    <d v="1899-12-30T10:40:00"/>
    <s v="SABADO"/>
    <s v="SEMANA 17"/>
    <n v="15654"/>
    <s v="NC-63-23"/>
    <s v="CARLOS JIMENEZ"/>
    <s v="JORDAN FARIAS"/>
    <n v="47"/>
    <x v="3"/>
    <x v="3"/>
    <x v="4"/>
    <x v="1"/>
    <s v="COLABORADOR DE SSGG SUFRE TORSION DE SU PIERNA IZQUIERDA POR CAIDA A MISMO NIVEL AL REBALAR FUERA DE SALA DE CAPACITACION POR EL PASILLO DE LA SALA DE JUEGOS PRODUCTO DE AGUA EN EL PISO A RAIZ DE UNA GOTERA, ESTO MIENTRAS SE DIRIGIA AL PROCESO POR EL LLAMADO DE UNA CONTINGENCIA."/>
    <s v="CONDICION"/>
    <s v="SI"/>
    <x v="1"/>
    <s v="NICOLAS GOMEZ"/>
    <s v="CHISTIAN JHONS"/>
    <s v="TRANSITO POR AREAS COMUNES"/>
  </r>
  <r>
    <n v="2023"/>
    <s v="ABRIL"/>
    <s v="EL PAICO"/>
    <s v="CASTILLO TRIVIÑO"/>
    <s v="PABLO"/>
    <s v="MASCULINO"/>
    <s v="19409089-7"/>
    <d v="2020-03-16T00:00:00"/>
    <n v="37"/>
    <d v="2023-04-18T00:00:00"/>
    <x v="0"/>
    <d v="2023-04-19T00:00:00"/>
    <d v="2023-04-24T00:00:00"/>
    <s v="N/A"/>
    <n v="6"/>
    <x v="1"/>
    <s v="N/A"/>
    <s v="N/A"/>
    <x v="8"/>
    <s v="MANTENCION"/>
    <s v="OPERARIO"/>
    <s v="POZO DE PLUMAS"/>
    <s v="N/A"/>
    <s v="TARDE"/>
    <d v="1899-12-30T18:00:00"/>
    <s v="MARTES"/>
    <s v="SEMANA 16"/>
    <n v="15632"/>
    <s v="NC-51-23"/>
    <s v="VICTOR GOMEZ"/>
    <s v="DANIEL GONZALEZ"/>
    <n v="27"/>
    <x v="12"/>
    <x v="3"/>
    <x v="3"/>
    <x v="13"/>
    <s v="COLABORADOR SUFRE HERIDA EN PIE IZQUIERDO POR ROCE CON ZAPATO DE SEGURIDAD AL REALIZAR SUS LABORES EN POZO DE PLUMAS "/>
    <s v="ACCION"/>
    <s v="SI"/>
    <x v="1"/>
    <s v="ALAN CARRASCO "/>
    <s v="MICHELLE SANCHEZ"/>
    <s v="LABORES DE MANTENCIÓN"/>
  </r>
  <r>
    <n v="2023"/>
    <s v="ABRIL"/>
    <s v="EL PAICO"/>
    <s v="CARRASCO CACERES"/>
    <s v="VICTOR"/>
    <s v="MASCULINO"/>
    <s v="16985231-6"/>
    <d v="2008-07-18T00:00:00"/>
    <n v="176"/>
    <d v="2023-04-12T00:00:00"/>
    <x v="0"/>
    <s v="N/A"/>
    <s v="N/A"/>
    <s v="N/A"/>
    <n v="0"/>
    <x v="0"/>
    <s v="N/A"/>
    <s v="N/A"/>
    <x v="5"/>
    <s v="TROZADO AUTOMATICO"/>
    <s v="OPERARIO"/>
    <s v="ANDENES"/>
    <s v="N/A"/>
    <s v="TARDE"/>
    <d v="1899-12-30T15:10:00"/>
    <s v="MIERCOLES"/>
    <s v="SEMANA 15"/>
    <m/>
    <m/>
    <s v="DANIEL GARRIDO"/>
    <s v="JONATHAN VERA"/>
    <n v="34"/>
    <x v="5"/>
    <x v="7"/>
    <x v="0"/>
    <x v="0"/>
    <s v="COLABORADOR SUFRE DOLOR EN ESPALDA POR SOBREESFUERZOAL ESTAR MOVIENDO BINS QUE SE ENCONTRABAN APRETADOS EN SECTOR DE ANDENES."/>
    <s v="ACCION"/>
    <s v="SI"/>
    <x v="0"/>
    <s v="NICOLAS GOMEZ"/>
    <s v="CARLOS CARTAGENA"/>
    <s v="MOVIMIENTO DE MATERIALES (BINS, PALLET, BANDEJAS)"/>
  </r>
  <r>
    <n v="2023"/>
    <s v="ABRIL"/>
    <s v="EL PAICO"/>
    <s v="CAMACHO CASTELLANOS"/>
    <s v="JESUS"/>
    <s v="MASCULINO"/>
    <s v="27001301-5"/>
    <d v="2021-04-26T00:00:00"/>
    <n v="23"/>
    <d v="2023-04-04T00:00:00"/>
    <x v="0"/>
    <d v="2023-04-05T00:00:00"/>
    <d v="2023-04-21T00:00:00"/>
    <s v="N/A"/>
    <n v="17"/>
    <x v="1"/>
    <s v="N/A"/>
    <s v="N/A"/>
    <x v="5"/>
    <s v="DESHUESADO"/>
    <s v="OPERARIO"/>
    <s v="DESHUESADO"/>
    <s v="N/A"/>
    <s v="TARDE"/>
    <d v="1899-12-30T16:20:00"/>
    <s v="MARTES"/>
    <s v="SEMANA 14"/>
    <n v="15605"/>
    <s v="NC-33-23"/>
    <s v="DANIEL GARRIDO"/>
    <s v="JOSE CARVALLO"/>
    <n v="24"/>
    <x v="2"/>
    <x v="0"/>
    <x v="3"/>
    <x v="3"/>
    <s v="COLABORADOR SUFRE HERIDA PENETRANTE EN PALMA DE MANO IZQUERDA AL ESTAR COLGANDO PECHUGAS DE POLLO ENTERAS"/>
    <s v="ACCION"/>
    <s v="SI"/>
    <x v="1"/>
    <s v="ALAN CARRASCO "/>
    <s v="CARLOS CARTAGENA"/>
    <s v="MANIPULACION DE MATERIA PRIMA"/>
  </r>
  <r>
    <n v="2023"/>
    <s v="ABRIL"/>
    <s v="EL PAICO"/>
    <s v="COELHO DE SAUCE"/>
    <s v="SILVIO"/>
    <s v="MASCULINO"/>
    <s v="27133909-7"/>
    <d v="2021-09-13T00:00:00"/>
    <n v="19"/>
    <d v="2023-04-21T00:00:00"/>
    <x v="0"/>
    <s v="N/A"/>
    <s v="N/A"/>
    <s v="N/A"/>
    <n v="0"/>
    <x v="0"/>
    <s v="LGF"/>
    <s v="LGF4"/>
    <x v="4"/>
    <s v="FRIGORIFICO"/>
    <s v="OPERARIO"/>
    <s v="SALA EMPAQUE TUNEL"/>
    <s v="EQUIPO PARA MOVIMIENTO DE CARGA (GRUAS O TRANSPALETAS)"/>
    <s v="TARDE"/>
    <d v="1899-12-30T14:30:00"/>
    <s v="VIERNES"/>
    <s v="SEMANA 16"/>
    <m/>
    <s v="NC-54-23"/>
    <s v="FRANCISCO QUEZADA"/>
    <s v="ALEJANDRO TORRES"/>
    <n v="40"/>
    <x v="7"/>
    <x v="2"/>
    <x v="1"/>
    <x v="4"/>
    <s v="COLABORADOR SUFRE GOLPE EN BRAZO Y PIERNA POR ATRAPAMIENTO ENTRE DOS PALLET CON CAJAS EN SALA DE PALLETIZADO EN EL AREA DE FRIGORIFICO "/>
    <s v="ACCION"/>
    <s v="SI"/>
    <x v="1"/>
    <s v="NICOLAS GOMEZ"/>
    <s v="CHISTIAN JHONS"/>
    <s v="ARMADO DE PALLET"/>
  </r>
  <r>
    <n v="2023"/>
    <s v="ABRIL"/>
    <s v="EL PAICO"/>
    <s v="BERNARD "/>
    <s v="ROSE-CARINE"/>
    <s v="FEMENINO"/>
    <s v="26225281-7"/>
    <d v="2021-12-29T00:00:00"/>
    <n v="15"/>
    <d v="2023-04-04T00:00:00"/>
    <x v="2"/>
    <s v="N/A"/>
    <s v="N/A"/>
    <s v="N/A"/>
    <n v="0"/>
    <x v="0"/>
    <s v="N/A"/>
    <s v="N/A"/>
    <x v="6"/>
    <s v="ASEO OPERACIONAL"/>
    <s v="OPERARIO"/>
    <s v="DESHUESADO"/>
    <s v="N/A"/>
    <s v="TARDE"/>
    <d v="1899-12-30T08:45:00"/>
    <s v="MARTES"/>
    <s v="SEMANA 14"/>
    <n v="15606"/>
    <s v="NC-31-23"/>
    <s v="CARLOS JIMENES"/>
    <s v="JORDAN FARIAS"/>
    <n v="28"/>
    <x v="4"/>
    <x v="8"/>
    <x v="1"/>
    <x v="1"/>
    <s v="COLABORADORA SUFRE CAIDA EN SALA DE PROCESO GOLPEANDOSE EN HOMBRO IZQUERDO"/>
    <s v="CONDICION"/>
    <s v="SI"/>
    <x v="1"/>
    <s v="ALAN CARRASCO"/>
    <s v="CARLOS CARTAGENA"/>
    <s v="TRANSITO POR AREAS DE PROCESO"/>
  </r>
  <r>
    <n v="2023"/>
    <s v="ABRIL"/>
    <s v="EL PAICO"/>
    <s v="ARAYA MOYANO"/>
    <s v="MARIA INES"/>
    <s v="FEMENINO"/>
    <s v="10999607-6"/>
    <d v="2014-11-10T00:00:00"/>
    <n v="100"/>
    <d v="2023-04-06T00:00:00"/>
    <x v="0"/>
    <d v="2023-04-08T00:00:00"/>
    <d v="2023-04-15T00:00:00"/>
    <s v="N/A"/>
    <n v="8"/>
    <x v="1"/>
    <s v="LGF"/>
    <s v="LGF3"/>
    <x v="6"/>
    <s v="ASEO OPERACIONAL"/>
    <s v="OPERARIO"/>
    <s v="FAENA"/>
    <s v="N/A"/>
    <s v="NOCHE"/>
    <d v="1899-12-30T19:30:00"/>
    <s v="JUEVES"/>
    <s v="SEMANA 14"/>
    <n v="15615"/>
    <s v="NC-32-23"/>
    <s v="CARLOS JIMENES"/>
    <s v="LUIS URBINA"/>
    <n v="56"/>
    <x v="9"/>
    <x v="0"/>
    <x v="6"/>
    <x v="12"/>
    <s v="COLABORA SUFRE QUEMADURA EN EN DEDO INDICE Y PULGAR DE MANO DERECHA Y DEDO PULGAR DE MANO IZQUERDA POR CONTACTO CON PRODUCTO QUIMICO AL ESTAR LAVANDO CORTINAS PLASTICAS EN EL PASILLO DE FAENA"/>
    <s v="ACCION"/>
    <s v="SI"/>
    <x v="1"/>
    <s v="NICOLAS GOMEZ"/>
    <m/>
    <s v="MANIPULACION DE PRODUCTO QUIMICO"/>
  </r>
  <r>
    <n v="2023"/>
    <s v="ABRIL"/>
    <s v="EL PAICO"/>
    <s v="ALLENDE FROST"/>
    <s v="ANA "/>
    <s v="FEMENINO"/>
    <s v="14246215-K"/>
    <d v="2019-09-09T00:00:00"/>
    <n v="43"/>
    <d v="2023-04-24T00:00:00"/>
    <x v="0"/>
    <s v="N/A"/>
    <s v="N/A"/>
    <s v="N/A"/>
    <n v="0"/>
    <x v="0"/>
    <s v="N/A"/>
    <s v="N/A"/>
    <x v="5"/>
    <s v="DESHUESADO"/>
    <s v="OPERARIO"/>
    <s v="DESHUESADO"/>
    <s v="N/A"/>
    <s v="TARDE"/>
    <d v="1899-12-30T14:50:00"/>
    <s v="LUNES"/>
    <s v="SEMANA 17"/>
    <m/>
    <m/>
    <s v="DANIEL GARRIDO"/>
    <s v="JORGE MEZA"/>
    <n v="48"/>
    <x v="0"/>
    <x v="0"/>
    <x v="1"/>
    <x v="5"/>
    <s v="COLABORADORA SUFRE CONTUSION EN DEDO MEDIUM DE MANO IZQUIERDA AL DEJAR ROLLO DE LAMINA SOBRE MESA DE FILETILLO EN DESHUESADO DE PECHUGA"/>
    <s v="ACCION"/>
    <s v="SI"/>
    <x v="0"/>
    <s v="NICOLAS GOMEZ"/>
    <s v="CARLOS CARTAGENA"/>
    <s v="MANIPULACION DE MATERIALES DE TRABAJO"/>
  </r>
  <r>
    <n v="2023"/>
    <s v="MAYO"/>
    <s v="EL PAICO"/>
    <s v="VILLALOBOS VALENZUELA"/>
    <s v="PABLO"/>
    <s v="MASCULINO"/>
    <s v="19382613-K"/>
    <d v="2022-08-18T00:00:00"/>
    <n v="8"/>
    <d v="2023-05-13T00:00:00"/>
    <x v="2"/>
    <s v="N/A"/>
    <s v="N/A"/>
    <s v="N/A"/>
    <n v="0"/>
    <x v="0"/>
    <s v="N/A"/>
    <s v="N/A"/>
    <x v="5"/>
    <s v="DESHUESADO"/>
    <s v="OPERARIO"/>
    <s v="DESHUESADO"/>
    <s v="N/A"/>
    <s v="MAÑANA"/>
    <d v="1899-12-30T10:00:00"/>
    <s v="SABADO"/>
    <s v="SEMANA 19"/>
    <m/>
    <m/>
    <s v="DANIEL GARRIDO"/>
    <s v="JOSE CARVALLO"/>
    <n v="27"/>
    <x v="14"/>
    <x v="8"/>
    <x v="4"/>
    <x v="13"/>
    <s v="COLABORADOR SUFRE DOLENCIA EN MUÑECA DERECHA POR TORSION AL AFIRMAR CAJA CON PRODUCTO EN DESHUESADO"/>
    <s v="ACCION"/>
    <s v="SI"/>
    <x v="0"/>
    <s v="ALAN CARRASCO"/>
    <s v="WLADIMIR CALDERON "/>
    <s v="MOVIMIENTO DE MATERIALES (BINS, PALLET, BANDEJAS)"/>
  </r>
  <r>
    <n v="2023"/>
    <s v="MAYO"/>
    <s v="EL PAICO"/>
    <s v="VICENCIO ARAYA"/>
    <s v="MARIANEL"/>
    <s v="FEMENINO"/>
    <s v="20424728-5"/>
    <d v="2022-01-19T00:00:00"/>
    <n v="15"/>
    <d v="2023-05-08T00:00:00"/>
    <x v="2"/>
    <d v="2023-05-08T00:00:00"/>
    <d v="2023-05-15T00:00:00"/>
    <s v="N/A"/>
    <n v="8"/>
    <x v="1"/>
    <s v="LGF"/>
    <s v="LGF2"/>
    <x v="6"/>
    <s v="ASEO OPERACIONAL"/>
    <s v="OPERARIO"/>
    <s v="CINTA TRIMIN"/>
    <s v="CINTA TRIMIN"/>
    <s v="NOCHE"/>
    <d v="1899-12-30T01:05:00"/>
    <s v="LUNES"/>
    <s v="SEMANA 19"/>
    <n v="15681"/>
    <s v="NC-7-23."/>
    <s v="CARLOS JIMENES"/>
    <s v="PATRICIO PALACIOS"/>
    <n v="22"/>
    <x v="2"/>
    <x v="0"/>
    <x v="1"/>
    <x v="2"/>
    <s v="COLABORADORA SUFRE CONTUSION EN MANO IZQUIERDA,  POR ATRAPAMIENTO CUANDO SE ENCONTRABA LIMPIANDO CINTA TRIMIN EN EL AREA DESHUESADO "/>
    <s v="ACCION"/>
    <s v="SI"/>
    <x v="1"/>
    <s v="NICOLAS GOMEZ"/>
    <s v="CHISTIAN JHONS"/>
    <s v="MANIPULACION DE MATERIA PRIMA"/>
  </r>
  <r>
    <n v="2023"/>
    <s v="MAYO"/>
    <s v="EL PAICO"/>
    <s v="VAZQUEZ RIVEROS"/>
    <s v="PAMELA"/>
    <s v="FEMENINO"/>
    <s v="16985189-1"/>
    <d v="2022-12-13T00:00:00"/>
    <n v="4"/>
    <d v="2023-05-09T00:00:00"/>
    <x v="1"/>
    <s v="N/A"/>
    <s v="N/A"/>
    <s v="N/A"/>
    <n v="0"/>
    <x v="0"/>
    <s v="N/A"/>
    <s v="N/A"/>
    <x v="5"/>
    <s v="DESHUESADO"/>
    <s v="OPERARIO"/>
    <s v="TROZADO DE PAVO"/>
    <s v="N/A"/>
    <s v="MAÑANA"/>
    <d v="1899-12-30T13:40:00"/>
    <s v="MARTES"/>
    <s v="SEMANA 19"/>
    <m/>
    <m/>
    <s v="DANIEL GARRIDO"/>
    <s v="JOSE CARVALLO"/>
    <n v="37"/>
    <x v="6"/>
    <x v="2"/>
    <x v="1"/>
    <x v="1"/>
    <s v="COLABORADORA SUFRE CAIDA A NIVEL AL PISAR RESTOS DE PRODUCTOS QUE SE ENCONTRABAN EN EL PISO, CUANDO PASABA POR EL AREA DE TROZADO DE PAVO"/>
    <s v="CONDICION"/>
    <s v="SI"/>
    <x v="0"/>
    <s v="NICOLAS GOMEZ"/>
    <s v="WLADIMIR CALDERON "/>
    <s v="TRANSITO POR AREAS DE PROCESO"/>
  </r>
  <r>
    <n v="2023"/>
    <s v="MAYO"/>
    <s v="EL PAICO"/>
    <s v="VARGAS ROJAS"/>
    <s v="TOMAS"/>
    <s v="MASCULINO"/>
    <s v="21171568-5"/>
    <d v="2023-03-14T00:00:00"/>
    <n v="2"/>
    <d v="2023-05-22T00:00:00"/>
    <x v="1"/>
    <s v="N/A"/>
    <s v="N/A"/>
    <s v="N/A"/>
    <n v="0"/>
    <x v="0"/>
    <s v="N/A"/>
    <s v="N/A"/>
    <x v="5"/>
    <s v="DESHUESADO"/>
    <s v="OPERARIO"/>
    <s v="DESHUESADO"/>
    <s v="EQUIPO PARA MOVIMIENTO DE CARGA (GRUAS O TRANSPALETAS)"/>
    <s v="MAÑANA"/>
    <d v="1899-12-30T08:30:00"/>
    <s v="LUNES"/>
    <s v="SEMANA 21"/>
    <m/>
    <m/>
    <s v="DANIEL GARRIDO"/>
    <s v="JOSE CARVALLO"/>
    <n v="19"/>
    <x v="7"/>
    <x v="3"/>
    <x v="1"/>
    <x v="4"/>
    <s v="COLABORADOR SUFRE CONTUSION EN PIE IZQUIERDO POR TRANSPALETA ELECTRICA MANEJADA POR COMPAÑERO, MIENTRAS ARREGLABA UNA CAJA EN EL AREA DE DESHUESADO"/>
    <s v="ACCION"/>
    <s v="SI"/>
    <x v="0"/>
    <s v="NICOLAS GOMEZ"/>
    <s v="CARLOS CARTAGENA"/>
    <m/>
  </r>
  <r>
    <n v="2023"/>
    <s v="MAYO"/>
    <s v="EL PAICO"/>
    <s v="TORRES JARA"/>
    <s v="JOSE"/>
    <s v="MASCULINO"/>
    <s v="16519060-2"/>
    <d v="2023-05-22T00:00:00"/>
    <n v="0"/>
    <d v="2023-05-24T00:00:00"/>
    <x v="1"/>
    <s v="N/A"/>
    <s v="N/A"/>
    <s v="N/A"/>
    <n v="0"/>
    <x v="0"/>
    <s v="N/A"/>
    <s v="N/A"/>
    <x v="2"/>
    <s v="COLGADO DE POLLO"/>
    <s v="OPERARIO"/>
    <s v="FAENA"/>
    <s v="N/A"/>
    <s v="MAÑANA"/>
    <d v="1899-12-30T06:30:00"/>
    <s v="MIERCOLES"/>
    <s v="SEMANA 21"/>
    <m/>
    <m/>
    <s v="NICOLAS MOYANO"/>
    <s v="ERWIN GATICA"/>
    <n v="36"/>
    <x v="3"/>
    <x v="8"/>
    <x v="1"/>
    <x v="4"/>
    <s v="COLABORADOR SUFRE CONTUSION EN ANTEBRAZO IZQUIERDO AL SER GOLPEADO POR LLAVE METALICA CUANDO SE ENCONTABA RECOGIENDO PRODUCTO PARA COLGARLO."/>
    <s v="ACCION"/>
    <s v="SI"/>
    <x v="0"/>
    <s v="NICOLAS GOMEZ"/>
    <s v="MICHELLE SANCHEZ"/>
    <m/>
  </r>
  <r>
    <n v="2023"/>
    <s v="MAYO"/>
    <s v="EL PAICO"/>
    <s v="TAPIA GUERRA"/>
    <s v="MARIA"/>
    <s v="FEMENINO"/>
    <s v="15404921-5"/>
    <d v="2018-11-12T00:00:00"/>
    <n v="53"/>
    <d v="2023-05-02T00:00:00"/>
    <x v="0"/>
    <s v="N/A"/>
    <s v="N/A"/>
    <s v="N/A"/>
    <n v="0"/>
    <x v="0"/>
    <s v="N/A"/>
    <s v="N/A"/>
    <x v="1"/>
    <s v="CALIBRADO"/>
    <s v="OPERARIO"/>
    <s v="IQF 4"/>
    <s v="N/A"/>
    <s v="MAÑANA"/>
    <d v="1899-12-30T05:35:00"/>
    <s v="MARTES"/>
    <s v="SEMANA 18"/>
    <m/>
    <m/>
    <s v="GUILLERMO NARVAEZ"/>
    <s v="FRANCISCO SANCHEZ"/>
    <n v="41"/>
    <x v="9"/>
    <x v="2"/>
    <x v="0"/>
    <x v="12"/>
    <s v="COLABORADORA SUFRE MOLESTIAS, EN OJOS, NARIZ Y BOCA, POR EXPOSICION A ACIDO PERACETICO EN IQF 4"/>
    <s v="CONDICION"/>
    <s v="SI"/>
    <x v="0"/>
    <s v="ALAN CARRASCO"/>
    <s v="CARLOS CARTAGENA"/>
    <m/>
  </r>
  <r>
    <n v="2023"/>
    <s v="MAYO"/>
    <s v="EL PAICO"/>
    <s v="SILVA CATALAN "/>
    <s v="SEBASTIAN "/>
    <s v="MASCULINO"/>
    <s v="16291172-4"/>
    <d v="2022-12-19T00:00:00"/>
    <n v="4"/>
    <d v="2023-05-11T00:00:00"/>
    <x v="1"/>
    <d v="2023-05-11T00:00:00"/>
    <d v="2023-05-17T00:00:00"/>
    <s v="N/A"/>
    <n v="7"/>
    <x v="1"/>
    <s v="N/A"/>
    <s v="N/A"/>
    <x v="6"/>
    <s v="ASEO OPERACIONAL"/>
    <s v="OPERARIO"/>
    <s v="SALA ACOPIO DE BINS"/>
    <s v="BINS"/>
    <s v="TARDE"/>
    <d v="1899-12-30T18:25:00"/>
    <s v="JUEVES"/>
    <s v="SEMANA 19"/>
    <n v="15692"/>
    <s v="NC-59-23"/>
    <s v="CARLOS JIMENES"/>
    <s v="JOCELYN ALARCON"/>
    <n v="37"/>
    <x v="5"/>
    <x v="0"/>
    <x v="1"/>
    <x v="5"/>
    <s v="COLABORADOR SUFRE GOLPE EN DEDO PULGAR DE MANO DE MANO DERECHA AL ESTAR MOVILIZANDO BINS VACIOS CON TRANSPALETA MANUAL A SAL DE ACOPIO DE BINS SALA LIMPIA"/>
    <s v="ACCION"/>
    <s v="SI"/>
    <x v="1"/>
    <s v="ALAN CARRASCO"/>
    <s v="CARLOS CARTAGENA"/>
    <s v="MOVIMIENTO DE MATERIALES (BINS, PALLET, BANDEJAS)"/>
  </r>
  <r>
    <n v="2023"/>
    <s v="MAYO"/>
    <s v="EL PAICO"/>
    <s v="SANTIS GONZÁLEZ"/>
    <s v="MAURICIO"/>
    <s v="MASCULINO"/>
    <s v="13771697-6"/>
    <d v="2005-06-01T00:00:00"/>
    <n v="215"/>
    <d v="2023-05-13T00:00:00"/>
    <x v="0"/>
    <s v="N/A"/>
    <s v="N/A"/>
    <s v="N/A"/>
    <n v="0"/>
    <x v="0"/>
    <s v="N/A"/>
    <s v="N/A"/>
    <x v="7"/>
    <s v="SALA DE PULPA"/>
    <s v="OPERARIO"/>
    <s v="SALA DE PULPA"/>
    <s v="N/A"/>
    <s v="TARDE"/>
    <d v="1899-12-30T16:55:00"/>
    <s v="SABADO"/>
    <s v="SEMANA 19"/>
    <m/>
    <m/>
    <s v="OCTAVIO MUÑOZ"/>
    <s v="MARCOS QUINTANILLA"/>
    <n v="43"/>
    <x v="2"/>
    <x v="0"/>
    <x v="3"/>
    <x v="8"/>
    <s v="COLABORADOR SUFRE HERIDA CORTANTE EN DEDO INDICE SUPERIOR IZQUIERDO AL ESTAR SACANDO RINES EN SALA DE PULPA "/>
    <s v="ACCION"/>
    <s v="SI"/>
    <x v="0"/>
    <s v="ALAN CARRASCO"/>
    <s v="WLADIMIR CALDERON "/>
    <m/>
  </r>
  <r>
    <n v="2023"/>
    <s v="MAYO"/>
    <s v="EL PAICO"/>
    <s v="SANTIBAÑEZ MARIN"/>
    <s v="KARLA"/>
    <s v="FEMENINO"/>
    <s v="17802999-1"/>
    <d v="2020-05-29T00:00:00"/>
    <n v="35"/>
    <d v="2023-05-03T00:00:00"/>
    <x v="0"/>
    <s v="N/A"/>
    <s v="N/A"/>
    <s v="N/A"/>
    <n v="0"/>
    <x v="0"/>
    <s v="N/A"/>
    <s v="N/A"/>
    <x v="1"/>
    <s v="IQF 2"/>
    <s v="OPERARIO"/>
    <s v="IQF 2"/>
    <s v="TAPA DE CABEZAL DE INYECTORA IQF 2"/>
    <s v="MAÑANA"/>
    <d v="1899-12-30T05:39:00"/>
    <s v="MIERCOLES"/>
    <s v="SEMANA 18"/>
    <m/>
    <m/>
    <s v="GUILLERMO NARVAEZ"/>
    <s v="FRANCISCO SANCHEZ"/>
    <n v="32"/>
    <x v="2"/>
    <x v="0"/>
    <x v="1"/>
    <x v="4"/>
    <s v="COLABORADORA DE IQF-CALIBRADO SUFRE CONTUSION EN MANO DERECHA POR APLASTAMIENTO DE TAPA AL MOMENTO SE REALIZAR LIMPIENZA DE MAQUINA INYECTORA IQF-4 SE BAJA LA TAPA DEL CABEZAL GOLPEANDO SU MANO."/>
    <s v="ACCION"/>
    <s v="SI"/>
    <x v="0"/>
    <s v="CARLOS ORELLANA"/>
    <s v="CHISTIAN JHONS"/>
    <m/>
  </r>
  <r>
    <n v="2023"/>
    <s v="MAYO"/>
    <s v="EL PAICO"/>
    <s v="ROJAS PAVEZ"/>
    <s v="FERNANDO"/>
    <s v="MASCULINO"/>
    <s v="19503953-4"/>
    <d v="2017-06-12T00:00:00"/>
    <n v="71"/>
    <d v="2023-05-26T00:00:00"/>
    <x v="0"/>
    <s v="N/A"/>
    <s v="N/A"/>
    <s v="N/A"/>
    <n v="0"/>
    <x v="0"/>
    <s v="N/A"/>
    <s v="N/A"/>
    <x v="9"/>
    <s v="TROZADO DE PAVOS"/>
    <s v="OPERARIO"/>
    <s v="PASILLO C "/>
    <s v="N/A"/>
    <s v="TARDE"/>
    <d v="1899-12-30T15:30:00"/>
    <s v="VIERNES"/>
    <s v="SEMANA 21"/>
    <m/>
    <m/>
    <s v="GUILLERMO NARVAEZ"/>
    <s v="JEAQUELINE PAVEZ"/>
    <n v="26"/>
    <x v="14"/>
    <x v="0"/>
    <x v="1"/>
    <x v="4"/>
    <s v="COLABORADOR SUFRE CONTUSION EN DEDO MEÑIQUE DE MANO DERECHA CON CAJA CUANDO SE ENCONTRABA MOVILIZANDO "/>
    <s v="ACCION"/>
    <s v="SI"/>
    <x v="0"/>
    <s v="NICOLAS GOMEZ"/>
    <s v="CARLOS CARTAGENA"/>
    <m/>
  </r>
  <r>
    <n v="2023"/>
    <s v="MAYO"/>
    <s v="EL PAICO"/>
    <s v="RIVEROS CONTRERAS"/>
    <s v="ROMANETT"/>
    <s v="FEMENINO"/>
    <s v="19211635-K"/>
    <d v="2023-04-13T00:00:00"/>
    <n v="1"/>
    <d v="2023-05-16T00:00:00"/>
    <x v="1"/>
    <d v="2023-05-16T00:00:00"/>
    <s v="N/A"/>
    <s v="N/A"/>
    <n v="0"/>
    <x v="0"/>
    <s v="N/A"/>
    <s v="N/A"/>
    <x v="5"/>
    <s v="DESHUESADO"/>
    <s v="OPERARIO"/>
    <s v="BAÑO"/>
    <s v="N/A"/>
    <s v="TARDE"/>
    <d v="1899-12-30T18:15:00"/>
    <s v="MARTES"/>
    <s v="SEMANA 20"/>
    <n v="15700"/>
    <s v="NC-67-23"/>
    <s v="DANIEL GARRIDO"/>
    <s v="JOSE CARVALLO"/>
    <n v="27"/>
    <x v="12"/>
    <x v="0"/>
    <x v="3"/>
    <x v="8"/>
    <s v="COLABORADORA SUFRE CORTE EN MANO IZQUIERA POR CONTACTO CON TROZO DE LATA QUE SE ENCUENTRA AL INTERIOR DE ZIPER."/>
    <s v="CONDICION"/>
    <s v="NO"/>
    <x v="1"/>
    <s v="NICOLAS GOMEZ"/>
    <s v="MICHELLE SANCHEZ"/>
    <m/>
  </r>
  <r>
    <n v="2023"/>
    <s v="MAYO"/>
    <s v="EL PAICO"/>
    <s v="REYES BUSTOS"/>
    <s v="ALEXIS"/>
    <s v="MASCULINO"/>
    <s v="20345227-6"/>
    <d v="2023-05-08T00:00:00"/>
    <n v="0"/>
    <d v="2023-05-11T00:00:00"/>
    <x v="1"/>
    <s v="N/A"/>
    <s v="N/A"/>
    <s v="N/A"/>
    <n v="0"/>
    <x v="0"/>
    <s v="N/A"/>
    <s v="N/A"/>
    <x v="7"/>
    <s v="REPORTE DE CAJAS"/>
    <s v="OPERARIO"/>
    <s v="REPORTE DE CAJAS"/>
    <s v="CINTA DE TRANSPORTE"/>
    <s v="MAÑANA"/>
    <d v="1900-01-04T03:25:00"/>
    <s v="JUEVES"/>
    <s v="SEMANA 19"/>
    <m/>
    <m/>
    <s v="OCTAVIO MUÑOZ"/>
    <s v="ALEJANDRO SALAS"/>
    <m/>
    <x v="3"/>
    <x v="0"/>
    <x v="1"/>
    <x v="5"/>
    <s v="COLABORADOR SUFRE CONTUSION EN DEDO ANULAR DE MANO DERECHA CUANDO SE ENCONTRABA SACANDO CAJAS DE CINTA DE TRANS`PORTE EN AREA DE REPORTE DE CAJAS "/>
    <s v="ACCION"/>
    <s v="SI"/>
    <x v="0"/>
    <s v="NICOLAS GOMEZ"/>
    <s v="CARLOS CARTAGENA"/>
    <m/>
  </r>
  <r>
    <n v="2023"/>
    <s v="MAYO"/>
    <s v="EL PAICO"/>
    <s v="RAMIRES SOTO"/>
    <s v="RAMIRO"/>
    <s v="MASCULINO"/>
    <s v="12178535-8"/>
    <d v="1999-03-01T00:00:00"/>
    <n v="290"/>
    <d v="2023-05-19T00:00:00"/>
    <x v="0"/>
    <s v="N/A"/>
    <s v="N/A"/>
    <s v="N/A"/>
    <n v="0"/>
    <x v="0"/>
    <s v="N/A"/>
    <s v="N/A"/>
    <x v="5"/>
    <s v="TROZADO AUTOMATICO"/>
    <s v="SUPERVISOR"/>
    <s v="TROZADO AUTOMATICO"/>
    <s v="N/A"/>
    <s v="MAÑANA"/>
    <d v="1899-12-30T11:00:00"/>
    <s v="VIERNES"/>
    <s v="SEMANA 20"/>
    <m/>
    <m/>
    <s v="DANIEL GARRIDO"/>
    <s v="RAMIRO RAMIREZ"/>
    <n v="51"/>
    <x v="6"/>
    <x v="9"/>
    <x v="1"/>
    <x v="4"/>
    <s v="COLABORAOR SUFRE GOLP EN ZONA OCCIPITAL DEL CRANEO AL CAER PRODUCTO DESDE LINEA DEL PROCESO"/>
    <s v="CONDICION"/>
    <s v="SI"/>
    <x v="0"/>
    <s v="NICOLAS GOMEZ"/>
    <s v="MICHELLE SANCHEZ"/>
    <m/>
  </r>
  <r>
    <n v="2023"/>
    <s v="MAYO"/>
    <s v="EL PAICO"/>
    <s v="ORTUBIA PAVEZ"/>
    <s v="MARIA ISABEL"/>
    <s v="FEMENINO"/>
    <s v="18960205-7"/>
    <d v="2017-04-10T00:00:00"/>
    <n v="72"/>
    <d v="2023-05-02T00:00:00"/>
    <x v="0"/>
    <d v="2023-05-02T00:00:00"/>
    <d v="2023-05-02T00:00:00"/>
    <s v="N/A"/>
    <n v="0"/>
    <x v="0"/>
    <s v="N/A"/>
    <s v="N/A"/>
    <x v="5"/>
    <s v="DESHUESADO"/>
    <s v="OPERARIO"/>
    <s v="ESTACIONAMIENTO PLANTA"/>
    <s v="N/A"/>
    <s v="MAÑANA"/>
    <d v="1899-12-30T06:15:00"/>
    <s v="MARTES"/>
    <s v="SEMANA 18"/>
    <n v="155661"/>
    <s v="NC-65-23"/>
    <s v="DANIEL GARRIDO"/>
    <s v="JORGE MEZA"/>
    <n v="28"/>
    <x v="15"/>
    <x v="3"/>
    <x v="1"/>
    <x v="5"/>
    <s v="COLABORADORA SUFRE CONTUSION EN PIE IZQUIERDO AL GOLPEARSE CON SOPORTE DE ASIENTO CUANDO SE ENCONTRABA BAJANDO DE VANS DE TRANSPORTE EN ESTACIONAMIENTO DE PLANTA"/>
    <s v="ACCION"/>
    <s v="NO"/>
    <x v="1"/>
    <s v="ALAN CARRASCO"/>
    <s v="CARLOS CARTAGENA"/>
    <s v="TRANSITO POR AREAS COMUNES"/>
  </r>
  <r>
    <n v="2023"/>
    <s v="MAYO"/>
    <s v="EL PAICO"/>
    <s v="OROZCO MENDIBURRE"/>
    <s v="KAREN"/>
    <s v="FEMENINO"/>
    <s v="15327303-0"/>
    <d v="2022-12-13T00:00:00"/>
    <n v="4"/>
    <d v="2023-05-12T00:00:00"/>
    <x v="1"/>
    <s v="N/A"/>
    <s v="N/A"/>
    <s v="N/A"/>
    <n v="0"/>
    <x v="0"/>
    <s v="N/A"/>
    <s v="N/A"/>
    <x v="5"/>
    <s v="DESHUESADO"/>
    <s v="OPERARIO"/>
    <s v="IQF 2"/>
    <s v="N/A"/>
    <s v="TARDE"/>
    <d v="1899-12-30T20:05:00"/>
    <s v="VIERNES"/>
    <s v="SEMANA 19"/>
    <m/>
    <m/>
    <s v="DANIEL GARRIDO"/>
    <s v="JORGE MEZA"/>
    <n v="41"/>
    <x v="1"/>
    <x v="2"/>
    <x v="1"/>
    <x v="1"/>
    <s v="COLABORADORA SUFRE CONTUSIÓN EN ZONA ESCAPULAR, CODO Y MUÑECA DERECHA AL TRANSITITAR POR IQF 2 YA QUE SE ENCONTRABA ESCARCHA EN EL PISO. "/>
    <s v="CONDICION"/>
    <s v="SI"/>
    <x v="0"/>
    <s v="ALAN CARRASCO"/>
    <s v="MICHELLE SANCHEZ"/>
    <s v="TRANSITO POR AREAS DE PROCESO"/>
  </r>
  <r>
    <n v="2023"/>
    <s v="MAYO"/>
    <s v="EL PAICO"/>
    <s v="MUÑOZ MARQUEZ"/>
    <s v="RAIMUNDO"/>
    <s v="MASCULINO"/>
    <s v="17008287-7"/>
    <d v="2022-11-14T00:00:00"/>
    <n v="6"/>
    <d v="2023-05-29T00:00:00"/>
    <x v="1"/>
    <s v="N/A"/>
    <s v="N/A"/>
    <s v="N/A"/>
    <n v="0"/>
    <x v="0"/>
    <s v="N/A"/>
    <s v="N/A"/>
    <x v="2"/>
    <s v="MENUDENCIAS"/>
    <s v="OPERARIO"/>
    <s v="FAENA"/>
    <s v="N/A"/>
    <s v="TARDE"/>
    <d v="1899-12-30T16:45:00"/>
    <s v="LUNES"/>
    <s v="SEMANA 22"/>
    <m/>
    <m/>
    <s v="NICOLAS MOYANO"/>
    <s v="ERWIN GATICA"/>
    <n v="34"/>
    <x v="6"/>
    <x v="5"/>
    <x v="5"/>
    <x v="7"/>
    <s v="COLABORADOR SUFRE MOLESTIA OCULAR POR PROYECCION DE PARTICULAS (BILIS) EN OJO DERECHO AL LIMPIAR MENUDENCIAS EN EL AREA DE FAENA"/>
    <s v="ACCION"/>
    <s v="SI"/>
    <x v="0"/>
    <s v="ALAN CARRASCO"/>
    <s v="WLADIMIR CALDERON "/>
    <m/>
  </r>
  <r>
    <n v="2023"/>
    <s v="MAYO"/>
    <s v="EL PAICO"/>
    <s v="MORENO VERGARA"/>
    <s v="NICOLE"/>
    <s v="MASCULINO"/>
    <s v="17781406-7"/>
    <d v="2023-01-24T00:00:00"/>
    <n v="3"/>
    <d v="2023-05-23T00:00:00"/>
    <x v="1"/>
    <d v="2023-05-29T00:00:00"/>
    <d v="2023-05-29T00:00:00"/>
    <s v="N/A"/>
    <n v="0"/>
    <x v="0"/>
    <s v="N/A"/>
    <s v="N/A"/>
    <x v="6"/>
    <s v="ASEO ZONA LIMPIA"/>
    <s v="OPERARIO"/>
    <s v="DRONT POINT"/>
    <s v="N/A"/>
    <s v="NOCHE"/>
    <d v="1899-12-30T04:10:00"/>
    <s v="MARTES"/>
    <s v="SEMANA 21"/>
    <m/>
    <m/>
    <s v="CARLOS JIMENES"/>
    <s v="PATRICIO PALACIOS "/>
    <n v="32"/>
    <x v="0"/>
    <x v="0"/>
    <x v="1"/>
    <x v="4"/>
    <s v="COLABORADORA SUFRE CONTUSION EN MANO DERECHA AL SER GOLPEADA POR FIERRO CUANDO SE ENCONTRABA ENJUAGANDO ISHIDA"/>
    <s v="ACCION"/>
    <s v="SI"/>
    <x v="0"/>
    <s v="NICOLAS GOMEZ"/>
    <s v="CARLOS CARTAGENA"/>
    <m/>
  </r>
  <r>
    <n v="2023"/>
    <s v="MAYO"/>
    <s v="EL PAICO"/>
    <s v="MONTOYA MONSALVE"/>
    <s v="LONDY"/>
    <s v="MASCULINO"/>
    <s v="26201884-9"/>
    <d v="2020-09-22T00:00:00"/>
    <n v="31"/>
    <d v="2023-05-02T00:00:00"/>
    <x v="0"/>
    <d v="2023-05-03T00:00:00"/>
    <s v="N/A"/>
    <s v="N/A"/>
    <n v="0"/>
    <x v="0"/>
    <s v="N/A"/>
    <s v="N/A"/>
    <x v="6"/>
    <s v="ASEO OPERACIONAL"/>
    <s v="OPERARIO"/>
    <s v="DESPLUMADO"/>
    <s v="N/A"/>
    <s v="NOCHE"/>
    <d v="1899-12-30T03:10:00"/>
    <s v="MARTES"/>
    <s v="SEMANA 18"/>
    <n v="15673"/>
    <s v="NC-64-23"/>
    <s v="CARLOS JIMENEZ"/>
    <s v="LUIS URBINA"/>
    <n v="34"/>
    <x v="9"/>
    <x v="5"/>
    <x v="5"/>
    <x v="7"/>
    <s v="COLABORADORA SUFRE MOLESTIA OCULAR POR PROYECCION DE PARTICULAS LIQUIDAS AL ROPERSE LLAVE QUE SE ENCONTRABA SANITIZANDO EN SALA DE DESPLUMADO"/>
    <s v="CONDICION"/>
    <s v="SI"/>
    <x v="1"/>
    <s v="NICOLAS GOMEZ"/>
    <s v="WLADIMIR CALDERON "/>
    <s v="REALIZANDO LABORES DE ASEO"/>
  </r>
  <r>
    <n v="2023"/>
    <s v="MAYO"/>
    <s v="EL PAICO"/>
    <s v="LOYOLA CASTRO"/>
    <s v="MANUEL"/>
    <s v="MASCULINO"/>
    <s v="12238115-2"/>
    <d v="2000-07-06T00:00:00"/>
    <n v="274"/>
    <d v="2023-05-16T00:00:00"/>
    <x v="0"/>
    <s v="N/A"/>
    <s v="N/A"/>
    <s v="N/A"/>
    <n v="0"/>
    <x v="0"/>
    <s v="N/A"/>
    <s v="N/A"/>
    <x v="9"/>
    <s v="LÍNEA DE CONOS"/>
    <s v="OPERARIO"/>
    <s v="LINEA DE CONOS"/>
    <s v="N/A"/>
    <s v="MAÑANA"/>
    <d v="1899-12-30T05:10:00"/>
    <s v="MARTES"/>
    <s v="SEMANA 20"/>
    <m/>
    <m/>
    <s v="GUILLERMO NARVAEZ"/>
    <s v="JAQUELIN PAVEZ"/>
    <n v="51"/>
    <x v="0"/>
    <x v="3"/>
    <x v="1"/>
    <x v="4"/>
    <s v="COLABORADOR SUFRE CONTUSION EN PIE DERECHO AL CAER PISO METALICO SOBRE SU PIE CUANDO SE ENCONTRABA ORDENANDO SU 'PUESTO DE TRABAJO EN LÍNEA DE CONOS "/>
    <s v="ACCION"/>
    <s v="SI"/>
    <x v="0"/>
    <s v="ALAN CARRASCO"/>
    <s v="MICHELLE SANCHEZ"/>
    <m/>
  </r>
  <r>
    <n v="2023"/>
    <s v="MAYO"/>
    <s v="EL PAICO"/>
    <s v="LLANTEN MELO"/>
    <s v="JONATHAN"/>
    <s v="MASCULINO"/>
    <s v="16181057-6"/>
    <d v="2007-02-01T00:00:00"/>
    <n v="195"/>
    <d v="2023-05-17T00:00:00"/>
    <x v="0"/>
    <d v="2023-05-18T00:00:00"/>
    <d v="2023-05-24T00:00:00"/>
    <s v="N/A"/>
    <n v="7"/>
    <x v="1"/>
    <s v="LGF"/>
    <s v="LGF2"/>
    <x v="5"/>
    <s v="DESHUESADO"/>
    <s v="OPERARADOR TECNICO "/>
    <s v="Carrusel HQ sur"/>
    <s v="HQ sur"/>
    <s v="TARDE"/>
    <d v="1899-12-30T22:55:00"/>
    <s v="JUEVES"/>
    <s v="SEMANA 20"/>
    <n v="15701"/>
    <s v="NC-71-23"/>
    <s v="DANIEL GARRIDO"/>
    <s v="JOSE CARVALLO"/>
    <n v="37"/>
    <x v="2"/>
    <x v="0"/>
    <x v="2"/>
    <x v="2"/>
    <s v="COLABORADOR SUFRE ATRISION EN DEDO ANULAR DE MANO DERECHA POR ATRAPAMIENTO MIENTRAS SE ENCONTRABA REALIZABNDO GIRO EN CARRUSEL DE MAQUINA HQ DE MANERA MANUAL "/>
    <s v="ACCION"/>
    <s v="SI"/>
    <x v="1"/>
    <s v="NICOLAS GOMEZ"/>
    <s v="CARLOS CARTAGENA"/>
    <m/>
  </r>
  <r>
    <n v="2023"/>
    <s v="MAYO"/>
    <s v="EL PAICO"/>
    <s v="HUINAO CARTAGENA"/>
    <s v="MANUEL"/>
    <s v="MASCULINO"/>
    <s v="15403657-1"/>
    <d v="2022-11-04T00:00:00"/>
    <n v="6"/>
    <d v="2023-05-30T00:00:00"/>
    <x v="1"/>
    <s v="N/A"/>
    <s v="N/A"/>
    <s v="N/A"/>
    <n v="0"/>
    <x v="0"/>
    <s v="N/A"/>
    <s v="N/A"/>
    <x v="1"/>
    <s v="IQF"/>
    <s v="OPERARIO"/>
    <s v="IQF 1"/>
    <s v="N/A"/>
    <s v="TARDE"/>
    <d v="1899-12-30T17:50:00"/>
    <s v="MARTES"/>
    <s v="SEMANA 22"/>
    <m/>
    <m/>
    <s v="GUILLERMO NARVAEZ"/>
    <s v="MAXIMO CAMPOS"/>
    <n v="40"/>
    <x v="11"/>
    <x v="8"/>
    <x v="0"/>
    <x v="11"/>
    <s v="COLABORADOR SUFRE PICADURA DE INSECTO EN BRAZO DERECHO CUANDO SE ENCONTRABA PASANDO BANDEJAS EN IQF 1"/>
    <s v="ACCION"/>
    <s v="SI"/>
    <x v="0"/>
    <s v="NICOLAS GOMEZ"/>
    <s v="CARLOS CARTAGENA"/>
    <m/>
  </r>
  <r>
    <n v="2023"/>
    <s v="MAYO"/>
    <s v="EL PAICO"/>
    <s v="GONZALEZ ESCARATE"/>
    <s v="PABLO"/>
    <s v="MASCULINO"/>
    <s v="20880331-K"/>
    <d v="2023-03-13T00:00:00"/>
    <n v="2"/>
    <d v="2023-05-13T00:00:00"/>
    <x v="1"/>
    <s v="N/A"/>
    <s v="N/A"/>
    <s v="N/A"/>
    <n v="0"/>
    <x v="0"/>
    <s v="N/A"/>
    <s v="N/A"/>
    <x v="2"/>
    <s v="CHILLER"/>
    <s v="OPERARIO"/>
    <s v="CHILLER CORAZON"/>
    <s v="N/A"/>
    <s v="MAÑANA"/>
    <d v="1899-12-30T08:25:00"/>
    <s v="SABADO"/>
    <s v="SEMANA 19"/>
    <m/>
    <m/>
    <s v="NICOLAS MOYANO"/>
    <s v="ERWIN GATICA"/>
    <n v="21"/>
    <x v="6"/>
    <x v="5"/>
    <x v="5"/>
    <x v="7"/>
    <s v="COLABIORADOR SUFRE MOLESTIA OCULAR POR PROYECCION DE PARTICULAS LIQUIDAS, MIENTRAS SE ENCONTRABA SEPARANDO PRODUCTO EN CHILLER DE CORAZON"/>
    <s v="ACCION"/>
    <s v="SI"/>
    <x v="0"/>
    <s v="ALAN CARRASCO"/>
    <s v="WLADIMIR CALDERON "/>
    <m/>
  </r>
  <r>
    <n v="2023"/>
    <s v="MAYO"/>
    <s v="EL PAICO"/>
    <s v="ESPINOZA PADILLA"/>
    <s v="PAULINA"/>
    <s v="FEMENINO"/>
    <s v="17133880-8"/>
    <d v="2022-06-14T00:00:00"/>
    <n v="10"/>
    <d v="2023-05-03T00:00:00"/>
    <x v="2"/>
    <s v="N/A"/>
    <s v="N/A"/>
    <s v="N/A"/>
    <n v="0"/>
    <x v="0"/>
    <s v="N/A"/>
    <s v="N/A"/>
    <x v="1"/>
    <s v="CALIBRADO"/>
    <s v="OPERARIO"/>
    <s v="CALIBRADO"/>
    <s v="N/A"/>
    <s v="TARDE"/>
    <d v="1899-12-30T22:30:00"/>
    <s v="MIERCOLES"/>
    <s v="SEMANA 18"/>
    <m/>
    <m/>
    <s v="GUILLERMO NARVAEZ"/>
    <s v="FERNANDO FUENTEALBA"/>
    <n v="34"/>
    <x v="14"/>
    <x v="10"/>
    <x v="1"/>
    <x v="4"/>
    <s v="COLABORADORA DE IQF-CALIBRADO SUFRE CONTUSION EN ZONA TORAXICA AL MOMENTO DE RETIRAR UNA CAJA DE LA LINEA DE TRABAJO"/>
    <s v="ACCION"/>
    <s v="SI"/>
    <x v="0"/>
    <s v="NICOLAS GOMEZ"/>
    <s v="CHISTIAN JHONS"/>
    <m/>
  </r>
  <r>
    <n v="2023"/>
    <s v="MAYO"/>
    <s v="EL PAICO"/>
    <s v="DIAZ ROJAS"/>
    <s v="KATIUSKA "/>
    <s v="FEMENINO"/>
    <s v="16817017-3"/>
    <d v="2023-01-17T00:00:00"/>
    <n v="3"/>
    <d v="2023-05-03T00:00:00"/>
    <x v="1"/>
    <s v="N/A"/>
    <s v="N/A"/>
    <s v="N/A"/>
    <n v="0"/>
    <x v="0"/>
    <s v="N/A"/>
    <s v="N/A"/>
    <x v="5"/>
    <s v="DESHUESADO"/>
    <s v="OPERARIO"/>
    <s v="DESHUESADO"/>
    <s v="N/A"/>
    <s v="TARDE"/>
    <d v="1899-12-30T18:30:00"/>
    <s v="MIERCOLES"/>
    <s v="SEMANA 18"/>
    <m/>
    <m/>
    <s v="DANIEL GARRIDO"/>
    <s v="JOSE CARVALLO"/>
    <n v="35"/>
    <x v="16"/>
    <x v="0"/>
    <x v="1"/>
    <x v="0"/>
    <s v="COLABORADORA DE TPO SUFRE CONTUSION E INFLAMACION EN MANO DERECHA AL MOMENTO DE LEVANTAR BANDEJA EN SALA DE DESHUEZADO MIENTRAS REALIZABA LABORES DE PROLIJADO"/>
    <s v="ACCION"/>
    <s v="SI"/>
    <x v="0"/>
    <s v="NICOLAS GOMEZ"/>
    <s v="CHISTIAN JHONS"/>
    <s v="LABORES DE PROLIJADO DE PECHUGA"/>
  </r>
  <r>
    <n v="2023"/>
    <s v="MAYO"/>
    <s v="EL PAICO"/>
    <s v="DIAZ ALABARCE"/>
    <s v="YERCO"/>
    <s v="MASCULINO"/>
    <s v="16241507-7"/>
    <d v="2023-01-16T00:00:00"/>
    <n v="4"/>
    <d v="2023-05-16T00:00:00"/>
    <x v="1"/>
    <d v="2023-05-16T00:00:00"/>
    <s v="N/A"/>
    <s v="N/A"/>
    <n v="0"/>
    <x v="0"/>
    <s v="N/A"/>
    <s v="N/A"/>
    <x v="2"/>
    <s v="CALIBRADO DE PAVOS"/>
    <s v="OPERARIO"/>
    <s v="BAÑO"/>
    <s v="N/A"/>
    <s v="MAÑANA"/>
    <d v="1899-12-30T12:10:00"/>
    <s v="MARTES"/>
    <s v="SEMANA 20"/>
    <n v="15699"/>
    <s v="NC-68-23"/>
    <s v="NICOLAS MOYANO"/>
    <s v="CESAR CARTAGENA"/>
    <n v="37"/>
    <x v="3"/>
    <x v="3"/>
    <x v="3"/>
    <x v="1"/>
    <s v="COLABORADOR SUFRE HERIDA CORTANTE EN PIE DERECHO POR CERAMICA EN MALAS CONDICIONES AL CAER EN BAÑO DE LA PLANTA"/>
    <s v="CONDICION"/>
    <s v="NO"/>
    <x v="1"/>
    <s v="ALAN CARRASCO"/>
    <s v="MICHELLE SANCHEZ"/>
    <m/>
  </r>
  <r>
    <n v="2023"/>
    <s v="MAYO"/>
    <s v="EL PAICO"/>
    <s v="CHACON "/>
    <s v="SOLEDAD"/>
    <s v="FEMENINO"/>
    <s v="15325840-6"/>
    <d v="2014-05-02T00:00:00"/>
    <n v="108"/>
    <d v="2023-05-08T00:00:00"/>
    <x v="0"/>
    <d v="2023-05-08T00:00:00"/>
    <d v="2023-05-08T00:00:00"/>
    <s v="N/A"/>
    <n v="0"/>
    <x v="0"/>
    <s v="N/A"/>
    <s v="N/A"/>
    <x v="5"/>
    <s v="AUTOMATICO"/>
    <s v="OPERARIO"/>
    <s v="LÍNEA ALA MEDIA"/>
    <s v="N/A"/>
    <s v="MAÑANA"/>
    <d v="1899-12-30T09:30:00"/>
    <s v="LUNES"/>
    <s v="SEMANA 19"/>
    <m/>
    <m/>
    <s v="DANIEL GARRIDO"/>
    <s v="ARNALDO VERA"/>
    <n v="41"/>
    <x v="14"/>
    <x v="7"/>
    <x v="0"/>
    <x v="0"/>
    <s v="COLABORADORA SUFRE DOLOR EN ZONA DORSAL DERECHA CUANDO SE ENCONTRABA MOVIENDO BANDEJAS CON PRODUCTO EN LÍNEA DE ALA MEDIA "/>
    <s v="ACCION"/>
    <s v="SI"/>
    <x v="0"/>
    <s v="NICOLAS GOMEZ"/>
    <s v="MICHELLE SANCHEZ"/>
    <s v="MOVIMIENTO DE MATERIALES (BINS, PALLET, BANDEJAS)"/>
  </r>
  <r>
    <n v="2023"/>
    <s v="MAYO"/>
    <s v="EL PAICO"/>
    <s v="CASTILLO GUICO"/>
    <s v="JOSE"/>
    <s v="MASCULINO"/>
    <s v="19213143-K"/>
    <d v="2022-08-18T00:00:00"/>
    <n v="8"/>
    <d v="2023-05-03T00:00:00"/>
    <x v="2"/>
    <s v="N/A"/>
    <s v="N/A"/>
    <s v="N/A"/>
    <n v="0"/>
    <x v="0"/>
    <s v="N/A"/>
    <s v="N/A"/>
    <x v="2"/>
    <s v="EVICERADO"/>
    <s v="OPERARIO"/>
    <s v="EVICERADO"/>
    <s v="N/A"/>
    <s v="MAÑANA"/>
    <d v="1899-12-30T15:55:00"/>
    <s v="MIERCOLES"/>
    <s v="SEMANA 18"/>
    <m/>
    <m/>
    <s v="NICOLAS MOYANO"/>
    <m/>
    <n v="26"/>
    <x v="6"/>
    <x v="5"/>
    <x v="5"/>
    <x v="7"/>
    <s v="COLABORADOR SUFRE PROYECCION DE BILIS EN OJO IZQUIERDO CUANDO SE ENCONTRABA  COLGANDO PANAS EN EL AREA DE EVICERADO"/>
    <s v="ACCION"/>
    <s v="SI"/>
    <x v="0"/>
    <s v="NICOLAS GOMEZ"/>
    <s v="CHISTIAN JHONS"/>
    <m/>
  </r>
  <r>
    <n v="2023"/>
    <s v="MAYO"/>
    <s v="EL PAICO"/>
    <s v="CACERES PALMA"/>
    <s v="CRISTOPHER"/>
    <s v="MASCULINO"/>
    <s v="19211902-2"/>
    <d v="2016-11-21T00:00:00"/>
    <n v="77"/>
    <d v="2023-05-20T00:00:00"/>
    <x v="0"/>
    <d v="2023-05-22T00:00:00"/>
    <d v="2023-06-02T00:00:00"/>
    <s v="N/A"/>
    <n v="12"/>
    <x v="1"/>
    <s v="LGF"/>
    <s v="LGF8"/>
    <x v="6"/>
    <s v="ASEO ZONA LIMPIA"/>
    <s v="OPERARIO"/>
    <s v="DESHUESADO"/>
    <s v="HQ "/>
    <s v="NOCHE"/>
    <d v="1899-12-30T05:00:00"/>
    <s v="SABADO"/>
    <s v="SEMANA 20"/>
    <n v="15707"/>
    <s v="NC-70-23"/>
    <s v="CARLOS JIMENES"/>
    <s v="PATRICIO PALACIOS"/>
    <n v="27"/>
    <x v="17"/>
    <x v="4"/>
    <x v="6"/>
    <x v="13"/>
    <s v="COLABORADOR SUFRE QUEMADURA EN PIERNA DERECHA POR VAPOR, AL ESTAR CERRANDO LLAVE DE PASO DE DUCTO EN SALA DE DESHUESADO."/>
    <s v="ACCION"/>
    <s v="SI"/>
    <x v="1"/>
    <s v="ALAN CARRASCO"/>
    <s v="WLADIMIR CALDERON "/>
    <m/>
  </r>
  <r>
    <n v="2023"/>
    <s v="MAYO"/>
    <s v="EL PAICO"/>
    <s v="ARAVENA NUÑEZ"/>
    <s v="ROCÍO"/>
    <s v="FEMENINO"/>
    <s v="20060554-3"/>
    <d v="1999-07-18T00:00:00"/>
    <n v="285"/>
    <d v="2023-05-02T00:00:00"/>
    <x v="0"/>
    <s v="N/A"/>
    <s v="N/A"/>
    <s v="N/A"/>
    <n v="0"/>
    <x v="0"/>
    <s v="N/A"/>
    <s v="N/A"/>
    <x v="4"/>
    <s v="CAMARA"/>
    <s v="OPERARIO"/>
    <s v="DESPACHO"/>
    <s v="N/A"/>
    <s v="NOCHE"/>
    <d v="1899-12-30T22:10:00"/>
    <s v="MARTES"/>
    <s v="SEMANA 18"/>
    <m/>
    <m/>
    <s v="FRANCISCO QUEZADA"/>
    <s v="ROBERTO LOYOLA"/>
    <n v="23"/>
    <x v="14"/>
    <x v="8"/>
    <x v="1"/>
    <x v="5"/>
    <s v="COLABORADORA SUFRE CONTUSION EN BRAZO IZQUIERDO AL SER GOLPEADA POR EL CONTRARIO CAJA DE PRODUCTO (12KILOS) EN SECTOR DESPACHO DEL AREA DE FRIGORIFICO"/>
    <s v="ACCION"/>
    <s v="SI"/>
    <x v="0"/>
    <s v="NICOLAS GOMEZ"/>
    <s v="CARLOS CARTAGENA"/>
    <m/>
  </r>
  <r>
    <n v="2023"/>
    <s v="MAYO"/>
    <s v="EL PAICO"/>
    <s v="AHUMADA CASTILLO"/>
    <s v="JUAN "/>
    <s v="MASCULINO"/>
    <s v="18096461-4"/>
    <d v="2022-07-12T00:00:00"/>
    <n v="10"/>
    <d v="2023-05-16T00:00:00"/>
    <x v="2"/>
    <s v="N/A"/>
    <s v="N/A"/>
    <s v="N/A"/>
    <n v="0"/>
    <x v="0"/>
    <s v="N/A"/>
    <s v="N/A"/>
    <x v="8"/>
    <s v="MANTENCION"/>
    <s v="OPERARIO"/>
    <s v="MONTESA"/>
    <s v="EQUIPO PARA MOVIMIENTO DE CARGA (GRUAS O TRANSPALETAS)"/>
    <s v="MAÑANA"/>
    <d v="1899-12-30T11:30:00"/>
    <s v="SABADO"/>
    <s v="SEMANA 18"/>
    <m/>
    <m/>
    <s v="VICTOR GOMEZ"/>
    <s v="EMANUEL MELLADO"/>
    <n v="31"/>
    <x v="7"/>
    <x v="3"/>
    <x v="1"/>
    <x v="4"/>
    <s v="COLABORADOR SUFRE CONTUSION EN PIE DERECHO AL SER GOLPEADO POR TRANSPALETA MANUAL, CUANDO SE DIRIGIA HA MAQUINA ESMIPACK "/>
    <s v="ACCION"/>
    <s v="SI"/>
    <x v="0"/>
    <s v="ALAN CARRASCO"/>
    <s v="CARLOS CARTAGENA"/>
    <m/>
  </r>
  <r>
    <n v="2023"/>
    <s v="JUNIO"/>
    <s v="EL PAICO"/>
    <s v="ZURITA LEIVA"/>
    <s v="JORGE"/>
    <s v="MASCULINO"/>
    <s v="13771226-1"/>
    <d v="2000-10-18T00:00:00"/>
    <n v="271"/>
    <d v="2023-06-13T00:00:00"/>
    <x v="0"/>
    <s v="N/A"/>
    <s v="N/A"/>
    <s v="N/A"/>
    <n v="0"/>
    <x v="0"/>
    <s v="N/A"/>
    <s v="N/A"/>
    <x v="4"/>
    <s v="CAMARA"/>
    <s v="OPERADOR DE MAQUINA"/>
    <s v="SALA BATERIAS"/>
    <s v="N/A"/>
    <s v="TARDE"/>
    <d v="1899-12-30T17:50:00"/>
    <s v="MARTES"/>
    <s v="SEMANA 24"/>
    <m/>
    <m/>
    <s v="FRANCISCO QUEZADA"/>
    <s v="ALEJANDRO TORRES"/>
    <n v="43"/>
    <x v="12"/>
    <x v="5"/>
    <x v="5"/>
    <x v="7"/>
    <s v="COLABORADOR SUFRE MOLESTIA OCULAR POR PROYECCION DE PARTICULAS LIQUIDAS CUANDO SE ENCONTRABA REALIZANDO CAMBIO DE BATERIA."/>
    <s v="ACCION"/>
    <s v="SI"/>
    <x v="0"/>
    <s v="ALAN CARRASCO"/>
    <s v="WLADIMIR CALDERON "/>
    <m/>
  </r>
  <r>
    <n v="2023"/>
    <s v="JUNIO"/>
    <s v="EL PAICO"/>
    <s v="VARGAS HERNANDEZ"/>
    <s v="LUIS"/>
    <s v="MASCULINO"/>
    <s v="9947369-K"/>
    <d v="2015-04-20T00:00:00"/>
    <n v="97"/>
    <d v="2023-06-17T00:00:00"/>
    <x v="0"/>
    <d v="2023-06-19T00:00:00"/>
    <d v="2023-06-23T00:00:00"/>
    <s v="N/A"/>
    <n v="5"/>
    <x v="1"/>
    <s v="N/A"/>
    <s v="N/A"/>
    <x v="2"/>
    <s v="EVICERADO PAVOS"/>
    <s v="OPERARIO"/>
    <s v="CHILLER MENUDENCIA"/>
    <s v="N/A"/>
    <s v="MAÑANA"/>
    <d v="1899-12-30T10:20:00"/>
    <s v="SABADO"/>
    <s v="SEMANA 24"/>
    <n v="15761"/>
    <s v="NC-101-23"/>
    <s v="NICOLAS MOYANO"/>
    <s v="CESAR CARTAGENA"/>
    <n v="58"/>
    <x v="1"/>
    <x v="7"/>
    <x v="1"/>
    <x v="1"/>
    <s v="COLABORADOR SUFRE GOLPE EN ESPALDA POR CAIDA MISMO NIVEL CUANDO TRANSITABA POR PASILLO DE CHILLER MENUDENCIAS "/>
    <s v="CONDICION"/>
    <s v="SI"/>
    <x v="1"/>
    <s v="ALAN CARRASCO"/>
    <s v="SANDRA LAYANA"/>
    <m/>
  </r>
  <r>
    <n v="2023"/>
    <s v="JUNIO"/>
    <s v="EL PAICO"/>
    <s v="TORRES ALVARADO"/>
    <s v="BRYAN"/>
    <s v="MASCULINO"/>
    <s v="20722483-9"/>
    <d v="2021-04-12T00:00:00"/>
    <n v="25"/>
    <d v="2023-06-08T00:00:00"/>
    <x v="0"/>
    <s v="N/A"/>
    <s v="N/A"/>
    <s v="N/A"/>
    <n v="0"/>
    <x v="0"/>
    <s v="N/A"/>
    <s v="N/A"/>
    <x v="2"/>
    <s v="EVISCERADO POLLOS"/>
    <s v="OPERARIO"/>
    <s v="EVICERADO"/>
    <s v="N/A"/>
    <s v="MAÑANA"/>
    <d v="1899-12-30T11:50:00"/>
    <s v="JUEVES"/>
    <s v="SEMANA 23"/>
    <m/>
    <m/>
    <s v="NICOLAS MOYANO"/>
    <m/>
    <n v="21"/>
    <x v="6"/>
    <x v="5"/>
    <x v="5"/>
    <x v="7"/>
    <s v="COLABORADOR SUFRE MOLESTIA OCULAR POR PROYECCION DE PARTICULAS CUANDO ESTABA ASPIRANDO POLLO "/>
    <s v="ACCION"/>
    <s v="SI"/>
    <x v="0"/>
    <s v="NICOLAS GOMEZ"/>
    <s v="CHISTIAN JHONS"/>
    <m/>
  </r>
  <r>
    <n v="2023"/>
    <s v="JUNIO"/>
    <s v="EL PAICO"/>
    <s v="TORRES ALVARADO"/>
    <s v="BRYAN"/>
    <s v="MASCULINO"/>
    <s v="20722483-9"/>
    <d v="2021-04-12T00:00:00"/>
    <n v="26"/>
    <d v="2023-06-14T00:00:00"/>
    <x v="0"/>
    <s v="N/A"/>
    <s v="N/A"/>
    <s v="N/A"/>
    <n v="0"/>
    <x v="0"/>
    <s v="N/A"/>
    <s v="N/A"/>
    <x v="2"/>
    <s v="EVISCERADO POLLOS"/>
    <s v="OPERARIO"/>
    <s v="EVICERADO"/>
    <s v="N/A"/>
    <s v="MAÑANA"/>
    <m/>
    <s v="MIERCOLES"/>
    <s v="SEMANA 24"/>
    <m/>
    <m/>
    <s v="NICOLAS MOYANO"/>
    <s v="FRANCISCO CASTRO"/>
    <n v="21"/>
    <x v="0"/>
    <x v="8"/>
    <x v="3"/>
    <x v="8"/>
    <s v="COLABORADOR SUFRE HERIDA CORTANTE LEVE EN BRAZO IZQUIERDO POR CUCHILLO AL ESTAR CORTANDO PECHUGA DE POLLO "/>
    <s v="ACCION"/>
    <s v="SI"/>
    <x v="0"/>
    <s v="NICOLAS GOMEZ"/>
    <s v="CARLOS CARTAGENA"/>
    <m/>
  </r>
  <r>
    <n v="2023"/>
    <s v="JUNIO"/>
    <s v="EL PAICO"/>
    <s v="TORO OROSCO"/>
    <s v="GIANINA"/>
    <s v="FEMENINO"/>
    <s v="17518601-8"/>
    <d v="2019-01-14T00:00:00"/>
    <n v="52"/>
    <d v="2023-06-01T00:00:00"/>
    <x v="0"/>
    <d v="2023-06-07T00:00:00"/>
    <d v="2023-06-07T00:00:00"/>
    <s v="N/A"/>
    <n v="0"/>
    <x v="0"/>
    <s v="N/A"/>
    <s v="N/A"/>
    <x v="6"/>
    <s v="ASEO"/>
    <s v="OPERARIO"/>
    <s v="DROP POINT"/>
    <s v="N/A"/>
    <s v="NOCHE"/>
    <d v="1899-12-30T02:50:00"/>
    <s v="JUEVES"/>
    <s v="SEMANA 22"/>
    <n v="15749"/>
    <s v="NC-106-23"/>
    <s v="CARLOS JIMENEZ"/>
    <s v="PATRICIO PALACIOS"/>
    <n v="34"/>
    <x v="4"/>
    <x v="0"/>
    <x v="1"/>
    <x v="1"/>
    <s v="COLABORADORA SUFRE CONTUSIÓN EN MANO IZQUIERDA POR CAIDA MISMO NIVEL MIENTRAS TRASLADABA MANGUERA EN MAQUINA DROP POINT EN CALIBRADO AL ENCONTRASERSE REALIZANDO ASEO PRE-OPERACIONAL"/>
    <s v="ACCION"/>
    <s v="SI"/>
    <x v="1"/>
    <s v="ALAN CARRASCO"/>
    <s v="WLADIMIR CALDERON "/>
    <m/>
  </r>
  <r>
    <n v="2023"/>
    <s v="JUNIO"/>
    <s v="EL PAICO"/>
    <s v="RUBIO LOPEZ"/>
    <s v="CLAUDIA"/>
    <s v="FEMENINO"/>
    <s v="12723602-K"/>
    <d v="2007-06-01T00:00:00"/>
    <n v="192"/>
    <d v="2023-06-02T00:00:00"/>
    <x v="0"/>
    <d v="2023-06-05T00:00:00"/>
    <d v="2023-06-05T00:00:00"/>
    <s v="N/A"/>
    <n v="0"/>
    <x v="0"/>
    <s v="N/A"/>
    <s v="N/A"/>
    <x v="7"/>
    <s v="REPORTE LINEA ISHIDA B"/>
    <s v="OPERARIO"/>
    <s v="REPORTE DE CAJAS"/>
    <s v="N/A"/>
    <s v="MAÑANA"/>
    <d v="1899-12-30T07:40:00"/>
    <s v="VIERNES"/>
    <s v="SEMANA 22"/>
    <n v="15729"/>
    <s v="NC-107-23"/>
    <s v="OCTAVIO MUÑOZ"/>
    <s v="EDGAR HERNANDEZ"/>
    <n v="48"/>
    <x v="0"/>
    <x v="0"/>
    <x v="1"/>
    <x v="4"/>
    <s v="COLABORADORA SUFRE CONTUSIÓN EN DEDO INDICE DERECHO POR ROLLO DE LAMINAS CUANDO SE ENCONTRABA SACANDO ESTE DE MUEBLE CON EL OBJETIVO DE SER CAMBIADO"/>
    <s v="ACCION"/>
    <s v="SI"/>
    <x v="1"/>
    <s v="NICOLAS GOMEZ"/>
    <s v="WLADIMIR CALDERON "/>
    <m/>
  </r>
  <r>
    <n v="2023"/>
    <s v="JUNIO"/>
    <s v="EL PAICO"/>
    <s v="RODRIGUEZ MONJES"/>
    <s v="ANYBEL"/>
    <s v="FEMENINO"/>
    <s v="27091787-9"/>
    <d v="2020-03-16T00:00:00"/>
    <n v="38"/>
    <d v="2023-06-02T00:00:00"/>
    <x v="0"/>
    <s v="N/A"/>
    <s v="N/A"/>
    <s v="N/A"/>
    <n v="0"/>
    <x v="0"/>
    <s v="N/A"/>
    <s v="N/A"/>
    <x v="5"/>
    <s v="DESHUESADO"/>
    <s v="OPERARIO"/>
    <s v="DESHUESADO"/>
    <s v="N/A"/>
    <s v="MAÑANA"/>
    <d v="1899-12-30T07:45:00"/>
    <s v="VIERNES"/>
    <s v="SEMANA 22"/>
    <m/>
    <m/>
    <s v="DANIEL GARRIDO"/>
    <s v="JORGE MEZA"/>
    <n v="32"/>
    <x v="6"/>
    <x v="5"/>
    <x v="5"/>
    <x v="7"/>
    <s v="COLABORADOR SUFRE MOLESTIA OCULAR POR PROYECCION DE PARTICULAS AL ESTAR SELECCIONANDO PECHUGA EN LINEA DESHUESADO "/>
    <s v="ACCION"/>
    <s v="SI"/>
    <x v="0"/>
    <s v="NICOLAS GOMEZ"/>
    <s v="WLADIMIR CALDERON "/>
    <m/>
  </r>
  <r>
    <n v="2023"/>
    <s v="JUNIO"/>
    <s v="EL PAICO"/>
    <s v="QUISPE CHASIQUIZA"/>
    <s v="MARIA FERNANDA"/>
    <s v="FEMENINO"/>
    <s v="26068322-5"/>
    <d v="2023-01-09T00:00:00"/>
    <n v="5"/>
    <d v="2023-06-28T00:00:00"/>
    <x v="1"/>
    <d v="2023-06-29T00:00:00"/>
    <d v="2023-07-04T00:00:00"/>
    <s v="N/A"/>
    <n v="6"/>
    <x v="1"/>
    <s v="N/A"/>
    <s v="N/A"/>
    <x v="4"/>
    <s v="CAMARA"/>
    <s v="OPERARIO"/>
    <s v="CAMARA"/>
    <s v="N/A"/>
    <s v="MAÑANA"/>
    <d v="1899-12-30T10:30:00"/>
    <s v="MIERCOLES"/>
    <s v="SEMANA 26"/>
    <n v="15779"/>
    <s v="NC-102-23"/>
    <s v="FRANCISCO QUEZADA"/>
    <s v="MATIAS PENROZ"/>
    <n v="40"/>
    <x v="6"/>
    <x v="0"/>
    <x v="1"/>
    <x v="4"/>
    <s v="COLABORADORA SUFRE CONTUSION EN DEDO MEÑIQUE DE MANO IZQUIERDA AL SER GOLPEADA POR BLOQUE DE PECHUGA DE POLLO CONGELADA CUANDO SE ENCONTRABA VOLTEANDO ESTOS EN SALA DE EMPAQUE "/>
    <s v="ACCION"/>
    <s v="SI"/>
    <x v="1"/>
    <s v="NICOLAS GOMEZ"/>
    <s v="CHISTIAN JHONS"/>
    <m/>
  </r>
  <r>
    <n v="2023"/>
    <s v="JUNIO"/>
    <s v="EL PAICO"/>
    <s v="MONTENEGRO GALLARDO"/>
    <s v="RAUL"/>
    <s v="MASCULINO"/>
    <s v="21623760-9"/>
    <d v="2022-11-29T00:00:00"/>
    <n v="6"/>
    <d v="2023-06-12T00:00:00"/>
    <x v="1"/>
    <d v="2023-06-12T00:00:00"/>
    <d v="2023-06-12T00:00:00"/>
    <s v="N/A"/>
    <n v="0"/>
    <x v="0"/>
    <s v="N/A"/>
    <s v="N/A"/>
    <x v="5"/>
    <s v="DESHUESADO"/>
    <s v="OPERARIO"/>
    <s v="CAMARA 208"/>
    <s v="N/A"/>
    <s v="MAÑANA"/>
    <d v="1899-12-30T07:45:00"/>
    <s v="LUNES"/>
    <s v="SEMANA 24"/>
    <n v="15748"/>
    <s v="NC-108-23"/>
    <s v="DANIEL GARRIDO"/>
    <s v="JORGE MEZA"/>
    <n v="19"/>
    <x v="1"/>
    <x v="2"/>
    <x v="1"/>
    <x v="1"/>
    <s v="COLABORADOR SUFRE CONTUSION EN TOBILLO Y RODILLA DERECHA, POR CAIDA MISMO NIVEL PRODUTO DE PRESENCIA DE HIELO EN SUPERFICIE DE TRANSITO EN CAMARA 208"/>
    <s v="CONDICION"/>
    <s v="SI"/>
    <x v="1"/>
    <s v="ALAN CARRASCO"/>
    <s v="CHISTIAN JHONS"/>
    <m/>
  </r>
  <r>
    <n v="2023"/>
    <s v="JUNIO"/>
    <s v="EL PAICO"/>
    <s v="MALDONADO ACEVEDO"/>
    <s v="FELIPE"/>
    <s v="MASCULINO"/>
    <s v="18667787-0"/>
    <d v="2023-06-01T00:00:00"/>
    <n v="0"/>
    <d v="2023-06-30T00:00:00"/>
    <x v="1"/>
    <d v="2023-07-03T00:00:00"/>
    <d v="2023-07-03T00:00:00"/>
    <s v="N/A"/>
    <n v="0"/>
    <x v="0"/>
    <s v="N/A"/>
    <s v="N/A"/>
    <x v="1"/>
    <s v="CALIBRADO"/>
    <s v="OPERARIO"/>
    <s v="CALIBRADO"/>
    <s v="N/A"/>
    <s v="MAÑANA"/>
    <d v="1899-12-30T10:30:00"/>
    <s v="VIERNES"/>
    <s v="SEMANA 26"/>
    <n v="15784"/>
    <s v="NC-98-23"/>
    <s v="GUILLERMO NARVAEZ"/>
    <s v="MAXIMO CAMPOS"/>
    <m/>
    <x v="3"/>
    <x v="3"/>
    <x v="1"/>
    <x v="5"/>
    <s v="COLABORADOR SUFRE CONTUSION EN PIE IZQUIERDO POR GOLPE CONTRA ESTRUCTURA METALICA AL ENCONTRARSE PESADNO BOLSAS DE PRODUCTO EN EL AREA DE CALIBRADO"/>
    <s v="ACCION"/>
    <s v="SI"/>
    <x v="1"/>
    <s v="NICOLAS GOMEZ"/>
    <s v="WLADIMIR CALDERON "/>
    <m/>
  </r>
  <r>
    <n v="2023"/>
    <s v="JUNIO"/>
    <s v="EL PAICO"/>
    <s v="LOYOLA CARVAJAL"/>
    <s v="NATALIA"/>
    <s v="FEMENINO"/>
    <s v="18623311-5"/>
    <d v="2022-05-24T00:00:00"/>
    <n v="12"/>
    <d v="2023-06-21T00:00:00"/>
    <x v="2"/>
    <s v="N/A"/>
    <s v="N/A"/>
    <s v="N/A"/>
    <n v="0"/>
    <x v="0"/>
    <s v="N/A"/>
    <s v="N/A"/>
    <x v="4"/>
    <s v="CAMARA"/>
    <s v="OPERADOR DE MAQUINA"/>
    <s v="CAMARA"/>
    <s v="N/A"/>
    <s v="MAÑANA"/>
    <d v="1899-12-30T07:00:00"/>
    <s v="MIERCOLES"/>
    <s v="SEMANA 25"/>
    <m/>
    <m/>
    <s v="FRANCISCO QUEZADA"/>
    <s v="ALEJANDRO TORRES"/>
    <n v="29"/>
    <x v="6"/>
    <x v="0"/>
    <x v="1"/>
    <x v="4"/>
    <s v="COLABORADORA SUFRE CONTUSION EN DEDO ANULAR SUPERIOR IZQUIERDO AL SEL GOLPEADA POR BLOQUE EN TUNEL DE CAMARA "/>
    <s v="ACCION"/>
    <s v="SI"/>
    <x v="0"/>
    <s v="NICOLAS GOMEZ"/>
    <s v="WLADIMIR CALDERON "/>
    <m/>
  </r>
  <r>
    <n v="2023"/>
    <s v="JUNIO"/>
    <s v="EL PAICO"/>
    <s v="HUINAO CARTAGENA"/>
    <s v="MANUEL"/>
    <s v="MASCULINO"/>
    <s v="15403657-1"/>
    <d v="2022-11-04T00:00:00"/>
    <n v="7"/>
    <d v="2023-06-14T00:00:00"/>
    <x v="2"/>
    <d v="2023-06-14T00:00:00"/>
    <d v="2023-06-14T00:00:00"/>
    <d v="2023-06-20T00:00:00"/>
    <n v="0"/>
    <x v="0"/>
    <s v="N/A"/>
    <s v="N/A"/>
    <x v="1"/>
    <s v="IQF CALIBRADO C"/>
    <s v="OPERARIO"/>
    <s v="PASILLO PRINCIPAL"/>
    <s v="N/A"/>
    <s v="TARDE"/>
    <d v="1899-12-30T22:10:00"/>
    <s v="MIERCOLES"/>
    <s v="SEMANA 24"/>
    <n v="15564"/>
    <s v="NC-100-23"/>
    <s v="GUILLERMO NARVAEZ"/>
    <s v="MAXIMO CAMPOS"/>
    <n v="40"/>
    <x v="1"/>
    <x v="4"/>
    <x v="1"/>
    <x v="1"/>
    <s v="COLABORADOR SUFRE CONTUSION EN RODILLA DERECHA POR CAIDA MISMO EN PASILLO PRINCIPAL"/>
    <s v="CONDICION"/>
    <s v="NO"/>
    <x v="1"/>
    <s v="NICOLAS GOMEZ"/>
    <s v="MICHELLE SANCHEZ"/>
    <m/>
  </r>
  <r>
    <n v="2023"/>
    <s v="JUNIO"/>
    <s v="EL PAICO"/>
    <s v="GONZALEZ MENDOZA"/>
    <s v="CINTIA"/>
    <s v="FEMENINO"/>
    <s v="15778582-6"/>
    <d v="2017-04-03T00:00:00"/>
    <n v="74"/>
    <d v="2023-06-09T00:00:00"/>
    <x v="0"/>
    <d v="2023-06-09T00:00:00"/>
    <s v="N/A"/>
    <d v="2023-06-12T00:00:00"/>
    <n v="2"/>
    <x v="1"/>
    <s v="LGF"/>
    <s v="LGF4"/>
    <x v="7"/>
    <s v="REPORTE DE CAJAS"/>
    <s v="OPERARIO"/>
    <s v="REPORTE DE CAJAS"/>
    <s v="EQUIPO PARA MOVIMIENTO DE CARGA (GRUAS O TRANSPALETAS)"/>
    <s v="MAÑANA"/>
    <d v="1899-12-30T14:00:00"/>
    <s v="VIERNES"/>
    <s v="SEMANA 23"/>
    <n v="15745"/>
    <s v="NC-73-23"/>
    <s v="OCTAVIO MUÑOZ"/>
    <s v="ALEJANDRO SALAS"/>
    <n v="39"/>
    <x v="7"/>
    <x v="2"/>
    <x v="1"/>
    <x v="4"/>
    <s v="TRABAJADORA DE P.POSTERIORES SUFRE CONTUSION EN COSTADO DERECHO DEL CUERPO POR APLASTAMIENTO OCACIONADO POR EQUIPO DE MOVIMIENTO DE CARGA, EL HECHO OCURRIO EN REPORTE DE CAJAS AL MOMENTO DE QUE LA TRABAJADORA SE ENCONTRARA VALIDANDO PALLETS FRENTE A ROMANA"/>
    <s v="ACCION"/>
    <s v="SI"/>
    <x v="1"/>
    <s v="ALAN CARRASCO"/>
    <s v="MICHELLE SANCHEZ"/>
    <m/>
  </r>
  <r>
    <n v="2023"/>
    <s v="JUNIO"/>
    <s v="EL PAICO"/>
    <s v="ESCOBAR HUANCA"/>
    <s v="MIRIAM "/>
    <s v="FEMENINO"/>
    <s v="27616460-0"/>
    <d v="2022-05-16T00:00:00"/>
    <n v="12"/>
    <d v="2023-06-06T00:00:00"/>
    <x v="2"/>
    <s v="NA"/>
    <s v="N/A"/>
    <s v="N/A"/>
    <n v="0"/>
    <x v="0"/>
    <s v="N/A"/>
    <s v="N/A"/>
    <x v="6"/>
    <s v="ASEO ZONA LIMPIA"/>
    <s v="OPERARIO"/>
    <s v="EMBALAJE Y ETIQUEDADO"/>
    <s v="N/A"/>
    <s v="NOCHE"/>
    <d v="1899-12-30T03:15:00"/>
    <s v="MARTES"/>
    <s v="SEMANA 23"/>
    <m/>
    <m/>
    <s v="CARLOS JIMENEZ"/>
    <s v="PATRICIO PALACIOS"/>
    <n v="25"/>
    <x v="9"/>
    <x v="11"/>
    <x v="0"/>
    <x v="9"/>
    <s v="COLABORADORA SUFRE DISNEA POR EXPOSICIÓN A PRODUCTO QUIMICO CUANDO SE ENCONTRABA REALIZANDO ASEO PRE-OPERACIONAL EN SALA."/>
    <s v="ACCION"/>
    <s v="SI"/>
    <x v="0"/>
    <s v="NICOLAS GOMEZ"/>
    <s v="MICHELLE SANCHEZ"/>
    <m/>
  </r>
  <r>
    <n v="2023"/>
    <s v="JUNIO"/>
    <s v="EL PAICO"/>
    <s v="CESPEDES SANZANA"/>
    <s v="DANIEL"/>
    <s v="MASCULINO"/>
    <s v="20345018-4"/>
    <d v="2023-05-22T00:00:00"/>
    <n v="0"/>
    <d v="2023-06-07T00:00:00"/>
    <x v="1"/>
    <s v="N/A"/>
    <s v="N/A"/>
    <s v="N/A"/>
    <n v="0"/>
    <x v="0"/>
    <s v="N/A"/>
    <s v="N/A"/>
    <x v="2"/>
    <s v="EVISERADO"/>
    <s v="OPERARIO"/>
    <s v="MAQUINA DE CONTRES"/>
    <s v="MAQUINA DE CONTRES"/>
    <s v="TARDE"/>
    <d v="1899-12-30T08:40:00"/>
    <s v="MIERCOLES"/>
    <s v="SEMANA 23"/>
    <m/>
    <m/>
    <s v="NICOLAS MOYANO"/>
    <s v="CESAR CARTAGENA"/>
    <n v="23"/>
    <x v="2"/>
    <x v="0"/>
    <x v="3"/>
    <x v="13"/>
    <s v="COLABORADOR SUFRE HERIDA EN DEDO MEÑIQUE DE MANO DERECHA POR RODILLO DE CINTA CUANRO SE ENCONTRABA LIANDO CONTRES"/>
    <s v="ACCION"/>
    <s v="SI"/>
    <x v="0"/>
    <s v="ALAN CARRASCO"/>
    <s v="CARLOS CARTAGENA"/>
    <m/>
  </r>
  <r>
    <n v="2023"/>
    <s v="JUNIO"/>
    <s v="EL PAICO"/>
    <s v="CATALAN ALVARADO"/>
    <s v="ERIK "/>
    <s v="MASCULINO"/>
    <s v="20871209-8"/>
    <d v="2022-10-24T00:00:00"/>
    <n v="7"/>
    <d v="2023-06-14T00:00:00"/>
    <x v="2"/>
    <s v="N/A"/>
    <s v="N/A"/>
    <s v="N/A"/>
    <n v="0"/>
    <x v="0"/>
    <s v="N/A"/>
    <s v="N/A"/>
    <x v="1"/>
    <s v="IQF CALIBRADO C"/>
    <s v="OPERARIO"/>
    <s v="IQF"/>
    <s v="N/A"/>
    <s v="NOCHE"/>
    <d v="1899-12-30T04:45:00"/>
    <s v="MIERCOLES"/>
    <s v="SEMANA 24"/>
    <m/>
    <m/>
    <s v="GUILLERMO NARVAEZ"/>
    <s v="MAXIMO CAMPOS"/>
    <n v="21"/>
    <x v="0"/>
    <x v="0"/>
    <x v="1"/>
    <x v="4"/>
    <s v="COLABORADOR SUFRE CONTUSION EN DEDO MEDIO SUPERIOR DERECHO CON OBJETO METALICO AL ESTAR REALIZANDO CAMBIO DE ROLLO EN MAQUINA SUPER CONTAC"/>
    <s v="ACCION"/>
    <s v="SI"/>
    <x v="0"/>
    <s v="NICOLAS GOMEZ"/>
    <s v="WLADIMIR CALDERON "/>
    <m/>
  </r>
  <r>
    <n v="2023"/>
    <s v="JUNIO"/>
    <s v="EL PAICO"/>
    <s v="BARRERA PEREZ"/>
    <s v="KATHERINE"/>
    <s v="FEMENINO"/>
    <s v="18454833-K"/>
    <d v="2015-01-12T00:00:00"/>
    <n v="100"/>
    <d v="2023-05-31T00:00:00"/>
    <x v="0"/>
    <s v="N/A"/>
    <s v="N/A"/>
    <s v="N/A"/>
    <n v="0"/>
    <x v="0"/>
    <s v="N/A"/>
    <s v="N/A"/>
    <x v="5"/>
    <s v="DESHUESADO"/>
    <s v="OPERARIO"/>
    <s v="DESHUESADO DE POLLO"/>
    <s v="N/A"/>
    <s v="TARDE"/>
    <d v="1899-12-30T00:20:00"/>
    <s v="JUEVES"/>
    <s v="SEMANA 23"/>
    <m/>
    <m/>
    <s v="DANIEL GARRIDO"/>
    <s v="JOSE CARVALLO"/>
    <n v="30"/>
    <x v="1"/>
    <x v="4"/>
    <x v="1"/>
    <x v="1"/>
    <s v="COLABORADORA SUFRE CONTUSION EN RODILLA POR CAIDA MISMO NIVEL POR PRESENCIA DE RESTOS CARNICOS EN SUPERFICIE DE TRABAJO"/>
    <s v="CONDICION"/>
    <s v="NO"/>
    <x v="0"/>
    <s v="ALAN CARRASCO"/>
    <s v="CHISTIAN JHONS"/>
    <m/>
  </r>
  <r>
    <n v="2023"/>
    <s v="JULIO"/>
    <s v="EL PAICO"/>
    <s v="VILLEGAS VALECILLOS"/>
    <s v="ALI"/>
    <s v="MASCULINO"/>
    <s v="27131221-0"/>
    <d v="2023-07-10T00:00:00"/>
    <n v="0"/>
    <d v="2023-07-19T00:00:00"/>
    <x v="1"/>
    <d v="2023-07-19T00:00:00"/>
    <d v="2023-07-23T00:00:00"/>
    <s v="N/A"/>
    <n v="5"/>
    <x v="1"/>
    <s v="N/A"/>
    <s v="N/A"/>
    <x v="5"/>
    <s v="DESHUESADO"/>
    <s v="OPERARIO"/>
    <s v="LINEA HQ "/>
    <s v="N/A"/>
    <s v="MAÑANA"/>
    <d v="1899-12-30T07:30:00"/>
    <s v="MIERCOLES"/>
    <s v="SEMANA 29"/>
    <n v="15810"/>
    <s v="NC-88-23"/>
    <s v="DANIEL GARRIDO"/>
    <s v="JOSE CARVALLO"/>
    <n v="35"/>
    <x v="3"/>
    <x v="0"/>
    <x v="3"/>
    <x v="3"/>
    <s v="COLABORDOR SUFRE HERIDA CORTANTE EN MANO DERECHA, POR CONTACTO CON OBJETO PUNZANTE, CUANDO SE ENCONTRBA REALIZANDO LABOR DE COLGADO DE PECHUGA EN LINEA DE MAQUINA HQ NORTE"/>
    <s v="ACCION"/>
    <s v="SI"/>
    <x v="1"/>
    <s v="NICOLAS GOMEZ"/>
    <s v="MICHELLE SANCHEZ"/>
    <m/>
  </r>
  <r>
    <n v="2023"/>
    <s v="JULIO"/>
    <s v="EL PAICO"/>
    <s v="VELASQUEZ RUZ"/>
    <s v="LUIS"/>
    <s v="MASCULINO"/>
    <s v="9841139-9"/>
    <d v="2022-03-04T00:00:00"/>
    <n v="16"/>
    <d v="2023-07-21T00:00:00"/>
    <x v="2"/>
    <s v="N/A"/>
    <s v="N/A"/>
    <s v="N/A"/>
    <n v="0"/>
    <x v="0"/>
    <s v="N/A"/>
    <s v="N/A"/>
    <x v="7"/>
    <s v="PULPA"/>
    <s v="OPERARIO"/>
    <s v="PULPA"/>
    <s v="N/A"/>
    <s v="TARDE"/>
    <d v="1899-12-30T21:00:00"/>
    <s v="VIERNES"/>
    <s v="SEMANA 29"/>
    <m/>
    <m/>
    <s v="OCTAVIO MUÑOZ"/>
    <s v="CRISTIAN VELIZ"/>
    <n v="60"/>
    <x v="6"/>
    <x v="1"/>
    <x v="3"/>
    <x v="4"/>
    <s v="COLABORADOR SUFRE CONTUSION CON HERIDA CORTANTE EN NARIZ AL SER GOLPEADO POR BANDEJA PLASTICA CON PRODUCTO CONGELADO "/>
    <s v="ACCION"/>
    <s v="SI"/>
    <x v="0"/>
    <s v="ALAN CARRASCO"/>
    <s v="CARLOS CARTAGENA"/>
    <m/>
  </r>
  <r>
    <n v="2023"/>
    <s v="JULIO"/>
    <s v="EL PAICO"/>
    <s v="TORRES ALVARADO"/>
    <s v="BRYAN"/>
    <s v="MASCULINO"/>
    <s v="20722483-9"/>
    <d v="2021-04-12T00:00:00"/>
    <n v="27"/>
    <d v="2023-07-22T00:00:00"/>
    <x v="0"/>
    <d v="2023-07-22T00:00:00"/>
    <m/>
    <s v="N/A"/>
    <n v="108"/>
    <x v="1"/>
    <s v="N/A"/>
    <s v="N/A"/>
    <x v="2"/>
    <s v="EVISCERADO PAVO"/>
    <s v="OPERARIO"/>
    <s v="EVISCERADO PAVO"/>
    <s v="N/A"/>
    <s v="MAÑANA"/>
    <d v="1899-12-30T10:00:00"/>
    <s v="SABADO"/>
    <s v="SEMANA 29"/>
    <n v="15818"/>
    <s v="NC-90-23"/>
    <s v="NICOLAS MOYANO"/>
    <s v="ERWIN GATICA"/>
    <n v="21"/>
    <x v="13"/>
    <x v="0"/>
    <x v="3"/>
    <x v="8"/>
    <s v="COLABORADOR SUFRE HERIDA CORTANTE EN DEDO PULGAR DERECHO AL REALIZAR UNA MALA MANIOBRA CUANDO IBA A TOMAR SU CHUCHILLO PARA COMENZAR SUS LABORES."/>
    <s v="ACCION"/>
    <s v="SI"/>
    <x v="1"/>
    <s v="NICOLAS GOMEZ"/>
    <s v="CHISTIAN JHONS"/>
    <m/>
  </r>
  <r>
    <n v="2023"/>
    <s v="JULIO"/>
    <s v="EL PAICO"/>
    <s v="ROSALES MALDONADO"/>
    <s v="JESUS"/>
    <s v="MASCULINO"/>
    <s v="17225475-6"/>
    <d v="2022-09-22T00:00:00"/>
    <n v="9"/>
    <d v="2023-07-17T00:00:00"/>
    <x v="2"/>
    <s v="N/A"/>
    <s v="N/A"/>
    <s v="N/A"/>
    <n v="0"/>
    <x v="0"/>
    <s v="N/A"/>
    <s v="N/A"/>
    <x v="8"/>
    <s v="MANTENCION"/>
    <s v="ELECTRICO"/>
    <s v="CHILLER DE AGUA "/>
    <s v="N/A"/>
    <s v="NOCHE"/>
    <d v="1899-12-30T05:00:00"/>
    <s v="LUNES"/>
    <s v="SEMANA 29"/>
    <m/>
    <m/>
    <s v="VICTOR GOMEZ"/>
    <s v="CLAUDIO CID"/>
    <n v="34"/>
    <x v="0"/>
    <x v="5"/>
    <x v="5"/>
    <x v="7"/>
    <s v="COLABORADOR SUFRE MOLESTIA OCULAR POR PROYECCION DE PARTICULAS LIQUIDAS (OXIDO), CUANDO SE ENCONTRABA REALIZANDO LIMPIEZA DE CABLES DE ENCHUFE QUE SE ENCONTRABA CON OXIDO, EN CHILLER DE AGUA."/>
    <s v="ACCION"/>
    <s v="SI"/>
    <x v="0"/>
    <s v="ALAN CARRASCO"/>
    <s v="CARLOS CARTAGENA"/>
    <m/>
  </r>
  <r>
    <n v="2023"/>
    <s v="JULIO"/>
    <s v="EL PAICO"/>
    <s v="ROJAS ZAMORA"/>
    <s v="DIEGO"/>
    <s v="MASCULINO"/>
    <s v="19848137-8"/>
    <d v="2023-07-10T00:00:00"/>
    <n v="0"/>
    <d v="2023-07-27T00:00:00"/>
    <x v="1"/>
    <d v="2023-07-27T00:00:00"/>
    <d v="2023-07-27T00:00:00"/>
    <s v="N/A"/>
    <n v="0"/>
    <x v="0"/>
    <s v="N/A"/>
    <s v="N/A"/>
    <x v="7"/>
    <s v="PULPA"/>
    <s v="OPERARIO"/>
    <s v="PULPA"/>
    <s v="EQUIPO PARA MOVIMIENTO DE CARGA (GRUAS O TRANSPALETAS)"/>
    <s v="MAÑANA"/>
    <d v="1899-12-30T11:30:00"/>
    <s v="JUEVES"/>
    <s v="SEMANA 30"/>
    <n v="15826"/>
    <s v="NC-110-23"/>
    <s v="OCTAVIO MUÑOZ"/>
    <s v="MARCOS QUINTANILLA"/>
    <n v="25"/>
    <x v="1"/>
    <x v="8"/>
    <x v="4"/>
    <x v="1"/>
    <s v="COLABORADOR SUFRE TORSION EN MUÑECA IZQUIERDA POR CAIDA MISMO NIVEL PRODUCTO DE PISO RESBALADIZO CUANDO SE ENCONTRABA MOVILIZANDO BINS CON PRODUCTO CON TRANSPALETA MANUAL."/>
    <s v="CONDICION"/>
    <s v="SI"/>
    <x v="1"/>
    <s v="NICOLAS GOMEZ"/>
    <s v="MICHELLE SANCHEZ"/>
    <m/>
  </r>
  <r>
    <n v="2023"/>
    <s v="JULIO"/>
    <s v="EL PAICO"/>
    <s v="ROA SILVA"/>
    <s v="CRISTIAN"/>
    <s v="MASCULINO"/>
    <s v="18960494-7"/>
    <d v="2020-06-02T00:00:00"/>
    <n v="36"/>
    <d v="2023-06-30T00:00:00"/>
    <x v="0"/>
    <d v="2023-07-03T00:00:00"/>
    <d v="2023-07-05T00:00:00"/>
    <s v="N/A"/>
    <n v="3"/>
    <x v="1"/>
    <s v="N/A"/>
    <s v="N/A"/>
    <x v="1"/>
    <s v="CALIBRADO"/>
    <s v="OPERARIO"/>
    <s v="CALIBRADO"/>
    <s v="N/A"/>
    <s v="MAÑANA"/>
    <d v="1899-12-30T16:30:00"/>
    <s v="VIERNES"/>
    <s v="SEMANA 26"/>
    <n v="15785"/>
    <s v="NC-103-23"/>
    <s v="GUILLERMO NARVAEZ"/>
    <s v="MIGUEL HENRRIQUEZ"/>
    <n v="28"/>
    <x v="12"/>
    <x v="4"/>
    <x v="1"/>
    <x v="4"/>
    <s v="COLABORADOR SUFRE CONTUSION EN RODILLA IZQUIERDA AL RECIBIR GOLPE EN CAMPEONATO DE FUTBOL DENTRO DE LA EMPRESA"/>
    <s v="ACCION"/>
    <s v="NO"/>
    <x v="1"/>
    <s v="ALAN CARRASCO"/>
    <s v="CHISTIAN JHONS"/>
    <m/>
  </r>
  <r>
    <n v="2023"/>
    <s v="JULIO"/>
    <s v="EL PAICO"/>
    <s v="PULGAR ORTIZ"/>
    <s v="DAGOBERTO"/>
    <s v="MASCULINO"/>
    <s v="20879659-3"/>
    <d v="2023-03-20T00:00:00"/>
    <n v="3"/>
    <d v="2023-07-11T00:00:00"/>
    <x v="1"/>
    <d v="2023-07-12T00:00:00"/>
    <d v="2023-07-14T00:00:00"/>
    <s v="N/A"/>
    <n v="3"/>
    <x v="1"/>
    <s v="N/A"/>
    <s v="N/A"/>
    <x v="5"/>
    <s v="DESHUESADO"/>
    <s v="OPERARIO"/>
    <s v="TAMBORES LINEA HQ"/>
    <s v="N/A"/>
    <s v="TARDE"/>
    <d v="1899-12-30T20:00:00"/>
    <s v="MARTES"/>
    <s v="SEMANA 28"/>
    <n v="15798"/>
    <s v="NC-86-23"/>
    <s v="DANIEL GARRIDO"/>
    <s v="JOSE CARVALLO"/>
    <n v="21"/>
    <x v="4"/>
    <x v="4"/>
    <x v="1"/>
    <x v="1"/>
    <s v="COLABORADOR SUFRE CONTUSION EN EXTREMIDAD INFERIOR DERECHA POR CAIDA MISMO NIVEL, CUANDO SE DIRIGIA A TAMBORES DE LINEA HQ."/>
    <s v="CONDICION"/>
    <s v="SI"/>
    <x v="1"/>
    <s v="NICOLAS GOMEZ"/>
    <s v="MICHELLE SANCHEZ"/>
    <m/>
  </r>
  <r>
    <n v="2023"/>
    <s v="JULIO"/>
    <s v="EL PAICO"/>
    <s v="PEREZ OVALLE"/>
    <s v="ALEJANDRA"/>
    <s v="FEMENINO"/>
    <s v="14321846-5"/>
    <d v="2013-07-10T00:00:00"/>
    <n v="120"/>
    <d v="2023-07-28T00:00:00"/>
    <x v="0"/>
    <s v="N/A"/>
    <s v="N/A"/>
    <s v="N/A"/>
    <n v="0"/>
    <x v="0"/>
    <s v="N/A"/>
    <s v="N/A"/>
    <x v="7"/>
    <s v="REPORTE DE CAJAS"/>
    <s v="OPERARIO"/>
    <s v="REPORTE DE CAJAS"/>
    <s v="N/A"/>
    <s v="TARDE"/>
    <d v="1899-12-30T21:40:00"/>
    <s v="VIERNES"/>
    <s v="SEMANA 30"/>
    <m/>
    <m/>
    <s v="OCTAVIO MUÑOZ"/>
    <s v="ALEJANDRO SALAS"/>
    <n v="47"/>
    <x v="14"/>
    <x v="8"/>
    <x v="0"/>
    <x v="0"/>
    <s v="COLABORADORA SUFRE DOLENCIA EN ANTEBRAZO DERECHO AL ESTAR REALIZANDO LABORES CON CAJAS EN LINEA DE EMPAQUE FRESCO "/>
    <s v="ACCION"/>
    <s v="SI"/>
    <x v="0"/>
    <s v="ALAN CARRASCO"/>
    <s v="WLADIMIR CALDERON "/>
    <m/>
  </r>
  <r>
    <n v="2023"/>
    <s v="JULIO"/>
    <s v="EL PAICO"/>
    <s v="NAVARRO GONZALEZ"/>
    <s v="XIMENA"/>
    <s v="FEMENINO"/>
    <s v="16266713-0"/>
    <d v="2016-12-05T00:00:00"/>
    <n v="79"/>
    <d v="2023-07-26T00:00:00"/>
    <x v="0"/>
    <s v="N/A"/>
    <s v="N/A"/>
    <s v="N/A"/>
    <n v="0"/>
    <x v="0"/>
    <s v="N/A"/>
    <s v="N/A"/>
    <x v="6"/>
    <s v="ASEO ZONA LIMPIA"/>
    <s v="OPERARIO"/>
    <s v="EMPACADORA DE TRUTOS"/>
    <s v="MAQUINA EMPACADORA DE TRUTOS"/>
    <s v="NOCHE"/>
    <d v="1899-12-30T00:00:00"/>
    <s v="MIERCOLES"/>
    <s v="SEMANA 30"/>
    <m/>
    <m/>
    <s v="CARLOS JIMENEZ"/>
    <s v="PATRICIO PALACIOS"/>
    <n v="38"/>
    <x v="16"/>
    <x v="2"/>
    <x v="1"/>
    <x v="4"/>
    <s v="COLABORADORA SUFRE CONTUSION EN ANTEBRAZO Y DEDO INDICE Y MANO DERECHA AL SER GOLPEADA POR BANDEJA DE MAQUINA EMPACADORA DE TRUTOS CUANDO SE ENCONTRABA SACANDO RESTOS CARNICOS PRESENTES EN DICHA BANDEJA."/>
    <s v="ACCION"/>
    <s v="SI"/>
    <x v="0"/>
    <s v="ALAN CARRASCO"/>
    <s v="CARLOS CARTAGENA"/>
    <m/>
  </r>
  <r>
    <n v="2023"/>
    <s v="JULIO"/>
    <s v="EL PAICO"/>
    <s v="MIRANDA LOYOLA"/>
    <s v="CAMILA "/>
    <s v="FEMENINO"/>
    <s v="21797530-1"/>
    <d v="2023-03-27T00:00:00"/>
    <n v="3"/>
    <d v="2023-07-05T00:00:00"/>
    <x v="1"/>
    <d v="2023-07-06T00:00:00"/>
    <d v="2023-07-06T00:00:00"/>
    <s v="N/A"/>
    <n v="0"/>
    <x v="0"/>
    <s v="N/A"/>
    <s v="N/A"/>
    <x v="4"/>
    <s v="CAMARA"/>
    <s v="OPERARIO"/>
    <s v="SALA EMPAQUE TUNEL"/>
    <s v="N/A"/>
    <s v="MAÑANA"/>
    <d v="1899-12-30T09:10:00"/>
    <s v="MIERCOLES"/>
    <s v="SEMANA 27"/>
    <n v="15793"/>
    <s v="NC-109-23"/>
    <s v="FRANCISCO QUEZADA"/>
    <s v="ALEJANDRO TORRES"/>
    <n v="18"/>
    <x v="14"/>
    <x v="8"/>
    <x v="1"/>
    <x v="4"/>
    <s v="COLABORAORA SUFRE CONTUSION EN HOMBRO DERECHO AL SER GOLPEADAPOR CAJA CON PRODUCTO CUANDO SE ENCONTRABA BAJANDO CAJAS DE PALLETS EN SALA DE EMPAQUE DE TUNEL"/>
    <s v="ACCION"/>
    <s v="SI "/>
    <x v="1"/>
    <s v="ALAN CARRASCO"/>
    <s v="CHISTIAN JHONS"/>
    <m/>
  </r>
  <r>
    <n v="2023"/>
    <s v="JULIO"/>
    <s v="EL PAICO"/>
    <s v="LUCERO GUAJARDO"/>
    <s v="BENITO"/>
    <s v="MASCULINO"/>
    <s v="17902888-3"/>
    <d v="2020-03-09T00:00:00"/>
    <n v="40"/>
    <d v="2023-07-10T00:00:00"/>
    <x v="0"/>
    <d v="2023-07-10T00:00:00"/>
    <d v="2023-07-10T00:00:00"/>
    <s v="N/A"/>
    <n v="0"/>
    <x v="0"/>
    <s v="N/A"/>
    <s v="N/A"/>
    <x v="7"/>
    <s v="REPORTE LINEA ISHIDA A"/>
    <s v="OPERARIO"/>
    <s v="CAMARA 202"/>
    <s v="N/A"/>
    <s v="MAÑANA"/>
    <d v="1899-12-30T15:30:00"/>
    <s v="LUNES"/>
    <s v="SEMANA 28"/>
    <n v="15796"/>
    <s v="NC-104-23"/>
    <s v="OCTAVIO MUÑOZ"/>
    <s v="ALEJANDRO SALAS"/>
    <n v="32"/>
    <x v="8"/>
    <x v="3"/>
    <x v="3"/>
    <x v="3"/>
    <s v="COLABORADOR SUFRE HERIDA PUNZANTE EN PIE DERECHO AL PISAR CLAVO QUE SE ENCONTRABA EN TABLA DE PALLETS. "/>
    <s v="ACCION"/>
    <s v="SI"/>
    <x v="1"/>
    <s v="NICOLAS GOMEZ"/>
    <s v="CHISTIAN JHONS"/>
    <m/>
  </r>
  <r>
    <n v="2023"/>
    <s v="JULIO"/>
    <s v="EL PAICO"/>
    <s v="LOPEZ TEJERINA"/>
    <s v="ROSMERY"/>
    <s v="FEMENINO"/>
    <s v="22622736-9"/>
    <d v="2020-09-22T00:00:00"/>
    <n v="33"/>
    <d v="2023-07-03T00:00:00"/>
    <x v="0"/>
    <s v="N/A"/>
    <s v="N/A"/>
    <s v="N/A"/>
    <n v="0"/>
    <x v="0"/>
    <s v="N/A"/>
    <s v="N/A"/>
    <x v="6"/>
    <s v="ASEO OPERACIONAL"/>
    <s v="OPERARIO"/>
    <s v="PASILLO PRINCIPAL"/>
    <s v="N/A"/>
    <s v="TARDE"/>
    <d v="1899-12-30T19:45:00"/>
    <s v="LUNES"/>
    <s v="SEMANA 27"/>
    <m/>
    <m/>
    <s v="CARLOS JIMENES"/>
    <s v="DAVID ROMO"/>
    <n v="54"/>
    <x v="0"/>
    <x v="8"/>
    <x v="0"/>
    <x v="0"/>
    <s v="COLABORADORA SUFRE DOLOR EN HOMBRO IZQUIERDO POR MOVIMIENTO AL MAL EJECUTADO CUANDO SE ENCONTRABA SACANDO BOLSAS DE BASURA EN EL PASILLO PRINCIPAL"/>
    <s v="ACCION"/>
    <s v="SI"/>
    <x v="0"/>
    <s v="ALAN CARRASCO"/>
    <s v="MICHELLE SANCHEZ"/>
    <m/>
  </r>
  <r>
    <n v="2023"/>
    <s v="JULIO"/>
    <s v="EL PAICO"/>
    <s v="ESCOBAR HUANCA"/>
    <s v="MIRIAM "/>
    <s v="FEMENINO"/>
    <s v="27616460-0"/>
    <d v="2022-05-16T00:00:00"/>
    <n v="13"/>
    <d v="2023-07-03T00:00:00"/>
    <x v="2"/>
    <s v="N/A"/>
    <s v="N/A"/>
    <s v="N/A"/>
    <n v="0"/>
    <x v="0"/>
    <s v="N/A"/>
    <s v="N/A"/>
    <x v="6"/>
    <s v="ASEO ZONA LIMPIA"/>
    <s v="OPERARIO"/>
    <s v="BAJADA ESCALERA EMBALAJE Y ETIQUETADO"/>
    <s v="N/A"/>
    <s v="NOCHE"/>
    <d v="1899-12-30T03:00:00"/>
    <s v="LUNES"/>
    <s v="SEMANA 27"/>
    <m/>
    <m/>
    <s v="CARLOS JIMENEZ"/>
    <s v="PATRICIO PALACIOS"/>
    <n v="25"/>
    <x v="3"/>
    <x v="4"/>
    <x v="1"/>
    <x v="6"/>
    <s v="COLABORADORA SUFRE CONTUSION EN PIERNA DERECHA POR CAIDA DISTINTO NIVEL AL RESBALARSE CUANDO BAJABA ESCALERA EN SALA DE EMBALAJE Y ETIQUETADO MIENTRAS REALIZABA LABORES DE ASEO PREOPERACIONAL"/>
    <s v="CONDICION"/>
    <s v="SI"/>
    <x v="0"/>
    <s v="NICOLAS GOMEZ"/>
    <s v="CARLOS CARTAGENA"/>
    <m/>
  </r>
  <r>
    <n v="2023"/>
    <s v="JULIO"/>
    <s v="EL PAICO"/>
    <s v="DEVIA JIMENEZ"/>
    <s v="LUIS"/>
    <s v="MASCULINO"/>
    <s v="11280722-5"/>
    <d v="2020-09-22T00:00:00"/>
    <n v="33"/>
    <d v="2023-07-17T00:00:00"/>
    <x v="0"/>
    <s v="N/A"/>
    <s v="N/A"/>
    <s v="N/A"/>
    <n v="0"/>
    <x v="0"/>
    <s v="N/A"/>
    <s v="N/A"/>
    <x v="6"/>
    <s v="ASEO OPERACIONAL"/>
    <s v="OPERARIO"/>
    <s v="CASINO EMPRESA"/>
    <s v="N/A"/>
    <s v="MAÑANA"/>
    <d v="1899-12-30T08:45:00"/>
    <s v="LUNES"/>
    <s v="SEMANA 29"/>
    <m/>
    <m/>
    <s v="CARLOS JIMENEZ"/>
    <s v="ALVARO ABARCA"/>
    <n v="55"/>
    <x v="12"/>
    <x v="0"/>
    <x v="6"/>
    <x v="10"/>
    <s v="COLABORADOR SUFRE LEVE QUEMADURA EN MANO IZQUIERDA, POR CONTACTO CON AGUA CALIENTE, CUANDO SE ENCONTRABA CERRANDO TAPA DE TERMO EN CASINO QUE DE LA EMPRESA"/>
    <s v="ACCION"/>
    <s v="NO"/>
    <x v="0"/>
    <s v="ALAN CARRASCO"/>
    <s v="CARLOS CARTAGENA"/>
    <m/>
  </r>
  <r>
    <n v="2023"/>
    <s v="JULIO"/>
    <s v="EL PAICO"/>
    <s v="DARISSANTE"/>
    <s v="WILTHON"/>
    <s v="MASCULINO"/>
    <s v="26281940-K"/>
    <d v="2022-03-07T00:00:00"/>
    <n v="16"/>
    <d v="2023-07-27T00:00:00"/>
    <x v="2"/>
    <s v="N/A"/>
    <s v="N/A"/>
    <s v="N/A"/>
    <n v="0"/>
    <x v="0"/>
    <s v="N/A"/>
    <s v="N/A"/>
    <x v="5"/>
    <s v="DESHUESADO"/>
    <s v="OPERARIO"/>
    <s v="ESCALERA ACCESO PRINCIPAL"/>
    <s v="N/A"/>
    <s v="TARDE"/>
    <d v="1899-12-30T14:35:00"/>
    <s v="JUEVES"/>
    <s v="SEMANA 30"/>
    <m/>
    <m/>
    <s v="DANIEL GARRIDO"/>
    <s v="JOSE CARVALLO"/>
    <n v="41"/>
    <x v="1"/>
    <x v="8"/>
    <x v="1"/>
    <x v="6"/>
    <s v="COLABORADOR SUFRE CONTUSION EN CODO IZQUIERDO POR CAIDA DE DISTINTO  NIVEL CUANDO SE ENCONTRABA BAJANDO ESTALERAS DE ACCESO PRINCIPAL"/>
    <s v="CONDICION"/>
    <s v="NO"/>
    <x v="0"/>
    <s v="ALAN CARRASCO"/>
    <s v="MICHELLE SANCHEZ"/>
    <m/>
  </r>
  <r>
    <n v="2023"/>
    <s v="JULIO"/>
    <s v="EL PAICO"/>
    <s v="CONTRERAS PERALTA"/>
    <s v="JUAN CARLOS"/>
    <s v="MASCULINO"/>
    <s v="14006777-6"/>
    <d v="2021-09-01T00:00:00"/>
    <n v="22"/>
    <d v="2023-07-04T00:00:00"/>
    <x v="0"/>
    <s v="N/A"/>
    <s v="N/A"/>
    <s v="N/A"/>
    <n v="0"/>
    <x v="0"/>
    <s v="N/A"/>
    <s v="N/A"/>
    <x v="1"/>
    <s v="CALIBRADO"/>
    <s v="OPERARIO"/>
    <s v="CALIBRADO"/>
    <s v="N/A"/>
    <s v="MAÑANA"/>
    <d v="1899-12-30T12:20:00"/>
    <s v="MARTES"/>
    <s v="SEMANA 27"/>
    <m/>
    <m/>
    <s v="GUILLERMO NARVAEZ"/>
    <s v="FERNANDO FUENTEALBA"/>
    <n v="43"/>
    <x v="14"/>
    <x v="1"/>
    <x v="3"/>
    <x v="4"/>
    <s v="COLABORADOR SUFRE HERIDA CORTANTE EN NARIZ AL SER GOLPEADO POR CAJA DE CARTON VACIA, CUANDO SE ENCONTRABA CARGANDO CAJAS EN EL AREA DE CALIBRADO."/>
    <s v="ACCION"/>
    <s v="SI"/>
    <x v="0"/>
    <s v="NICOLAS GOMEZ"/>
    <s v="WLADIMIR CALDERON "/>
    <m/>
  </r>
  <r>
    <n v="2023"/>
    <s v="JULIO"/>
    <s v="EL PAICO"/>
    <s v="ATABALES MORALES"/>
    <s v="MANUEL"/>
    <s v="MASCULINO"/>
    <s v="15405907-5"/>
    <d v="2022-07-12T00:00:00"/>
    <n v="12"/>
    <d v="2023-07-19T00:00:00"/>
    <x v="2"/>
    <d v="2023-07-19T00:00:00"/>
    <d v="2023-07-21T00:00:00"/>
    <s v="N/A"/>
    <n v="3"/>
    <x v="1"/>
    <s v="N/A"/>
    <s v="N/A"/>
    <x v="5"/>
    <s v="DESHUESADO"/>
    <s v="OPERARIO"/>
    <s v="DESHUESADO DE PECEHUGA"/>
    <s v="EQUIPO PARA MOVIMIENTO DE CARGA (GRUAS O TRANSPALETAS)"/>
    <s v="MAÑANA"/>
    <d v="1899-12-30T09:30:00"/>
    <s v="MIERCOLES"/>
    <s v="SEMANA 29"/>
    <n v="15808"/>
    <s v="NC-89-23"/>
    <s v="DANIEL GARRIDO"/>
    <s v="JOSE CARVALLO"/>
    <n v="40"/>
    <x v="7"/>
    <x v="3"/>
    <x v="1"/>
    <x v="4"/>
    <s v="COLABORADOR SUFRE CONTUSION EN TOBILLO DE PIE IZQUIERDO AL SER GOLPEADO POR TRANSPALETA MANUAL CUANDO SE ENCONTRABA MOVILIZANDO BINS CON PRODUCTO EN SALA DE DESHUESADO DE PECHUGA."/>
    <s v="CONDICION"/>
    <s v="SI"/>
    <x v="1"/>
    <s v="NICOLAS GOMEZ"/>
    <s v="MICHELLE SANCHEZ"/>
    <m/>
  </r>
  <r>
    <n v="2023"/>
    <s v="AGOSTO"/>
    <s v="EL PAICO"/>
    <s v="VILCHES SOTO"/>
    <s v="VIVIANA"/>
    <s v="FEMENINO"/>
    <s v="16789251-5"/>
    <d v="2015-09-28T00:00:00"/>
    <n v="94"/>
    <d v="2023-08-11T00:00:00"/>
    <x v="0"/>
    <d v="2023-08-11T00:00:00"/>
    <d v="2023-08-11T00:00:00"/>
    <s v="N/A"/>
    <n v="0"/>
    <x v="0"/>
    <s v="N/A"/>
    <s v="N/A"/>
    <x v="5"/>
    <s v="DESHUESADO"/>
    <s v="OPERARIO"/>
    <s v="MAQUINA HQ SUR"/>
    <s v="MAQUINA HQ SUR"/>
    <s v="MAÑANA"/>
    <d v="1902-07-18T00:00:00"/>
    <s v="VIERNES"/>
    <s v="SEMANA 32"/>
    <n v="15857"/>
    <s v="NC-117-23"/>
    <s v="DANIEL GARRIDO"/>
    <s v="JORGE MEZA"/>
    <n v="35"/>
    <x v="2"/>
    <x v="0"/>
    <x v="3"/>
    <x v="8"/>
    <s v="COLABORADORA SUFRE HERIDA   CORTANTE EN DEDO ANULAR DERECHO POR CONTACTO CON OBJETO CORTANTE, ESTRUCTURA FIJA DE MAQUINA HQ SUR, EL EVENTO SE PRODUJO CUANDO SE ENCONTRABA REALIZANDO RETIRO DE PRODUCTO CARNICO DESDE LÍNEA DE COLGADO"/>
    <s v="CONDICION"/>
    <s v="S"/>
    <x v="1"/>
    <s v="NICOLAS GOMEZ"/>
    <s v="CHISTIAN JHONS"/>
    <m/>
  </r>
  <r>
    <n v="2023"/>
    <s v="AGOSTO"/>
    <s v="EL PAICO"/>
    <s v="SILVA OSORIO"/>
    <s v="IRIS"/>
    <s v="FEMENINO"/>
    <s v="13772577-0"/>
    <d v="2013-08-07T00:00:00"/>
    <n v="120"/>
    <d v="2023-08-18T00:00:00"/>
    <x v="0"/>
    <s v="N/A"/>
    <s v="N/A"/>
    <s v="N/A"/>
    <n v="0"/>
    <x v="0"/>
    <s v="N/A"/>
    <s v="N/A"/>
    <x v="5"/>
    <s v="TROZADO AUTOMATICO"/>
    <s v="OPERARIO"/>
    <s v="TROZADO DE POLLO"/>
    <s v="N/A"/>
    <s v="MAÑANA"/>
    <d v="1899-12-30T11:45:00"/>
    <s v="VIERNES"/>
    <s v="SEMANA 33"/>
    <m/>
    <m/>
    <s v="DANIEL GARRIDO"/>
    <s v="ARNALDO VERA"/>
    <n v="43"/>
    <x v="5"/>
    <x v="0"/>
    <x v="2"/>
    <x v="4"/>
    <s v="COLABORADORA SUFRE CONTUSION EN DEDO PULGAR DERECHO POR ATRISIÓN AL SUFRIR GOLP ENTRE DOS BINS CON PRODUCTO CUANDO SE ENCONTRABA EMPUJANDO BINS QUE IBA A SER RETIRADO"/>
    <s v="ACCION"/>
    <s v="SI"/>
    <x v="0"/>
    <s v="ALAN CARRASCO "/>
    <s v="CARLOS CARTAGENA"/>
    <m/>
  </r>
  <r>
    <n v="2023"/>
    <s v="AGOSTO"/>
    <s v="EL PAICO"/>
    <s v="SAAVEDA ADASME"/>
    <s v="FRANCISCO"/>
    <s v="MASCULINO"/>
    <s v="16576716-0"/>
    <d v="2018-05-14T00:00:00"/>
    <n v="63"/>
    <d v="2023-08-24T00:00:00"/>
    <x v="0"/>
    <s v="N/A"/>
    <s v="N/A"/>
    <s v="N/A"/>
    <n v="0"/>
    <x v="0"/>
    <s v="N/A"/>
    <s v="N/A"/>
    <x v="5"/>
    <s v="TROZADO AUTOMATICO"/>
    <s v="OPERARIO"/>
    <s v="SALA DE PULPA"/>
    <s v="EQUIPO PARA MOVIMIENTO DE CARGA (GRUAS O TRANSPALETAS)"/>
    <s v="TARDE"/>
    <d v="1899-12-30T23:15:00"/>
    <s v="JUEVES"/>
    <s v="SEMANA 34"/>
    <m/>
    <m/>
    <s v="DANIEL GARRIDO"/>
    <s v="ARNALDO VERA"/>
    <n v="36"/>
    <x v="7"/>
    <x v="0"/>
    <x v="1"/>
    <x v="5"/>
    <s v="COLABORADOR SUFRE CONTUSION EN MANO DERECHA AL SER GOLPEADO CONTRA MANURIO DE TRANSPALETA ELECTRICA CUANDO SE ENCONTRABA EMPUJANDO DOS BINS CON PRODUCTO EN SALA DE PULPA "/>
    <s v="ACCION"/>
    <s v="SI"/>
    <x v="0"/>
    <s v="NICOLAS GOMEZ"/>
    <s v="MICHELLE SANCHEZ"/>
    <m/>
  </r>
  <r>
    <n v="2023"/>
    <s v="AGOSTO"/>
    <s v="EL PAICO"/>
    <s v="RODRIGUEZ MONJES"/>
    <s v="ANYIBEL"/>
    <s v="FEMENINO"/>
    <s v="27091787-9"/>
    <d v="2020-03-16T00:00:00"/>
    <n v="41"/>
    <d v="2023-08-25T00:00:00"/>
    <x v="0"/>
    <s v="N/A"/>
    <s v="N/A"/>
    <s v="N/A"/>
    <n v="0"/>
    <x v="0"/>
    <s v="N/A"/>
    <s v="N/A"/>
    <x v="5"/>
    <s v="DESHUESADO"/>
    <s v="OPERARIO"/>
    <s v="PASILLO IQF 4"/>
    <s v="N/A"/>
    <s v="MAÑANA"/>
    <d v="1899-12-30T10:45:00"/>
    <s v="VIERNES"/>
    <s v="SEMANA 34"/>
    <m/>
    <m/>
    <s v="DANIEL GARRIDO"/>
    <s v="JORGE MEZA"/>
    <n v="32"/>
    <x v="1"/>
    <x v="4"/>
    <x v="1"/>
    <x v="1"/>
    <s v="COLABORADORA SUFRE CONTUSION EN RODILLA IZQUIERDA PRODUCTO DE CAÍDA MISMO NIVEL EN PASILLO DE IQF 4, POR PRESENCIA DE HIELO Y RESTOS CÁRNICOS EN SUPERFICIE DE TRANSITO"/>
    <s v="ACCION"/>
    <s v="SI"/>
    <x v="0"/>
    <s v="NICOLAS GOMEZ"/>
    <s v="WLADIMIR CALDERON "/>
    <m/>
  </r>
  <r>
    <n v="2023"/>
    <s v="AGOSTO"/>
    <s v="EL PAICO"/>
    <s v="REYES AHUE"/>
    <s v="KELY"/>
    <s v="FEMENINO"/>
    <s v="25370294-K"/>
    <d v="2022-02-07T00:00:00"/>
    <n v="17"/>
    <d v="2023-08-01T00:00:00"/>
    <x v="2"/>
    <s v="N/A"/>
    <s v="N/A"/>
    <s v="N/A"/>
    <n v="0"/>
    <x v="0"/>
    <s v="N/A"/>
    <s v="N/A"/>
    <x v="4"/>
    <s v="CAMARA"/>
    <s v="OPERARIO"/>
    <s v="SALA DESPACHO CONGELADO"/>
    <s v="N/A"/>
    <s v="TARDE"/>
    <d v="1899-12-30T16:05:00"/>
    <s v="MARTES"/>
    <s v="SEMANA 31"/>
    <m/>
    <m/>
    <s v="FRANCISCO QUEZADA"/>
    <s v="MAURICIO HERNANDEZ"/>
    <n v="36"/>
    <x v="4"/>
    <x v="7"/>
    <x v="0"/>
    <x v="13"/>
    <s v="COLABORADORA SUFRE DOLOR LUMBAR POR RESBALARSE AL PISAR UN TROZO DE HIELO CUANDO SE ENCONTRABAJA ARMANDO PALLETS EN SALA SALA DE DESPACHO CONGELADO"/>
    <s v="CONDICION"/>
    <s v="SI"/>
    <x v="0"/>
    <s v="ALAN CARRASCO"/>
    <s v="WLADIMIR CALDERON "/>
    <m/>
  </r>
  <r>
    <n v="2023"/>
    <s v="AGOSTO"/>
    <s v="EL PAICO"/>
    <s v="RAMOS VARGAS"/>
    <s v="IRMA"/>
    <s v="FEMENINO"/>
    <s v="10259422-3"/>
    <d v="2023-06-01T00:00:00"/>
    <n v="2"/>
    <d v="2023-08-29T00:00:00"/>
    <x v="1"/>
    <s v="N/A"/>
    <s v="N/A"/>
    <s v="N/A"/>
    <n v="0"/>
    <x v="0"/>
    <s v="LGF"/>
    <s v="LGF8"/>
    <x v="1"/>
    <s v="CALIBRADO"/>
    <s v="OPERARIO"/>
    <s v="SELLADO DE PRODUCTO"/>
    <s v="SELADORA DE BOLSA"/>
    <s v="INTERMEDIO"/>
    <d v="1899-12-30T18:10:00"/>
    <s v="MARTES"/>
    <s v="SEMANA 35"/>
    <m/>
    <m/>
    <s v="OCTAVIO MUÑOZ"/>
    <s v="FRANCISCO SANCHEZ"/>
    <n v="57"/>
    <x v="2"/>
    <x v="0"/>
    <x v="6"/>
    <x v="10"/>
    <s v="COLABORADORA SUFRE QUEMADURA EN DEDO INDICE, MEDIO Y ANULAR DE MANO IZQUIERDA POR CONTACT CON MAQUINA SELLADORA DE BOLSAS EN EL AREA DE CALIBRADO"/>
    <s v="ACCION"/>
    <s v="SI"/>
    <x v="0"/>
    <s v="ALAN CARARSCO"/>
    <s v="WLADIMIR CALDERON "/>
    <m/>
  </r>
  <r>
    <n v="2023"/>
    <s v="AGOSTO"/>
    <s v="EL PAICO"/>
    <s v="POSTIGO VILCHES"/>
    <s v="BRYAN"/>
    <s v="MASCULINO"/>
    <s v="19501136-2"/>
    <d v="2023-07-17T00:00:00"/>
    <n v="1"/>
    <d v="2023-08-30T00:00:00"/>
    <x v="1"/>
    <s v="N/A"/>
    <s v="N/A"/>
    <s v="N/A"/>
    <n v="0"/>
    <x v="0"/>
    <s v="N/A"/>
    <s v="N/A"/>
    <x v="5"/>
    <s v="DESHUESADO"/>
    <s v="OPERARIO"/>
    <s v="BAÑO DE HOMBRES"/>
    <s v="N/A"/>
    <s v="TARDE"/>
    <d v="1899-12-30T18:45:00"/>
    <s v="MIERCOLES"/>
    <s v="SEMANA 35"/>
    <m/>
    <m/>
    <s v="DANIEL GARRIDO"/>
    <s v="IGNACIO MEZA"/>
    <n v="26"/>
    <x v="1"/>
    <x v="0"/>
    <x v="1"/>
    <x v="1"/>
    <s v="COLABORADOR SUFRE CONTUSION EN MUÑECA DERECHA POR GOLPE CONTRA MESON DE ENTREGA DE CIPER EN BAÑO DE HOMBRES"/>
    <s v="ACCION"/>
    <s v="NO"/>
    <x v="0"/>
    <s v="ALAN CARRASCO"/>
    <s v="CARLOS CARTAGENA"/>
    <m/>
  </r>
  <r>
    <n v="2023"/>
    <s v="AGOSTO"/>
    <s v="EL PAICO"/>
    <s v="MORALES NUÑEZ"/>
    <s v="JAIME"/>
    <s v="MASCULINO"/>
    <s v="10410053-8"/>
    <d v="1999-08-14T00:00:00"/>
    <n v="287"/>
    <d v="2023-08-09T00:00:00"/>
    <x v="0"/>
    <d v="2023-08-10T00:00:00"/>
    <d v="2023-08-11T00:00:00"/>
    <s v="N/A"/>
    <n v="1"/>
    <x v="1"/>
    <s v="N/A"/>
    <s v="N/A"/>
    <x v="4"/>
    <s v="CAMARA"/>
    <s v="ENCARGADO DE LINEA"/>
    <s v="PASILLO D"/>
    <s v="N/A"/>
    <s v="MAÑANA"/>
    <d v="1899-12-30T10:20:00"/>
    <s v="MIERCOLES"/>
    <s v="SEMANA 32"/>
    <n v="15854"/>
    <s v="NC-115-23"/>
    <s v="FRANCISCO QUEZADA"/>
    <s v="MAURICIO HERNANDEZ"/>
    <n v="57"/>
    <x v="1"/>
    <x v="2"/>
    <x v="1"/>
    <x v="1"/>
    <s v="COLABORADOR SUFRE CONTUSIÓN EN MANO Y BRAZO IZQUIERDO POR CAIDA MISMO NIVEL PRODUCTO DE PRESENCIA DE RESTOS CARNICOS EN SUPERFICIE DE TRANSITO, CUANDO SE ENCONTRABA TRANSITANDO POR PASILLLO D"/>
    <s v="CONDICION"/>
    <s v="SI"/>
    <x v="1"/>
    <s v="ALAN CARRASCO"/>
    <s v="WLADIMIR CALDERON "/>
    <m/>
  </r>
  <r>
    <n v="2023"/>
    <s v="AGOSTO"/>
    <s v="EL PAICO"/>
    <s v="MELLADO DELGADO"/>
    <s v="NICOLAS"/>
    <s v="MASCULINO"/>
    <s v="18960555-2"/>
    <d v="2022-04-04T00:00:00"/>
    <n v="16"/>
    <d v="2023-08-21T00:00:00"/>
    <x v="2"/>
    <s v="N/A"/>
    <s v="N/A"/>
    <s v="N/A"/>
    <n v="0"/>
    <x v="0"/>
    <s v="N/A"/>
    <s v="N/A"/>
    <x v="5"/>
    <s v="TROZADO AUTOMATICO"/>
    <s v="TECNICO"/>
    <s v="TROZADO DE POLLO AUTOMATICO"/>
    <s v="N/A"/>
    <s v="MAÑANA"/>
    <d v="1899-12-30T10:40:00"/>
    <s v="LUNES"/>
    <s v="SEMANA 34"/>
    <m/>
    <m/>
    <s v="DANIEL GARRIDO"/>
    <s v="RAMIRO RAMIREZ"/>
    <n v="28"/>
    <x v="4"/>
    <x v="0"/>
    <x v="1"/>
    <x v="1"/>
    <s v="COLABORADOR SUFRE CONTUSION EN MANO DERECHA POR CAIDA MISMO NIVEL PRODUCTO DE RESTOR CARNICOS EN SUPERFICIE DDE TRABAJO CUANDO SE ENCONTRABA AJUSTANDO MODULO PROCESADOR DE TRUTO"/>
    <s v="CONDICION"/>
    <s v="SI"/>
    <x v="0"/>
    <s v="ALAN CARRASCO"/>
    <s v="WLADIMIR CALDERON "/>
    <m/>
  </r>
  <r>
    <n v="2023"/>
    <s v="AGOSTO"/>
    <s v="EL PAICO"/>
    <s v="MAULEN MAULEN "/>
    <s v="ALDO"/>
    <s v="MASCULINO"/>
    <s v="20136430-2"/>
    <d v="2019-10-07T00:00:00"/>
    <n v="45"/>
    <d v="2023-08-01T00:00:00"/>
    <x v="0"/>
    <d v="2023-08-01T00:00:00"/>
    <s v="N/A"/>
    <s v="N/A"/>
    <n v="0"/>
    <x v="0"/>
    <s v="N/A"/>
    <s v="N/A"/>
    <x v="1"/>
    <s v="IQF/CALIBRADO A"/>
    <s v="OPERARIO"/>
    <s v="SALA METALQUIMIA"/>
    <s v="N/A"/>
    <s v="NOCHE"/>
    <d v="1899-12-30T01:00:00"/>
    <s v="MARTES"/>
    <s v="SEMANA 31"/>
    <n v="15833"/>
    <s v="NC-111-23"/>
    <s v="OCTAVIO MUÑOZ"/>
    <s v="FRANCISCO SANCHEZ"/>
    <n v="24"/>
    <x v="9"/>
    <x v="5"/>
    <x v="5"/>
    <x v="7"/>
    <s v="COLABORADOR SUFRE MOLESTIA OCULAR POR PROYECCION DE PARTILUCAS LIQUIDAS (AGUA MAS TEC-500) CUANDO SE ENCONTRABA REALIZANDO ASEO A MAQUINA METALQUIMIA"/>
    <s v="ACCION"/>
    <s v="SI"/>
    <x v="1"/>
    <s v="ALAN CARRASCO"/>
    <s v="SANDRA LAYANA"/>
    <m/>
  </r>
  <r>
    <n v="2023"/>
    <s v="AGOSTO"/>
    <s v="EL PAICO"/>
    <s v="MAULEN MALDONADO"/>
    <s v="JOSE"/>
    <s v="MASCULINO"/>
    <s v="7327744-2"/>
    <d v="2007-08-01T00:00:00"/>
    <n v="192"/>
    <d v="2023-08-09T00:00:00"/>
    <x v="0"/>
    <d v="2023-08-10T00:00:00"/>
    <d v="2023-08-14T00:00:00"/>
    <s v="N/A"/>
    <n v="5"/>
    <x v="1"/>
    <s v="N/A"/>
    <s v="N/A"/>
    <x v="6"/>
    <s v="ASEO"/>
    <s v="OPERARIO"/>
    <s v="CAMARIN "/>
    <s v="N/A"/>
    <s v="MAÑANA"/>
    <d v="1899-12-30T05:45:00"/>
    <s v="MIERCOLES"/>
    <s v="SEMANA 32"/>
    <n v="15853"/>
    <s v="NC-116-23"/>
    <s v="CARLOS JIMENEZ"/>
    <s v="ROLANDO EMIHUEQUE"/>
    <n v="70"/>
    <x v="3"/>
    <x v="0"/>
    <x v="3"/>
    <x v="5"/>
    <s v="COLABORADOR SUFRE HERIDA CORTANTE EN DEDO INDICE SUPERIOR IZQUIERDO AL GOLPEARSE CONTRA SILLA QUE SE ENCONTRABA EN CAMARIN, CUANDO SE ENCONTRABA CAMBIANDO SU VESTIMENTA PARA INGREZAR A TRABAJAR "/>
    <s v="CONDICION"/>
    <s v="NO"/>
    <x v="1"/>
    <s v="ALAN CARRASCO"/>
    <s v="WLADIMIR CALDERON "/>
    <m/>
  </r>
  <r>
    <n v="2023"/>
    <s v="AGOSTO"/>
    <s v="EL PAICO"/>
    <s v="MALAGUEÑO VILLALOBOS"/>
    <s v="PABLO"/>
    <s v="MASCULINO"/>
    <s v="18957463-0"/>
    <d v="2023-03-13T00:00:00"/>
    <n v="4"/>
    <d v="2023-08-02T00:00:00"/>
    <x v="1"/>
    <s v="N/A"/>
    <s v="N/A"/>
    <s v="N/A"/>
    <n v="0"/>
    <x v="0"/>
    <s v="LGF"/>
    <s v="LGF8"/>
    <x v="8"/>
    <s v="MANTENCION"/>
    <s v="ELECTRICO"/>
    <s v="SALA BOMBA PERACETICO"/>
    <s v="N/A"/>
    <s v="TARDE"/>
    <d v="1899-12-30T18:30:00"/>
    <s v="MIERCOLES"/>
    <s v="SEMANA 31"/>
    <m/>
    <m/>
    <s v="VICTOR GOMEZ"/>
    <s v="DANIEL GONZALEZ"/>
    <n v="28"/>
    <x v="9"/>
    <x v="4"/>
    <x v="6"/>
    <x v="12"/>
    <s v="COLABORADOR SUFRE QUEMADURA EN ZONA GEMERAL DE PIERNA IZQUIERDA POR CONTACTO CON PRODUCTO QUÍMICO,CUANDO SE ENCONTRABA REALIZANDO LABORES DE REVISION DE BOMBA DE PERACETICO"/>
    <s v="ACCION"/>
    <s v="SI"/>
    <x v="0"/>
    <s v="ALAN CARRASCO"/>
    <s v="CARLOS CARTAGENA"/>
    <m/>
  </r>
  <r>
    <n v="2023"/>
    <s v="AGOSTO"/>
    <s v="EL PAICO"/>
    <s v="LUCERO ROJAS"/>
    <s v="SEBASTIAN"/>
    <s v="MASCULINO"/>
    <s v="18628732-0"/>
    <d v="2023-06-19T00:00:00"/>
    <n v="2"/>
    <d v="2023-08-21T00:00:00"/>
    <x v="1"/>
    <s v="N/A"/>
    <s v="N/A"/>
    <s v="N/A"/>
    <n v="0"/>
    <x v="0"/>
    <s v="N/A"/>
    <s v="N/A"/>
    <x v="7"/>
    <s v="REPORTE DE CAJAS"/>
    <s v="OPERARIO"/>
    <s v="PULPA"/>
    <s v="N/A"/>
    <s v="MAÑANA"/>
    <d v="1899-12-30T12:40:00"/>
    <s v="LUNES"/>
    <s v="SEMANA 34"/>
    <m/>
    <m/>
    <s v="OCTAVIO MUÑOZ"/>
    <s v="EDGAR HERNANDEZ"/>
    <n v="29"/>
    <x v="5"/>
    <x v="3"/>
    <x v="1"/>
    <x v="4"/>
    <s v="COLABORADOR SUFRE CONTUSION EN DEDO PULGAR INFERIOR DERECHO AL SER GOLPEADO POR BINS QUE ERA LLEVADO POR COMPAÑERO DE TRABAJO"/>
    <s v="ACCION"/>
    <s v="SI"/>
    <x v="0"/>
    <s v="ALAN CARRASCO"/>
    <s v="WLADIMIR CALDERON "/>
    <m/>
  </r>
  <r>
    <n v="2023"/>
    <s v="AGOSTO"/>
    <s v="EL PAICO"/>
    <s v="IBARRA"/>
    <s v="JOSE"/>
    <s v="MASCULINO"/>
    <s v="11170619-0"/>
    <d v="2022-11-04T00:00:00"/>
    <n v="9"/>
    <d v="2023-08-22T00:00:00"/>
    <x v="2"/>
    <s v="N/A"/>
    <s v="N/A"/>
    <s v="N/A"/>
    <n v="0"/>
    <x v="0"/>
    <s v="N/A"/>
    <s v="N/A"/>
    <x v="2"/>
    <s v="CALIBRADO PAVOS"/>
    <s v="OPERARIO"/>
    <s v="EVISCERADO"/>
    <s v="N/A"/>
    <s v="TARDE"/>
    <d v="1899-12-30T17:10:00"/>
    <s v="MARTES"/>
    <s v="SEMAN 34"/>
    <m/>
    <m/>
    <s v="NICOLAS MOYANO"/>
    <s v="FRANCISCO CASTRO"/>
    <n v="59"/>
    <x v="6"/>
    <x v="5"/>
    <x v="5"/>
    <x v="7"/>
    <s v="COLABORADOR SUFRE MOLESTIA OCULAR POR PROYECCION DE PARTICULAS EN OJO IZQUIERDO CUANDO DE ENCONTRABA SACANDO VICESAR QUE ESTABAN ENRREDADAS"/>
    <s v="ACCION"/>
    <s v="SI"/>
    <x v="0"/>
    <s v="NICOLAS GOMEZ"/>
    <s v="CARLOS CARTAGENA"/>
    <m/>
  </r>
  <r>
    <n v="2023"/>
    <s v="AGOSTO"/>
    <s v="EL PAICO"/>
    <s v="HERNANDEZ DIAZ"/>
    <s v="SERGIO"/>
    <s v="MASCULINO"/>
    <s v="19212501-4"/>
    <d v="2023-07-10T00:00:00"/>
    <n v="0"/>
    <d v="2023-08-07T00:00:00"/>
    <x v="1"/>
    <s v="N/A"/>
    <s v="N/A"/>
    <s v="N/A"/>
    <n v="0"/>
    <x v="0"/>
    <s v="N/A"/>
    <s v="N/A"/>
    <x v="5"/>
    <s v="AUTOMATICO"/>
    <s v="OPERARIO"/>
    <s v="COLAGADO DE POLLO"/>
    <s v="N/A"/>
    <s v="TARDE"/>
    <d v="1899-12-30T19:00:00"/>
    <s v="LUNES"/>
    <s v="SEMANA 32"/>
    <m/>
    <m/>
    <s v="DANIEL GARRIDO"/>
    <s v="ARNALDO VERA"/>
    <n v="27"/>
    <x v="6"/>
    <x v="7"/>
    <x v="0"/>
    <x v="0"/>
    <s v="COLABORADOR SUFRE DOLENCIA EN ESPALDA POR MOVIMIENTO REPETITIVO AL REALIZAR LABOR DE GOLGADO DE PRODUCTO EN TROZADO DE POLLO AUTOMATICO"/>
    <s v="ACCION"/>
    <s v="SI"/>
    <x v="0"/>
    <s v="NICOLAS GOMEZ"/>
    <s v="WLADIMIR CALDERON "/>
    <m/>
  </r>
  <r>
    <n v="2023"/>
    <s v="AGOSTO"/>
    <s v="EL PAICO"/>
    <s v="GUERRA CABRERA"/>
    <s v="JORGE"/>
    <s v="MASCULINO"/>
    <s v="17987132-7"/>
    <d v="2010-04-23T00:00:00"/>
    <n v="160"/>
    <d v="2023-08-30T00:00:00"/>
    <x v="0"/>
    <d v="2023-08-30T00:00:00"/>
    <d v="2023-08-31T00:00:00"/>
    <s v="N/A"/>
    <n v="13"/>
    <x v="1"/>
    <s v="N/A"/>
    <s v="N/A"/>
    <x v="5"/>
    <s v="DESHUESADO"/>
    <s v="OPERARIO"/>
    <s v="AFUERA DE PORTERIA"/>
    <s v="N/A"/>
    <s v="MAÑANA"/>
    <d v="1899-12-30T06:00:00"/>
    <s v="MIERCOLES"/>
    <s v="SEMANA 35"/>
    <n v="15892"/>
    <s v="NC-127-23"/>
    <s v="DANIEL GARRIDO"/>
    <s v="JOSE CARVALLO"/>
    <n v="31"/>
    <x v="15"/>
    <x v="3"/>
    <x v="4"/>
    <x v="6"/>
    <s v="COLABORADOR SUFRE TORSION EN PIE DERECHO POR CAIDA DISTINTO NIVEL CUANDO SE ECONTRABA BAJANDO DE FURGON DE TRANSPORTE"/>
    <s v="ACCION"/>
    <s v="NO"/>
    <x v="1"/>
    <s v="NICOLAS GOMEZ"/>
    <s v="CARLOS CARTAGENA"/>
    <m/>
  </r>
  <r>
    <n v="2023"/>
    <s v="AGOSTO"/>
    <s v="EL PAICO"/>
    <s v="GONZALEZ FERNANDEZ"/>
    <s v="DENISSE"/>
    <s v="FEMENINO"/>
    <s v="15542013-8"/>
    <d v="2019-07-01T00:00:00"/>
    <n v="49"/>
    <d v="2023-08-29T00:00:00"/>
    <x v="0"/>
    <s v="N/A"/>
    <s v="N/A"/>
    <s v="N/A"/>
    <n v="0"/>
    <x v="0"/>
    <s v="N/A"/>
    <s v="N/A"/>
    <x v="10"/>
    <s v="ROMANA PULPAS"/>
    <s v="ROMANERO"/>
    <s v="ROMANA DE PULPAS"/>
    <s v="N/A"/>
    <s v="MAÑANA "/>
    <d v="1899-12-30T05:40:00"/>
    <s v="MARTES"/>
    <s v="SEMANA 35"/>
    <m/>
    <m/>
    <s v="LUIS ESPEJO"/>
    <s v="YESENIA VALDÉS"/>
    <n v="40"/>
    <x v="6"/>
    <x v="5"/>
    <x v="5"/>
    <x v="7"/>
    <s v="COLABORA SUFRE  MOLESTIA OCULAR EN OJO DERECHOPOR PROYECCIÓN DE PARTICULAS LIQUIDAS CUANDO SE ENCONTRABA ORDENANDO SU PUESTO DE TRABAJO PARA COMENZAR EL TURNO"/>
    <s v="ACCION"/>
    <s v="SI"/>
    <x v="0"/>
    <s v="NICOLAS GOMEZ"/>
    <s v="WLADIMIR CALDERON "/>
    <m/>
  </r>
  <r>
    <n v="2023"/>
    <s v="AGOSTO"/>
    <s v="EL PAICO"/>
    <s v="GOMEZ FARIAS"/>
    <s v="VICTOR"/>
    <s v="MASCULINO"/>
    <s v="16341630-1"/>
    <d v="2004-09-13T00:00:00"/>
    <n v="226"/>
    <d v="2023-07-21T00:00:00"/>
    <x v="0"/>
    <d v="2023-08-21T00:00:00"/>
    <d v="2023-08-21T00:00:00"/>
    <s v="N/A"/>
    <n v="0"/>
    <x v="0"/>
    <s v="N/A"/>
    <s v="N/A"/>
    <x v="8"/>
    <s v="MANTENIMIENTO"/>
    <s v="JEFE DE MANTENCION"/>
    <s v="CHILLER DE AIRE"/>
    <s v="N/A"/>
    <s v="MAÑANA"/>
    <d v="1899-12-30T19:00:00"/>
    <s v="VIERNES"/>
    <s v="SEMANA 29"/>
    <n v="15878"/>
    <s v="NC-124-23"/>
    <s v="VICTOR GOMEZ"/>
    <s v="VICTOR GOMEZ"/>
    <n v="37"/>
    <x v="1"/>
    <x v="8"/>
    <x v="1"/>
    <x v="1"/>
    <s v="COLABORADOR SUFRE CONTUSIÓN EN CODO IZQUIERDO POR CAIDA MISMO NIVEL PRODUCTO DE HIELO PRESENTE EN SUPERFCIE DE TRANSITO EN EL SECTOR DE CHILER DE AIRE "/>
    <s v="CONDICION"/>
    <s v="SI"/>
    <x v="1"/>
    <s v="ALAN CARRASCO"/>
    <s v="N/A"/>
    <m/>
  </r>
  <r>
    <n v="2023"/>
    <s v="AGOSTO"/>
    <s v="EL PAICO"/>
    <s v="CONTRERAS PERALTA"/>
    <s v="JUAN "/>
    <s v="MASCULINO"/>
    <s v="14006777-6"/>
    <d v="2021-09-01T00:00:00"/>
    <n v="23"/>
    <d v="2023-08-21T00:00:00"/>
    <x v="0"/>
    <s v="N/A"/>
    <s v="N/A"/>
    <s v="N/A"/>
    <n v="0"/>
    <x v="0"/>
    <s v="N/A"/>
    <s v="N/A"/>
    <x v="1"/>
    <s v="DROPPOINT"/>
    <s v="OPERARIO"/>
    <s v="LINEA DROPPOINT"/>
    <s v="N/A"/>
    <s v="TARDE"/>
    <d v="1899-12-30T18:25:00"/>
    <s v="LUNES"/>
    <s v="SEMANA 34"/>
    <m/>
    <m/>
    <s v="OCTAVIO MUÑOZ"/>
    <s v="FERNANDO FUENTEALBA"/>
    <n v="43"/>
    <x v="3"/>
    <x v="1"/>
    <x v="3"/>
    <x v="5"/>
    <s v="COLABORADOR SUFRE HERIDA SUPERFICIAL EN ROSTRO AL SER GOLPEADO CONTRA LATA DE ESTRUCTURA DE MAQUINA DROPPOINT CUANDO SE ENCONTRABA SACANDO UN ATASCO DE CAJAS "/>
    <s v="ACCION"/>
    <s v="SI"/>
    <x v="0"/>
    <s v="NICOLAS GOMEZ"/>
    <s v="WLADIMIR CALDERON "/>
    <m/>
  </r>
  <r>
    <n v="2023"/>
    <s v="AGOSTO"/>
    <s v="EL PAICO"/>
    <s v="CID ARAOS"/>
    <s v="CLAUDIO"/>
    <s v="MASCULINO"/>
    <s v="19212600-2"/>
    <d v="2017-10-23T00:00:00"/>
    <n v="69"/>
    <d v="2023-08-22T00:00:00"/>
    <x v="0"/>
    <d v="2023-08-22T00:00:00"/>
    <d v="2023-08-22T00:00:00"/>
    <s v="N/A"/>
    <n v="0"/>
    <x v="0"/>
    <s v="N/A"/>
    <s v="N/A"/>
    <x v="8"/>
    <s v="MANTENIMIENTO"/>
    <s v="COORDINADOR"/>
    <s v="RECEPCIÓN DE POLLO"/>
    <s v="N/A"/>
    <s v="MAÑANA"/>
    <d v="1899-12-30T13:50:00"/>
    <s v="MARTES"/>
    <s v="SEMANA 34"/>
    <n v="15877"/>
    <s v="NC-123-23"/>
    <s v="VICTOR GOMEZ"/>
    <s v="EMANUEL MELLADO"/>
    <n v="27"/>
    <x v="3"/>
    <x v="7"/>
    <x v="3"/>
    <x v="8"/>
    <s v="COLABORADOR SUFRE HERIDA CORTANTE EN ZONA LUMBAR AL TENER CONTACTO CON PERFIL DE ESTRUCTURA METALICA AL PASAR POR BAJO DE CINTA TRANSPORTADORA."/>
    <s v="ACCION"/>
    <s v="SI"/>
    <x v="1"/>
    <s v="ALAN CARRASCO"/>
    <s v="CARLOS CARTAGENA"/>
    <m/>
  </r>
  <r>
    <n v="2023"/>
    <s v="AGOSTO"/>
    <s v="EL PAICO"/>
    <s v="CARVAJAL CEPEDA "/>
    <s v="MICHEL HERNAN"/>
    <s v="MASCULINO"/>
    <s v="17081441-K"/>
    <d v="2017-08-01T00:00:00"/>
    <n v="72"/>
    <d v="2023-08-08T00:00:00"/>
    <x v="0"/>
    <d v="2023-08-08T00:00:00"/>
    <d v="2023-08-13T00:00:00"/>
    <d v="2023-08-14T00:00:00"/>
    <n v="11"/>
    <x v="1"/>
    <s v="LGF"/>
    <s v="LGF2"/>
    <x v="8"/>
    <s v="MANTENIMIENTO"/>
    <s v="COODINADOR"/>
    <s v="IQF4"/>
    <s v="N/A"/>
    <s v="MAÑANA"/>
    <d v="1899-12-30T14:45:00"/>
    <s v="MARTES"/>
    <s v="SEMANA 32"/>
    <n v="15847"/>
    <s v="NC-113-24"/>
    <s v="VICTOR GOMEZ"/>
    <s v="NICOLAS ROJAS"/>
    <n v="35"/>
    <x v="2"/>
    <x v="0"/>
    <x v="2"/>
    <x v="2"/>
    <s v="COLABORADOR SUFRE HERIDA CORTANTE POR ATRAPAMIENTO EN DEDO MEDIO DERECHO, CUANDO SE ENCONTRABA REALIZANDO INSPECCION EN INYECTORA CFS650 EN EL IQF 4"/>
    <s v="ACCION"/>
    <s v="SI"/>
    <x v="1"/>
    <s v="ALAN CARRASCO"/>
    <s v="MICHELLE SANCHEZ"/>
    <m/>
  </r>
  <r>
    <n v="2023"/>
    <s v="AGOSTO"/>
    <s v="EL PAICO"/>
    <s v="CARANCIO NUÑEZ"/>
    <s v="CRISTIAN "/>
    <s v="MASCULINO"/>
    <s v="13247799-K"/>
    <d v="2023-06-01T00:00:00"/>
    <n v="2"/>
    <d v="2023-08-23T00:00:00"/>
    <x v="1"/>
    <s v="N/A"/>
    <s v="N/A"/>
    <s v="N/A"/>
    <n v="0"/>
    <x v="0"/>
    <s v="N/A"/>
    <s v="N/A"/>
    <x v="1"/>
    <s v="IQF CALIBRADO C"/>
    <s v="OPERARIO"/>
    <s v="SALA DE PROCESO"/>
    <s v="N/A"/>
    <s v="INTERMEDIO"/>
    <d v="1899-12-30T16:30:00"/>
    <s v="MIERCOLES"/>
    <s v="SEMANA 34"/>
    <m/>
    <m/>
    <s v="OCTAVIO MUÑOZ"/>
    <s v="MIGUEL HENRRIQUEZ"/>
    <n v="45"/>
    <x v="16"/>
    <x v="0"/>
    <x v="4"/>
    <x v="5"/>
    <s v="COLABORADOR SUFRE TORSION DE DEDO PULGAR IZQUIERDO AL SER GOLPEADO CONTRA BANDEJA CUANDO SE ENCONTRABA ARMANDO PALLETS CON BLOQUES"/>
    <s v="ACCION"/>
    <s v="SI"/>
    <x v="0"/>
    <s v="NICOLAS GOMEZ"/>
    <s v="CHISTIAN JHONS"/>
    <m/>
  </r>
  <r>
    <n v="2023"/>
    <s v="AGOSTO"/>
    <s v="EL PAICO"/>
    <s v="CANTILLANA CARDENAS"/>
    <s v="ACLICIO"/>
    <s v="MASCULINO"/>
    <s v="9868246-5"/>
    <d v="2019-06-24T00:00:00"/>
    <n v="49"/>
    <d v="2023-08-14T00:00:00"/>
    <x v="0"/>
    <s v="N/A"/>
    <s v="N/A"/>
    <s v="N/A"/>
    <n v="0"/>
    <x v="0"/>
    <s v="N/A"/>
    <s v="N/A"/>
    <x v="7"/>
    <s v="REPORTE LINEA ISHIDA "/>
    <s v="OPERARIO"/>
    <s v="ANDEN "/>
    <s v="N/A"/>
    <s v="TARDE"/>
    <d v="1899-12-30T21:00:00"/>
    <s v="LUNES"/>
    <s v="SEMANA 33"/>
    <m/>
    <m/>
    <s v="OCTAVIO MUÑOZ"/>
    <s v="EDGAR HERNANDEZ"/>
    <n v="60"/>
    <x v="0"/>
    <x v="4"/>
    <x v="3"/>
    <x v="4"/>
    <s v="COLABORADOR SUFRE HERIDA ABRASIVA EN PIERNA IZQUIERDA AL SER GOLPEADO POR PALLET QUE CAE DESDE ALTURA CUANDO SE ENCONTRABA MOVILIZANDO ESTOS HACIA ANDEN UTILIZANDO TRANSPALETA MANUAL"/>
    <s v="ACCION"/>
    <s v="SI"/>
    <x v="0"/>
    <s v="ALAN CARRASCO "/>
    <s v="MICHELLE SANCHEZ"/>
    <m/>
  </r>
  <r>
    <n v="2023"/>
    <s v="AGOSTO"/>
    <s v="EL PAICO"/>
    <s v="CANALES NAVARRO"/>
    <s v="AILIN"/>
    <s v="FEMENINO"/>
    <s v="20424089-2"/>
    <d v="2023-08-01T00:00:00"/>
    <n v="0"/>
    <d v="2023-08-21T00:00:00"/>
    <x v="1"/>
    <s v="N/A"/>
    <s v="N/A"/>
    <s v="N/A"/>
    <n v="0"/>
    <x v="0"/>
    <s v="N/A"/>
    <s v="N/A"/>
    <x v="1"/>
    <s v="CALIBRADO"/>
    <s v="OPERARIO"/>
    <s v="CALIBRADO"/>
    <s v="N/A"/>
    <s v="MAÑANA"/>
    <d v="1899-12-30T12:50:00"/>
    <s v="LUNES"/>
    <s v="SEMANA 34"/>
    <m/>
    <m/>
    <s v="OCTAVIO MUÑOZ"/>
    <s v="MIGUEL HENRRIQUEZ"/>
    <n v="23"/>
    <x v="6"/>
    <x v="0"/>
    <x v="1"/>
    <x v="4"/>
    <s v="COLABORADORA DE IQF-CALIBRADO SUFRIO GOLPE EN DEDO ANULAR DE MANO DERECHA POR CAIDA DE UNA PECHIGA CONGELADA DESDE EL CAPACHO UEGO DE QUE ESTE SE LLENARA EN LINEA DE EMPACADO"/>
    <s v="CONDICION"/>
    <s v="SI"/>
    <x v="0"/>
    <s v="ALAN CARRASCO"/>
    <s v="WLADIMIR CALDERON "/>
    <m/>
  </r>
  <r>
    <n v="2023"/>
    <s v="AGOSTO"/>
    <s v="EL PAICO"/>
    <s v="CAMPOS DIAZ"/>
    <s v="PATRICIO"/>
    <s v="MASCULINO"/>
    <s v="11696586-0"/>
    <d v="2018-10-16T00:00:00"/>
    <n v="57"/>
    <d v="2023-08-04T00:00:00"/>
    <x v="0"/>
    <d v="2023-08-04T00:00:00"/>
    <d v="2023-08-04T00:00:00"/>
    <s v="N/A"/>
    <n v="0"/>
    <x v="0"/>
    <s v="N/A"/>
    <s v="N/A"/>
    <x v="6"/>
    <s v="ASEO OPERACIONAL"/>
    <s v="ENCARGADO SSGG"/>
    <s v="ECORILES"/>
    <s v="N/A"/>
    <s v="TARDE"/>
    <d v="1899-12-30T13:45:00"/>
    <s v="VIERNES"/>
    <s v="SEMANA 31"/>
    <n v="15840"/>
    <s v="NC-112-23"/>
    <s v="CARLOS JIMENEZ"/>
    <s v="SERGIO AQUEVEQUE"/>
    <n v="52"/>
    <x v="11"/>
    <x v="2"/>
    <x v="0"/>
    <x v="11"/>
    <s v="COLABORADOR SUFRE PICADURA DE AVEJA EN ROSTRO Y ESPALDA CUANDO SE ENCONTRABA MOVIENDO CARRO QUE SE ENCONTRABA SOBRE PASTO EN SECTOR DE ECORILES"/>
    <s v="CONDICION"/>
    <s v="SI"/>
    <x v="1"/>
    <s v="NICOLAS GOMEZ"/>
    <s v="MICHELLE SANCHEZ"/>
    <m/>
  </r>
  <r>
    <n v="2023"/>
    <s v="AGOSTO"/>
    <s v="EL PAICO"/>
    <s v="CAMACHO CASTELLANOS"/>
    <s v="JESUS"/>
    <s v="MASCULINO"/>
    <s v="27001301-5"/>
    <d v="2021-04-26T00:00:00"/>
    <n v="28"/>
    <d v="2023-09-04T00:00:00"/>
    <x v="0"/>
    <s v="N/A"/>
    <s v="N/A"/>
    <s v="N/A"/>
    <n v="0"/>
    <x v="0"/>
    <s v="N/A"/>
    <s v="N/A"/>
    <x v="5"/>
    <s v="DESHUESADO"/>
    <s v="OPERADOR DE MAQUINA"/>
    <s v="MAQUINA HQ NORTE"/>
    <s v="MAQUINA HQ NORTE"/>
    <s v="TARDE"/>
    <d v="1899-12-30T21:57:00"/>
    <s v="LUNES"/>
    <s v="SEMANA 36"/>
    <m/>
    <m/>
    <s v="DANIEL GARRIDO"/>
    <s v="JOSE CARVALLO"/>
    <n v="25"/>
    <x v="2"/>
    <x v="3"/>
    <x v="0"/>
    <x v="8"/>
    <s v="COLABORADOR SUFRE CORTE EN BOTA DE IZQUIERDA CON CUCHILLO DE TENDON PRESENTE EN MAQUINA HQ NORTE AL MOMENTO DE EMPUJAR UN CARRO DE MAQUINA QUE SE ENCONTRABA ATASCADO "/>
    <s v="ACCION"/>
    <s v="SI"/>
    <x v="0"/>
    <s v="NICOLAS GOMEZ"/>
    <s v="WLADIMIR CALDERON "/>
    <m/>
  </r>
  <r>
    <n v="2023"/>
    <s v="AGOSTO"/>
    <s v="EL PAICO"/>
    <s v="BRAVO SAEZ"/>
    <s v="ALEXIS"/>
    <s v="MASCULINO"/>
    <s v="14006048-8"/>
    <d v="2019-07-29T00:00:00"/>
    <n v="48"/>
    <d v="2023-08-07T00:00:00"/>
    <x v="0"/>
    <s v="N/A"/>
    <s v="N/A"/>
    <s v="N/A"/>
    <n v="0"/>
    <x v="0"/>
    <s v="N/A"/>
    <s v="N/A"/>
    <x v="7"/>
    <s v="PULPAS A"/>
    <s v="MOVILIZADOR"/>
    <s v="DESPACHO FRESCO"/>
    <s v="N/A"/>
    <s v="MAÑANA"/>
    <d v="1899-12-30T12:15:00"/>
    <s v="LUNES"/>
    <s v="SEMANA 32"/>
    <m/>
    <m/>
    <s v="OCTAVIO MUÑOZ"/>
    <s v="MARCOS QUINTANILLA"/>
    <n v="46"/>
    <x v="7"/>
    <x v="1"/>
    <x v="3"/>
    <x v="5"/>
    <s v="COLABORADOR SUFRE HERIDA CORTANTE EN NARIZ AL SER GOLPEADO CONTRA ESTRUCTURA METALICA SOBRESALIENTE DE CARRO METALICO CUANDO SE ENCONTRABA AYUDANDO A GRUERO A SACAR FIERRO DE CARRO QUE SE ENCONTRABA ATASCADO "/>
    <s v="ACCION"/>
    <s v="SI"/>
    <x v="0"/>
    <s v="NICOLAS GOMEZ"/>
    <s v="CHISTIAN JHONS"/>
    <m/>
  </r>
  <r>
    <n v="2023"/>
    <s v="AGOSTO"/>
    <s v="EL PAICO"/>
    <s v="BENOIT"/>
    <s v="RINEL"/>
    <s v="MASCULINO"/>
    <s v="26237764-4"/>
    <d v="2021-11-03T00:00:00"/>
    <n v="21"/>
    <d v="2023-08-10T00:00:00"/>
    <x v="0"/>
    <s v="N/A"/>
    <s v="N/A"/>
    <s v="N/A"/>
    <n v="0"/>
    <x v="0"/>
    <s v="N/A"/>
    <s v="N/A"/>
    <x v="5"/>
    <s v="DESHUESADO"/>
    <s v="OPERARIO"/>
    <s v="DROP POINT"/>
    <s v="EQUIPO PARA MOVIMIENTO DE CARGA (GRUAS O TRANSPALETAS)"/>
    <s v="TARDE"/>
    <d v="1899-12-30T16:45:00"/>
    <s v="JUEVES"/>
    <s v="SEMANA 32"/>
    <m/>
    <m/>
    <s v="DANIEL GARRIDO"/>
    <s v="JOSE CARVALLO"/>
    <n v="37"/>
    <x v="7"/>
    <x v="0"/>
    <x v="1"/>
    <x v="4"/>
    <s v="COLABORADOR SUFRE CONTUSION EN RODILLA DERECHA AL SER GOLPEADO POR EQUIPO DE MOVIMIENTO DE CARGA"/>
    <s v="ACCION"/>
    <s v="SI"/>
    <x v="0"/>
    <s v="NICOLAS GOMEZ"/>
    <s v="MICHELLE SANCHEZ"/>
    <m/>
  </r>
  <r>
    <n v="2023"/>
    <s v="AGOSTO"/>
    <s v="EL PAICO"/>
    <s v="BALLADARES VILLAVICENCIO"/>
    <s v="JORGE"/>
    <s v="MASCULINO"/>
    <s v="17398280-1"/>
    <d v="2008-01-10T00:00:00"/>
    <n v="187"/>
    <d v="2023-08-23T00:00:00"/>
    <x v="0"/>
    <s v="N/A"/>
    <s v="N/A"/>
    <s v="N/A"/>
    <n v="0"/>
    <x v="0"/>
    <s v="N/A"/>
    <s v="N/A"/>
    <x v="4"/>
    <s v="CAMARA"/>
    <s v="OPERARIO"/>
    <s v="DESPACHO CONGELADO"/>
    <s v="N/A"/>
    <s v="MAÑANA"/>
    <d v="1899-12-30T12:30:00"/>
    <s v="MIERCOLES"/>
    <s v="SEMANA 34"/>
    <m/>
    <m/>
    <s v="FRANCISCO QUEZADA"/>
    <s v="ALEJANDRO TORRES"/>
    <n v="33"/>
    <x v="14"/>
    <x v="0"/>
    <x v="4"/>
    <x v="4"/>
    <s v="COLABORADOR SUFRE TORSIÓN EN MUÑECA IZQUIERDA AL SER GOLPEADO POR CAJA QUE CAE DESDE PALLETS CUANDO SE ENCONTRABA REPARANDO CAJAS"/>
    <s v="ACCION"/>
    <s v="SI"/>
    <x v="0"/>
    <s v="ALAN CARRASCO"/>
    <s v="CHISTIAN JHONS"/>
    <m/>
  </r>
  <r>
    <n v="2023"/>
    <s v="AGOSTO"/>
    <s v="EL PAICO"/>
    <s v="AHUMADA CASTILLO"/>
    <s v="JUAN"/>
    <s v="MASCULINO"/>
    <s v="18096461-4"/>
    <d v="2022-07-12T00:00:00"/>
    <n v="13"/>
    <d v="2023-08-12T00:00:00"/>
    <x v="2"/>
    <s v="N/A"/>
    <s v="N/A"/>
    <s v="N/A"/>
    <n v="0"/>
    <x v="0"/>
    <s v="LGF"/>
    <s v="LGF6"/>
    <x v="8"/>
    <s v="MANTENIMIENTO"/>
    <s v="ELECTRICO"/>
    <s v="TALLER MANTENIMIENTO"/>
    <s v="N/A"/>
    <s v="TARDE"/>
    <d v="1899-12-30T21:40:00"/>
    <s v="SABADO"/>
    <s v="SEMANA 32"/>
    <m/>
    <m/>
    <s v="VICTOR GOMEZ"/>
    <s v="EMANUEL MELLADO"/>
    <n v="31"/>
    <x v="18"/>
    <x v="8"/>
    <x v="0"/>
    <x v="14"/>
    <s v="COLABORADOR SUFRE GOLPE DE CORRIENTE EN MANO IZQUIERDA POR CONTACTO CON TABLERO DE PRUEBA"/>
    <s v="ACCION"/>
    <s v="SI"/>
    <x v="0"/>
    <s v="ALAN CARRASCO"/>
    <s v="MICHELLE SANCHEZ"/>
    <m/>
  </r>
  <r>
    <n v="2023"/>
    <s v="AGOSTO"/>
    <s v="EL PAICO"/>
    <s v="AHUMADA CARRASCO "/>
    <s v="BENJAMIN"/>
    <s v="MASCULINO"/>
    <s v="20783005-4"/>
    <d v="2022-11-11T00:00:00"/>
    <n v="9"/>
    <d v="2023-08-21T00:00:00"/>
    <x v="2"/>
    <s v="N/A"/>
    <s v="N/A"/>
    <s v="N/A"/>
    <n v="0"/>
    <x v="0"/>
    <s v="N/A"/>
    <s v="N/A"/>
    <x v="2"/>
    <s v="EVISCERADO"/>
    <s v="OPERARIO"/>
    <s v="EVISCERADO  "/>
    <s v="N/A"/>
    <s v="TARDE"/>
    <d v="1899-12-30T17:30:00"/>
    <s v="LUNES"/>
    <s v="SEMANA 34"/>
    <m/>
    <m/>
    <s v="NICOLAS MOYANO"/>
    <s v="ERWIN GATICA"/>
    <n v="22"/>
    <x v="1"/>
    <x v="0"/>
    <x v="4"/>
    <x v="4"/>
    <s v="COLABORADOR SUFRE TORSION EN MUÑECA DERECHA AL GOLPEARSE CONTRA BARANDA DE ESCALERA QUE SE ENCUENTRA EN SALA DE EVISCERADO"/>
    <s v="ACCION"/>
    <s v="SI"/>
    <x v="0"/>
    <s v="NICOLAS GOMEZ"/>
    <s v="WLADIMIR CALDERON "/>
    <m/>
  </r>
  <r>
    <n v="2023"/>
    <s v="AGOSTO"/>
    <s v="EL PAICO"/>
    <s v="AGUILERA SERRANO"/>
    <s v="MARITZA"/>
    <s v="FEMENINO"/>
    <s v="12859577-5"/>
    <d v="2016-12-16T00:00:00"/>
    <n v="80"/>
    <d v="2023-08-17T00:00:00"/>
    <x v="0"/>
    <d v="2023-08-17T00:00:00"/>
    <d v="2023-08-17T00:00:00"/>
    <d v="2023-08-23T00:00:00"/>
    <n v="3"/>
    <x v="1"/>
    <s v="LGF"/>
    <s v="LGF8"/>
    <x v="7"/>
    <s v="REPORTE LINEA ISHIDA"/>
    <s v="OPERARIO"/>
    <s v="REPORTE DE CAJAS"/>
    <s v="MAQUINA MONTEZA"/>
    <s v="MAÑANA"/>
    <d v="1899-12-30T12:20:00"/>
    <s v="JUEVES"/>
    <s v="SEMANA 33"/>
    <n v="15872"/>
    <s v="NC-120-23"/>
    <s v="OCTAVIO MUÑOZ"/>
    <s v="MARCOS QUINTANILLA"/>
    <n v="48"/>
    <x v="2"/>
    <x v="8"/>
    <x v="6"/>
    <x v="10"/>
    <s v="COLABORADORA SUFRE QUEMADURA EN ANTE BRAZO DERECHO POR CONTACTO CON ESTRUCTURA METALICA AL SACAR CAJA DE PRDUCTO QUE SE ENCONTRABA DENTRO DE MAQUINA MONTEZA ESTO DEBIDO AL CORTE DE ENERGIA EN LA PLANTA."/>
    <s v="ACCION"/>
    <s v="SI"/>
    <x v="1"/>
    <s v="NICOLAS GOMEZ"/>
    <s v="MICHELLE SANCHEZ"/>
    <m/>
  </r>
  <r>
    <n v="2023"/>
    <s v="SEPTIEMBRE"/>
    <s v="EL PAICO"/>
    <s v="SEPULVEDA SOTO"/>
    <s v="NELLY"/>
    <s v="FEMENINO"/>
    <s v="9455533-7"/>
    <d v="2019-12-09T00:00:00"/>
    <n v="45"/>
    <d v="2023-09-12T00:00:00"/>
    <x v="0"/>
    <d v="2023-09-13T00:00:00"/>
    <d v="2023-09-13T00:00:00"/>
    <s v="N/A"/>
    <n v="0"/>
    <x v="0"/>
    <s v="N/A"/>
    <s v="N/A"/>
    <x v="6"/>
    <s v="ASEO OPERACIONAL"/>
    <s v="OPERARIO"/>
    <s v="IQF 4"/>
    <s v="N/A"/>
    <s v="TARDE"/>
    <d v="1899-12-30T17:20:00"/>
    <s v="MARTES"/>
    <s v="SEMANA 37"/>
    <n v="15917"/>
    <s v="NC-132-23"/>
    <s v="CARLOS JIMENEZ"/>
    <s v="ALVARO ABARCA"/>
    <n v="58"/>
    <x v="1"/>
    <x v="7"/>
    <x v="1"/>
    <x v="1"/>
    <s v="COLABORADORA SUFRE CAIDA MISMO NIVEL CUANDO AL PISAR SUPERFICIE DE TRANSITO QUE SE ENCONTRABA SIN REJA DE PROTECCION DE DESAHUE EN PASILLO DE IQF4"/>
    <s v="CONDICION"/>
    <s v="SI"/>
    <x v="1"/>
    <s v="ALAN CARRASCO"/>
    <s v="CHISTIAN JHONS"/>
    <m/>
  </r>
  <r>
    <n v="2023"/>
    <s v="SEPTIEMBRE"/>
    <s v="EL PAICO"/>
    <s v="ROSALES MALDONADO"/>
    <s v="JESUS"/>
    <s v="MASCULINO"/>
    <s v="17225475-6"/>
    <d v="2022-09-22T00:00:00"/>
    <n v="11"/>
    <d v="2023-09-11T00:00:00"/>
    <x v="2"/>
    <s v="N/A"/>
    <s v="N/A"/>
    <s v="N/A"/>
    <n v="0"/>
    <x v="0"/>
    <s v="N/A"/>
    <s v="N/A"/>
    <x v="8"/>
    <s v="MANTENCION"/>
    <s v="ELECTRICO"/>
    <s v="ESACALERA MAQUINA HQ NORTE"/>
    <s v="N/A"/>
    <s v="MAÑANA"/>
    <d v="1899-12-30T14:45:00"/>
    <s v="LUNES"/>
    <s v="SEMANA 37"/>
    <m/>
    <m/>
    <s v="VICTOR GOMEZ"/>
    <s v="CLAUDIO CID"/>
    <n v="34"/>
    <x v="1"/>
    <x v="4"/>
    <x v="0"/>
    <x v="13"/>
    <s v="COLABORADOR SUFRE DOLOR EN PIERNA IZQUIERDA AL RESBALAR CUANDO SE ENCONTRABA BAJANDO DE ESCALERA EN MAQUINA HQ NORTE"/>
    <s v="CONDICION"/>
    <s v="SI"/>
    <x v="0"/>
    <s v="NICOLAS GOMEZ"/>
    <s v="CARLOS CARTAGENA"/>
    <m/>
  </r>
  <r>
    <n v="2023"/>
    <s v="SEPTIEMBRE"/>
    <s v="EL PAICO"/>
    <s v="ROJAS QUINTERO"/>
    <s v="MARIO"/>
    <s v="MASCULINO"/>
    <s v="16342271-9"/>
    <d v="2023-07-03T00:00:00"/>
    <n v="2"/>
    <d v="2023-09-14T00:00:00"/>
    <x v="1"/>
    <s v="N/A"/>
    <s v="N/A"/>
    <s v="N/A"/>
    <n v="0"/>
    <x v="0"/>
    <s v="N/A"/>
    <s v="N/A"/>
    <x v="4"/>
    <s v="CAMARA"/>
    <s v="OPERARIO"/>
    <s v="SALA DE EMPAQUE"/>
    <s v="N/A"/>
    <s v="TARDE"/>
    <d v="1899-12-30T15:00:00"/>
    <s v="JUEVES"/>
    <s v="SEMANA 37"/>
    <m/>
    <m/>
    <s v="FRANCISCO QUEZADA"/>
    <s v="MAURICIO HERNANDEZ"/>
    <n v="43"/>
    <x v="14"/>
    <x v="7"/>
    <x v="0"/>
    <x v="0"/>
    <s v="CLABORADOR SUFRE DOLOR EN PARILLA COSTAL DERECHA POR SOBREESFUERZO CUANDO SE ENCONTRABA REARMANDO PALLETS CON CAJAS"/>
    <s v="ACCION"/>
    <s v="SI"/>
    <x v="0"/>
    <s v="ALAN CARRASCO"/>
    <s v="WLADIMIR CALDERON "/>
    <m/>
  </r>
  <r>
    <n v="2023"/>
    <s v="SEPTIEMBRE"/>
    <s v="EL PAICO"/>
    <s v="RIQUELME ZUÑIGA"/>
    <s v="VICTOR"/>
    <s v="MASCULINO"/>
    <s v="20654845-2"/>
    <d v="2022-02-03T00:00:00"/>
    <n v="19"/>
    <d v="2023-09-12T00:00:00"/>
    <x v="0"/>
    <s v="N/A"/>
    <s v="N/A"/>
    <s v="N/A"/>
    <n v="0"/>
    <x v="0"/>
    <s v="N/A"/>
    <s v="N/A"/>
    <x v="4"/>
    <s v="CAMARA"/>
    <s v="MOVILIZADOR"/>
    <s v="PUERTA DE TUNEL 6"/>
    <s v="N/A"/>
    <s v="MAÑANA"/>
    <d v="1899-12-30T06:30:00"/>
    <s v="MARTES"/>
    <s v="SEMANA 37"/>
    <m/>
    <m/>
    <s v="FRANCISCO QUEZADA"/>
    <s v="ALEJANDRO TORRES"/>
    <n v="22"/>
    <x v="3"/>
    <x v="0"/>
    <x v="1"/>
    <x v="5"/>
    <s v="COLABORADOR SUFRE CONTUSION EN DEDO INDICE DERECHO AL SER GOLPEADO CONTRA PUERTA DE TUNEL 6, CUANDO SE ENCONTRABA ABRIENDO ESTA QUE SE ENCONTRABA CON HIELO."/>
    <s v="ACCION"/>
    <s v="SI"/>
    <x v="0"/>
    <s v="NICOLAS GOMEZ"/>
    <s v="CHISTIAN JHONS"/>
    <m/>
  </r>
  <r>
    <n v="2023"/>
    <s v="SEPTIEMBRE"/>
    <s v="EL PAICO"/>
    <s v="ACEVEDO VIDAL"/>
    <s v="KEVIN"/>
    <s v="MASCULINO"/>
    <s v="17802680-1"/>
    <d v="2023-09-04T00:00:00"/>
    <n v="0"/>
    <d v="2023-09-15T00:00:00"/>
    <x v="1"/>
    <s v="N/A"/>
    <s v="N/A"/>
    <s v="N/A"/>
    <n v="0"/>
    <x v="0"/>
    <s v="N/A"/>
    <s v="N/A"/>
    <x v="7"/>
    <s v="PULPA"/>
    <s v="OPERARIO"/>
    <s v="SALA DE PULPA"/>
    <s v="EQUIPO PARA MOVIMIENTO DE CARGA (GRUAS O TRANSPALETAS)"/>
    <s v="TARDE"/>
    <d v="1899-12-30T14:30:00"/>
    <s v="VIERNES"/>
    <s v="SEMANA 37"/>
    <m/>
    <m/>
    <s v="OCTAVIO MUÑOZ"/>
    <s v="MARCOS QUINTANILLA"/>
    <n v="33"/>
    <x v="7"/>
    <x v="4"/>
    <x v="1"/>
    <x v="5"/>
    <s v="COLABORADOR SUFRE CONTUSION EN PIERNA DERECHA A SER GOLPEADO CONTRA TRANSPALETA MANUAL CUANDO SE ENCONTRABA POSICIONANDO PALLETS"/>
    <s v="ACCION"/>
    <s v="SI"/>
    <x v="0"/>
    <s v="ALAN CARRASCO"/>
    <s v="CARLOS CARTAGENA"/>
    <m/>
  </r>
  <r>
    <n v="2023"/>
    <s v="SEPTIEMBRE"/>
    <s v="EL PAICO"/>
    <s v="MIRANDA LOYOLA"/>
    <s v="CAMILA "/>
    <s v="FEMENINO"/>
    <s v="21797530-1"/>
    <d v="2023-03-27T00:00:00"/>
    <n v="5"/>
    <d v="2023-09-21T00:00:00"/>
    <x v="1"/>
    <s v="N/A"/>
    <s v="N/A"/>
    <s v="N/A"/>
    <n v="0"/>
    <x v="0"/>
    <s v="N/A"/>
    <s v="N/A"/>
    <x v="4"/>
    <s v="CAMARA"/>
    <s v="OPERARIO"/>
    <s v="SALA DE EMPAQUE"/>
    <s v="EQUIPO PARA MOVIMIENTO DE CARGA (GRUAS O TRANSPALETAS)"/>
    <s v="TARDE"/>
    <d v="1899-12-30T14:55:00"/>
    <s v="JUEVES"/>
    <s v="SEMANA 38"/>
    <m/>
    <m/>
    <s v="FRANCISCO QUEZADA"/>
    <s v="ALEJANDRO TORRES"/>
    <n v="18"/>
    <x v="7"/>
    <x v="10"/>
    <x v="1"/>
    <x v="5"/>
    <s v="COLABORADORA SUFRE CONTUSION EN REGION DERECHO SUPERIOR DEL TORAX AL SER GOLPEADO CONTRA MANILLA DE TRANSPALETA "/>
    <s v="ACCION"/>
    <s v="SI"/>
    <x v="0"/>
    <s v="NICOLAS GOMEZ"/>
    <s v="MICHELLE SANCHEZ"/>
    <m/>
  </r>
  <r>
    <n v="2023"/>
    <s v="SEPTIEMBRE"/>
    <s v="EL PAICO"/>
    <s v="PAREDES JEREZ"/>
    <s v="MARIA"/>
    <s v="FEMENINO"/>
    <s v="8390041-5"/>
    <d v="2021-06-01T00:00:00"/>
    <n v="27"/>
    <d v="2023-09-21T00:00:00"/>
    <x v="0"/>
    <s v="N/A"/>
    <s v="N/A"/>
    <s v="N/A"/>
    <n v="0"/>
    <x v="0"/>
    <s v="N/A"/>
    <s v="N/A"/>
    <x v="5"/>
    <s v="DESHUESADO"/>
    <s v="OPERARIO"/>
    <s v="LINEA DE PROLIJADO"/>
    <s v="N/A"/>
    <s v="TARDE"/>
    <d v="1899-12-30T14:55:00"/>
    <s v="JUEVES"/>
    <s v="SEMANA 38"/>
    <m/>
    <m/>
    <s v="DANIEL GARRIDO"/>
    <s v="JOSE CARVALLO"/>
    <n v="55"/>
    <x v="1"/>
    <x v="2"/>
    <x v="1"/>
    <x v="1"/>
    <s v="COLABORADORA SUFRE CONTUSION EN ANTEBRAZO DERECHO Y ZONA LUMABAR POR CAIDA MISMO NIVEL AL RESBALAR CON RESTOS CARNICOS QUE SE ENCONTRABAN EN SUPERFICIE DE TRANSITO "/>
    <s v="CONDICION"/>
    <s v="NO"/>
    <x v="0"/>
    <s v="NICOLAS GOMEZ"/>
    <s v="MICHELLE SANCHEZ"/>
    <m/>
  </r>
  <r>
    <n v="2023"/>
    <s v="SEPTIEMBRE"/>
    <s v="EL PAICO"/>
    <s v="MIRANDA LOYOLA"/>
    <s v="CAMILA "/>
    <s v="FEMENINO"/>
    <s v="21797530-1"/>
    <d v="2023-03-27T00:00:00"/>
    <n v="5"/>
    <d v="2023-09-21T00:00:00"/>
    <x v="1"/>
    <s v="N/A"/>
    <s v="N/A"/>
    <s v="N/A"/>
    <n v="0"/>
    <x v="0"/>
    <s v="N/A"/>
    <s v="N/A"/>
    <x v="4"/>
    <s v="CAMARA"/>
    <s v="OPERARIO"/>
    <s v="SALA DE EMPAQUE"/>
    <s v="N/A"/>
    <s v="TARDE"/>
    <d v="1899-12-30T20:45:00"/>
    <s v="JUEVES"/>
    <s v="SEMANA 38"/>
    <m/>
    <m/>
    <s v="FRANCISCO QUEZADA"/>
    <s v="ALEJANDRO TORRES"/>
    <n v="18"/>
    <x v="14"/>
    <x v="9"/>
    <x v="1"/>
    <x v="4"/>
    <s v="COLABORADORA SUFRE CONTUSION EN ZONA PARIETAL DERECHA AL SER GOLPEADA POR CAJA QUE CAE DESDE PALLETS CUANDO SE ENCONTRABA SACANDO UNA CAJA QUE SE ENCONTRABA ROTA"/>
    <s v="ACCION"/>
    <s v="SI"/>
    <x v="0"/>
    <s v="NICOLAS GOMEZ"/>
    <s v="MICHELLE SANCHEZ"/>
    <m/>
  </r>
  <r>
    <n v="2023"/>
    <s v="SEPTIEMBRE"/>
    <s v="EL PAICO"/>
    <s v="MARTINEZ ARIAS"/>
    <s v="FRANCISCO"/>
    <s v="MASCULINO"/>
    <s v="18216441-0"/>
    <d v="2019-12-02T00:00:00"/>
    <n v="45"/>
    <d v="2023-09-22T00:00:00"/>
    <x v="0"/>
    <s v="N/A"/>
    <s v="N/A"/>
    <s v="N/A"/>
    <n v="0"/>
    <x v="0"/>
    <s v="N/A"/>
    <s v="N/A"/>
    <x v="2"/>
    <s v="EVISCERADO"/>
    <s v="OPERARIO"/>
    <s v="EVISCERADO"/>
    <s v="N/A"/>
    <s v="TARDE"/>
    <d v="1899-12-30T15:30:00"/>
    <s v="VIERNES"/>
    <s v="SEMANA 39"/>
    <m/>
    <m/>
    <s v="NICOLAS MOYANO"/>
    <s v="ANTONIO RIVAS"/>
    <n v="31"/>
    <x v="13"/>
    <x v="0"/>
    <x v="3"/>
    <x v="8"/>
    <s v="COLABORADOR SUFRE HERIDA CORTANTE EN MANO DERECHA AL TENER CONTACTO CON CUCHILLO CUANDO SE ENCONTRABA LAVANDO SUS MANOS"/>
    <s v="ACCION"/>
    <s v="SI"/>
    <x v="0"/>
    <s v="NICOLAS GOMEZ"/>
    <s v="WLADIMIR CALDERON "/>
    <m/>
  </r>
  <r>
    <n v="2023"/>
    <s v="SEPTIEMBRE"/>
    <s v="EL PAICO"/>
    <s v="FREMIAU"/>
    <s v="MYRTHIL"/>
    <s v="MASCULINO"/>
    <s v="26431200-0"/>
    <d v="2022-11-07T00:00:00"/>
    <n v="10"/>
    <d v="2023-09-23T00:00:00"/>
    <x v="2"/>
    <s v="N/A"/>
    <s v="N/A"/>
    <s v="N/A"/>
    <n v="0"/>
    <x v="0"/>
    <s v="N/A"/>
    <s v="N/A"/>
    <x v="6"/>
    <s v="ASEO ZONA LIMPIA"/>
    <s v="OPERARIO"/>
    <s v="TROZADOD DE POLLO"/>
    <s v="N/A"/>
    <s v="NOCHE"/>
    <d v="1899-12-30T02:34:00"/>
    <s v="SABADO"/>
    <s v="SEMANA 39"/>
    <m/>
    <m/>
    <s v="CARLOS JIMENEZ"/>
    <s v="PATRICIO PALACIOS"/>
    <n v="46"/>
    <x v="12"/>
    <x v="0"/>
    <x v="3"/>
    <x v="13"/>
    <s v="COLABORADOR SUFRE HERIDA CORTANTE EN MUÑECA IZQUIERDA AL TENER CONTACTO CON CHORRO DE AGUA PROVENIENTE DESDE HIDROLAVADORA MIENTRAS REALIZABA ASEO PREOPERACIONAL"/>
    <s v="ACCION"/>
    <s v="SI"/>
    <x v="0"/>
    <s v="ALAN CARRASCO"/>
    <s v="WLADIMIR CALDERON "/>
    <m/>
  </r>
  <r>
    <n v="2023"/>
    <s v="SEPTIEMBRE"/>
    <s v="EL PAICO"/>
    <s v="OTAROLA OGALDE"/>
    <s v="CAROLINA"/>
    <s v="FEMENINO"/>
    <s v="13919701-1"/>
    <d v="2021-05-03T00:00:00"/>
    <n v="28"/>
    <d v="2023-09-23T00:00:00"/>
    <x v="0"/>
    <s v="N/A"/>
    <s v="N/A"/>
    <s v="N/A"/>
    <n v="0"/>
    <x v="0"/>
    <s v="N/A"/>
    <s v="N/A"/>
    <x v="5"/>
    <s v="TROZADO AUTOMATICO"/>
    <s v="OPERARIO"/>
    <s v="LINEA 2 SELECCIÓN DE ALA MEDIA"/>
    <s v="N/A"/>
    <s v="MAÑANA"/>
    <d v="1899-12-30T14:45:00"/>
    <s v="SABADO"/>
    <s v="SEMANA 39"/>
    <m/>
    <m/>
    <s v="DANIEL GARRIDO"/>
    <s v="RAMIRO RAMIREZ"/>
    <n v="42"/>
    <x v="3"/>
    <x v="9"/>
    <x v="1"/>
    <x v="4"/>
    <s v="COLABORADORA SUFRE CONTUSION EN ZONA PARIETAL IZQUIERDA AL SER GOLPEADA POR GANCHO METALICO QUE CAE DESDE LINEA 2 CUANDO SE ENCONTRABA DESARROLLANDO LABORES DE SELECCIÓN DE ALA MEDIA"/>
    <s v="CONDICION"/>
    <s v="SI"/>
    <x v="0"/>
    <s v="ALAN CARRASCO"/>
    <s v="CHISTIAN JHONS"/>
    <m/>
  </r>
  <r>
    <n v="2023"/>
    <s v="SEPTIEMBRE"/>
    <s v="EL PAICO"/>
    <s v="TORO CANIULAO"/>
    <s v="JUAN"/>
    <s v="MASCULINO"/>
    <s v="20464275-3"/>
    <d v="2020-06-16T00:00:00"/>
    <n v="39"/>
    <d v="2023-09-25T00:00:00"/>
    <x v="0"/>
    <d v="2023-09-25T00:00:00"/>
    <d v="2023-09-25T00:00:00"/>
    <s v="N/A"/>
    <n v="0"/>
    <x v="0"/>
    <s v="N/A"/>
    <s v="N/A"/>
    <x v="1"/>
    <s v="IQF CALIBRADO B"/>
    <s v="OPERARIO"/>
    <s v="IQF 1"/>
    <s v="N/A"/>
    <s v="MAÑANA"/>
    <d v="1899-12-30T13:30:00"/>
    <s v="LUNES"/>
    <s v="SEMANA 39"/>
    <n v="15930"/>
    <s v="NC-133-23"/>
    <s v="OCTAVIO MUÑOZ"/>
    <s v="MAXIMO CAMPOS"/>
    <n v="23"/>
    <x v="19"/>
    <x v="0"/>
    <x v="3"/>
    <x v="8"/>
    <s v="COLABORADOR SUFRE HERIDA CORTANTE EN DEDO ANULAR IZQUIERDO POR CONTACTO CON HERRAMIENTA DE MANO CARTONERO DE SEGURIDAD EL EVENTO SE PRODUJO CUANDO SE ENCONTRABA CAMBIANDO ROLLLO DE FILMS DE CINTA SUPER CONTAC"/>
    <s v="ACCION"/>
    <s v="SI"/>
    <x v="1"/>
    <s v="NICOLAS GOMEZ"/>
    <s v="MICHELLE SANCHEZ"/>
    <m/>
  </r>
  <r>
    <n v="2023"/>
    <s v="SEPTIEMBRE"/>
    <s v="EL PAICO"/>
    <s v="ARAVENA NUÑEZ"/>
    <s v="ROCÍO"/>
    <s v="FEMENINO"/>
    <s v="20060554-3"/>
    <d v="2023-03-20T00:00:00"/>
    <n v="6"/>
    <d v="2023-09-26T00:00:00"/>
    <x v="1"/>
    <s v="N/A"/>
    <s v="N/A"/>
    <s v="N/A"/>
    <n v="0"/>
    <x v="0"/>
    <s v="N/A"/>
    <s v="N/A"/>
    <x v="4"/>
    <s v="CÁMARA"/>
    <s v="OPERARIO"/>
    <s v="SALA DE EMPAQUE"/>
    <s v="N/A"/>
    <s v="MAÑANA"/>
    <d v="1899-12-30T09:45:00"/>
    <s v="SABADO"/>
    <s v="SEMANA 39"/>
    <m/>
    <m/>
    <s v="FRANCISCO QUEZADA"/>
    <s v="ALEJANDRO TORRES"/>
    <n v="24"/>
    <x v="0"/>
    <x v="5"/>
    <x v="5"/>
    <x v="7"/>
    <s v="COLABORADORA SUFRE MOLESTIA OCULAR POR PROYECCION DE PARTICULAS SOLIDAS EN OJO IZQUIERDO CUANDO SE ENCONTRABA ARMANDO UN PALLETS"/>
    <s v="ACCION"/>
    <s v="SI"/>
    <x v="0"/>
    <s v="NICOLAS GOMEZ"/>
    <s v="WLADIMIR CALDERON "/>
    <m/>
  </r>
  <r>
    <n v="2023"/>
    <s v="OCTUBRE"/>
    <s v="EL PAICO"/>
    <s v="ESPINOZA ORELLANA"/>
    <s v="BENJAMIN"/>
    <s v="MASCULINO"/>
    <s v="21389844-2"/>
    <d v="2023-08-28T00:00:00"/>
    <n v="1"/>
    <d v="2023-10-02T00:00:00"/>
    <x v="1"/>
    <d v="2023-10-02T00:00:00"/>
    <d v="2023-10-07T00:00:00"/>
    <s v="N/A"/>
    <n v="6"/>
    <x v="1"/>
    <s v="LGF"/>
    <s v="LGF2"/>
    <x v="2"/>
    <s v="EVISERADO"/>
    <s v="OPERARIO"/>
    <s v="EVISCERADO"/>
    <s v="REPASADORA DE CONTRES"/>
    <s v="MAÑANA"/>
    <d v="1899-12-30T11:15:00"/>
    <s v="LUNES"/>
    <s v="SEMANA 40"/>
    <n v="15945"/>
    <s v="NC-135-23"/>
    <s v="NICOLAS MOYANO"/>
    <s v="CESAR CARTAGENA"/>
    <n v="20"/>
    <x v="2"/>
    <x v="0"/>
    <x v="2"/>
    <x v="2"/>
    <s v="COLABORADOR SUFRE HERIDA POR ATRICIÓN EN PALMA DE MANO IZQUIERDA POR ATRAPAMIENTO CON RODILLOS DE MAQUINA REPASADORA DE CONTRES"/>
    <s v="CONDICION"/>
    <s v="SI"/>
    <x v="1"/>
    <s v="ALAN CARRASCO"/>
    <s v="CHRISTIAN JHONS"/>
    <m/>
  </r>
  <r>
    <n v="2023"/>
    <s v="OCTUBRE"/>
    <s v="EL PAICO"/>
    <s v="ARAVENA NUÑEZ"/>
    <s v="ROCÍO"/>
    <s v="FEMENINO"/>
    <s v="20060554-3"/>
    <d v="2023-03-20T00:00:00"/>
    <n v="6"/>
    <d v="2023-10-02T00:00:00"/>
    <x v="1"/>
    <s v="N/A"/>
    <s v="N/A"/>
    <s v="N/A"/>
    <n v="0"/>
    <x v="0"/>
    <s v="N/A"/>
    <s v="N/A"/>
    <x v="4"/>
    <s v="CÁMARA"/>
    <s v="OPERARIO"/>
    <s v="SALA DE EMPAQUE"/>
    <s v="N/A"/>
    <s v="TARDE"/>
    <d v="1899-12-30T21:20:00"/>
    <s v="LUNES"/>
    <s v="SEMANA 40"/>
    <m/>
    <m/>
    <s v="FRANCISCO QUEZADA"/>
    <s v="ALEJANDRO TORRES"/>
    <n v="24"/>
    <x v="4"/>
    <x v="4"/>
    <x v="1"/>
    <x v="1"/>
    <s v="COLABORADORA SUFRE CONTUSION EN RODILLA IZQUIERDA POR CAIDA MISMO NIVEL AL RESBALAR PROPUCTO DE HIELO PRESENTE EN SUPERFICIE DE TRABAJO CUANDO SE ENCONTRABA ENVOLVIENDO PALLETS CON FILMS"/>
    <s v="CONDICION"/>
    <s v="SI"/>
    <x v="0"/>
    <s v="NICOLAS GOMEZ"/>
    <s v="CARLOS CARTAGENA"/>
    <m/>
  </r>
  <r>
    <n v="2023"/>
    <s v="OCTUBRE"/>
    <s v="EL PAICO"/>
    <s v="MIRANDA LOYOLA"/>
    <s v="CAMILA "/>
    <s v="FEMENINO"/>
    <s v="21797530-1"/>
    <d v="2023-03-27T00:00:00"/>
    <n v="6"/>
    <d v="2023-10-17T00:00:00"/>
    <x v="1"/>
    <d v="2023-10-18T00:00:00"/>
    <d v="2023-10-18T00:00:00"/>
    <s v="N/A"/>
    <n v="0"/>
    <x v="0"/>
    <s v="N/A"/>
    <s v="N/A"/>
    <x v="4"/>
    <s v="CÁMARA"/>
    <s v="OPERARIO"/>
    <s v="SALA DE EMPAQUE"/>
    <s v="N/A"/>
    <s v="TARDE"/>
    <d v="1899-12-30T21:55:00"/>
    <s v="MARTES"/>
    <s v="SEMANA 42"/>
    <n v="15970"/>
    <s v="NC-148-23"/>
    <s v="FRANCISCO QUEZADA"/>
    <s v="ALEJANDRO TORRES"/>
    <n v="18"/>
    <x v="14"/>
    <x v="9"/>
    <x v="1"/>
    <x v="4"/>
    <s v="COLABORADORA SUFRE CONTUSIÓN EN CABEZA AL SER GOLPEADA POR CAJA CON PRODUCTO QUE CAE DESDE PALLETS CUANDO SE ENCONTRABA ACOMODANDO PALLETS EN SALA DE EMPAQUE "/>
    <s v="ACCION"/>
    <s v="SI"/>
    <x v="1"/>
    <s v="NICOLAS GOMEZ"/>
    <s v="WLADIMIR CALDERON "/>
    <m/>
  </r>
  <r>
    <n v="2023"/>
    <s v="OCTUBRE"/>
    <s v="EL PAICO"/>
    <s v="BENOIT"/>
    <s v="RINEL"/>
    <s v="MASCULINO"/>
    <s v="26237764-4"/>
    <d v="2021-11-03T00:00:00"/>
    <n v="23"/>
    <d v="2023-10-19T00:00:00"/>
    <x v="0"/>
    <s v="N/A"/>
    <s v="N/A"/>
    <s v="N/A"/>
    <n v="0"/>
    <x v="0"/>
    <s v="N/A"/>
    <s v="N/A"/>
    <x v="5"/>
    <s v="DESHUESADO"/>
    <s v="OPERARIO"/>
    <s v="SALA DE DESHUESADO"/>
    <s v="N/A"/>
    <s v="TARDE"/>
    <d v="1899-12-30T20:00:00"/>
    <s v="JUEVES"/>
    <s v="SEMANA 42"/>
    <m/>
    <m/>
    <s v="DANIEL GARRIDO"/>
    <s v="JOSE CARVALLO"/>
    <n v="37"/>
    <x v="16"/>
    <x v="4"/>
    <x v="1"/>
    <x v="4"/>
    <s v="COLABORADOR SUFRE CONTUSÓN EN PIERNA DERECHA AL SER GOLPEADO POR BANDEJAS Y BARRERA DE CONTECIÓN"/>
    <s v="ACCION"/>
    <s v="SI"/>
    <x v="0"/>
    <s v="NICOLAS GOMEZ"/>
    <s v="CHISTIAN JHONS"/>
    <m/>
  </r>
  <r>
    <n v="2023"/>
    <s v="OCTUBRE"/>
    <s v="EL PAICO"/>
    <s v="ROSALES MALDONADO"/>
    <s v="JESUS"/>
    <s v="MASCULINO"/>
    <s v="17225475-6"/>
    <d v="2022-09-22T00:00:00"/>
    <n v="13"/>
    <d v="2023-10-22T00:00:00"/>
    <x v="2"/>
    <s v="N/A"/>
    <s v="N/A"/>
    <s v="N/A"/>
    <n v="0"/>
    <x v="0"/>
    <s v="N/A"/>
    <s v="N/A"/>
    <x v="8"/>
    <s v="MANTENCION"/>
    <s v="ELECTRICO"/>
    <s v="RECEPCIÓN DE POLLO"/>
    <s v="N/A"/>
    <s v="MAÑANA"/>
    <d v="1899-12-30T12:00:00"/>
    <s v="DOMINGO"/>
    <s v="SEMANA 42"/>
    <m/>
    <m/>
    <s v="VICTOR GOMEZ"/>
    <s v="EMANUEL MELLADO"/>
    <n v="34"/>
    <x v="2"/>
    <x v="0"/>
    <x v="4"/>
    <x v="4"/>
    <s v="COLABOROR SUFRE TORSION EN MUÑECA DERECHA AL SER GOLPEADO POR MOTOR CUANDO SE ENCONTRABA TRANSLADANDOLO POR ESACALERAS EN SALA DE RECEPCION DE POLLO"/>
    <s v="ACCION"/>
    <s v="SI"/>
    <x v="0"/>
    <s v="NICOLAS GOMEZ"/>
    <s v="ERIKA AGUILAR"/>
    <m/>
  </r>
  <r>
    <n v="2023"/>
    <s v="OCTUBRE"/>
    <s v="EL PAICO"/>
    <s v="ARAVENA NUÑEZ"/>
    <s v="ROCIO"/>
    <s v="FEMENINO"/>
    <s v="20060554-3"/>
    <d v="2023-03-20T00:00:00"/>
    <n v="7"/>
    <d v="2023-10-23T00:00:00"/>
    <x v="2"/>
    <s v="N/A"/>
    <s v="N/A"/>
    <s v="N/A"/>
    <n v="0"/>
    <x v="0"/>
    <s v="N/A"/>
    <s v="N/A"/>
    <x v="4"/>
    <s v="CAMARA"/>
    <s v="OPERARIO"/>
    <s v="SALA DE EMPAQUE"/>
    <s v="EQUIPO PARA MOVIMIENTO DE CARGA (GRUAS O TRANSPALETAS)"/>
    <s v="MAÑANA"/>
    <d v="1899-12-30T12:40:00"/>
    <s v="LUNES"/>
    <s v="SEMANA 43"/>
    <m/>
    <m/>
    <s v="FRANCISCO QUEZADA"/>
    <s v="ALEJANDRO TORRES"/>
    <n v="24"/>
    <x v="7"/>
    <x v="3"/>
    <x v="1"/>
    <x v="4"/>
    <s v="COLABORADORA SUFRE CONTUSIÓN EN TOBILLO DERECHO AL SER GOLPEADA POR TRANSPALETA CUANDO SE ENCONTRABA DE PIE JUNTO A UN PALLET EN SALA DE EMPAQUE DE TUNEL"/>
    <s v="ACCION"/>
    <s v="SI"/>
    <x v="0"/>
    <s v="NICOLAS GOMEZ"/>
    <s v="MICHELLE SANCHEZ"/>
    <m/>
  </r>
  <r>
    <n v="2023"/>
    <s v="OCTUBRE"/>
    <s v="EL PAICO"/>
    <s v="MENDOZA ROJAS"/>
    <s v="JOSE"/>
    <s v="MASCULINO"/>
    <s v="17082025-8"/>
    <d v="2023-03-13T00:00:00"/>
    <n v="7"/>
    <d v="2023-10-25T00:00:00"/>
    <x v="2"/>
    <d v="2023-10-25T00:00:00"/>
    <d v="2023-10-25T00:00:00"/>
    <s v="N/A"/>
    <n v="0"/>
    <x v="0"/>
    <s v="LGF"/>
    <s v="LGF8"/>
    <x v="6"/>
    <s v="ASEO ZONA SUCIA"/>
    <s v="OPERARIO"/>
    <s v="DESPLUMADO"/>
    <s v="N/A"/>
    <s v="NOCHE"/>
    <d v="1899-12-30T01:00:00"/>
    <s v="MIERCOLES"/>
    <s v="SEMANA 43"/>
    <n v="15990"/>
    <s v="NC-149-23"/>
    <s v="CARLOS JIMENES"/>
    <s v="LUIS URBINA"/>
    <n v="33"/>
    <x v="9"/>
    <x v="9"/>
    <x v="6"/>
    <x v="12"/>
    <s v="COLABORADOR SUFRE QUEMADURA EN ZONA POSTERIOR DEL CUELLO AL TENER CONTACTO CON DETERGENTE (PRODUCTO QUIMICO), CUANDO SE ENCONTRABA REALIZANDO LIMPIEZA  A MAQUINA REPAZADORA EN SALA DESPLUMADO DE POLLO."/>
    <s v="ACCION"/>
    <s v="SI"/>
    <x v="1"/>
    <s v="ALAN CARRASCO"/>
    <s v="MICHELLE SANCHEZ"/>
    <m/>
  </r>
  <r>
    <n v="2023"/>
    <s v="OCTUBRE"/>
    <s v="EL PAICO"/>
    <s v="FARFAN BENAVIDES"/>
    <s v="ALVARO"/>
    <s v="MASCULINO"/>
    <s v="19601610-4"/>
    <d v="2023-04-13T00:00:00"/>
    <n v="6"/>
    <d v="2023-10-25T00:00:00"/>
    <x v="1"/>
    <s v="N/A"/>
    <s v="N/A"/>
    <s v="N/A"/>
    <n v="0"/>
    <x v="0"/>
    <s v="N/A"/>
    <s v="N/A"/>
    <x v="5"/>
    <s v="AUTOMATICO"/>
    <s v="OPERARIO"/>
    <s v="TROZADO AUTOMATICO"/>
    <s v="N/A"/>
    <s v="MAÑANA"/>
    <d v="1899-12-30T13:30:00"/>
    <s v="MIERCOLES"/>
    <s v="SEMAN 43"/>
    <m/>
    <m/>
    <s v="DANIEL GARRIDO"/>
    <s v="ARNALDO VERA"/>
    <n v="26"/>
    <x v="6"/>
    <x v="5"/>
    <x v="5"/>
    <x v="7"/>
    <s v="COLABORADOR SUFRE MOLESTIA OCULAR POR PROYECCION DE PARTICULAS (PRODUCTO CÁRNICO) EN OJO DERECHO, CUANDO SE ENCONTRABA ESPERANDOLLENADO DE BINS CON PRODUCTO EN SALA DE TROZADO AUTOMATICO"/>
    <s v="CONDICION"/>
    <s v="SI"/>
    <x v="0"/>
    <s v="ALAN CARRASCO"/>
    <s v="CHISTIAN JHONS"/>
    <m/>
  </r>
  <r>
    <n v="2023"/>
    <s v="OCTUBRE"/>
    <s v="EL PAICO"/>
    <s v="MANRRIQUEZ SEPULVEDA "/>
    <s v="FELIPE"/>
    <s v="MASCULINO"/>
    <s v="19055010-9"/>
    <d v="2020-11-04T00:00:00"/>
    <n v="35"/>
    <d v="2023-10-16T00:00:00"/>
    <x v="0"/>
    <s v="N/A"/>
    <s v="N/A"/>
    <s v="N/A"/>
    <n v="0"/>
    <x v="0"/>
    <s v="N/A"/>
    <s v="N/A"/>
    <x v="4"/>
    <s v="CAMARA"/>
    <s v="OPERADOR DE MAQUINA"/>
    <s v="CAMARA 202"/>
    <s v="N/A"/>
    <s v="MAÑANA"/>
    <d v="1899-12-30T11:15:00"/>
    <s v="JUEVES"/>
    <s v="SEMANA 43"/>
    <m/>
    <m/>
    <s v="FRANCISCO QUEZADA"/>
    <s v="ALEJANDRO TORRES"/>
    <n v="28"/>
    <x v="1"/>
    <x v="7"/>
    <x v="1"/>
    <x v="1"/>
    <s v="COLABORADOR SUFRE CONTUSION EN ZONA LUMBAR POR CAIDA DE MISMO NIVEL PRODUCTO DE HIELO PRESENTE EN SUPERFICIE DE TRANSITO AL INTERIOR DE CAMARA 202"/>
    <s v="CODICION"/>
    <s v="SI"/>
    <x v="0"/>
    <s v="ALAN CARRASCO"/>
    <s v="MICHELLE SANCHEZ"/>
    <m/>
  </r>
  <r>
    <n v="2023"/>
    <s v="OCTUBRE"/>
    <s v="EL PAICO"/>
    <s v="PEREZ GOMEZ"/>
    <s v="JONATHAN"/>
    <s v="MASCULINO"/>
    <s v="18427428-0"/>
    <d v="2023-09-25T00:00:00"/>
    <n v="1"/>
    <d v="2023-10-30T00:00:00"/>
    <x v="1"/>
    <s v="N/A"/>
    <s v="N/A"/>
    <s v="N/A"/>
    <n v="0"/>
    <x v="0"/>
    <s v="N/A"/>
    <s v="N/A"/>
    <x v="7"/>
    <s v="PULPAS A"/>
    <s v="OPERARIO"/>
    <s v="REPORTE DE CAJAS"/>
    <s v="N/A"/>
    <s v="MAÑANA"/>
    <d v="1899-12-30T08:15:00"/>
    <s v="LUNES"/>
    <s v="SEMANA 44"/>
    <m/>
    <m/>
    <s v="OCTAVIO MUÑOZ"/>
    <s v="EDGAR HERNANDEZ"/>
    <n v="35"/>
    <x v="0"/>
    <x v="3"/>
    <x v="1"/>
    <x v="4"/>
    <s v="COLABORADOR SUFRE CONTUSION EN PIE DERECHO ALSER GOLPEADO POR PALLETS "/>
    <s v="ACCION"/>
    <s v="SI"/>
    <x v="0"/>
    <s v="ALAN CARRASCO"/>
    <s v="REEMPLAZO"/>
    <m/>
  </r>
  <r>
    <n v="2023"/>
    <s v="OCTUBRE"/>
    <s v="EL PAICO"/>
    <s v="HUERTA ZAPATA"/>
    <s v="MARCO"/>
    <s v="MASCULINO"/>
    <s v="15649302-3"/>
    <d v="2020-04-15T00:00:00"/>
    <n v="42"/>
    <d v="2023-10-30T00:00:00"/>
    <x v="0"/>
    <s v="N/A"/>
    <s v="N/A"/>
    <s v="N/A"/>
    <n v="0"/>
    <x v="0"/>
    <s v="N/A"/>
    <s v="N/A"/>
    <x v="1"/>
    <s v="IQF CALIBRADO B"/>
    <s v="OPERARIO"/>
    <s v="IQF 2"/>
    <s v="N/A"/>
    <s v="TARDE"/>
    <d v="1899-12-30T15:45:00"/>
    <s v="LUNES"/>
    <s v="SEMANA 44"/>
    <m/>
    <m/>
    <s v="OCTAVIO MUÑOZ"/>
    <s v="MAXIMO CAMPOS"/>
    <n v="41"/>
    <x v="2"/>
    <x v="7"/>
    <x v="0"/>
    <x v="0"/>
    <s v="COLABORADOR SUFRE DOLENCIA EN ZONA LUMBAR POR SOBREESFUERZO AL MOMENTO DE AGACHARSE PARA SACAR UN ESPOLIN DE MAQUINA SUPER CONTAC 1"/>
    <s v="ACCION"/>
    <s v="SI"/>
    <x v="0"/>
    <s v="ALAN CARRASCO"/>
    <s v="REEMPLAZO"/>
    <m/>
  </r>
  <r>
    <n v="2023"/>
    <s v="NOVIEMBRE"/>
    <s v="EL PAICO"/>
    <s v="VIDAL ZAMBRANO"/>
    <s v="JAVIER"/>
    <s v="MASCULINO"/>
    <s v="21169027-5"/>
    <d v="2022-08-01T00:00:00"/>
    <n v="15"/>
    <d v="2023-11-02T00:00:00"/>
    <x v="2"/>
    <s v="N/A"/>
    <s v="N/A"/>
    <s v="N/A"/>
    <n v="0"/>
    <x v="0"/>
    <s v="N/A"/>
    <s v="N/A"/>
    <x v="4"/>
    <s v="CAMARA"/>
    <s v="OPERARIO"/>
    <s v="SALA DE EMPAQUE"/>
    <s v="EQUIPO PARA MOVIMIENTO DE CARGA (GRUAS O TRANSPALETAS)"/>
    <s v="TARDE"/>
    <d v="1899-12-30T15:55:00"/>
    <s v="JUEVES"/>
    <s v="SEMANA 44"/>
    <m/>
    <m/>
    <s v="FRANCISCO QUEZADA"/>
    <s v="ALEJANDRO TORRES"/>
    <n v="20"/>
    <x v="0"/>
    <x v="3"/>
    <x v="1"/>
    <x v="4"/>
    <s v="COLABORADOR SUFRE CONTUSION EN PIE IZQUIERDO AL SER GOLPEADO POR PALLETS QUE ESTABA SIENDO TRASLADADO POR EQUIPO DE MOVIMIENTO DE CARGA"/>
    <s v="ACCION"/>
    <s v="SI"/>
    <x v="0"/>
    <s v="NICOLAS GOMEZ"/>
    <s v="REEMPLAZO"/>
    <m/>
  </r>
  <r>
    <n v="2023"/>
    <s v="NOVIEMBRE"/>
    <s v="EL PAICO"/>
    <s v="VIDAL CESPEDES"/>
    <s v="NICOLAS"/>
    <s v="MASCULINO"/>
    <s v="19412589-5"/>
    <d v="2021-07-20T00:00:00"/>
    <n v="27"/>
    <d v="2023-11-02T00:00:00"/>
    <x v="0"/>
    <s v="N/A"/>
    <s v="N/A"/>
    <s v="N/A"/>
    <n v="0"/>
    <x v="0"/>
    <s v="N/A"/>
    <s v="N/A"/>
    <x v="2"/>
    <s v="COLGADO DE POLLO"/>
    <s v="OPERARIO"/>
    <s v="DESAPILADO DE JAVAS"/>
    <s v="N/A"/>
    <s v="TARDE"/>
    <d v="1899-12-30T17:45:00"/>
    <s v="JUEVES"/>
    <s v="SEMANA 44"/>
    <m/>
    <m/>
    <s v="NICOLAS MOYANO"/>
    <s v="ANTONIO RIVAS"/>
    <n v="27"/>
    <x v="3"/>
    <x v="4"/>
    <x v="1"/>
    <x v="1"/>
    <s v="COLABORADOR SUFRE CONTUSION EN AMBAS PIERNAS POR CAIDA DE MISMO NIVEL AL TROPESAR CON ESTRUCTURA DE PALLETS CUANDO SE ENCONTRABA DESAPILANDO JAVAS "/>
    <s v="CONDICION"/>
    <s v="SI"/>
    <x v="0"/>
    <s v="NICOLAS GOMEZ"/>
    <s v="REEMPLAZO"/>
    <m/>
  </r>
  <r>
    <n v="2023"/>
    <s v="NOVIEMBRE"/>
    <s v="EL PAICO"/>
    <s v="BASAURE CONSTANZO"/>
    <s v="ISAIAS"/>
    <s v="MASCULINO"/>
    <s v="20227464-1"/>
    <d v="2022-11-04T00:00:00"/>
    <n v="12"/>
    <d v="2023-11-07T00:00:00"/>
    <x v="2"/>
    <s v="N/A"/>
    <s v="N/A"/>
    <s v="N/A"/>
    <n v="0"/>
    <x v="0"/>
    <s v="N/A"/>
    <s v="N/A"/>
    <x v="1"/>
    <s v="IQF CALIBRADO B"/>
    <s v="OPERARIO"/>
    <s v="ANDEN"/>
    <s v="N/A"/>
    <s v="MAÑANA"/>
    <d v="1899-12-30T10:25:00"/>
    <s v="MARTES"/>
    <s v="SEMANA 45"/>
    <m/>
    <m/>
    <s v="OCTAVIO MUÑOZ"/>
    <s v="MAXIMO CAMPOS"/>
    <n v="23"/>
    <x v="3"/>
    <x v="0"/>
    <x v="1"/>
    <x v="5"/>
    <s v="COLABORADOR SUFRE CONTUSION EN DEDO MEDIO DE MANO DERECHA AL SER GOLPEADO CONTRA EQUIPO MOVIL DE CARGA Y ESTRUCTUCTURA METALICA"/>
    <s v="ACCION"/>
    <s v="SI"/>
    <x v="0"/>
    <s v="NICOLAS GOMEZ"/>
    <s v="CHISTIAN JHONS"/>
    <m/>
  </r>
  <r>
    <n v="2023"/>
    <s v="NOVIEMBRE"/>
    <s v="EL PAICO"/>
    <s v="ARAYA ORELLANA"/>
    <s v="GABRIEL"/>
    <s v="MASCULINO"/>
    <s v="20136224-5"/>
    <d v="2020-03-16T00:00:00"/>
    <n v="43"/>
    <d v="2023-11-07T00:00:00"/>
    <x v="0"/>
    <s v="N/A"/>
    <s v="N/A"/>
    <s v="N/A"/>
    <n v="0"/>
    <x v="0"/>
    <s v="N/A"/>
    <s v="N/A"/>
    <x v="8"/>
    <s v="MANTENIMIENTO"/>
    <s v="MECANICO"/>
    <s v="TROZADO DE POLLO AUTOMATICO"/>
    <s v="N/A"/>
    <s v="MAÑANA"/>
    <d v="1899-12-30T14:30:00"/>
    <s v="MARTES"/>
    <s v="SEMANA 45"/>
    <m/>
    <m/>
    <s v="VICTOR GOMEZ"/>
    <s v="FERNANDO HENRIQUEZ"/>
    <n v="24"/>
    <x v="2"/>
    <x v="8"/>
    <x v="1"/>
    <x v="4"/>
    <s v="COLABORADOR SUFRE CONTUSION EN ANTEBRAZO IZQUIERDO AL SER GOLPEADO POR GUIA DE DESCOLGADOR DE POLLO"/>
    <s v="ACCION"/>
    <s v="SI"/>
    <x v="0"/>
    <s v="NICOLAS GOMEZ"/>
    <s v="CHISTIAN JHONS"/>
    <m/>
  </r>
  <r>
    <n v="2023"/>
    <s v="NOVIEMBRE"/>
    <s v="EL PAICO"/>
    <s v="SAEZ JARA"/>
    <s v="GASTON"/>
    <s v="MASCULINO"/>
    <s v="11199075-1"/>
    <d v="2023-05-08T00:00:00"/>
    <n v="6"/>
    <d v="2023-11-09T00:00:00"/>
    <x v="1"/>
    <d v="2023-11-10T00:00:00"/>
    <d v="2023-11-10T00:00:00"/>
    <s v="N/A"/>
    <n v="0"/>
    <x v="0"/>
    <s v="LGF"/>
    <s v="LGF4"/>
    <x v="7"/>
    <s v="REPORTE DE CAJAS"/>
    <s v="OPERARIO"/>
    <s v="LINEA ISHIDA"/>
    <s v="EQUIPO PARA MOVIMIENTO DE CARGA (GRUAS O TRANSPALETAS)"/>
    <s v="TARDE"/>
    <d v="1899-12-30T22:20:00"/>
    <s v="JUEVES"/>
    <s v="SEMANA 45"/>
    <n v="16010"/>
    <s v="NC-151-23"/>
    <s v="OCTAVIO MUÑOZ"/>
    <s v="EDGAR HERNANDEZ"/>
    <n v="56"/>
    <x v="7"/>
    <x v="4"/>
    <x v="1"/>
    <x v="4"/>
    <s v="COLABORADOR SUFRE CONTUSION EN PIERNA IZQUIERDA AL SER GOLPEADO POR EQUIPO DE MOVIMIENTO DE CARGA CUANDO SE ENCONTRABA PALETIZANDO EN LINIA ISHIDA"/>
    <s v="CONDICION"/>
    <s v="SI"/>
    <x v="1"/>
    <s v="NICOLAS GOMEZ"/>
    <s v="MICHELLE SANCHEZ"/>
    <m/>
  </r>
  <r>
    <n v="2023"/>
    <s v="NOVIEMBRE"/>
    <s v="EL PAICO"/>
    <s v="MUÑOZ CORTEZ"/>
    <s v="EDUARDO"/>
    <s v="MASCULINO"/>
    <s v="12357732-9"/>
    <d v="2003-06-21T00:00:00"/>
    <n v="244"/>
    <d v="2023-11-10T00:00:00"/>
    <x v="0"/>
    <s v="N/A"/>
    <s v="N/A"/>
    <s v="N/A"/>
    <n v="0"/>
    <x v="0"/>
    <s v="N/A"/>
    <s v="N/A"/>
    <x v="1"/>
    <s v="IQF CALIBRADO B"/>
    <s v="OPERARIO"/>
    <s v="CAMARA CALIBRADO"/>
    <s v="N/A"/>
    <s v="MAÑANA"/>
    <d v="1899-12-30T05:25:00"/>
    <s v="VIERNES"/>
    <s v="SEMANA 45"/>
    <m/>
    <m/>
    <s v="OCTAVIO MUÑOZ"/>
    <s v="FERNANDO FUENTEALBA"/>
    <n v="50"/>
    <x v="7"/>
    <x v="4"/>
    <x v="0"/>
    <x v="0"/>
    <s v="COLABORADOR SUFRE DOLENCIA EN  PIERNA IZQUIERDA POR SOBREESFUERZO AL MOVILIZAR INSUMOS CON TRANSPALETA MANUAL"/>
    <s v="ACCION"/>
    <s v="SI"/>
    <x v="0"/>
    <s v="NICOLAS GOMEZ"/>
    <s v="CARLOS CARTAGENA"/>
    <m/>
  </r>
  <r>
    <n v="2023"/>
    <s v="NOVIEMBRE"/>
    <s v="EL PAICO"/>
    <s v="FAMEUX"/>
    <s v="LUNICE"/>
    <s v="MASCULINO"/>
    <s v="26229537-0"/>
    <d v="2022-01-11T00:00:00"/>
    <n v="22"/>
    <d v="2023-11-11T00:00:00"/>
    <x v="0"/>
    <d v="2023-11-11T00:00:00"/>
    <m/>
    <s v="N/A"/>
    <n v="2"/>
    <x v="1"/>
    <s v="N/A"/>
    <s v="N/A"/>
    <x v="6"/>
    <s v="ASEO OPERACIONAL"/>
    <s v="OPERARIO "/>
    <s v="IQF-2"/>
    <s v="N/A"/>
    <s v="NOCHE"/>
    <d v="1899-12-30T00:00:00"/>
    <s v="SABADO"/>
    <s v="SEMANA 45"/>
    <n v="16011"/>
    <s v="NC-152-23"/>
    <s v="CARLOS JIMENEZ"/>
    <s v="LUIS URBINA"/>
    <n v="39"/>
    <x v="0"/>
    <x v="0"/>
    <x v="3"/>
    <x v="4"/>
    <s v="COLABORADOR SUFRE HERIDA CORTANTE EN DEDO ANULAR DERECHO POR GOLPE CONTRA FIERRO PICA HIELO CORRESPONDIENTE AL EQUIPO IQF-2"/>
    <s v="CONDICION "/>
    <s v="SI"/>
    <x v="1"/>
    <s v="NICOLAS GOMEZ"/>
    <s v="CARLOS CARTAGENA"/>
    <m/>
  </r>
  <r>
    <n v="2023"/>
    <s v="NOVIEMBRE"/>
    <s v="EL PAICO"/>
    <s v="MUÑOZ ISLA"/>
    <s v="JESSICA"/>
    <s v="FEMENINO"/>
    <s v="16669807-3"/>
    <d v="2020-01-20T00:00:00"/>
    <n v="45"/>
    <d v="2023-11-11T00:00:00"/>
    <x v="0"/>
    <s v="N/A"/>
    <s v="N/A"/>
    <s v="N/A"/>
    <n v="0"/>
    <x v="0"/>
    <s v="N/A"/>
    <s v="N/A"/>
    <x v="5"/>
    <s v="DESHUESADO"/>
    <s v="OPERARIO"/>
    <s v="PASILLO DESHUESADO"/>
    <s v="N/A"/>
    <s v="MAÑANA"/>
    <d v="1899-12-30T08:00:00"/>
    <s v="SABADO"/>
    <s v="SEMANA 45"/>
    <m/>
    <m/>
    <s v="DANIEL GARRIDO"/>
    <s v="JOSE CARVALLO"/>
    <n v="36"/>
    <x v="5"/>
    <x v="8"/>
    <x v="1"/>
    <x v="4"/>
    <s v="COLABORADORA SUGRE GOLPE EN HOMBRO Y MANO IZQUIERDA AL IR TRANSITANDO  HACIA PASILLO DE DESHUESADO, EL ACCIDENTE OCURRE AL MOMENTO DE QUE COINCIDE CON UN MOVILIZADOR QUE TRANSPORTABA DOS BINS CON TRANSPALETA MANUAL, AL GIRAR UNO DE ESTOS CAE GOLPEANDO LA EXTREMIDAD SUPERIOR DE LA COLABORADORA."/>
    <s v="ACCION"/>
    <s v="SI"/>
    <x v="0"/>
    <s v="NICOLAS GOMEZ"/>
    <s v="CARLOS CARTAGENA"/>
    <m/>
  </r>
  <r>
    <n v="2023"/>
    <s v="NOVIEMBRE"/>
    <s v="EL PAICO"/>
    <s v="HERMOSILLA TOBAR"/>
    <s v="PAZ"/>
    <s v="FEMENINO"/>
    <s v="11170434-1"/>
    <d v="2023-07-17T00:00:00"/>
    <n v="3"/>
    <d v="2023-11-15T00:00:00"/>
    <x v="1"/>
    <s v="N/A"/>
    <s v="N/A"/>
    <s v="N/A"/>
    <n v="0"/>
    <x v="0"/>
    <s v="N/A"/>
    <s v="N/A"/>
    <x v="5"/>
    <s v="DESHUESADO"/>
    <s v="OPERARIO"/>
    <s v="SALA DE PROCESOS"/>
    <s v="N/A"/>
    <s v="TARDE"/>
    <d v="1899-12-30T20:05:00"/>
    <s v="MIERCOLES"/>
    <s v="SEMANA 46"/>
    <m/>
    <m/>
    <s v="DANIEL GARRIDO"/>
    <s v="JOSE CARVALLO"/>
    <n v="56"/>
    <x v="1"/>
    <x v="2"/>
    <x v="1"/>
    <x v="1"/>
    <s v="COLABORADORA SUFRE CONTUSION EN ZONA LUMBAR Y HOMBRO DERECHO POR CAIDA DE MISMO NIVEL PRODUCTO DE SUPERFICIE DE TRANSITO CON PRESENCIA DE AGUA"/>
    <s v="CONDICION"/>
    <s v="SI"/>
    <x v="0"/>
    <s v="NICOLAS GOMEZ"/>
    <s v="CARLOS CARTAGENA"/>
    <m/>
  </r>
  <r>
    <n v="2023"/>
    <s v="NOVIEMBRE"/>
    <s v="EL PAICO"/>
    <s v="ALBURQUENQUE CACERES"/>
    <s v="ARACELI"/>
    <s v="FEMENINO"/>
    <s v="17623209-9"/>
    <d v="2023-07-17T00:00:00"/>
    <n v="3"/>
    <d v="2023-11-15T00:00:00"/>
    <x v="1"/>
    <s v="N/A"/>
    <s v="N/A"/>
    <s v="N/A"/>
    <n v="0"/>
    <x v="0"/>
    <s v="N/A"/>
    <s v="N/A"/>
    <x v="1"/>
    <s v="CALIBRADO"/>
    <s v="OPERARIO"/>
    <s v="SALA ETIQUETADO"/>
    <s v="N/A"/>
    <s v="TARDE "/>
    <d v="1899-12-30T17:00:00"/>
    <s v="MIERCOLES"/>
    <s v="SEMANA 46"/>
    <m/>
    <m/>
    <s v="JAVIERA BASTIAS"/>
    <s v="FERNANDO FUENTEALBA"/>
    <n v="33"/>
    <x v="2"/>
    <x v="0"/>
    <x v="2"/>
    <x v="13"/>
    <s v="COLABORADORA SUFRE ATRISION DE MANO XXXX AL TENER CONTACTO CON RESORTE DE CINTA DE MAQUINA EN CALIBRADO"/>
    <s v="ACCION"/>
    <s v="SI"/>
    <x v="0"/>
    <s v="NICOLAS GOMEZ"/>
    <s v="CARLOS CARTAGENA"/>
    <m/>
  </r>
  <r>
    <n v="2023"/>
    <s v="NOVIEMBRE"/>
    <s v="EL PAICO"/>
    <s v="BRAVO GUAICO"/>
    <s v="YESENIA"/>
    <s v="FEMENINO"/>
    <s v="17224758-K"/>
    <d v="2013-05-14T00:00:00"/>
    <n v="126"/>
    <d v="2023-11-16T00:00:00"/>
    <x v="0"/>
    <s v="N/A"/>
    <s v="N/A"/>
    <s v="N/A"/>
    <n v="0"/>
    <x v="0"/>
    <s v="N/A"/>
    <s v="N/A"/>
    <x v="1"/>
    <s v="CALIBRADO"/>
    <s v="OPERARIO"/>
    <s v="CALIBRADO"/>
    <s v="N/A"/>
    <s v="MAÑANA"/>
    <d v="1899-12-30T08:30:00"/>
    <s v="JUEVES"/>
    <s v="SEMANA 46"/>
    <m/>
    <m/>
    <s v="JAVIERA BASTIAS"/>
    <s v="FRANCISCO SANCHEZ"/>
    <n v="34"/>
    <x v="6"/>
    <x v="5"/>
    <x v="1"/>
    <x v="4"/>
    <s v="COLABORADORA SUFRE CONTUSION EN ORBITA OCULAR IZQUIERDA AL SER GOLPEADA POR PRODUCTO CONGELADO EN SALA DE CALIBRADO"/>
    <s v="CONDICION"/>
    <s v="SI"/>
    <x v="0"/>
    <s v="ALAN CARRASCO"/>
    <s v="MICHELLE SANCHEZ"/>
    <m/>
  </r>
  <r>
    <n v="2023"/>
    <s v="NOVIEMBRE"/>
    <s v="EL PAICO"/>
    <s v="PALMA MUÑOZ"/>
    <s v="BASTIAN"/>
    <s v="MASCULINO"/>
    <s v="20136459-0"/>
    <d v="1899-12-30T00:00:00"/>
    <n v="1486"/>
    <d v="2023-11-17T00:00:00"/>
    <x v="0"/>
    <s v="N/A"/>
    <s v="N/A"/>
    <s v="N/A"/>
    <n v="0"/>
    <x v="0"/>
    <s v="N/A"/>
    <s v="N/A"/>
    <x v="6"/>
    <s v="ASEO PREOPERACIONAL"/>
    <s v="OPERARIO"/>
    <s v="TUNEL CALIBRADO"/>
    <s v="N/A"/>
    <s v="NOCHE"/>
    <d v="1899-12-30T02:30:00"/>
    <s v="VIERNES"/>
    <s v="SEMANA 46"/>
    <m/>
    <m/>
    <s v="CARLOS JIMENES"/>
    <s v="PATRICIO PALACIOS"/>
    <n v="24"/>
    <x v="2"/>
    <x v="8"/>
    <x v="1"/>
    <x v="5"/>
    <s v="COLABORADOR SUFRE CONTUSION EN EN ANTEBRAZO DERECHO AL SER GOLPEADO CONTRA ESTRELLA DE CINTA TRANSPORTADORA"/>
    <s v="CONDICION"/>
    <s v="SI"/>
    <x v="0"/>
    <s v="NICOLAS GOMEZ"/>
    <s v="CHISTIAN JHONS"/>
    <m/>
  </r>
  <r>
    <n v="2023"/>
    <s v="NOVIEMBRE"/>
    <s v="EL PAICO"/>
    <s v="URBINA "/>
    <s v="BRIAN"/>
    <s v="MASCULINO"/>
    <s v="22047633-2"/>
    <d v="2022-04-25T00:00:00"/>
    <n v="18"/>
    <d v="2023-11-20T00:00:00"/>
    <x v="2"/>
    <s v="N/A"/>
    <s v="N/A"/>
    <s v="N/A"/>
    <n v="0"/>
    <x v="0"/>
    <s v="N/A"/>
    <s v="N/A"/>
    <x v="8"/>
    <s v="MANTENCION"/>
    <s v="ELECTRICO"/>
    <s v="RECEPCION DE POLLO"/>
    <s v="N/A"/>
    <s v="MAÑANA"/>
    <d v="1899-12-30T14:20:00"/>
    <s v="LUNES"/>
    <s v="SEMANA 47"/>
    <m/>
    <m/>
    <s v="VICTOR GOMEZ"/>
    <s v="EMANUEL MELLADO"/>
    <n v="23"/>
    <x v="2"/>
    <x v="0"/>
    <x v="1"/>
    <x v="5"/>
    <s v="COLABORADOR SUFRE CONTUSION EN MANO IZQUIERDA POR GOLPE CONTRA MAQUINA APILADOR DE JAVAS "/>
    <s v="ACCION"/>
    <s v="SI"/>
    <x v="0"/>
    <s v="ALAN CARRASCO"/>
    <s v="MICHELLE SANCHEZ"/>
    <m/>
  </r>
  <r>
    <n v="2023"/>
    <s v="NOVIEMBRE"/>
    <s v="EL PAICO"/>
    <s v="ABARCA GONZALEZ"/>
    <s v="JOSE"/>
    <s v="MASCULINO"/>
    <s v="9460017-0"/>
    <d v="1998-08-01T00:00:00"/>
    <n v="303"/>
    <d v="2023-11-21T00:00:00"/>
    <x v="0"/>
    <s v="N/A"/>
    <s v="N/A"/>
    <s v="N/A"/>
    <n v="0"/>
    <x v="0"/>
    <s v="N/A"/>
    <s v="N/A"/>
    <x v="7"/>
    <s v="LINEA DE BANDEJAS "/>
    <s v="OPERARIO"/>
    <s v="LINEA DE BANDEJAS LIMPIAS"/>
    <s v="N/A"/>
    <s v="TARDE"/>
    <d v="1899-12-30T15:20:00"/>
    <s v="MARTES"/>
    <s v="SEMANA 47"/>
    <m/>
    <m/>
    <s v="OCTAVIO MUÑOZ"/>
    <s v="MARCOS QUINTANILLA"/>
    <n v="61"/>
    <x v="16"/>
    <x v="1"/>
    <x v="1"/>
    <x v="4"/>
    <s v="COLABORADOR SUFRE CONSTUSION EN CEJA DERECHA AL SER GOLPEADO POR BANDEJA PLASTICA CUANDO SE ENCONTRABA DESCOLGANDO BANDEJAS DESDE LINEA"/>
    <s v="CONDICION"/>
    <s v="SI"/>
    <x v="0"/>
    <s v="ALAN CARRASCO"/>
    <s v="WLADIMIR CALDERON "/>
    <m/>
  </r>
  <r>
    <n v="2023"/>
    <s v="NOVIEMBRE"/>
    <s v="EL PAICO"/>
    <s v="VALDIVIA PEÑALOZA"/>
    <s v="JAIME"/>
    <s v="MASCULINO"/>
    <s v="14140942-6"/>
    <d v="2021-06-01T00:00:00"/>
    <n v="29"/>
    <d v="2023-11-21T00:00:00"/>
    <x v="0"/>
    <s v="N/A"/>
    <s v="N/A"/>
    <s v="N/A"/>
    <n v="0"/>
    <x v="0"/>
    <s v="N/A"/>
    <s v="N/A"/>
    <x v="1"/>
    <s v="IQF"/>
    <s v="OPERARIO"/>
    <s v="TAMBLER IQF"/>
    <s v="N/A"/>
    <s v="TARDE"/>
    <d v="1899-12-30T19:00:00"/>
    <s v="MARTES"/>
    <s v="SEMANA 47"/>
    <m/>
    <m/>
    <s v="JAVIERA BASTIAS"/>
    <s v="MIGUEL HENRRIQUEZ"/>
    <n v="42"/>
    <x v="16"/>
    <x v="4"/>
    <x v="1"/>
    <x v="4"/>
    <s v="COLABORADOR SUFRE CONTUSION EN EXTREMIDAD INFERIOR DERECHA AL SER GOLPEADO POR BANDAJEAS CUANDO SE ENCONTRABA APILANDO ESTAS"/>
    <s v="CONDICION"/>
    <s v="SI"/>
    <x v="0"/>
    <s v="ALAN CARRASCO"/>
    <s v="MICHELLE SANCHEZ"/>
    <m/>
  </r>
  <r>
    <n v="2023"/>
    <s v="NOVIEMBRE"/>
    <s v="EL PAICO"/>
    <s v="ESPINOZA PINTO"/>
    <s v="JORGE"/>
    <s v="MASCULINO"/>
    <s v="19849137-3"/>
    <d v="2022-11-14T00:00:00"/>
    <n v="12"/>
    <d v="2023-11-22T00:00:00"/>
    <x v="2"/>
    <d v="2023-11-23T00:00:00"/>
    <m/>
    <d v="2023-11-23T00:00:00"/>
    <n v="8"/>
    <x v="1"/>
    <s v="LGF"/>
    <s v="LGF4"/>
    <x v="5"/>
    <s v="AUTOMATICO"/>
    <s v="OPERARIO"/>
    <s v="DROP POINT"/>
    <s v="EQUIPO PARA MOVIMIENTO DE CARGA (GRUAS O TRANSPALETAS)"/>
    <s v="TARDE"/>
    <d v="1899-12-30T20:05:00"/>
    <s v="MIERCOLES"/>
    <s v="SEMANA 47"/>
    <n v="16033"/>
    <s v="NC-154-23"/>
    <s v="DANIEL GARRIDO"/>
    <s v="RAMIRO RAMIREZ"/>
    <n v="25"/>
    <x v="7"/>
    <x v="3"/>
    <x v="1"/>
    <x v="4"/>
    <s v="COLABORADOR SUFRE CONTUSION EN PIE IZQUIERDO A SER GOLPEADO CON EQUIPO DE MOVIMIENTO DE CARGA CUANDO SE ENCONTRABA MOVILIZANDO PRODUCTO CON TRANSPALETA MANUAL"/>
    <s v="CONDICION"/>
    <s v="SI"/>
    <x v="1"/>
    <s v="ALAN CARRASCO"/>
    <s v="WLADIMIR CALDERON "/>
    <m/>
  </r>
  <r>
    <n v="2023"/>
    <s v="NOVIEMBRE"/>
    <s v="EL PAICO"/>
    <s v="ARANDA MORALES "/>
    <s v="CRISTOPHER"/>
    <s v="MASCULINO"/>
    <s v="16984684-7"/>
    <d v="2023-08-21T00:00:00"/>
    <n v="3"/>
    <d v="2023-11-23T00:00:00"/>
    <x v="1"/>
    <s v="N/A"/>
    <s v="N/A"/>
    <s v="N/A"/>
    <n v="0"/>
    <x v="0"/>
    <s v="N/A"/>
    <s v="N/A"/>
    <x v="4"/>
    <s v="CAMARA"/>
    <s v="OPERARIO"/>
    <s v="PASILLO C"/>
    <s v="N/A"/>
    <s v="TARDE"/>
    <d v="1899-12-30T16:45:00"/>
    <s v="JUEVES"/>
    <s v="SEMANA 47"/>
    <m/>
    <m/>
    <s v="FRANCISCO QUEZADA"/>
    <m/>
    <n v="35"/>
    <x v="3"/>
    <x v="4"/>
    <x v="1"/>
    <x v="4"/>
    <s v="COLABORADOR SUFRE CONTUSION EN MUSLO IZQUIERDO AL SER GOLPEADO POR CARRO METALICO "/>
    <s v="CONDICION"/>
    <s v="SI"/>
    <x v="0"/>
    <s v="ALAN CARRASCO"/>
    <s v="CHISTIAN JHONS"/>
    <m/>
  </r>
  <r>
    <n v="2023"/>
    <s v="NOVIEMBRE"/>
    <s v="EL PAICO"/>
    <s v="FIGUERO RODRIGUEZ"/>
    <s v="FRANKLIN"/>
    <s v="MASCULINO"/>
    <s v="26564969-6"/>
    <d v="2023-11-06T00:00:00"/>
    <n v="0"/>
    <d v="2023-11-23T00:00:00"/>
    <x v="1"/>
    <s v="N/A"/>
    <s v="N/A"/>
    <s v="N/A"/>
    <n v="0"/>
    <x v="0"/>
    <s v="N/A"/>
    <s v="N/A"/>
    <x v="7"/>
    <s v="PULPA "/>
    <s v="OPERARIO"/>
    <s v="PULPA"/>
    <s v="N/A"/>
    <s v="TARDE"/>
    <d v="1899-12-30T19:20:00"/>
    <s v="JUEVES"/>
    <s v="SEMANA 47"/>
    <m/>
    <m/>
    <s v="OCTAVIO MUÑOZ"/>
    <s v="MARCOS QUINTANILLA"/>
    <m/>
    <x v="1"/>
    <x v="3"/>
    <x v="1"/>
    <x v="1"/>
    <s v="COLABORADOR SUFRE CONTUSION EN PIE DERECHO POR CAIDA DE MISMO NIVEL PRODUCTO DE PISO MAL NIVELADO Y MOJADO CUANDO SE ENCONTRABA  MOVILIZANDO CON TRASPALETA MANUAL"/>
    <s v="CONDICION"/>
    <s v="SI"/>
    <x v="0"/>
    <s v="ALAN CARRASCO"/>
    <s v="CARLOS CARTAGENA"/>
    <m/>
  </r>
  <r>
    <n v="2023"/>
    <s v="NOVIEMBRE"/>
    <s v="EL PAICO"/>
    <s v="GUAJARDO VERA"/>
    <s v="SEBASTIAN "/>
    <s v="MASCULINO"/>
    <s v="19211824-7"/>
    <d v="2023-10-02T00:00:00"/>
    <n v="1"/>
    <d v="2023-11-24T00:00:00"/>
    <x v="1"/>
    <s v="N/A"/>
    <s v="N/A"/>
    <s v="N/A"/>
    <n v="0"/>
    <x v="0"/>
    <s v="N/A"/>
    <s v="N/A"/>
    <x v="8"/>
    <s v="MANTENIMIENTO"/>
    <s v="MECANICO"/>
    <s v="EVISCERADO DE POLLO"/>
    <s v="N/A"/>
    <s v="NOCHE"/>
    <d v="1899-12-30T00:30:00"/>
    <s v="VIERNES"/>
    <s v="SEMANA 47"/>
    <m/>
    <m/>
    <s v="VICTOR GOMEZ"/>
    <s v="CLAUDIO CID"/>
    <n v="28"/>
    <x v="2"/>
    <x v="0"/>
    <x v="1"/>
    <x v="4"/>
    <s v="COLABORADOR SUFRE CONTUSION EN DEDO ANULAR DERECHO AL SER GOLPEADO POR ESTRUCTURA DE MAQUINA CUANDO SE ENCONTRABA CAMBIANDO CUERPO DE UNIDAD ANERA"/>
    <s v="ACCION"/>
    <s v="SI"/>
    <x v="0"/>
    <s v="ALAN CARRASCO"/>
    <s v="CARLOS CARTAGENA"/>
    <m/>
  </r>
  <r>
    <n v="2023"/>
    <s v="NOVIEMBRE"/>
    <s v="EL PAICO"/>
    <s v="VASQUEZ DIAZ"/>
    <s v="TOMAS"/>
    <s v="MASCULINO"/>
    <s v="21116508-1"/>
    <d v="2023-08-01T00:00:00"/>
    <n v="3"/>
    <d v="2023-11-24T00:00:00"/>
    <x v="1"/>
    <s v="N/A"/>
    <s v="N/A"/>
    <s v="N/A"/>
    <n v="0"/>
    <x v="0"/>
    <s v="N/A"/>
    <s v="N/A"/>
    <x v="6"/>
    <s v="LAVADO DE BANDEJAS"/>
    <s v="OPERARIO"/>
    <s v="ACOPIO"/>
    <s v="N/A"/>
    <s v="TARDE"/>
    <d v="1899-12-30T17:15:00"/>
    <s v="VIERNES"/>
    <s v="SEMANA 47"/>
    <m/>
    <m/>
    <s v="CARLOS JIMENEZ"/>
    <s v="ALEXIS AROS"/>
    <n v="22"/>
    <x v="8"/>
    <x v="0"/>
    <x v="1"/>
    <x v="4"/>
    <s v="COLABORADOR SUFRE CONTUSION EN MANO IZQUIERDA AL SER GOLPEADO POR PALLETS CUANDO SE ENCONTRABA AMONTONANDO ESTOS EN ZONA DE ACOPIO"/>
    <s v="CONDICION"/>
    <s v="SI"/>
    <x v="0"/>
    <s v=" ALAN CARRASO"/>
    <s v="CHISTIAN JHONS"/>
    <m/>
  </r>
  <r>
    <n v="2023"/>
    <s v="NOVIEMBRE"/>
    <s v="EL PAICO"/>
    <s v="ZAMORANO VILLAGRAN"/>
    <s v="MIGUEL"/>
    <s v="MASCULINO"/>
    <s v="20711438-3"/>
    <d v="2022-01-18T00:00:00"/>
    <n v="22"/>
    <d v="2023-11-25T00:00:00"/>
    <x v="0"/>
    <s v="N/A"/>
    <s v="N/A"/>
    <s v="N/A"/>
    <n v="0"/>
    <x v="0"/>
    <s v="N/A"/>
    <s v="N/A"/>
    <x v="2"/>
    <s v="EVISCERADO POLLOS"/>
    <s v="OPERARIO"/>
    <s v="CHILLER DE AGUA "/>
    <s v="N/A"/>
    <s v="MAÑANA"/>
    <d v="1899-12-30T10:55:00"/>
    <s v="SABADO"/>
    <s v="SEMANA 47"/>
    <m/>
    <m/>
    <s v="NICOLAS MOYANO"/>
    <s v="ERWIN GATICA"/>
    <n v="22"/>
    <x v="16"/>
    <x v="1"/>
    <x v="1"/>
    <x v="4"/>
    <s v="COLABORADOR SUFRE CONTUSION EN CEJA IZQUIERDA AL SER GOLPEADO POR BANDEJA CUANDO SE ENCONTRABA DESAPILANDO ESTAS "/>
    <s v="ACCION"/>
    <s v="SI"/>
    <x v="2"/>
    <s v="NICOLAS GOMEZ"/>
    <s v="WLADIMIR CALDERON "/>
    <m/>
  </r>
  <r>
    <n v="2023"/>
    <s v="NOVIEMBRE"/>
    <s v="EL PAICO"/>
    <s v="HERNANDEZ FUENTES"/>
    <s v="LUIS"/>
    <s v="MASCULINO"/>
    <s v="10371581-4"/>
    <d v="2019-05-22T00:00:00"/>
    <n v="54"/>
    <d v="2023-11-28T00:00:00"/>
    <x v="0"/>
    <d v="2023-11-28T00:00:00"/>
    <m/>
    <d v="2023-11-28T00:00:00"/>
    <n v="8"/>
    <x v="1"/>
    <s v="N/A"/>
    <s v="N/A"/>
    <x v="6"/>
    <s v="ASEO ZONA LIMPIA"/>
    <s v="OPERARIO"/>
    <s v="TROZADO DE PAVO"/>
    <s v="N/A"/>
    <s v="NOCHE"/>
    <d v="1899-12-30T03:50:00"/>
    <s v="MARTES"/>
    <s v="SEMANA 48"/>
    <n v="16037"/>
    <s v="NC-157-23"/>
    <s v="CARLOS JIMENES"/>
    <s v="PATRICIO PALACIOS"/>
    <n v="57"/>
    <x v="3"/>
    <x v="0"/>
    <x v="1"/>
    <x v="4"/>
    <s v="COLABORADOR SUFRE CONTUSION EN DEDO MEDIO DE MANO IZQUIERDA AL SER GOLPEADO POR REJILLA DE DESAGUE CUANDOS ENCONTRABA REALIZANDO LABORES DE ASEO PREOPERACIONAL"/>
    <s v="ACCION"/>
    <s v="SI"/>
    <x v="1"/>
    <s v="ALAN CARRASCO"/>
    <s v="CARLOS CARTAGENA"/>
    <m/>
  </r>
  <r>
    <n v="2023"/>
    <s v="NOVIEMBRE"/>
    <s v="EL PAICO"/>
    <s v="RECABAL"/>
    <s v="CRISTOBAL"/>
    <s v="MASCULINO"/>
    <s v="18960410-6"/>
    <d v="2019-06-17T00:00:00"/>
    <n v="53"/>
    <d v="2023-11-28T00:00:00"/>
    <x v="0"/>
    <s v="N/A"/>
    <s v="N/A"/>
    <s v="N/A"/>
    <n v="0"/>
    <x v="0"/>
    <s v="N/A"/>
    <s v="N/A"/>
    <x v="5"/>
    <s v="DESHUESADO POLLO B"/>
    <s v="OPERADOR DE MAQUINA"/>
    <s v="DESHUESADO"/>
    <s v="N/A"/>
    <s v="MAÑANA"/>
    <d v="1899-12-30T06:00:00"/>
    <s v="MARTES"/>
    <s v="SEMANA 48"/>
    <m/>
    <m/>
    <s v="DANIEL GARRIDO"/>
    <s v="IGNACIO MEZA"/>
    <n v="29"/>
    <x v="2"/>
    <x v="0"/>
    <x v="1"/>
    <x v="4"/>
    <s v="COLABORADOR SUFRE CONTUSION EN DEDO INDICE DERECHO AL SER GOLPEADO POR GUIA DE TECNIL"/>
    <s v="ACCION"/>
    <s v="SI"/>
    <x v="0"/>
    <s v="ALAN CARRASCO"/>
    <s v="MICHELLE SANCHEZ"/>
    <m/>
  </r>
  <r>
    <n v="2023"/>
    <s v="NOVIEMBRE"/>
    <s v="EL PAICO"/>
    <s v="MORAN GALEANO"/>
    <s v="JASSIR"/>
    <s v="MASCULINO"/>
    <s v="21021081-4"/>
    <d v="2023-11-13T00:00:00"/>
    <n v="0"/>
    <d v="2023-11-28T00:00:00"/>
    <x v="1"/>
    <s v="N/A"/>
    <s v="N/A"/>
    <s v="N/A"/>
    <n v="0"/>
    <x v="0"/>
    <s v="N/A"/>
    <s v="N/A"/>
    <x v="7"/>
    <s v="PULPA"/>
    <s v="OPERARIO"/>
    <s v="PUILPA"/>
    <s v="N/A"/>
    <s v="MAÑANA"/>
    <d v="1899-12-30T10:25:00"/>
    <s v="MARTES"/>
    <s v="SEMANA 48"/>
    <m/>
    <m/>
    <s v="OCTAVIO MUÑOZ"/>
    <s v="MARCOS QUINTANILLA"/>
    <m/>
    <x v="14"/>
    <x v="3"/>
    <x v="1"/>
    <x v="4"/>
    <s v="COLABORADOR SUFRE CONTUSION EN PIE IZQUIERDO AL SER GOLPEADO POR CAJA DE PLACAS CONGELADAS CUANDO SE ENCONTRABA ARMANDO PALLETS"/>
    <s v="ACCION"/>
    <s v="SI"/>
    <x v="0"/>
    <s v="ALAN CARRASCO"/>
    <s v="MICHELLE SANCHEZ"/>
    <m/>
  </r>
  <r>
    <n v="2023"/>
    <s v="NOVIEMBRE"/>
    <s v="EL PAICO"/>
    <s v="HERMOSILLA TOBAR"/>
    <s v="PAZ"/>
    <s v="FEMENINO"/>
    <s v="11170434-1"/>
    <d v="2023-07-17T00:00:00"/>
    <n v="4"/>
    <d v="2023-11-29T00:00:00"/>
    <x v="1"/>
    <d v="2023-11-30T00:00:00"/>
    <d v="2023-12-01T00:00:00"/>
    <s v="29-112023"/>
    <n v="6"/>
    <x v="1"/>
    <s v="N/A"/>
    <s v="N/A"/>
    <x v="5"/>
    <s v="DEHUESADO"/>
    <s v="OPERARIO"/>
    <s v="SALA DE PROCESO"/>
    <s v="N/A"/>
    <s v="TARDE"/>
    <d v="1899-12-30T18:30:00"/>
    <s v="MIERCOLES"/>
    <s v="SEMANA 48"/>
    <n v="16040"/>
    <s v="NC-158-23"/>
    <s v="DANIEL GARRIDO"/>
    <s v="RAFAEL ASTORGA"/>
    <n v="56"/>
    <x v="1"/>
    <x v="7"/>
    <x v="1"/>
    <x v="1"/>
    <s v="COLABORADORA SUFRE CONTUSION LUMBAR POR CAIDA DE MISMO NIVEL EN SALA DE PROCESOS (SALA JAPON)"/>
    <s v="CONDICION"/>
    <s v="SI"/>
    <x v="1"/>
    <s v="NICOLAS GOMEZ"/>
    <s v="MICHELLE SANCHEZ"/>
    <m/>
  </r>
  <r>
    <n v="2023"/>
    <s v="DICIEMBRE"/>
    <s v="EL PAICO"/>
    <s v="FUENZALIDA ARMIJO"/>
    <s v="CATALINA"/>
    <s v="FEMENINO"/>
    <s v="18777735-6"/>
    <d v="2016-08-06T00:00:00"/>
    <n v="87"/>
    <d v="2023-12-04T00:00:00"/>
    <x v="0"/>
    <s v="N/A"/>
    <s v="N/A"/>
    <s v="N/A"/>
    <n v="0"/>
    <x v="0"/>
    <s v="N/A"/>
    <s v="N/A"/>
    <x v="1"/>
    <s v="IQF"/>
    <s v="OPERARIO"/>
    <s v="PASILLO B CAMARA "/>
    <s v="N/A"/>
    <s v="TARDE"/>
    <d v="1899-12-30T13:35:00"/>
    <s v="LUNES"/>
    <s v="SEMANA 49"/>
    <m/>
    <m/>
    <s v="JAVIERA BASTIAS"/>
    <s v="FRANCISCO SANCHEZ"/>
    <n v="29"/>
    <x v="1"/>
    <x v="8"/>
    <x v="1"/>
    <x v="1"/>
    <s v="COLABORADORA SUFRE CONTUSION EN BRAZODERECHO POR CAIDA DE MISMO NIVEL PRODUCTO DE RESTOS CARNICOS EN SUPERFICIE DE TRANSITO"/>
    <s v="CONDICION"/>
    <s v="SI"/>
    <x v="0"/>
    <s v="NICOLAS GOMEZ"/>
    <s v="CARLOS CARTAGENA"/>
    <m/>
  </r>
  <r>
    <n v="2023"/>
    <s v="DICIEMBRE"/>
    <s v="EL PAICO"/>
    <s v="CUEVAS GATICA"/>
    <s v="ANA"/>
    <s v="FEMENINO"/>
    <s v="9462795-8"/>
    <d v="2013-08-07T00:00:00"/>
    <n v="123"/>
    <d v="2023-12-04T00:00:00"/>
    <x v="0"/>
    <s v="N/A"/>
    <s v="N/A"/>
    <d v="2023-12-05T00:00:00"/>
    <n v="3"/>
    <x v="1"/>
    <s v="N/A"/>
    <s v="N/A"/>
    <x v="5"/>
    <s v="DESHUESADO"/>
    <s v="OPERARIO"/>
    <s v="SALA DE PROCESO"/>
    <s v="N/A"/>
    <s v="TARDE"/>
    <d v="1899-12-30T16:20:00"/>
    <s v="LUNES"/>
    <s v="SEMANA 49"/>
    <n v="16043"/>
    <s v="NC-162-23"/>
    <s v="DANIEL GARRIDO"/>
    <s v="IGNACIO MEZA"/>
    <n v="64"/>
    <x v="12"/>
    <x v="10"/>
    <x v="1"/>
    <x v="1"/>
    <s v="COLABORADORA SUFRE CONTUSION EN CADERA IZQUIERDA POR CAIDA DE MISMO NIVEL EN SALA DE PROCESO AL TOPARSE CON UN COMPAÑERO."/>
    <s v="CONDICION"/>
    <s v="SI"/>
    <x v="1"/>
    <s v="ALAN CARRASCO"/>
    <s v="CARLOS CARTAGENA"/>
    <m/>
  </r>
  <r>
    <n v="2023"/>
    <s v="DICIEMBRE"/>
    <s v="EL PAICO"/>
    <s v="ORTIZ ORTIZ"/>
    <s v="ROBERTO"/>
    <s v="MASCULINO"/>
    <s v="17566066-6"/>
    <d v="2023-11-13T00:00:00"/>
    <n v="0"/>
    <d v="2023-12-06T00:00:00"/>
    <x v="1"/>
    <d v="2023-12-07T00:00:00"/>
    <d v="2023-12-07T00:00:00"/>
    <s v="N/A"/>
    <n v="0"/>
    <x v="0"/>
    <s v="N/A"/>
    <s v="N/A"/>
    <x v="7"/>
    <s v="REPORTE DE CAJAS"/>
    <s v="OPERARIO"/>
    <s v="SALA DE MARINADO"/>
    <s v="N/A"/>
    <s v="MAÑANA"/>
    <d v="1899-12-30T08:30:00"/>
    <s v="MIERCOLES"/>
    <s v="SEMANA 49"/>
    <n v="16056"/>
    <s v="NC-163-23"/>
    <s v="OCTAVIO MUÑOZ"/>
    <s v="MARCOS QUINTANILLA"/>
    <n v="35"/>
    <x v="14"/>
    <x v="0"/>
    <x v="1"/>
    <x v="4"/>
    <s v="COLABORADOR SUFRE CONTUSION EN DEDO MEDIO DE MANO IZQUIEDA LA SER GOLPEADO POR CAJA DE PRODUCTO EN MAQUINA ENZUNCHADORA"/>
    <s v="ACCION"/>
    <s v="SI"/>
    <x v="1"/>
    <s v="ALAN CARRASCO"/>
    <s v="MICHELLE SANCHEZ"/>
    <m/>
  </r>
  <r>
    <n v="2023"/>
    <s v="DICIEMBRE"/>
    <s v="EL PAICO"/>
    <s v="CAMPOS DIAZ"/>
    <s v="PATRICIO"/>
    <s v="MASCULINO"/>
    <s v="11696586-0"/>
    <d v="2018-10-16T00:00:00"/>
    <n v="61"/>
    <d v="2023-12-06T00:00:00"/>
    <x v="0"/>
    <d v="2023-12-07T00:00:00"/>
    <m/>
    <d v="2023-12-07T00:00:00"/>
    <n v="24"/>
    <x v="1"/>
    <s v="N/A"/>
    <s v="N/A"/>
    <x v="6"/>
    <s v="ASEO OPERACIONAL"/>
    <s v="ENCARGADO SSGG"/>
    <s v="PATIO DECOMISO"/>
    <s v="N/A"/>
    <s v="MAÑANA"/>
    <d v="1899-12-30T09:15:00"/>
    <s v="MIERCOLES"/>
    <s v="SEMANA 49"/>
    <n v="16057"/>
    <s v="NC- 164-23"/>
    <s v="CARLOS JIMENEZ"/>
    <s v="ALVARO ABARCA"/>
    <n v="52"/>
    <x v="1"/>
    <x v="0"/>
    <x v="1"/>
    <x v="1"/>
    <s v="COLABORADOR SUFRE CONTUSION EN DEDO MEÑIQUE DE MANO IZQUIERDA POR CAIDA DE MISMO NIVEL AL TROPEZAR CON RIEL SUELTO EN PISO EN PATIO DE DECOMISO"/>
    <s v="CONDICION"/>
    <s v="SI"/>
    <x v="1"/>
    <s v="ALAN CARRASCO"/>
    <s v="WLADIMIR CALDERON "/>
    <m/>
  </r>
  <r>
    <n v="2023"/>
    <s v="DICIEMBRE"/>
    <s v="EL PAICO"/>
    <s v="TORRES MARTINEZ "/>
    <s v="JORGE"/>
    <s v="MASCULINO"/>
    <s v="19230546-2"/>
    <d v="2015-10-01T00:00:00"/>
    <n v="98"/>
    <d v="2023-12-09T00:00:00"/>
    <x v="0"/>
    <d v="2023-12-11T00:00:00"/>
    <d v="2023-12-11T00:00:00"/>
    <s v="N/A"/>
    <n v="0"/>
    <x v="0"/>
    <s v="N/A"/>
    <s v="N/A"/>
    <x v="3"/>
    <s v="CALIDAD"/>
    <s v="MONITOR"/>
    <s v="EVISCERADO DE PAVO"/>
    <s v="N/A"/>
    <s v="MAÑANA"/>
    <d v="1899-12-30T08:00:00"/>
    <s v="SABADO"/>
    <s v="SEMANA 49"/>
    <n v="16058"/>
    <s v="NC-165-23"/>
    <s v="PATRICIA RAMIREZ"/>
    <s v="SOLEDAD CARRASCO"/>
    <n v="27"/>
    <x v="4"/>
    <x v="4"/>
    <x v="1"/>
    <x v="6"/>
    <s v="COLABORADOR SUFRE CONTUSION EN RODILLA IZQUIERDA  CAIDA DE DISTINTO NIVEL CUANDO SE ENCONTRABA REALIZANDO INSPECCION DE ASEO PREOPERACIONAL EN SALA DE EVISCERADO DE PAVO"/>
    <s v="CONDICION"/>
    <s v="SI"/>
    <x v="1"/>
    <s v="NICOLAS GOMEZ"/>
    <s v="CHISTIAN JHONS"/>
    <m/>
  </r>
  <r>
    <n v="2023"/>
    <s v="DICIEMBRE"/>
    <s v="EL PAICO"/>
    <s v="BARRERA BARRERA"/>
    <s v="JORGE"/>
    <s v="MASCULINO"/>
    <s v="18202268-3"/>
    <d v="2023-11-13T00:00:00"/>
    <n v="1"/>
    <d v="2023-12-13T00:00:00"/>
    <x v="1"/>
    <s v="N/A"/>
    <s v="N/A"/>
    <s v="N/A"/>
    <n v="0"/>
    <x v="0"/>
    <s v="N/A"/>
    <s v="N/A"/>
    <x v="5"/>
    <s v="DESHUESADO"/>
    <s v="OPERARIO"/>
    <s v="MAQUINA HQ NORTE"/>
    <s v="N/A"/>
    <s v="TARDE"/>
    <d v="1899-12-30T20:45:00"/>
    <s v="MIERCOLES"/>
    <s v="SEMANA 50"/>
    <n v="16068"/>
    <s v="NC-168-23"/>
    <s v="DANIEL GARRIDO"/>
    <s v="ARNALDO VERA"/>
    <n v="35"/>
    <x v="2"/>
    <x v="9"/>
    <x v="1"/>
    <x v="5"/>
    <s v="COLABORADOR SUFRE CONTUSION EN CRANEO AL SER GOLPEADO CONTRA ESTRUCTURA METALICA (FIERRO) ME MAQUINA HQ "/>
    <s v="CONDICION"/>
    <s v="SI"/>
    <x v="1"/>
    <s v="NICOLAS GOMEZ"/>
    <s v="CARLOS CARTAGENA"/>
    <m/>
  </r>
  <r>
    <n v="2023"/>
    <s v="DICIEMBRE"/>
    <s v="EL PAICO"/>
    <s v="MELO RIVEROS"/>
    <s v="SILVIA"/>
    <s v="FEMENINO"/>
    <s v="17398350-6"/>
    <d v="2023-06-01T00:00:00"/>
    <n v="6"/>
    <d v="2023-12-15T00:00:00"/>
    <x v="1"/>
    <s v="N/A"/>
    <s v="N/A"/>
    <s v="N/A"/>
    <n v="0"/>
    <x v="0"/>
    <s v="N/A"/>
    <s v="N/A"/>
    <x v="1"/>
    <s v="IQF"/>
    <s v="OPERARIO"/>
    <s v="IQF"/>
    <s v="N/A"/>
    <s v="MAÑANA"/>
    <d v="1899-12-30T13:15:00"/>
    <s v="VIERNES"/>
    <s v="SEMANA 50"/>
    <m/>
    <m/>
    <s v="JAVIERA BASTIAS"/>
    <s v="MIGUEL HENRRIQUEZ"/>
    <n v="34"/>
    <x v="6"/>
    <x v="5"/>
    <x v="1"/>
    <x v="4"/>
    <s v="COLABORADORA SUFRE CONTUSION EN OJO IZQUIERDO AL SER GOLPEADA POR MATERIA PRIMA CUANDO SE ENCINTRABA ENBOLSANDO PRODUCTO EN LINEA DE IQF"/>
    <s v="CONDICION"/>
    <s v="SI"/>
    <x v="0"/>
    <s v="NICOLAS GOMEZ"/>
    <s v="WLADIMIR CALDERON "/>
    <m/>
  </r>
  <r>
    <n v="2023"/>
    <s v="DICIEMBRE"/>
    <s v="EL PAICO"/>
    <s v="BUSTOS HUERTA"/>
    <s v="RAMON"/>
    <s v="MASCULINO"/>
    <s v="13339753-1"/>
    <d v="2020-01-13T00:00:00"/>
    <n v="47"/>
    <d v="2023-12-16T00:00:00"/>
    <x v="0"/>
    <s v="N/A"/>
    <s v="N/A"/>
    <s v="N/A"/>
    <n v="0"/>
    <x v="0"/>
    <s v="N/A"/>
    <s v="N/A"/>
    <x v="1"/>
    <s v="CALIBRADO"/>
    <s v="OPERARIO"/>
    <s v="CALINRADO"/>
    <s v="N/A"/>
    <s v="MAÑANA"/>
    <d v="1899-12-30T08:40:00"/>
    <s v="SABADO"/>
    <s v="SEMANA 50"/>
    <m/>
    <m/>
    <s v="JAVIERA BASTIAS"/>
    <s v="MIGUEL HENRRIQUEZ"/>
    <n v="46"/>
    <x v="6"/>
    <x v="9"/>
    <x v="1"/>
    <x v="4"/>
    <s v="COLABORADOR SUFRE CONTUSION EN CABEZA AL SER GOLPEADO POR MATERIA PRIMA QUE CAE DE LINEA DE FILETILLO  CUANDO SE ENCONTRABA ENBOLSANDO PRODUCTO "/>
    <s v="CONDICION"/>
    <s v="SI"/>
    <x v="0"/>
    <s v="ALAN CARRASCO"/>
    <s v="CARLOS CARTAGENA"/>
    <m/>
  </r>
  <r>
    <n v="2023"/>
    <s v="DICIEMBRE"/>
    <s v="EL PAICO"/>
    <s v="PAREDES JEREZ"/>
    <s v="MARIA"/>
    <s v="FEMENINO"/>
    <s v=" 8390041-5"/>
    <d v="2021-06-01T00:00:00"/>
    <n v="30"/>
    <d v="2023-12-18T00:00:00"/>
    <x v="0"/>
    <d v="2023-12-19T00:00:00"/>
    <m/>
    <d v="2023-12-19T00:00:00"/>
    <n v="11"/>
    <x v="1"/>
    <s v="N/A"/>
    <s v="N/A"/>
    <x v="5"/>
    <s v="RAFAEL ASTORGA"/>
    <s v="OPERARIO"/>
    <s v="SELECCIÓN DE FILETILLO"/>
    <s v="N/A"/>
    <s v="MAÑANA"/>
    <d v="1899-12-30T10:00:00"/>
    <s v="LUNES"/>
    <s v="SEMANA 51"/>
    <n v="16076"/>
    <s v="NC-169-23"/>
    <s v="DANIEL GARRIDO"/>
    <s v="RAFAEL ASTORGA"/>
    <n v="55"/>
    <x v="3"/>
    <x v="3"/>
    <x v="4"/>
    <x v="6"/>
    <s v="COLABORADORA SUFRE TORSION EN TOBILLO DERECHO AL ESTAR TRABAJANDO SOBRE PISO DE SELECCIÓN DE FILETILLO"/>
    <s v="CONDICION"/>
    <s v="SI"/>
    <x v="1"/>
    <s v="NICOLAS GOMEZ"/>
    <s v="MICHELLE SANCHEZ"/>
    <m/>
  </r>
  <r>
    <n v="2023"/>
    <s v="DICIEMBRE"/>
    <s v="EL PAICO"/>
    <s v="CABRERA NARANJO"/>
    <s v="FRANCISCO"/>
    <s v="MASCULINO"/>
    <s v="19069621-9"/>
    <d v="2021-08-09T00:00:00"/>
    <n v="28"/>
    <d v="2023-12-19T00:00:00"/>
    <x v="0"/>
    <d v="2023-12-19T00:00:00"/>
    <m/>
    <d v="2023-12-19T00:00:00"/>
    <n v="11"/>
    <x v="1"/>
    <s v="N/A"/>
    <s v="N/A"/>
    <x v="6"/>
    <s v="ASEO PRE OPERACIONAL"/>
    <s v="OPERARIO"/>
    <s v="DESHUESADO"/>
    <s v="N/A"/>
    <s v="NOCHE"/>
    <d v="1899-12-30T04:00:00"/>
    <s v="MARTES"/>
    <s v="SEMANA 51"/>
    <n v="16077"/>
    <s v="NC-170-23"/>
    <s v="CARLOS JIMENEZ"/>
    <s v="PATRICIO PALACIOS"/>
    <n v="28"/>
    <x v="0"/>
    <x v="0"/>
    <x v="3"/>
    <x v="4"/>
    <s v="COLABORADOR SUFRE HERIDA CONTUSA EN DEDO ANULAR IZQUIERDO POR GOLPE DE PRESION DE AGUA AL UTILIZAR HIDROLAVADORA EN TROZADO DE POLLO"/>
    <s v="ACCION"/>
    <s v="SI"/>
    <x v="1"/>
    <s v="CARLOS ORELLANA"/>
    <s v="MICHELLE SANCHEZ"/>
    <m/>
  </r>
  <r>
    <n v="2023"/>
    <s v="DICIEMBRE"/>
    <s v="EL PAICO"/>
    <s v="MUÑOZ MARQUEZ"/>
    <s v="RAIMUNDO"/>
    <s v="MASCULINO"/>
    <s v="17008287-7"/>
    <d v="2022-11-14T00:00:00"/>
    <n v="13"/>
    <d v="2023-12-20T00:00:00"/>
    <x v="2"/>
    <s v="N/A"/>
    <s v="N/A"/>
    <s v="N/A"/>
    <n v="0"/>
    <x v="0"/>
    <s v="N/A"/>
    <s v="N/A"/>
    <x v="2"/>
    <s v="CHILLER DE AGUA"/>
    <s v="OPERARIO"/>
    <s v="PASILLO BANDEJAS LIMPIAS"/>
    <s v="N/A"/>
    <s v="MAÑANA"/>
    <d v="1899-12-30T05:45:00"/>
    <s v="MIERCOLES"/>
    <s v="SEMANA 51"/>
    <m/>
    <m/>
    <s v="NICOLAS MOYANO"/>
    <s v="ERWIN GATICA"/>
    <n v="34"/>
    <x v="16"/>
    <x v="9"/>
    <x v="3"/>
    <x v="4"/>
    <s v="COLABORADOR DUFRE HERIDA CONTUSA-CORTANTE FRONTAL (ENTRE CEJA) MIENTRAS TRANSPORTABA PALLETS CON BENDAJAS LIMPIAS, AL PASAR POR DESNIVEL PRODUCIDO POR REJILLAS DE DESAGUE, LAS FILAS DE BADEJAS SE SEPARAN Y AL AFIRMAR ESTAS, CAE UNA DESDE LA PARTE SUPERIOR SOBRE SU CABEZA"/>
    <s v="ACCION"/>
    <s v="NO"/>
    <x v="0"/>
    <s v="NICOLAS GOMEZ"/>
    <s v="CARLOS CARTAGENA"/>
    <m/>
  </r>
  <r>
    <n v="2023"/>
    <s v="DICIEMBRE"/>
    <s v="EL PAICO"/>
    <s v="SAN MARTIN PAREDES"/>
    <s v="MARIANO"/>
    <s v="MASCULINO"/>
    <s v="20424493-6"/>
    <d v="2022-11-22T00:00:00"/>
    <n v="12"/>
    <d v="2023-12-20T00:00:00"/>
    <x v="2"/>
    <s v="N/A"/>
    <s v="N/A"/>
    <s v="N/A"/>
    <n v="0"/>
    <x v="0"/>
    <s v="N/A"/>
    <s v="N/A"/>
    <x v="1"/>
    <s v="CALIBRADO"/>
    <s v="OPERARIO"/>
    <s v="ENTRADA TUMBLER"/>
    <s v="EQUIPO PARA MOVIMIENTO DE CARGA (GRUAS O TRANSPALETAS)"/>
    <s v="MAÑANA"/>
    <d v="1899-12-30T10:15:00"/>
    <s v="MIERCOLES"/>
    <s v="SEMANA 51"/>
    <m/>
    <m/>
    <s v="JAVIERA BASTIAS"/>
    <s v="MIGUEL HENRRIQUEZ"/>
    <n v="23"/>
    <x v="7"/>
    <x v="3"/>
    <x v="2"/>
    <x v="5"/>
    <s v="COLABORADOR SUFRE ATRISION DE PIE AL MOMENTO DE TRANSPORTAR BINS CON TRANSPALETA MANUAL ESTE GIRA DE FORMA AMPLIA SIN DARSE CUENTA ATRAPANDO Y GOLPEANDO SU PIE ENTRE BINS Y BARRERA DE CONTENSION"/>
    <s v="ACCION"/>
    <s v="SI"/>
    <x v="0"/>
    <s v="NICOLAS GOMEZ"/>
    <s v="CARLOS CARTAGENA"/>
    <m/>
  </r>
  <r>
    <n v="2023"/>
    <s v="DICIEMBRE"/>
    <s v="EL PAICO"/>
    <s v="CONTANZO CIFUENTES"/>
    <s v="GERARDO"/>
    <s v="MASCULINO"/>
    <s v="9955135-6"/>
    <d v="2022-03-16T00:00:00"/>
    <n v="21"/>
    <d v="2023-12-29T00:00:00"/>
    <x v="0"/>
    <d v="2023-12-29T00:00:00"/>
    <m/>
    <d v="2023-12-29T00:00:00"/>
    <n v="3"/>
    <x v="1"/>
    <s v="N/A"/>
    <s v="N/A"/>
    <x v="1"/>
    <s v="CALIBRADO"/>
    <s v="OPERARIO"/>
    <s v="CALIBRADO"/>
    <s v="N/A"/>
    <s v="MAÑANA"/>
    <d v="1899-12-30T06:30:00"/>
    <s v="VIERNES"/>
    <s v="SEMANA 52"/>
    <n v="16088"/>
    <s v="NC-173-23"/>
    <s v="JAVIERA BASTIAS"/>
    <s v="FRANCISCO SANCHEZ"/>
    <n v="58"/>
    <x v="3"/>
    <x v="1"/>
    <x v="3"/>
    <x v="4"/>
    <s v="COLABORADOR SUFRE HERIDA CORTANTE EN CEJA DERECHA AL SER GOLPEADO CONTRA BANDEJA DE RECEPCION DE PRODUCTO"/>
    <s v="ACCION"/>
    <s v="SI"/>
    <x v="1"/>
    <s v="NICOLAS GOMEZ"/>
    <s v="CHISTIAN JHONS"/>
    <m/>
  </r>
  <r>
    <n v="2023"/>
    <s v="DICIEMBRE"/>
    <s v="EL PAICO"/>
    <s v="ARAYA PIZARRO"/>
    <s v="HECTOR"/>
    <s v="MASCULINO"/>
    <s v="17907779-5"/>
    <d v="2014-02-03T00:00:00"/>
    <n v="118"/>
    <d v="2023-12-29T00:00:00"/>
    <x v="0"/>
    <s v="N/A"/>
    <s v="N/A"/>
    <s v="N/A"/>
    <n v="0"/>
    <x v="0"/>
    <s v="N/A"/>
    <s v="N/A"/>
    <x v="6"/>
    <s v="ASEO OPERACIONAL"/>
    <s v="OPERARIO"/>
    <s v="DESPLUMADO DE PAVO"/>
    <s v="N/A"/>
    <s v="MAÑANA"/>
    <d v="1899-12-30T12:40:00"/>
    <s v="VIERNES"/>
    <s v="SEMANA 52"/>
    <m/>
    <m/>
    <s v="CARLOS JIMENEZ"/>
    <s v="ALEXIS ARAY"/>
    <n v="32"/>
    <x v="9"/>
    <x v="5"/>
    <x v="5"/>
    <x v="7"/>
    <s v="COLABORADOR SUFRE MOLESTIA OCULAR EN OJO IZQUIERDO POR PROYECCION DE PARTICULAS DE ACIDO PLUSTEC CUANDO SE ENCONTRABA REALIZANDO LABORES DE ASEO OPERACIONAL "/>
    <s v="ACCION"/>
    <s v="SI"/>
    <x v="0"/>
    <s v="NICOLAS GOMEZ"/>
    <s v="CHISTIAN JHONS"/>
    <m/>
  </r>
  <r>
    <n v="2023"/>
    <s v="DICIEMBRE"/>
    <s v="EL PAICO"/>
    <s v="CARRASCO PINTO"/>
    <s v="PAOLA"/>
    <s v="FEMENINO"/>
    <s v="16921753-K"/>
    <d v="2014-11-10T00:00:00"/>
    <n v="109"/>
    <d v="2023-12-29T00:00:00"/>
    <x v="0"/>
    <s v="N/A"/>
    <s v="N/A"/>
    <s v="N/A"/>
    <n v="0"/>
    <x v="0"/>
    <s v="N/A"/>
    <s v="N/A"/>
    <x v="5"/>
    <s v="DESHUESADO"/>
    <s v="OPERARIO"/>
    <s v="FILETERA"/>
    <s v="EQUIPO PARA MOVIMIENTO DE CARGA (GRUAS O TRANSPALETAS)"/>
    <s v="TARDE"/>
    <d v="1899-12-30T14:50:00"/>
    <s v="VIERNES"/>
    <s v="SEMANA 52"/>
    <m/>
    <m/>
    <s v="DANIEL GARRIDO"/>
    <s v="RAFAEL ASTORGA"/>
    <n v="35"/>
    <x v="7"/>
    <x v="2"/>
    <x v="1"/>
    <x v="4"/>
    <s v="COLABORADORA SUFRE CONSTUSION EN ANTEBRAZO Y CADERA DERECHA AL SER GOLPEADA POR EQUIPO D EMOVIMIENTO DE CARGA"/>
    <s v="CONDICION"/>
    <s v="SI"/>
    <x v="0"/>
    <s v="NICOLAS GOMEZ"/>
    <s v="CHISTIAN JHONS"/>
    <m/>
  </r>
  <r>
    <n v="2023"/>
    <s v="DICIEMBRE"/>
    <s v="EL PAICO"/>
    <s v="FRIAS GALLEGUILLOS"/>
    <s v="BENJANMIN"/>
    <s v="MASCULINO"/>
    <s v="20879430-2"/>
    <d v="2022-11-11T00:00:00"/>
    <n v="13"/>
    <d v="2023-12-29T00:00:00"/>
    <x v="2"/>
    <s v="N/A"/>
    <s v="N/A"/>
    <s v="N/A"/>
    <n v="0"/>
    <x v="0"/>
    <s v="N/A"/>
    <s v="N/A"/>
    <x v="2"/>
    <s v="EVISCERADO"/>
    <s v="OPERARIO"/>
    <s v="EVISCERADO"/>
    <s v="N/A"/>
    <s v="TARDE"/>
    <d v="1899-12-30T18:00:00"/>
    <s v="VIERNES"/>
    <s v="SEMANA 52"/>
    <m/>
    <m/>
    <s v="DANIEL GARRIDO"/>
    <s v="FRANCISCO CASTRO"/>
    <n v="21"/>
    <x v="12"/>
    <x v="8"/>
    <x v="0"/>
    <x v="0"/>
    <s v="COLABORADOR SUFRE LUXACIÓN EN CODO IZQUIERDO AL ESTAR ASPIRANDO EN LINEA DOS DE EVISCERADO"/>
    <s v="ACCION"/>
    <s v="SI"/>
    <x v="0"/>
    <s v="NICOLAS GOMEZ"/>
    <s v="CARLOS CARTAGENA"/>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s v=","/>
    <x v="2"/>
    <m/>
    <m/>
    <x v="11"/>
    <m/>
    <m/>
    <m/>
    <m/>
    <m/>
    <m/>
    <m/>
    <m/>
    <m/>
    <m/>
    <m/>
    <m/>
    <m/>
    <x v="20"/>
    <x v="12"/>
    <x v="8"/>
    <x v="15"/>
    <m/>
    <m/>
    <m/>
    <x v="3"/>
    <m/>
    <m/>
    <m/>
  </r>
  <r>
    <s v=" "/>
    <s v=" "/>
    <s v=" "/>
    <s v=" "/>
    <s v=" "/>
    <s v=" "/>
    <s v=" "/>
    <s v=" "/>
    <e v="#VALUE!"/>
    <m/>
    <x v="3"/>
    <m/>
    <m/>
    <m/>
    <s v=" 0,C "/>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s v=" "/>
    <s v=" "/>
    <s v=" "/>
    <s v=" "/>
    <s v=" "/>
    <s v=" "/>
    <s v=" "/>
    <s v=" "/>
    <e v="#VALUE!"/>
    <m/>
    <x v="3"/>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s v="                                                                                                                                                                                                                                                                                                                                                                                                                                                                                                                                                                                                                                                                                                                                                                                                                                                                                                                                                                                                                                                                                                                                                                                                                                                                                                                                                                                                                                                                                                                                                                                                                                                                                                                                                                                                                                                                                                                                                                                                                                                                                                                                                                                                                                                                                                                                                                                                                                                                                                                                                                                                                                                                                                                                                                                                                                                                                                                                                                                                                                                                                                                                                                                                                                                                                                                                                                                                                                                                                                                                                                                                                                                                                                                                                                                                                                                                                                                                                                                                                                                                                                                                                                                                                                                                                                                                                                                                                                                                                                                                                                                                                                                                                                                                                                                                                                                                                                                                                                                                                                                                                                                                                                                                                                                                                                                                                                                                                                                                                                                                                                                                                                                                                                                                                                                                                                                                                                                                                                                                                                                                                                                                                                                                                                                                                                                                                                                                                                                                                                                                                                                                                                                                                                                                                                                                                                                                                                                                                                                                                                                                                                                                                                                                   "/>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r>
    <m/>
    <m/>
    <m/>
    <m/>
    <m/>
    <m/>
    <m/>
    <m/>
    <m/>
    <m/>
    <x v="4"/>
    <m/>
    <m/>
    <m/>
    <m/>
    <x v="2"/>
    <m/>
    <m/>
    <x v="11"/>
    <m/>
    <m/>
    <m/>
    <m/>
    <m/>
    <m/>
    <m/>
    <m/>
    <m/>
    <m/>
    <m/>
    <m/>
    <m/>
    <x v="20"/>
    <x v="12"/>
    <x v="8"/>
    <x v="15"/>
    <m/>
    <m/>
    <m/>
    <x v="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7E4DE1-2A2A-4EBF-B9AC-876DEE240BF8}" name="TablaDinámica8" cacheId="5"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8">
  <location ref="A129:B150" firstHeaderRow="1" firstDataRow="1" firstDataCol="1" rowPageCount="2" colPageCount="1"/>
  <pivotFields count="43">
    <pivotField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pivotField axis="axisPage" multipleItemSelectionAllowed="1" showAll="0">
      <items count="3">
        <item x="0"/>
        <item x="1"/>
        <item t="default"/>
      </items>
    </pivotField>
    <pivotField showAll="0"/>
    <pivotField showAll="0"/>
    <pivotField axis="axisRow" dataField="1" showAll="0" sortType="descending">
      <items count="26">
        <item x="14"/>
        <item x="3"/>
        <item x="15"/>
        <item x="18"/>
        <item x="5"/>
        <item x="13"/>
        <item x="11"/>
        <item x="9"/>
        <item m="1" x="22"/>
        <item x="16"/>
        <item x="6"/>
        <item m="1" x="23"/>
        <item m="1" x="21"/>
        <item m="1" x="20"/>
        <item m="1" x="24"/>
        <item x="4"/>
        <item x="2"/>
        <item x="1"/>
        <item x="0"/>
        <item x="8"/>
        <item x="7"/>
        <item x="10"/>
        <item x="12"/>
        <item x="19"/>
        <item x="17"/>
        <item t="default"/>
      </items>
      <autoSortScope>
        <pivotArea dataOnly="0" outline="0" fieldPosition="0">
          <references count="1">
            <reference field="4294967294" count="1" selected="0">
              <x v="0"/>
            </reference>
          </references>
        </pivotArea>
      </autoSortScope>
    </pivotField>
  </pivotFields>
  <rowFields count="1">
    <field x="42"/>
  </rowFields>
  <rowItems count="21">
    <i>
      <x v="16"/>
    </i>
    <i>
      <x v="15"/>
    </i>
    <i>
      <x v="20"/>
    </i>
    <i>
      <x v="6"/>
    </i>
    <i>
      <x v="7"/>
    </i>
    <i>
      <x v="4"/>
    </i>
    <i>
      <x v="10"/>
    </i>
    <i>
      <x/>
    </i>
    <i>
      <x v="19"/>
    </i>
    <i>
      <x v="1"/>
    </i>
    <i>
      <x v="3"/>
    </i>
    <i>
      <x v="2"/>
    </i>
    <i>
      <x v="9"/>
    </i>
    <i>
      <x v="21"/>
    </i>
    <i>
      <x v="23"/>
    </i>
    <i>
      <x v="22"/>
    </i>
    <i>
      <x v="5"/>
    </i>
    <i>
      <x v="24"/>
    </i>
    <i>
      <x v="17"/>
    </i>
    <i>
      <x v="18"/>
    </i>
    <i t="grand">
      <x/>
    </i>
  </rowItems>
  <colItems count="1">
    <i/>
  </colItems>
  <pageFields count="2">
    <pageField fld="39" hier="-1"/>
    <pageField fld="37" hier="-1"/>
  </pageFields>
  <dataFields count="1">
    <dataField name="Cuenta de FUENTES (TAREA)" fld="4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F139AD-8F99-4C34-B1A3-11A594E78688}" name="TablaDinámica11" cacheId="7"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7:B202" firstHeaderRow="1" firstDataRow="1" firstDataCol="1" rowPageCount="2" colPageCount="1"/>
  <pivotFields count="43">
    <pivotField showAll="0"/>
    <pivotField axis="axisPage" multipleItemSelectionAllowed="1" showAll="0">
      <items count="11">
        <item h="1" x="0"/>
        <item h="1" x="1"/>
        <item x="2"/>
        <item x="3"/>
        <item x="4"/>
        <item x="5"/>
        <item x="6"/>
        <item x="7"/>
        <item h="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3">
        <item h="1" x="0"/>
        <item h="1" x="3"/>
        <item h="1" x="2"/>
        <item h="1" x="4"/>
        <item h="1" x="1"/>
        <item h="1" x="8"/>
        <item h="1" x="7"/>
        <item h="1" x="6"/>
        <item h="1" x="9"/>
        <item x="5"/>
        <item h="1" m="1" x="11"/>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1">
        <item x="11"/>
        <item x="16"/>
        <item x="5"/>
        <item x="14"/>
        <item x="13"/>
        <item x="10"/>
        <item x="18"/>
        <item x="7"/>
        <item x="17"/>
        <item x="3"/>
        <item x="2"/>
        <item x="6"/>
        <item x="0"/>
        <item x="12"/>
        <item x="8"/>
        <item x="9"/>
        <item x="4"/>
        <item x="1"/>
        <item x="15"/>
        <item m="1" x="1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32"/>
  </rowFields>
  <rowItems count="15">
    <i>
      <x v="17"/>
    </i>
    <i>
      <x v="11"/>
    </i>
    <i>
      <x v="12"/>
    </i>
    <i>
      <x v="7"/>
    </i>
    <i>
      <x v="10"/>
    </i>
    <i>
      <x v="2"/>
    </i>
    <i>
      <x v="16"/>
    </i>
    <i>
      <x v="9"/>
    </i>
    <i>
      <x v="3"/>
    </i>
    <i>
      <x v="18"/>
    </i>
    <i>
      <x v="1"/>
    </i>
    <i>
      <x v="15"/>
    </i>
    <i>
      <x v="5"/>
    </i>
    <i>
      <x v="13"/>
    </i>
    <i t="grand">
      <x/>
    </i>
  </rowItems>
  <colItems count="1">
    <i/>
  </colItems>
  <pageFields count="2">
    <pageField fld="1" hier="-1"/>
    <pageField fld="18" hier="-1"/>
  </pageFields>
  <dataFields count="1">
    <dataField name="Cuenta de AGENTE ACC" fld="3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B9C50B-6148-4485-85F5-22256748056F}" name="TablaDinámica5"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5">
  <location ref="A74:B82" firstHeaderRow="1" firstDataRow="1" firstDataCol="1" rowPageCount="1" colPageCount="1"/>
  <pivotFields count="42">
    <pivotField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9">
        <item x="2"/>
        <item x="5"/>
        <item x="1"/>
        <item x="7"/>
        <item x="3"/>
        <item x="0"/>
        <item x="6"/>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multipleItemSelectionAllowed="1" showAll="0">
      <items count="3">
        <item h="1" x="0"/>
        <item x="1"/>
        <item t="default"/>
      </items>
    </pivotField>
    <pivotField showAll="0"/>
    <pivotField showAll="0"/>
  </pivotFields>
  <rowFields count="1">
    <field x="34"/>
  </rowFields>
  <rowItems count="8">
    <i>
      <x v="2"/>
    </i>
    <i>
      <x v="4"/>
    </i>
    <i>
      <x v="1"/>
    </i>
    <i>
      <x v="6"/>
    </i>
    <i>
      <x v="7"/>
    </i>
    <i>
      <x/>
    </i>
    <i>
      <x v="3"/>
    </i>
    <i t="grand">
      <x/>
    </i>
  </rowItems>
  <colItems count="1">
    <i/>
  </colItems>
  <pageFields count="1">
    <pageField fld="39" hier="-1"/>
  </pageFields>
  <dataFields count="1">
    <dataField name="Cuenta de NATURALEZA DE LA LESION " fld="3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8EBDDF-F258-4FFC-86A4-A1ECD4086023}" name="TablaDinámica9" cacheId="5"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156:B160" firstHeaderRow="1" firstDataRow="1" firstDataCol="1" rowPageCount="1" colPageCount="1"/>
  <pivotFields count="43">
    <pivotField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
        <item x="0"/>
        <item x="2"/>
        <item x="1"/>
        <item m="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s>
  <rowFields count="1">
    <field x="23"/>
  </rowFields>
  <rowItems count="4">
    <i>
      <x v="2"/>
    </i>
    <i>
      <x/>
    </i>
    <i>
      <x v="1"/>
    </i>
    <i t="grand">
      <x/>
    </i>
  </rowItems>
  <colItems count="1">
    <i/>
  </colItems>
  <pageFields count="1">
    <pageField fld="39" hier="-1"/>
  </pageFields>
  <dataFields count="1">
    <dataField name="Cuenta de TURNO" fld="2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34EC5F-8439-4DD4-B46E-8843BFF379B8}" name="TablaDinámica1"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5">
  <location ref="A5:D14" firstHeaderRow="1" firstDataRow="2" firstDataCol="1" rowPageCount="1" colPageCount="1"/>
  <pivotFields count="42">
    <pivotField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axis="axisCol" dataField="1" showAll="0">
      <items count="3">
        <item x="1"/>
        <item x="0"/>
        <item t="default"/>
      </items>
    </pivotField>
    <pivotField showAll="0"/>
    <pivotField showAll="0"/>
    <pivotField axis="axisRow" showAll="0" sortType="descending">
      <items count="11">
        <item x="3"/>
        <item x="2"/>
        <item x="4"/>
        <item x="1"/>
        <item x="8"/>
        <item x="7"/>
        <item x="6"/>
        <item x="9"/>
        <item x="5"/>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s>
  <rowFields count="1">
    <field x="18"/>
  </rowFields>
  <rowItems count="8">
    <i>
      <x v="6"/>
    </i>
    <i>
      <x v="8"/>
    </i>
    <i>
      <x v="2"/>
    </i>
    <i>
      <x v="1"/>
    </i>
    <i>
      <x v="3"/>
    </i>
    <i>
      <x v="4"/>
    </i>
    <i>
      <x v="5"/>
    </i>
    <i t="grand">
      <x/>
    </i>
  </rowItems>
  <colFields count="1">
    <field x="15"/>
  </colFields>
  <colItems count="3">
    <i>
      <x/>
    </i>
    <i>
      <x v="1"/>
    </i>
    <i t="grand">
      <x/>
    </i>
  </colItems>
  <pageFields count="1">
    <pageField fld="39" hier="-1"/>
  </pageFields>
  <dataFields count="1">
    <dataField name="Cuenta de CLASIF ACC" fld="15" subtotal="count"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6" format="4" series="1">
      <pivotArea type="data" outline="0" fieldPosition="0">
        <references count="2">
          <reference field="4294967294" count="1" selected="0">
            <x v="0"/>
          </reference>
          <reference field="15" count="1" selected="0">
            <x v="0"/>
          </reference>
        </references>
      </pivotArea>
    </chartFormat>
    <chartFormat chart="6"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738DF0-D513-4384-9A23-7CE3BA7A6ECC}" name="TablaDinámica3"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40:B44" firstHeaderRow="1" firstDataRow="1" firstDataCol="1" rowPageCount="1" colPageCount="1"/>
  <pivotFields count="42">
    <pivotField showAll="0"/>
    <pivotField showAll="0"/>
    <pivotField showAll="0"/>
    <pivotField showAll="0"/>
    <pivotField showAll="0"/>
    <pivotField showAll="0"/>
    <pivotField showAll="0"/>
    <pivotField numFmtId="14" showAll="0"/>
    <pivotField showAll="0"/>
    <pivotField numFmtId="14" showAll="0"/>
    <pivotField axis="axisRow" dataField="1"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s>
  <rowFields count="1">
    <field x="10"/>
  </rowFields>
  <rowItems count="4">
    <i>
      <x/>
    </i>
    <i>
      <x v="2"/>
    </i>
    <i>
      <x v="1"/>
    </i>
    <i t="grand">
      <x/>
    </i>
  </rowItems>
  <colItems count="1">
    <i/>
  </colItems>
  <pageFields count="1">
    <pageField fld="39" hier="-1"/>
  </pageFields>
  <dataFields count="1">
    <dataField name="Cuenta de ANTIGÜEDAD" fld="1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75FCB8-81AE-4370-AABB-488C90BA17FC}" name="TablaDinámica7" cacheId="5"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7">
  <location ref="A108:B121" firstHeaderRow="1" firstDataRow="1" firstDataCol="1" rowPageCount="1" colPageCount="1"/>
  <pivotFields count="43">
    <pivotField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8">
        <item x="11"/>
        <item x="5"/>
        <item x="14"/>
        <item x="13"/>
        <item x="10"/>
        <item x="7"/>
        <item m="1" x="16"/>
        <item x="3"/>
        <item x="2"/>
        <item x="6"/>
        <item x="0"/>
        <item x="12"/>
        <item x="8"/>
        <item x="9"/>
        <item x="4"/>
        <item m="1" x="1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s>
  <rowFields count="1">
    <field x="32"/>
  </rowFields>
  <rowItems count="13">
    <i>
      <x v="7"/>
    </i>
    <i>
      <x v="14"/>
    </i>
    <i>
      <x v="8"/>
    </i>
    <i>
      <x v="16"/>
    </i>
    <i>
      <x v="9"/>
    </i>
    <i>
      <x v="13"/>
    </i>
    <i>
      <x v="1"/>
    </i>
    <i>
      <x v="10"/>
    </i>
    <i>
      <x v="5"/>
    </i>
    <i>
      <x v="4"/>
    </i>
    <i>
      <x v="11"/>
    </i>
    <i>
      <x/>
    </i>
    <i t="grand">
      <x/>
    </i>
  </rowItems>
  <colItems count="1">
    <i/>
  </colItems>
  <pageFields count="1">
    <pageField fld="39" hier="-1"/>
  </pageFields>
  <dataFields count="1">
    <dataField name="Cuenta de AGENTE ACC" fld="3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A77C370-612C-4556-9942-91E161F90D36}" name="TablaDinámica10" cacheId="5"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172:B175" firstHeaderRow="1" firstDataRow="1" firstDataCol="1" rowPageCount="1" colPageCount="1"/>
  <pivotFields count="43">
    <pivotField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 axis="axisPage" multipleItemSelectionAllowed="1" showAll="0">
      <items count="3">
        <item h="1" x="0"/>
        <item x="1"/>
        <item t="default"/>
      </items>
    </pivotField>
    <pivotField showAll="0"/>
    <pivotField showAll="0"/>
    <pivotField showAll="0"/>
  </pivotFields>
  <rowFields count="1">
    <field x="37"/>
  </rowFields>
  <rowItems count="3">
    <i>
      <x/>
    </i>
    <i>
      <x v="1"/>
    </i>
    <i t="grand">
      <x/>
    </i>
  </rowItems>
  <colItems count="1">
    <i/>
  </colItems>
  <pageFields count="1">
    <pageField fld="39" hier="-1"/>
  </pageFields>
  <dataFields count="1">
    <dataField name="Cuenta de ACCION - CONDICION" fld="37"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05748-69E4-4F74-B68E-9E2D5499B42F}" name="TablaDinámica12" cacheId="7"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209:B218" firstHeaderRow="1" firstDataRow="1" firstDataCol="1" rowPageCount="2" colPageCount="1"/>
  <pivotFields count="43">
    <pivotField showAll="0"/>
    <pivotField axis="axisPage" multipleItemSelectionAllowed="1" showAll="0">
      <items count="11">
        <item h="1" x="0"/>
        <item h="1" x="1"/>
        <item x="2"/>
        <item x="3"/>
        <item x="4"/>
        <item x="5"/>
        <item x="6"/>
        <item x="7"/>
        <item h="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3">
        <item h="1" x="0"/>
        <item h="1" x="3"/>
        <item h="1" x="2"/>
        <item h="1" x="4"/>
        <item h="1" x="1"/>
        <item h="1" x="8"/>
        <item h="1" x="7"/>
        <item h="1" x="6"/>
        <item h="1" x="9"/>
        <item x="5"/>
        <item h="1" m="1" x="11"/>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5">
        <item x="8"/>
        <item x="9"/>
        <item x="7"/>
        <item x="11"/>
        <item x="0"/>
        <item x="2"/>
        <item x="5"/>
        <item m="1" x="12"/>
        <item x="3"/>
        <item x="4"/>
        <item x="1"/>
        <item x="10"/>
        <item m="1" x="13"/>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33"/>
  </rowFields>
  <rowItems count="9">
    <i>
      <x v="4"/>
    </i>
    <i>
      <x v="2"/>
    </i>
    <i>
      <x v="8"/>
    </i>
    <i>
      <x v="5"/>
    </i>
    <i>
      <x v="9"/>
    </i>
    <i>
      <x v="6"/>
    </i>
    <i>
      <x/>
    </i>
    <i>
      <x v="1"/>
    </i>
    <i t="grand">
      <x/>
    </i>
  </rowItems>
  <colItems count="1">
    <i/>
  </colItems>
  <pageFields count="2">
    <pageField fld="1" hier="-1"/>
    <pageField fld="18" hier="-1"/>
  </pageFields>
  <dataFields count="1">
    <dataField name="Cuenta de PARTE AFECTADA" fld="33" subtotal="count"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6515DB-0F5F-491F-8967-925A8303330D}" name="TablaDinámica2"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24:B32" firstHeaderRow="1" firstDataRow="1" firstDataCol="1" rowPageCount="1" colPageCount="1"/>
  <pivotFields count="42">
    <pivotField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8">
        <item x="5"/>
        <item x="4"/>
        <item x="0"/>
        <item x="1"/>
        <item x="3"/>
        <item x="2"/>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s>
  <rowFields count="1">
    <field x="25"/>
  </rowFields>
  <rowItems count="8">
    <i>
      <x v="2"/>
    </i>
    <i>
      <x v="4"/>
    </i>
    <i>
      <x v="1"/>
    </i>
    <i>
      <x/>
    </i>
    <i>
      <x v="5"/>
    </i>
    <i>
      <x v="3"/>
    </i>
    <i>
      <x v="6"/>
    </i>
    <i t="grand">
      <x/>
    </i>
  </rowItems>
  <colItems count="1">
    <i/>
  </colItems>
  <pageFields count="1">
    <pageField fld="39" hier="-1"/>
  </pageFields>
  <dataFields count="1">
    <dataField name="Cuenta de DIA" fld="2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56D9B-EBB0-4E53-A623-1B01DD862071}" name="TablaDinámica14" cacheId="7"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9">
  <location ref="A241:B247" firstHeaderRow="1" firstDataRow="1" firstDataCol="1" rowPageCount="2" colPageCount="1"/>
  <pivotFields count="43">
    <pivotField showAll="0"/>
    <pivotField axis="axisPage" multipleItemSelectionAllowed="1" showAll="0">
      <items count="11">
        <item h="1" x="0"/>
        <item h="1" x="1"/>
        <item h="1" x="2"/>
        <item h="1" x="3"/>
        <item h="1" x="4"/>
        <item x="5"/>
        <item x="6"/>
        <item x="7"/>
        <item h="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3">
        <item h="1" x="0"/>
        <item h="1" x="3"/>
        <item h="1" x="2"/>
        <item h="1" x="4"/>
        <item h="1" x="1"/>
        <item h="1" x="8"/>
        <item h="1" x="7"/>
        <item h="1" x="6"/>
        <item h="1" x="9"/>
        <item x="5"/>
        <item h="1" m="1" x="11"/>
        <item h="1" x="10"/>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3">
        <item m="1" x="50"/>
        <item x="12"/>
        <item x="29"/>
        <item m="1" x="51"/>
        <item x="44"/>
        <item x="28"/>
        <item x="11"/>
        <item x="41"/>
        <item x="25"/>
        <item x="40"/>
        <item x="23"/>
        <item x="43"/>
        <item x="38"/>
        <item x="36"/>
        <item x="2"/>
        <item x="1"/>
        <item x="19"/>
        <item x="37"/>
        <item x="17"/>
        <item x="3"/>
        <item x="45"/>
        <item x="15"/>
        <item x="33"/>
        <item x="32"/>
        <item x="30"/>
        <item x="22"/>
        <item x="31"/>
        <item x="10"/>
        <item x="24"/>
        <item x="5"/>
        <item x="8"/>
        <item x="9"/>
        <item x="14"/>
        <item x="20"/>
        <item x="39"/>
        <item x="18"/>
        <item x="21"/>
        <item x="42"/>
        <item x="27"/>
        <item x="13"/>
        <item x="26"/>
        <item x="16"/>
        <item x="7"/>
        <item x="34"/>
        <item x="6"/>
        <item x="35"/>
        <item x="46"/>
        <item x="49"/>
        <item x="48"/>
        <item x="0"/>
        <item x="47"/>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6">
    <i>
      <x v="27"/>
    </i>
    <i>
      <x v="26"/>
    </i>
    <i>
      <x v="5"/>
    </i>
    <i>
      <x v="44"/>
    </i>
    <i>
      <x v="20"/>
    </i>
    <i t="grand">
      <x/>
    </i>
  </rowItems>
  <colItems count="1">
    <i/>
  </colItems>
  <pageFields count="2">
    <pageField fld="1" hier="-1"/>
    <pageField fld="18" hier="-1"/>
  </pageFields>
  <dataFields count="1">
    <dataField name="Cuenta de SUPERVISOR" fld="30" subtotal="count" baseField="0" baseItem="0"/>
  </dataFields>
  <chartFormats count="6">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30" count="1" selected="0">
            <x v="27"/>
          </reference>
        </references>
      </pivotArea>
    </chartFormat>
    <chartFormat chart="7" format="9">
      <pivotArea type="data" outline="0" fieldPosition="0">
        <references count="2">
          <reference field="4294967294" count="1" selected="0">
            <x v="0"/>
          </reference>
          <reference field="30" count="1" selected="0">
            <x v="26"/>
          </reference>
        </references>
      </pivotArea>
    </chartFormat>
    <chartFormat chart="7" format="10">
      <pivotArea type="data" outline="0" fieldPosition="0">
        <references count="2">
          <reference field="4294967294" count="1" selected="0">
            <x v="0"/>
          </reference>
          <reference field="30" count="1" selected="0">
            <x v="5"/>
          </reference>
        </references>
      </pivotArea>
    </chartFormat>
    <chartFormat chart="7" format="11">
      <pivotArea type="data" outline="0" fieldPosition="0">
        <references count="2">
          <reference field="4294967294" count="1" selected="0">
            <x v="0"/>
          </reference>
          <reference field="30" count="1" selected="0">
            <x v="44"/>
          </reference>
        </references>
      </pivotArea>
    </chartFormat>
    <chartFormat chart="7" format="12">
      <pivotArea type="data" outline="0" fieldPosition="0">
        <references count="2">
          <reference field="4294967294" count="1" selected="0">
            <x v="0"/>
          </reference>
          <reference field="30"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1CB3E6-E9A1-4A12-AEB9-C08132FFDFE4}" name="TablaDinámica13" cacheId="7"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224:B235" firstHeaderRow="1" firstDataRow="1" firstDataCol="1" rowPageCount="2" colPageCount="1"/>
  <pivotFields count="43">
    <pivotField showAll="0"/>
    <pivotField axis="axisPage" multipleItemSelectionAllowed="1" showAll="0">
      <items count="11">
        <item h="1" x="0"/>
        <item h="1" x="1"/>
        <item x="2"/>
        <item x="3"/>
        <item x="4"/>
        <item x="5"/>
        <item x="6"/>
        <item x="7"/>
        <item h="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3">
        <item h="1" x="0"/>
        <item h="1" x="3"/>
        <item h="1" x="2"/>
        <item h="1" x="4"/>
        <item h="1" x="1"/>
        <item h="1" x="8"/>
        <item h="1" x="7"/>
        <item h="1" x="6"/>
        <item h="1" x="9"/>
        <item x="5"/>
        <item h="1" m="1" x="11"/>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7">
        <item x="2"/>
        <item x="6"/>
        <item x="1"/>
        <item x="8"/>
        <item x="3"/>
        <item x="14"/>
        <item x="12"/>
        <item x="10"/>
        <item x="9"/>
        <item x="5"/>
        <item x="4"/>
        <item x="13"/>
        <item x="11"/>
        <item x="7"/>
        <item x="0"/>
        <item m="1"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5"/>
  </rowFields>
  <rowItems count="11">
    <i>
      <x v="2"/>
    </i>
    <i>
      <x v="10"/>
    </i>
    <i>
      <x v="14"/>
    </i>
    <i>
      <x v="9"/>
    </i>
    <i>
      <x v="13"/>
    </i>
    <i>
      <x v="3"/>
    </i>
    <i>
      <x v="4"/>
    </i>
    <i>
      <x v="1"/>
    </i>
    <i>
      <x/>
    </i>
    <i>
      <x v="11"/>
    </i>
    <i t="grand">
      <x/>
    </i>
  </rowItems>
  <colItems count="1">
    <i/>
  </colItems>
  <pageFields count="2">
    <pageField fld="1" hier="-1"/>
    <pageField fld="18" hier="-1"/>
  </pageFields>
  <dataFields count="1">
    <dataField name="Cuenta de TIPO ACCIDENTE" fld="35"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20EA66B-04BB-4300-B0DD-31E17651AA67}" name="TablaDinámica4"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5">
  <location ref="A54:B65" firstHeaderRow="1" firstDataRow="1" firstDataCol="1" rowPageCount="1" colPageCount="1"/>
  <pivotFields count="42">
    <pivotField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5">
        <item x="2"/>
        <item x="6"/>
        <item x="1"/>
        <item x="8"/>
        <item x="3"/>
        <item x="12"/>
        <item x="10"/>
        <item x="9"/>
        <item x="5"/>
        <item x="4"/>
        <item x="13"/>
        <item x="11"/>
        <item x="7"/>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items count="3">
        <item h="1" x="0"/>
        <item x="1"/>
        <item t="default"/>
      </items>
    </pivotField>
    <pivotField showAll="0"/>
    <pivotField showAll="0"/>
  </pivotFields>
  <rowFields count="1">
    <field x="35"/>
  </rowFields>
  <rowItems count="11">
    <i>
      <x v="2"/>
    </i>
    <i>
      <x v="8"/>
    </i>
    <i>
      <x/>
    </i>
    <i>
      <x v="9"/>
    </i>
    <i>
      <x v="1"/>
    </i>
    <i>
      <x v="12"/>
    </i>
    <i>
      <x v="5"/>
    </i>
    <i>
      <x v="4"/>
    </i>
    <i>
      <x v="3"/>
    </i>
    <i>
      <x v="10"/>
    </i>
    <i t="grand">
      <x/>
    </i>
  </rowItems>
  <colItems count="1">
    <i/>
  </colItems>
  <pageFields count="1">
    <pageField fld="39" hier="-1"/>
  </pageFields>
  <dataFields count="1">
    <dataField name="Cuenta de TIPO ACCIDENTE" fld="3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363D98-3F3B-45CB-A54C-656D80B042EA}" name="TablaDinámica6" cacheId="5"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90:B97" firstHeaderRow="1" firstDataRow="1" firstDataCol="1" rowPageCount="1" colPageCount="1"/>
  <pivotFields count="43">
    <pivotField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1">
        <item x="8"/>
        <item x="7"/>
        <item x="0"/>
        <item x="2"/>
        <item x="5"/>
        <item m="1" x="9"/>
        <item x="3"/>
        <item x="4"/>
        <item x="1"/>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s>
  <rowFields count="1">
    <field x="33"/>
  </rowFields>
  <rowItems count="7">
    <i>
      <x v="2"/>
    </i>
    <i>
      <x v="6"/>
    </i>
    <i>
      <x v="7"/>
    </i>
    <i>
      <x v="3"/>
    </i>
    <i>
      <x v="4"/>
    </i>
    <i>
      <x/>
    </i>
    <i t="grand">
      <x/>
    </i>
  </rowItems>
  <colItems count="1">
    <i/>
  </colItems>
  <pageFields count="1">
    <pageField fld="39" hier="-1"/>
  </pageFields>
  <dataFields count="1">
    <dataField name="Cuenta de PARTE AFECTADA" fld="3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C05F708-8F06-4378-9379-C2C6A9C0EBEA}" name="TablaDinámica4"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35:B39" firstHeaderRow="1" firstDataRow="1" firstDataCol="1"/>
  <pivotFields count="42">
    <pivotField showAll="0"/>
    <pivotField showAll="0"/>
    <pivotField showAll="0"/>
    <pivotField showAll="0"/>
    <pivotField showAll="0"/>
    <pivotField showAll="0"/>
    <pivotField showAll="0"/>
    <pivotField showAll="0"/>
    <pivotField showAll="0"/>
    <pivotField showAll="0"/>
    <pivotField axis="axisRow" showAll="0">
      <items count="6">
        <item x="0"/>
        <item x="1"/>
        <item x="2"/>
        <item h="1" m="1" x="4"/>
        <item h="1" x="3"/>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44F7CC-3A60-4D13-BB44-D295AA1354E7}" name="TablaDinámica18"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J20:K24" firstHeaderRow="1" firstDataRow="1" firstDataCol="1" rowPageCount="2" colPageCount="1"/>
  <pivotFields count="42">
    <pivotField showAll="0"/>
    <pivotField showAll="0"/>
    <pivotField showAll="0"/>
    <pivotField showAll="0"/>
    <pivotField showAll="0"/>
    <pivotField showAll="0"/>
    <pivotField showAll="0"/>
    <pivotField showAll="0"/>
    <pivotField showAll="0"/>
    <pivotField showAll="0"/>
    <pivotField axis="axisRow" showAll="0">
      <items count="6">
        <item x="0"/>
        <item x="1"/>
        <item x="2"/>
        <item h="1" m="1" x="4"/>
        <item h="1" x="3"/>
        <item t="default"/>
      </items>
    </pivotField>
    <pivotField showAll="0"/>
    <pivotField showAll="0"/>
    <pivotField showAll="0"/>
    <pivotField showAll="0"/>
    <pivotField axis="axisPage" dataField="1" showAll="0">
      <items count="7">
        <item m="1" x="5"/>
        <item x="1"/>
        <item x="0"/>
        <item m="1" x="4"/>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5">
        <item m="1" x="3"/>
        <item x="0"/>
        <item x="1"/>
        <item x="2"/>
        <item t="default"/>
      </items>
    </pivotField>
    <pivotField showAll="0"/>
    <pivotField showAll="0"/>
  </pivotFields>
  <rowFields count="1">
    <field x="10"/>
  </rowFields>
  <rowItems count="4">
    <i>
      <x/>
    </i>
    <i>
      <x v="1"/>
    </i>
    <i>
      <x v="2"/>
    </i>
    <i t="grand">
      <x/>
    </i>
  </rowItems>
  <colItems count="1">
    <i/>
  </colItems>
  <pageFields count="2">
    <pageField fld="39" item="2" hier="-1"/>
    <pageField fld="15" item="2" hier="-1"/>
  </pageFields>
  <dataFields count="1">
    <dataField name="Cuenta de CLASIF ACC"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84889BE-F3BF-4EF4-9FEF-00E790749EE6}" name="TablaDinámica1"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3:B10" firstHeaderRow="1" firstDataRow="1" firstDataCol="1" rowPageCount="1" colPageCount="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
        <item m="1" x="5"/>
        <item x="1"/>
        <item x="0"/>
        <item m="1" x="4"/>
        <item x="2"/>
        <item x="3"/>
        <item t="default"/>
      </items>
    </pivotField>
    <pivotField showAll="0"/>
    <pivotField showAll="0"/>
    <pivotField axis="axisRow" dataField="1" showAll="0">
      <items count="11">
        <item x="0"/>
        <item x="4"/>
        <item x="5"/>
        <item x="7"/>
        <item x="6"/>
        <item x="2"/>
        <item x="8"/>
        <item x="1"/>
        <item x="9"/>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7">
    <i>
      <x/>
    </i>
    <i>
      <x v="1"/>
    </i>
    <i>
      <x v="3"/>
    </i>
    <i>
      <x v="4"/>
    </i>
    <i>
      <x v="5"/>
    </i>
    <i>
      <x v="7"/>
    </i>
    <i t="grand">
      <x/>
    </i>
  </rowItems>
  <colItems count="1">
    <i/>
  </colItems>
  <pageFields count="1">
    <pageField fld="15" item="1" hier="-1"/>
  </pageField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76CFF18-8F2F-4DDC-A56B-41331C83CEA0}" name="TablaDinámica9"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D38:E47"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1">
        <item x="0"/>
        <item x="4"/>
        <item x="5"/>
        <item x="7"/>
        <item x="6"/>
        <item x="2"/>
        <item x="8"/>
        <item x="1"/>
        <item h="1" x="9"/>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9">
    <i>
      <x/>
    </i>
    <i>
      <x v="1"/>
    </i>
    <i>
      <x v="2"/>
    </i>
    <i>
      <x v="3"/>
    </i>
    <i>
      <x v="4"/>
    </i>
    <i>
      <x v="5"/>
    </i>
    <i>
      <x v="6"/>
    </i>
    <i>
      <x v="7"/>
    </i>
    <i t="grand">
      <x/>
    </i>
  </rowItems>
  <colItems count="1">
    <i/>
  </colItem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D89F3CD-1DE6-4057-8C00-648FD319F213}" name="TablaDinámica10"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G1:H5" firstHeaderRow="1" firstDataRow="1" firstDataCol="1"/>
  <pivotFields count="42">
    <pivotField showAll="0"/>
    <pivotField axis="axisRow" showAll="0">
      <items count="9">
        <item x="0"/>
        <item x="1"/>
        <item x="2"/>
        <item h="1" x="7"/>
        <item h="1" x="3"/>
        <item h="1" x="4"/>
        <item h="1" x="5"/>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3CFF5A-E063-49AF-BDA8-82C525422AAE}" name="TablaDinámica3"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26:B32"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10">
        <item x="5"/>
        <item x="0"/>
        <item m="1" x="8"/>
        <item x="4"/>
        <item x="3"/>
        <item x="2"/>
        <item h="1" x="7"/>
        <item h="1" x="1"/>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6">
    <i>
      <x/>
    </i>
    <i>
      <x v="1"/>
    </i>
    <i>
      <x v="3"/>
    </i>
    <i>
      <x v="4"/>
    </i>
    <i>
      <x v="5"/>
    </i>
    <i t="grand">
      <x/>
    </i>
  </rowItems>
  <colItems count="1">
    <i/>
  </colItem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748F2A5-53F6-4C34-8278-BACEF943DDD3}" name="TablaDinámica14"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G35:H39" firstHeaderRow="1" firstDataRow="1" firstDataCol="1" rowPageCount="1" colPageCount="1"/>
  <pivotFields count="42">
    <pivotField showAll="0"/>
    <pivotField axis="axisRow" showAll="0">
      <items count="9">
        <item x="0"/>
        <item x="1"/>
        <item x="2"/>
        <item h="1" x="7"/>
        <item h="1" x="3"/>
        <item h="1" x="4"/>
        <item h="1" x="5"/>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
        <item m="1" x="5"/>
        <item x="1"/>
        <item x="0"/>
        <item m="1" x="4"/>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1"/>
  </rowFields>
  <rowItems count="4">
    <i>
      <x/>
    </i>
    <i>
      <x v="1"/>
    </i>
    <i>
      <x v="2"/>
    </i>
    <i t="grand">
      <x/>
    </i>
  </rowItems>
  <colItems count="1">
    <i/>
  </colItems>
  <pageFields count="1">
    <pageField fld="15" item="1" hier="-1"/>
  </pageField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CDF51FB-F548-422A-B0A3-95FDF4151EBA}" name="TablaDinámica12"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G19:H22"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6">
        <item h="1" m="1" x="4"/>
        <item x="0"/>
        <item x="1"/>
        <item h="1" x="2"/>
        <item h="1" x="3"/>
        <item t="default"/>
      </items>
    </pivotField>
    <pivotField showAll="0"/>
    <pivotField showAll="0"/>
    <pivotField showAll="0"/>
    <pivotField showAll="0"/>
  </pivotFields>
  <rowFields count="1">
    <field x="37"/>
  </rowFields>
  <rowItems count="3">
    <i>
      <x v="1"/>
    </i>
    <i>
      <x v="2"/>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61BF8F1-3FF1-4E62-828A-E572C3D8E171}" name="TablaDinámica17"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J10:K14" firstHeaderRow="1" firstDataRow="1" firstDataCol="1" rowPageCount="1" colPageCount="1"/>
  <pivotFields count="42">
    <pivotField showAll="0"/>
    <pivotField showAll="0"/>
    <pivotField showAll="0"/>
    <pivotField showAll="0"/>
    <pivotField showAll="0"/>
    <pivotField showAll="0"/>
    <pivotField showAll="0"/>
    <pivotField showAll="0"/>
    <pivotField showAll="0"/>
    <pivotField showAll="0"/>
    <pivotField axis="axisRow" showAll="0">
      <items count="6">
        <item x="0"/>
        <item x="1"/>
        <item x="2"/>
        <item h="1" m="1" x="4"/>
        <item h="1" x="3"/>
        <item t="default"/>
      </items>
    </pivotField>
    <pivotField showAll="0"/>
    <pivotField showAll="0"/>
    <pivotField showAll="0"/>
    <pivotField showAll="0"/>
    <pivotField axis="axisPage" dataField="1" showAll="0">
      <items count="7">
        <item m="1" x="5"/>
        <item x="1"/>
        <item x="0"/>
        <item m="1" x="4"/>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pageFields count="1">
    <pageField fld="15" item="1" hier="-1"/>
  </pageFields>
  <dataFields count="1">
    <dataField name="Cuenta de CLASIF ACC"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DD4B5DC-7F4D-4241-98B1-A8D94F3C8D84}" name="TablaDinámica15"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G44:H53"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11">
        <item x="0"/>
        <item x="4"/>
        <item x="5"/>
        <item x="7"/>
        <item x="6"/>
        <item x="2"/>
        <item x="8"/>
        <item x="1"/>
        <item h="1" x="9"/>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9">
    <i>
      <x/>
    </i>
    <i>
      <x v="1"/>
    </i>
    <i>
      <x v="2"/>
    </i>
    <i>
      <x v="3"/>
    </i>
    <i>
      <x v="4"/>
    </i>
    <i>
      <x v="5"/>
    </i>
    <i>
      <x v="6"/>
    </i>
    <i>
      <x v="7"/>
    </i>
    <i t="grand">
      <x/>
    </i>
  </rowItems>
  <colItems count="1">
    <i/>
  </colItems>
  <dataFields count="1">
    <dataField name="CLASIFICACION LGF."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3952683-3E1A-4885-902B-9350058A028D}" name="TablaDinámica16"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J1:K2"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m="1" x="6"/>
        <item h="1" x="5"/>
        <item h="1" x="0"/>
        <item h="1" x="1"/>
        <item h="1"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17"/>
  </rowFields>
  <rowItems count="1">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26A2AF-B345-4FEC-9BD5-9C0A4DABAE07}" name="TablaDinámica5"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42:B45"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h="1" m="1" x="3"/>
        <item x="1"/>
        <item x="0"/>
        <item h="1" x="2"/>
        <item t="default"/>
      </items>
    </pivotField>
    <pivotField showAll="0"/>
    <pivotField showAll="0"/>
    <pivotField showAll="0"/>
  </pivotFields>
  <rowFields count="1">
    <field x="38"/>
  </rowFields>
  <rowItems count="3">
    <i>
      <x v="1"/>
    </i>
    <i>
      <x v="2"/>
    </i>
    <i t="grand">
      <x/>
    </i>
  </rowItems>
  <colItems count="1">
    <i/>
  </colItem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1A3B54B-F3AB-457D-86D1-704CB8513DDA}" name="TablaDinámica8"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D31:E34"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h="1" m="1" x="5"/>
        <item x="1"/>
        <item x="0"/>
        <item h="1" m="1" x="4"/>
        <item h="1" x="2"/>
        <item h="1" x="3"/>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3">
    <i>
      <x v="1"/>
    </i>
    <i>
      <x v="2"/>
    </i>
    <i t="grand">
      <x/>
    </i>
  </rowItems>
  <colItems count="1">
    <i/>
  </colItem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1347A2F-EBFE-4855-A7CA-D484DF1A5D94}" name="TablaDinámica11"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G13:H16" firstHeaderRow="1" firstDataRow="1" firstDataCol="1"/>
  <pivotFields count="42">
    <pivotField showAll="0"/>
    <pivotField showAll="0"/>
    <pivotField showAll="0"/>
    <pivotField showAll="0"/>
    <pivotField showAll="0"/>
    <pivotField axis="axisRow" showAll="0">
      <items count="6">
        <item h="1" x="4"/>
        <item x="1"/>
        <item x="0"/>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5"/>
  </rowFields>
  <rowItems count="3">
    <i>
      <x v="1"/>
    </i>
    <i>
      <x v="2"/>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7458D89-89C9-4125-8027-46FFF1F7FA21}" name="TablaDinámica13"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G26:H30"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2"/>
        <item x="1"/>
        <item h="1" x="3"/>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23"/>
  </rowFields>
  <rowItems count="4">
    <i>
      <x/>
    </i>
    <i>
      <x v="1"/>
    </i>
    <i>
      <x v="2"/>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E5459AF-DB21-4128-9B75-0369A3B59283}" name="TablaDinámica6"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51:B88"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4">
        <item m="1" x="12"/>
        <item x="2"/>
        <item sd="0" x="6"/>
        <item sd="0" x="4"/>
        <item sd="0" x="1"/>
        <item sd="0" x="0"/>
        <item sd="0" x="9"/>
        <item sd="0" x="5"/>
        <item x="3"/>
        <item x="7"/>
        <item x="8"/>
        <item x="10"/>
        <item x="11"/>
        <item t="default"/>
      </items>
    </pivotField>
    <pivotField showAll="0"/>
    <pivotField axis="axisRow" dataField="1" showAll="0">
      <items count="17">
        <item m="1" x="15"/>
        <item x="5"/>
        <item x="2"/>
        <item x="1"/>
        <item x="9"/>
        <item x="3"/>
        <item x="11"/>
        <item x="6"/>
        <item x="0"/>
        <item x="13"/>
        <item x="7"/>
        <item x="4"/>
        <item x="8"/>
        <item x="10"/>
        <item x="12"/>
        <item x="14"/>
        <item t="default"/>
      </items>
    </pivotField>
    <pivotField showAll="0"/>
    <pivotField showAll="0"/>
    <pivotField showAll="0"/>
    <pivotField showAll="0"/>
    <pivotField showAll="0"/>
    <pivotField showAll="0"/>
  </pivotFields>
  <rowFields count="2">
    <field x="33"/>
    <field x="35"/>
  </rowFields>
  <rowItems count="37">
    <i>
      <x v="1"/>
    </i>
    <i r="1">
      <x v="1"/>
    </i>
    <i r="1">
      <x v="3"/>
    </i>
    <i r="1">
      <x v="4"/>
    </i>
    <i r="1">
      <x v="5"/>
    </i>
    <i r="1">
      <x v="7"/>
    </i>
    <i r="1">
      <x v="8"/>
    </i>
    <i r="1">
      <x v="11"/>
    </i>
    <i r="1">
      <x v="13"/>
    </i>
    <i r="1">
      <x v="14"/>
    </i>
    <i>
      <x v="2"/>
    </i>
    <i>
      <x v="3"/>
    </i>
    <i>
      <x v="4"/>
    </i>
    <i>
      <x v="5"/>
    </i>
    <i>
      <x v="6"/>
    </i>
    <i>
      <x v="7"/>
    </i>
    <i>
      <x v="8"/>
    </i>
    <i r="1">
      <x v="2"/>
    </i>
    <i r="1">
      <x v="3"/>
    </i>
    <i r="1">
      <x v="7"/>
    </i>
    <i r="1">
      <x v="8"/>
    </i>
    <i r="1">
      <x v="13"/>
    </i>
    <i>
      <x v="9"/>
    </i>
    <i r="1">
      <x v="7"/>
    </i>
    <i r="1">
      <x v="12"/>
    </i>
    <i>
      <x v="10"/>
    </i>
    <i r="1">
      <x v="2"/>
    </i>
    <i r="1">
      <x v="3"/>
    </i>
    <i r="1">
      <x v="6"/>
    </i>
    <i r="1">
      <x v="8"/>
    </i>
    <i r="1">
      <x v="11"/>
    </i>
    <i r="1">
      <x v="14"/>
    </i>
    <i>
      <x v="11"/>
    </i>
    <i r="1">
      <x v="8"/>
    </i>
    <i>
      <x v="12"/>
    </i>
    <i r="1">
      <x v="15"/>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DE5262B-FD2D-47A7-850F-8902D174BF07}" name="TablaDinámica2"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chartFormat="1">
  <location ref="A11:B23"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7">
        <item h="1" m="1" x="15"/>
        <item x="5"/>
        <item x="2"/>
        <item x="1"/>
        <item x="9"/>
        <item x="3"/>
        <item x="11"/>
        <item x="6"/>
        <item x="0"/>
        <item x="13"/>
        <item x="7"/>
        <item x="4"/>
        <item h="1" x="8"/>
        <item h="1" x="10"/>
        <item h="1" x="12"/>
        <item h="1" x="14"/>
        <item t="default"/>
      </items>
    </pivotField>
    <pivotField showAll="0"/>
    <pivotField showAll="0"/>
    <pivotField showAll="0"/>
    <pivotField showAll="0"/>
    <pivotField showAll="0"/>
    <pivotField showAll="0"/>
  </pivotFields>
  <rowFields count="1">
    <field x="35"/>
  </rowFields>
  <rowItems count="12">
    <i>
      <x v="1"/>
    </i>
    <i>
      <x v="2"/>
    </i>
    <i>
      <x v="3"/>
    </i>
    <i>
      <x v="4"/>
    </i>
    <i>
      <x v="5"/>
    </i>
    <i>
      <x v="6"/>
    </i>
    <i>
      <x v="7"/>
    </i>
    <i>
      <x v="8"/>
    </i>
    <i>
      <x v="9"/>
    </i>
    <i>
      <x v="10"/>
    </i>
    <i>
      <x v="11"/>
    </i>
    <i t="grand">
      <x/>
    </i>
  </rowItems>
  <colItems count="1">
    <i/>
  </colItems>
  <dataFields count="1">
    <dataField name="Cuenta de TIPO ACCIDENTE" fld="3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E8CBD36-0D56-4071-8FF0-20C26B3F4909}" name="TablaDinámica7"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D12:E26"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1">
        <item x="11"/>
        <item x="16"/>
        <item x="9"/>
        <item x="14"/>
        <item x="12"/>
        <item x="6"/>
        <item m="1" x="19"/>
        <item x="2"/>
        <item x="4"/>
        <item x="7"/>
        <item x="0"/>
        <item x="10"/>
        <item x="8"/>
        <item x="5"/>
        <item h="1" x="17"/>
        <item h="1" x="1"/>
        <item h="1" x="3"/>
        <item h="1" x="13"/>
        <item h="1" x="15"/>
        <item h="1" x="18"/>
        <item t="default"/>
      </items>
    </pivotField>
    <pivotField showAll="0"/>
    <pivotField showAll="0"/>
    <pivotField showAll="0"/>
    <pivotField showAll="0"/>
    <pivotField showAll="0"/>
    <pivotField showAll="0"/>
    <pivotField showAll="0"/>
    <pivotField showAll="0"/>
    <pivotField showAll="0"/>
  </pivotFields>
  <rowFields count="1">
    <field x="32"/>
  </rowFields>
  <rowItems count="14">
    <i>
      <x/>
    </i>
    <i>
      <x v="1"/>
    </i>
    <i>
      <x v="2"/>
    </i>
    <i>
      <x v="3"/>
    </i>
    <i>
      <x v="4"/>
    </i>
    <i>
      <x v="5"/>
    </i>
    <i>
      <x v="7"/>
    </i>
    <i>
      <x v="8"/>
    </i>
    <i>
      <x v="9"/>
    </i>
    <i>
      <x v="10"/>
    </i>
    <i>
      <x v="11"/>
    </i>
    <i>
      <x v="12"/>
    </i>
    <i>
      <x v="13"/>
    </i>
    <i t="grand">
      <x/>
    </i>
  </rowItems>
  <colItems count="1">
    <i/>
  </colItems>
  <dataFields count="1">
    <dataField name="Cuenta de AGENTE ACC" fld="3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E13B850-9707-401B-83BE-89C2BE1D130F}" name="TablaDinámica19"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3:B6" firstHeaderRow="1" firstDataRow="1" firstDataCol="1" rowPageCount="1" colPageCount="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m="1" x="5"/>
        <item sd="0" x="1"/>
        <item sd="0" x="0"/>
        <item m="1" x="4"/>
        <item x="2"/>
        <item x="3"/>
        <item t="default"/>
      </items>
    </pivotField>
    <pivotField showAll="0"/>
    <pivotField showAll="0"/>
    <pivotField axis="axisRow" dataField="1" showAll="0">
      <items count="11">
        <item sd="0" x="0"/>
        <item sd="0" x="4"/>
        <item sd="0" x="5"/>
        <item sd="0" x="7"/>
        <item sd="0" x="6"/>
        <item sd="0" x="2"/>
        <item sd="0" x="8"/>
        <item sd="0" x="1"/>
        <item h="1" x="9"/>
        <item h="1" x="3"/>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51">
        <item m="1" x="47"/>
        <item x="13"/>
        <item m="1" x="43"/>
        <item x="27"/>
        <item x="11"/>
        <item m="1" x="46"/>
        <item x="8"/>
        <item x="7"/>
        <item m="1" x="49"/>
        <item x="14"/>
        <item x="9"/>
        <item x="5"/>
        <item m="1" x="44"/>
        <item x="20"/>
        <item m="1" x="40"/>
        <item x="10"/>
        <item x="36"/>
        <item m="1" x="48"/>
        <item x="1"/>
        <item m="1" x="45"/>
        <item m="1" x="41"/>
        <item m="1" x="42"/>
        <item x="15"/>
        <item x="0"/>
        <item x="2"/>
        <item x="3"/>
        <item x="4"/>
        <item x="6"/>
        <item x="12"/>
        <item x="16"/>
        <item x="17"/>
        <item x="18"/>
        <item x="19"/>
        <item x="21"/>
        <item x="22"/>
        <item x="23"/>
        <item x="24"/>
        <item x="25"/>
        <item x="26"/>
        <item x="28"/>
        <item x="29"/>
        <item x="30"/>
        <item x="31"/>
        <item x="32"/>
        <item x="33"/>
        <item x="34"/>
        <item x="35"/>
        <item x="37"/>
        <item x="38"/>
        <item x="39"/>
        <item t="default"/>
      </items>
    </pivotField>
    <pivotField showAll="0"/>
    <pivotField showAll="0"/>
    <pivotField showAll="0"/>
    <pivotField showAll="0"/>
    <pivotField showAll="0"/>
    <pivotField showAll="0"/>
    <pivotField showAll="0"/>
    <pivotField showAll="0"/>
    <pivotField axis="axisPage" showAll="0">
      <items count="5">
        <item m="1" x="3"/>
        <item x="0"/>
        <item x="1"/>
        <item x="2"/>
        <item t="default"/>
      </items>
    </pivotField>
    <pivotField showAll="0"/>
    <pivotField showAll="0"/>
  </pivotFields>
  <rowFields count="3">
    <field x="15"/>
    <field x="18"/>
    <field x="30"/>
  </rowFields>
  <rowItems count="3">
    <i>
      <x v="1"/>
    </i>
    <i>
      <x v="2"/>
    </i>
    <i t="grand">
      <x/>
    </i>
  </rowItems>
  <colItems count="1">
    <i/>
  </colItems>
  <pageFields count="1">
    <pageField fld="39" item="2" hier="-1"/>
  </pageField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8B50047-A651-4FC3-B3BD-F72439681FAF}" name="TablaDinámica2" cacheId="2"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40:B41" firstHeaderRow="1" firstDataRow="1" firstDataCol="1" rowPageCount="2" colPageCount="1"/>
  <pivotFields count="42">
    <pivotField axis="axisPage" compact="0" outline="0" showAll="0">
      <items count="5">
        <item m="1" x="3"/>
        <item h="1" x="2"/>
        <item h="1"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2">
        <item h="1" x="4"/>
        <item h="1" x="3"/>
        <item x="0"/>
        <item h="1" x="6"/>
        <item h="1" x="5"/>
        <item h="1" x="7"/>
        <item h="1" x="8"/>
        <item h="1" x="2"/>
        <item h="1" x="9"/>
        <item h="1" x="1"/>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5">
        <item m="1" x="12"/>
        <item x="8"/>
        <item x="10"/>
        <item x="7"/>
        <item x="2"/>
        <item x="3"/>
        <item x="5"/>
        <item x="6"/>
        <item m="1" x="13"/>
        <item x="4"/>
        <item x="1"/>
        <item x="0"/>
        <item x="9"/>
        <item x="1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3"/>
  </rowFields>
  <rowItems count="1">
    <i t="grand">
      <x/>
    </i>
  </rowItems>
  <colItems count="1">
    <i/>
  </colItems>
  <pageFields count="2">
    <pageField fld="0" hier="-1"/>
    <pageField fld="18" hier="-1"/>
  </pageFields>
  <dataFields count="1">
    <dataField name="Cuenta de PARTE AFECTADA" fld="3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B0A3B8-C213-4C87-8170-DA302E3D2CF2}" name="TablaDinámica1" cacheId="2"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26:B27" firstHeaderRow="1" firstDataRow="1" firstDataCol="1" rowPageCount="2" colPageCount="1"/>
  <pivotFields count="42">
    <pivotField axis="axisPage" compact="0" outline="0" showAll="0">
      <items count="5">
        <item m="1" x="3"/>
        <item h="1" x="2"/>
        <item h="1"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2">
        <item h="1" x="4"/>
        <item h="1" x="3"/>
        <item h="1" x="0"/>
        <item h="1" x="6"/>
        <item h="1" x="5"/>
        <item h="1" x="7"/>
        <item h="1" x="8"/>
        <item x="2"/>
        <item h="1" x="9"/>
        <item h="1" x="1"/>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5">
        <item m="1" x="12"/>
        <item x="8"/>
        <item x="10"/>
        <item x="7"/>
        <item x="2"/>
        <item x="3"/>
        <item x="5"/>
        <item x="6"/>
        <item m="1" x="13"/>
        <item x="4"/>
        <item x="1"/>
        <item x="0"/>
        <item x="9"/>
        <item x="1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3"/>
  </rowFields>
  <rowItems count="1">
    <i t="grand">
      <x/>
    </i>
  </rowItems>
  <colItems count="1">
    <i/>
  </colItems>
  <pageFields count="2">
    <pageField fld="0" hier="-1"/>
    <pageField fld="18" hier="-1"/>
  </pageFields>
  <dataFields count="1">
    <dataField name="Cuenta de PARTE AFECTADA" fld="3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6B95FD-0B17-4A0E-A986-0999C21A5554}" name="Tabla dinámica1" cacheId="2"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4:B5" firstHeaderRow="1" firstDataRow="1" firstDataCol="1" rowPageCount="2" colPageCount="1"/>
  <pivotFields count="42">
    <pivotField axis="axisPage" compact="0" outline="0" showAll="0">
      <items count="5">
        <item m="1" x="3"/>
        <item h="1" x="2"/>
        <item h="1"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2">
        <item h="1" x="4"/>
        <item h="1" x="3"/>
        <item h="1" x="0"/>
        <item h="1" x="6"/>
        <item h="1" x="5"/>
        <item h="1" x="7"/>
        <item h="1" x="8"/>
        <item h="1" x="2"/>
        <item h="1" x="9"/>
        <item x="1"/>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5">
        <item m="1" x="12"/>
        <item x="8"/>
        <item x="10"/>
        <item x="7"/>
        <item x="2"/>
        <item x="3"/>
        <item x="5"/>
        <item x="6"/>
        <item m="1" x="13"/>
        <item x="4"/>
        <item x="1"/>
        <item x="0"/>
        <item x="9"/>
        <item x="1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3"/>
  </rowFields>
  <rowItems count="1">
    <i t="grand">
      <x/>
    </i>
  </rowItems>
  <colItems count="1">
    <i/>
  </colItems>
  <pageFields count="2">
    <pageField fld="0" hier="-1"/>
    <pageField fld="18" hier="-1"/>
  </pageFields>
  <dataFields count="1">
    <dataField name="Cuenta de PARTE AFECTADA" fld="3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26313B0-E1F3-4A5B-A34A-295DCCF4948A}" name="TablaDinámica7"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0">
  <location ref="A119:B171" firstHeaderRow="1" firstDataRow="1" firstDataCol="1" rowPageCount="1" colPageCount="1"/>
  <pivotFields count="43">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multipleItemSelectionAllowed="1" showAll="0"/>
    <pivotField showAll="0"/>
    <pivotField showAll="0"/>
    <pivotField axis="axisPage" multipleItemSelectionAllowed="1" showAll="0">
      <items count="12">
        <item x="0"/>
        <item x="3"/>
        <item x="10"/>
        <item x="2"/>
        <item x="4"/>
        <item x="1"/>
        <item x="8"/>
        <item x="7"/>
        <item x="6"/>
        <item x="9"/>
        <item x="5"/>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2">
        <item x="12"/>
        <item x="29"/>
        <item x="44"/>
        <item x="50"/>
        <item x="28"/>
        <item x="11"/>
        <item x="41"/>
        <item x="25"/>
        <item x="40"/>
        <item x="23"/>
        <item x="43"/>
        <item x="38"/>
        <item x="36"/>
        <item x="2"/>
        <item x="1"/>
        <item x="19"/>
        <item x="37"/>
        <item x="17"/>
        <item x="3"/>
        <item x="45"/>
        <item x="15"/>
        <item x="33"/>
        <item x="32"/>
        <item x="30"/>
        <item x="22"/>
        <item x="31"/>
        <item x="10"/>
        <item x="24"/>
        <item x="5"/>
        <item x="8"/>
        <item x="9"/>
        <item x="14"/>
        <item x="20"/>
        <item x="39"/>
        <item x="18"/>
        <item x="21"/>
        <item x="42"/>
        <item x="27"/>
        <item x="13"/>
        <item x="26"/>
        <item x="16"/>
        <item x="7"/>
        <item x="34"/>
        <item x="6"/>
        <item x="35"/>
        <item x="46"/>
        <item x="49"/>
        <item x="48"/>
        <item x="0"/>
        <item x="47"/>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s>
  <rowFields count="1">
    <field x="30"/>
  </rowFields>
  <rowItems count="52">
    <i>
      <x v="26"/>
    </i>
    <i>
      <x v="1"/>
    </i>
    <i>
      <x v="41"/>
    </i>
    <i>
      <x v="35"/>
    </i>
    <i>
      <x v="31"/>
    </i>
    <i>
      <x v="13"/>
    </i>
    <i>
      <x v="43"/>
    </i>
    <i>
      <x v="17"/>
    </i>
    <i>
      <x v="25"/>
    </i>
    <i>
      <x v="30"/>
    </i>
    <i>
      <x v="4"/>
    </i>
    <i>
      <x v="5"/>
    </i>
    <i>
      <x v="14"/>
    </i>
    <i>
      <x/>
    </i>
    <i>
      <x v="34"/>
    </i>
    <i>
      <x v="12"/>
    </i>
    <i>
      <x v="11"/>
    </i>
    <i>
      <x v="38"/>
    </i>
    <i>
      <x v="36"/>
    </i>
    <i>
      <x v="9"/>
    </i>
    <i>
      <x v="24"/>
    </i>
    <i>
      <x v="16"/>
    </i>
    <i>
      <x v="6"/>
    </i>
    <i>
      <x v="20"/>
    </i>
    <i>
      <x v="2"/>
    </i>
    <i>
      <x v="28"/>
    </i>
    <i>
      <x v="7"/>
    </i>
    <i>
      <x v="18"/>
    </i>
    <i>
      <x v="45"/>
    </i>
    <i>
      <x v="27"/>
    </i>
    <i>
      <x v="39"/>
    </i>
    <i>
      <x v="49"/>
    </i>
    <i>
      <x v="8"/>
    </i>
    <i>
      <x v="19"/>
    </i>
    <i>
      <x v="47"/>
    </i>
    <i>
      <x v="15"/>
    </i>
    <i>
      <x v="3"/>
    </i>
    <i>
      <x v="21"/>
    </i>
    <i>
      <x v="40"/>
    </i>
    <i>
      <x v="32"/>
    </i>
    <i>
      <x v="42"/>
    </i>
    <i>
      <x v="33"/>
    </i>
    <i>
      <x v="44"/>
    </i>
    <i>
      <x v="22"/>
    </i>
    <i>
      <x v="46"/>
    </i>
    <i>
      <x v="23"/>
    </i>
    <i>
      <x v="48"/>
    </i>
    <i>
      <x v="10"/>
    </i>
    <i>
      <x v="37"/>
    </i>
    <i>
      <x v="29"/>
    </i>
    <i>
      <x v="50"/>
    </i>
    <i t="grand">
      <x/>
    </i>
  </rowItems>
  <colItems count="1">
    <i/>
  </colItems>
  <pageFields count="1">
    <pageField fld="18" hier="-1"/>
  </pageFields>
  <dataFields count="1">
    <dataField name="Cuenta de SUPERVISOR" fld="30" subtotal="count" baseField="0" baseItem="0"/>
  </dataFields>
  <chartFormats count="156">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30" count="1" selected="0">
            <x v="34"/>
          </reference>
        </references>
      </pivotArea>
    </chartFormat>
    <chartFormat chart="15" format="2">
      <pivotArea type="data" outline="0" fieldPosition="0">
        <references count="2">
          <reference field="4294967294" count="1" selected="0">
            <x v="0"/>
          </reference>
          <reference field="30" count="1" selected="0">
            <x v="29"/>
          </reference>
        </references>
      </pivotArea>
    </chartFormat>
    <chartFormat chart="15" format="3">
      <pivotArea type="data" outline="0" fieldPosition="0">
        <references count="2">
          <reference field="4294967294" count="1" selected="0">
            <x v="0"/>
          </reference>
          <reference field="30" count="1" selected="0">
            <x v="37"/>
          </reference>
        </references>
      </pivotArea>
    </chartFormat>
    <chartFormat chart="15" format="4">
      <pivotArea type="data" outline="0" fieldPosition="0">
        <references count="2">
          <reference field="4294967294" count="1" selected="0">
            <x v="0"/>
          </reference>
          <reference field="30" count="1" selected="0">
            <x v="10"/>
          </reference>
        </references>
      </pivotArea>
    </chartFormat>
    <chartFormat chart="15" format="5">
      <pivotArea type="data" outline="0" fieldPosition="0">
        <references count="2">
          <reference field="4294967294" count="1" selected="0">
            <x v="0"/>
          </reference>
          <reference field="30" count="1" selected="0">
            <x v="48"/>
          </reference>
        </references>
      </pivotArea>
    </chartFormat>
    <chartFormat chart="15" format="6">
      <pivotArea type="data" outline="0" fieldPosition="0">
        <references count="2">
          <reference field="4294967294" count="1" selected="0">
            <x v="0"/>
          </reference>
          <reference field="30" count="1" selected="0">
            <x v="23"/>
          </reference>
        </references>
      </pivotArea>
    </chartFormat>
    <chartFormat chart="15" format="7">
      <pivotArea type="data" outline="0" fieldPosition="0">
        <references count="2">
          <reference field="4294967294" count="1" selected="0">
            <x v="0"/>
          </reference>
          <reference field="30" count="1" selected="0">
            <x v="46"/>
          </reference>
        </references>
      </pivotArea>
    </chartFormat>
    <chartFormat chart="15" format="8">
      <pivotArea type="data" outline="0" fieldPosition="0">
        <references count="2">
          <reference field="4294967294" count="1" selected="0">
            <x v="0"/>
          </reference>
          <reference field="30" count="1" selected="0">
            <x v="22"/>
          </reference>
        </references>
      </pivotArea>
    </chartFormat>
    <chartFormat chart="15" format="9">
      <pivotArea type="data" outline="0" fieldPosition="0">
        <references count="2">
          <reference field="4294967294" count="1" selected="0">
            <x v="0"/>
          </reference>
          <reference field="30" count="1" selected="0">
            <x v="44"/>
          </reference>
        </references>
      </pivotArea>
    </chartFormat>
    <chartFormat chart="15" format="10">
      <pivotArea type="data" outline="0" fieldPosition="0">
        <references count="2">
          <reference field="4294967294" count="1" selected="0">
            <x v="0"/>
          </reference>
          <reference field="30" count="1" selected="0">
            <x v="33"/>
          </reference>
        </references>
      </pivotArea>
    </chartFormat>
    <chartFormat chart="15" format="11">
      <pivotArea type="data" outline="0" fieldPosition="0">
        <references count="2">
          <reference field="4294967294" count="1" selected="0">
            <x v="0"/>
          </reference>
          <reference field="30" count="1" selected="0">
            <x v="42"/>
          </reference>
        </references>
      </pivotArea>
    </chartFormat>
    <chartFormat chart="15" format="12">
      <pivotArea type="data" outline="0" fieldPosition="0">
        <references count="2">
          <reference field="4294967294" count="1" selected="0">
            <x v="0"/>
          </reference>
          <reference field="30" count="1" selected="0">
            <x v="32"/>
          </reference>
        </references>
      </pivotArea>
    </chartFormat>
    <chartFormat chart="15" format="13">
      <pivotArea type="data" outline="0" fieldPosition="0">
        <references count="2">
          <reference field="4294967294" count="1" selected="0">
            <x v="0"/>
          </reference>
          <reference field="30" count="1" selected="0">
            <x v="40"/>
          </reference>
        </references>
      </pivotArea>
    </chartFormat>
    <chartFormat chart="15" format="14">
      <pivotArea type="data" outline="0" fieldPosition="0">
        <references count="2">
          <reference field="4294967294" count="1" selected="0">
            <x v="0"/>
          </reference>
          <reference field="30" count="1" selected="0">
            <x v="21"/>
          </reference>
        </references>
      </pivotArea>
    </chartFormat>
    <chartFormat chart="15" format="15">
      <pivotArea type="data" outline="0" fieldPosition="0">
        <references count="2">
          <reference field="4294967294" count="1" selected="0">
            <x v="0"/>
          </reference>
          <reference field="30" count="1" selected="0">
            <x v="3"/>
          </reference>
        </references>
      </pivotArea>
    </chartFormat>
    <chartFormat chart="15" format="16">
      <pivotArea type="data" outline="0" fieldPosition="0">
        <references count="2">
          <reference field="4294967294" count="1" selected="0">
            <x v="0"/>
          </reference>
          <reference field="30" count="1" selected="0">
            <x v="15"/>
          </reference>
        </references>
      </pivotArea>
    </chartFormat>
    <chartFormat chart="15" format="17">
      <pivotArea type="data" outline="0" fieldPosition="0">
        <references count="2">
          <reference field="4294967294" count="1" selected="0">
            <x v="0"/>
          </reference>
          <reference field="30" count="1" selected="0">
            <x v="47"/>
          </reference>
        </references>
      </pivotArea>
    </chartFormat>
    <chartFormat chart="15" format="18">
      <pivotArea type="data" outline="0" fieldPosition="0">
        <references count="2">
          <reference field="4294967294" count="1" selected="0">
            <x v="0"/>
          </reference>
          <reference field="30" count="1" selected="0">
            <x v="19"/>
          </reference>
        </references>
      </pivotArea>
    </chartFormat>
    <chartFormat chart="15" format="19">
      <pivotArea type="data" outline="0" fieldPosition="0">
        <references count="2">
          <reference field="4294967294" count="1" selected="0">
            <x v="0"/>
          </reference>
          <reference field="30" count="1" selected="0">
            <x v="8"/>
          </reference>
        </references>
      </pivotArea>
    </chartFormat>
    <chartFormat chart="15" format="20">
      <pivotArea type="data" outline="0" fieldPosition="0">
        <references count="2">
          <reference field="4294967294" count="1" selected="0">
            <x v="0"/>
          </reference>
          <reference field="30" count="1" selected="0">
            <x v="49"/>
          </reference>
        </references>
      </pivotArea>
    </chartFormat>
    <chartFormat chart="15" format="21">
      <pivotArea type="data" outline="0" fieldPosition="0">
        <references count="2">
          <reference field="4294967294" count="1" selected="0">
            <x v="0"/>
          </reference>
          <reference field="30" count="1" selected="0">
            <x v="39"/>
          </reference>
        </references>
      </pivotArea>
    </chartFormat>
    <chartFormat chart="15" format="22">
      <pivotArea type="data" outline="0" fieldPosition="0">
        <references count="2">
          <reference field="4294967294" count="1" selected="0">
            <x v="0"/>
          </reference>
          <reference field="30" count="1" selected="0">
            <x v="27"/>
          </reference>
        </references>
      </pivotArea>
    </chartFormat>
    <chartFormat chart="15" format="23">
      <pivotArea type="data" outline="0" fieldPosition="0">
        <references count="2">
          <reference field="4294967294" count="1" selected="0">
            <x v="0"/>
          </reference>
          <reference field="30" count="1" selected="0">
            <x v="18"/>
          </reference>
        </references>
      </pivotArea>
    </chartFormat>
    <chartFormat chart="15" format="24">
      <pivotArea type="data" outline="0" fieldPosition="0">
        <references count="2">
          <reference field="4294967294" count="1" selected="0">
            <x v="0"/>
          </reference>
          <reference field="30" count="1" selected="0">
            <x v="45"/>
          </reference>
        </references>
      </pivotArea>
    </chartFormat>
    <chartFormat chart="15" format="25">
      <pivotArea type="data" outline="0" fieldPosition="0">
        <references count="2">
          <reference field="4294967294" count="1" selected="0">
            <x v="0"/>
          </reference>
          <reference field="30" count="1" selected="0">
            <x v="7"/>
          </reference>
        </references>
      </pivotArea>
    </chartFormat>
    <chartFormat chart="15" format="26">
      <pivotArea type="data" outline="0" fieldPosition="0">
        <references count="2">
          <reference field="4294967294" count="1" selected="0">
            <x v="0"/>
          </reference>
          <reference field="30" count="1" selected="0">
            <x v="28"/>
          </reference>
        </references>
      </pivotArea>
    </chartFormat>
    <chartFormat chart="15" format="27">
      <pivotArea type="data" outline="0" fieldPosition="0">
        <references count="2">
          <reference field="4294967294" count="1" selected="0">
            <x v="0"/>
          </reference>
          <reference field="30" count="1" selected="0">
            <x v="2"/>
          </reference>
        </references>
      </pivotArea>
    </chartFormat>
    <chartFormat chart="15" format="28">
      <pivotArea type="data" outline="0" fieldPosition="0">
        <references count="2">
          <reference field="4294967294" count="1" selected="0">
            <x v="0"/>
          </reference>
          <reference field="30" count="1" selected="0">
            <x v="20"/>
          </reference>
        </references>
      </pivotArea>
    </chartFormat>
    <chartFormat chart="15" format="29">
      <pivotArea type="data" outline="0" fieldPosition="0">
        <references count="2">
          <reference field="4294967294" count="1" selected="0">
            <x v="0"/>
          </reference>
          <reference field="30" count="1" selected="0">
            <x v="12"/>
          </reference>
        </references>
      </pivotArea>
    </chartFormat>
    <chartFormat chart="15" format="30">
      <pivotArea type="data" outline="0" fieldPosition="0">
        <references count="2">
          <reference field="4294967294" count="1" selected="0">
            <x v="0"/>
          </reference>
          <reference field="30" count="1" selected="0">
            <x v="14"/>
          </reference>
        </references>
      </pivotArea>
    </chartFormat>
    <chartFormat chart="15" format="31">
      <pivotArea type="data" outline="0" fieldPosition="0">
        <references count="2">
          <reference field="4294967294" count="1" selected="0">
            <x v="0"/>
          </reference>
          <reference field="30" count="1" selected="0">
            <x v="0"/>
          </reference>
        </references>
      </pivotArea>
    </chartFormat>
    <chartFormat chart="16" format="32" series="1">
      <pivotArea type="data" outline="0" fieldPosition="0">
        <references count="1">
          <reference field="4294967294" count="1" selected="0">
            <x v="0"/>
          </reference>
        </references>
      </pivotArea>
    </chartFormat>
    <chartFormat chart="16" format="33">
      <pivotArea type="data" outline="0" fieldPosition="0">
        <references count="2">
          <reference field="4294967294" count="1" selected="0">
            <x v="0"/>
          </reference>
          <reference field="30" count="1" selected="0">
            <x v="26"/>
          </reference>
        </references>
      </pivotArea>
    </chartFormat>
    <chartFormat chart="16" format="34">
      <pivotArea type="data" outline="0" fieldPosition="0">
        <references count="2">
          <reference field="4294967294" count="1" selected="0">
            <x v="0"/>
          </reference>
          <reference field="30" count="1" selected="0">
            <x v="1"/>
          </reference>
        </references>
      </pivotArea>
    </chartFormat>
    <chartFormat chart="16" format="35">
      <pivotArea type="data" outline="0" fieldPosition="0">
        <references count="2">
          <reference field="4294967294" count="1" selected="0">
            <x v="0"/>
          </reference>
          <reference field="30" count="1" selected="0">
            <x v="41"/>
          </reference>
        </references>
      </pivotArea>
    </chartFormat>
    <chartFormat chart="16" format="36">
      <pivotArea type="data" outline="0" fieldPosition="0">
        <references count="2">
          <reference field="4294967294" count="1" selected="0">
            <x v="0"/>
          </reference>
          <reference field="30" count="1" selected="0">
            <x v="35"/>
          </reference>
        </references>
      </pivotArea>
    </chartFormat>
    <chartFormat chart="16" format="37">
      <pivotArea type="data" outline="0" fieldPosition="0">
        <references count="2">
          <reference field="4294967294" count="1" selected="0">
            <x v="0"/>
          </reference>
          <reference field="30" count="1" selected="0">
            <x v="31"/>
          </reference>
        </references>
      </pivotArea>
    </chartFormat>
    <chartFormat chart="16" format="38">
      <pivotArea type="data" outline="0" fieldPosition="0">
        <references count="2">
          <reference field="4294967294" count="1" selected="0">
            <x v="0"/>
          </reference>
          <reference field="30" count="1" selected="0">
            <x v="13"/>
          </reference>
        </references>
      </pivotArea>
    </chartFormat>
    <chartFormat chart="16" format="39">
      <pivotArea type="data" outline="0" fieldPosition="0">
        <references count="2">
          <reference field="4294967294" count="1" selected="0">
            <x v="0"/>
          </reference>
          <reference field="30" count="1" selected="0">
            <x v="43"/>
          </reference>
        </references>
      </pivotArea>
    </chartFormat>
    <chartFormat chart="16" format="40">
      <pivotArea type="data" outline="0" fieldPosition="0">
        <references count="2">
          <reference field="4294967294" count="1" selected="0">
            <x v="0"/>
          </reference>
          <reference field="30" count="1" selected="0">
            <x v="17"/>
          </reference>
        </references>
      </pivotArea>
    </chartFormat>
    <chartFormat chart="16" format="41">
      <pivotArea type="data" outline="0" fieldPosition="0">
        <references count="2">
          <reference field="4294967294" count="1" selected="0">
            <x v="0"/>
          </reference>
          <reference field="30" count="1" selected="0">
            <x v="25"/>
          </reference>
        </references>
      </pivotArea>
    </chartFormat>
    <chartFormat chart="16" format="42">
      <pivotArea type="data" outline="0" fieldPosition="0">
        <references count="2">
          <reference field="4294967294" count="1" selected="0">
            <x v="0"/>
          </reference>
          <reference field="30" count="1" selected="0">
            <x v="30"/>
          </reference>
        </references>
      </pivotArea>
    </chartFormat>
    <chartFormat chart="16" format="43">
      <pivotArea type="data" outline="0" fieldPosition="0">
        <references count="2">
          <reference field="4294967294" count="1" selected="0">
            <x v="0"/>
          </reference>
          <reference field="30" count="1" selected="0">
            <x v="4"/>
          </reference>
        </references>
      </pivotArea>
    </chartFormat>
    <chartFormat chart="16" format="44">
      <pivotArea type="data" outline="0" fieldPosition="0">
        <references count="2">
          <reference field="4294967294" count="1" selected="0">
            <x v="0"/>
          </reference>
          <reference field="30" count="1" selected="0">
            <x v="5"/>
          </reference>
        </references>
      </pivotArea>
    </chartFormat>
    <chartFormat chart="16" format="45">
      <pivotArea type="data" outline="0" fieldPosition="0">
        <references count="2">
          <reference field="4294967294" count="1" selected="0">
            <x v="0"/>
          </reference>
          <reference field="30" count="1" selected="0">
            <x v="14"/>
          </reference>
        </references>
      </pivotArea>
    </chartFormat>
    <chartFormat chart="16" format="46">
      <pivotArea type="data" outline="0" fieldPosition="0">
        <references count="2">
          <reference field="4294967294" count="1" selected="0">
            <x v="0"/>
          </reference>
          <reference field="30" count="1" selected="0">
            <x v="0"/>
          </reference>
        </references>
      </pivotArea>
    </chartFormat>
    <chartFormat chart="16" format="47">
      <pivotArea type="data" outline="0" fieldPosition="0">
        <references count="2">
          <reference field="4294967294" count="1" selected="0">
            <x v="0"/>
          </reference>
          <reference field="30" count="1" selected="0">
            <x v="34"/>
          </reference>
        </references>
      </pivotArea>
    </chartFormat>
    <chartFormat chart="16" format="48">
      <pivotArea type="data" outline="0" fieldPosition="0">
        <references count="2">
          <reference field="4294967294" count="1" selected="0">
            <x v="0"/>
          </reference>
          <reference field="30" count="1" selected="0">
            <x v="12"/>
          </reference>
        </references>
      </pivotArea>
    </chartFormat>
    <chartFormat chart="16" format="49">
      <pivotArea type="data" outline="0" fieldPosition="0">
        <references count="2">
          <reference field="4294967294" count="1" selected="0">
            <x v="0"/>
          </reference>
          <reference field="30" count="1" selected="0">
            <x v="11"/>
          </reference>
        </references>
      </pivotArea>
    </chartFormat>
    <chartFormat chart="16" format="50">
      <pivotArea type="data" outline="0" fieldPosition="0">
        <references count="2">
          <reference field="4294967294" count="1" selected="0">
            <x v="0"/>
          </reference>
          <reference field="30" count="1" selected="0">
            <x v="38"/>
          </reference>
        </references>
      </pivotArea>
    </chartFormat>
    <chartFormat chart="16" format="51">
      <pivotArea type="data" outline="0" fieldPosition="0">
        <references count="2">
          <reference field="4294967294" count="1" selected="0">
            <x v="0"/>
          </reference>
          <reference field="30" count="1" selected="0">
            <x v="36"/>
          </reference>
        </references>
      </pivotArea>
    </chartFormat>
    <chartFormat chart="16" format="52">
      <pivotArea type="data" outline="0" fieldPosition="0">
        <references count="2">
          <reference field="4294967294" count="1" selected="0">
            <x v="0"/>
          </reference>
          <reference field="30" count="1" selected="0">
            <x v="9"/>
          </reference>
        </references>
      </pivotArea>
    </chartFormat>
    <chartFormat chart="16" format="53">
      <pivotArea type="data" outline="0" fieldPosition="0">
        <references count="2">
          <reference field="4294967294" count="1" selected="0">
            <x v="0"/>
          </reference>
          <reference field="30" count="1" selected="0">
            <x v="24"/>
          </reference>
        </references>
      </pivotArea>
    </chartFormat>
    <chartFormat chart="16" format="54">
      <pivotArea type="data" outline="0" fieldPosition="0">
        <references count="2">
          <reference field="4294967294" count="1" selected="0">
            <x v="0"/>
          </reference>
          <reference field="30" count="1" selected="0">
            <x v="16"/>
          </reference>
        </references>
      </pivotArea>
    </chartFormat>
    <chartFormat chart="16" format="55">
      <pivotArea type="data" outline="0" fieldPosition="0">
        <references count="2">
          <reference field="4294967294" count="1" selected="0">
            <x v="0"/>
          </reference>
          <reference field="30" count="1" selected="0">
            <x v="6"/>
          </reference>
        </references>
      </pivotArea>
    </chartFormat>
    <chartFormat chart="16" format="56">
      <pivotArea type="data" outline="0" fieldPosition="0">
        <references count="2">
          <reference field="4294967294" count="1" selected="0">
            <x v="0"/>
          </reference>
          <reference field="30" count="1" selected="0">
            <x v="20"/>
          </reference>
        </references>
      </pivotArea>
    </chartFormat>
    <chartFormat chart="16" format="57">
      <pivotArea type="data" outline="0" fieldPosition="0">
        <references count="2">
          <reference field="4294967294" count="1" selected="0">
            <x v="0"/>
          </reference>
          <reference field="30" count="1" selected="0">
            <x v="2"/>
          </reference>
        </references>
      </pivotArea>
    </chartFormat>
    <chartFormat chart="16" format="58">
      <pivotArea type="data" outline="0" fieldPosition="0">
        <references count="2">
          <reference field="4294967294" count="1" selected="0">
            <x v="0"/>
          </reference>
          <reference field="30" count="1" selected="0">
            <x v="28"/>
          </reference>
        </references>
      </pivotArea>
    </chartFormat>
    <chartFormat chart="16" format="59">
      <pivotArea type="data" outline="0" fieldPosition="0">
        <references count="2">
          <reference field="4294967294" count="1" selected="0">
            <x v="0"/>
          </reference>
          <reference field="30" count="1" selected="0">
            <x v="7"/>
          </reference>
        </references>
      </pivotArea>
    </chartFormat>
    <chartFormat chart="16" format="60">
      <pivotArea type="data" outline="0" fieldPosition="0">
        <references count="2">
          <reference field="4294967294" count="1" selected="0">
            <x v="0"/>
          </reference>
          <reference field="30" count="1" selected="0">
            <x v="18"/>
          </reference>
        </references>
      </pivotArea>
    </chartFormat>
    <chartFormat chart="16" format="61">
      <pivotArea type="data" outline="0" fieldPosition="0">
        <references count="2">
          <reference field="4294967294" count="1" selected="0">
            <x v="0"/>
          </reference>
          <reference field="30" count="1" selected="0">
            <x v="45"/>
          </reference>
        </references>
      </pivotArea>
    </chartFormat>
    <chartFormat chart="16" format="62">
      <pivotArea type="data" outline="0" fieldPosition="0">
        <references count="2">
          <reference field="4294967294" count="1" selected="0">
            <x v="0"/>
          </reference>
          <reference field="30" count="1" selected="0">
            <x v="27"/>
          </reference>
        </references>
      </pivotArea>
    </chartFormat>
    <chartFormat chart="16" format="63">
      <pivotArea type="data" outline="0" fieldPosition="0">
        <references count="2">
          <reference field="4294967294" count="1" selected="0">
            <x v="0"/>
          </reference>
          <reference field="30" count="1" selected="0">
            <x v="39"/>
          </reference>
        </references>
      </pivotArea>
    </chartFormat>
    <chartFormat chart="16" format="64">
      <pivotArea type="data" outline="0" fieldPosition="0">
        <references count="2">
          <reference field="4294967294" count="1" selected="0">
            <x v="0"/>
          </reference>
          <reference field="30" count="1" selected="0">
            <x v="49"/>
          </reference>
        </references>
      </pivotArea>
    </chartFormat>
    <chartFormat chart="16" format="65">
      <pivotArea type="data" outline="0" fieldPosition="0">
        <references count="2">
          <reference field="4294967294" count="1" selected="0">
            <x v="0"/>
          </reference>
          <reference field="30" count="1" selected="0">
            <x v="8"/>
          </reference>
        </references>
      </pivotArea>
    </chartFormat>
    <chartFormat chart="16" format="66">
      <pivotArea type="data" outline="0" fieldPosition="0">
        <references count="2">
          <reference field="4294967294" count="1" selected="0">
            <x v="0"/>
          </reference>
          <reference field="30" count="1" selected="0">
            <x v="19"/>
          </reference>
        </references>
      </pivotArea>
    </chartFormat>
    <chartFormat chart="16" format="67">
      <pivotArea type="data" outline="0" fieldPosition="0">
        <references count="2">
          <reference field="4294967294" count="1" selected="0">
            <x v="0"/>
          </reference>
          <reference field="30" count="1" selected="0">
            <x v="47"/>
          </reference>
        </references>
      </pivotArea>
    </chartFormat>
    <chartFormat chart="16" format="68">
      <pivotArea type="data" outline="0" fieldPosition="0">
        <references count="2">
          <reference field="4294967294" count="1" selected="0">
            <x v="0"/>
          </reference>
          <reference field="30" count="1" selected="0">
            <x v="15"/>
          </reference>
        </references>
      </pivotArea>
    </chartFormat>
    <chartFormat chart="16" format="69">
      <pivotArea type="data" outline="0" fieldPosition="0">
        <references count="2">
          <reference field="4294967294" count="1" selected="0">
            <x v="0"/>
          </reference>
          <reference field="30" count="1" selected="0">
            <x v="3"/>
          </reference>
        </references>
      </pivotArea>
    </chartFormat>
    <chartFormat chart="16" format="70">
      <pivotArea type="data" outline="0" fieldPosition="0">
        <references count="2">
          <reference field="4294967294" count="1" selected="0">
            <x v="0"/>
          </reference>
          <reference field="30" count="1" selected="0">
            <x v="21"/>
          </reference>
        </references>
      </pivotArea>
    </chartFormat>
    <chartFormat chart="16" format="71">
      <pivotArea type="data" outline="0" fieldPosition="0">
        <references count="2">
          <reference field="4294967294" count="1" selected="0">
            <x v="0"/>
          </reference>
          <reference field="30" count="1" selected="0">
            <x v="40"/>
          </reference>
        </references>
      </pivotArea>
    </chartFormat>
    <chartFormat chart="16" format="72">
      <pivotArea type="data" outline="0" fieldPosition="0">
        <references count="2">
          <reference field="4294967294" count="1" selected="0">
            <x v="0"/>
          </reference>
          <reference field="30" count="1" selected="0">
            <x v="32"/>
          </reference>
        </references>
      </pivotArea>
    </chartFormat>
    <chartFormat chart="16" format="73">
      <pivotArea type="data" outline="0" fieldPosition="0">
        <references count="2">
          <reference field="4294967294" count="1" selected="0">
            <x v="0"/>
          </reference>
          <reference field="30" count="1" selected="0">
            <x v="42"/>
          </reference>
        </references>
      </pivotArea>
    </chartFormat>
    <chartFormat chart="16" format="74">
      <pivotArea type="data" outline="0" fieldPosition="0">
        <references count="2">
          <reference field="4294967294" count="1" selected="0">
            <x v="0"/>
          </reference>
          <reference field="30" count="1" selected="0">
            <x v="33"/>
          </reference>
        </references>
      </pivotArea>
    </chartFormat>
    <chartFormat chart="16" format="75">
      <pivotArea type="data" outline="0" fieldPosition="0">
        <references count="2">
          <reference field="4294967294" count="1" selected="0">
            <x v="0"/>
          </reference>
          <reference field="30" count="1" selected="0">
            <x v="44"/>
          </reference>
        </references>
      </pivotArea>
    </chartFormat>
    <chartFormat chart="16" format="76">
      <pivotArea type="data" outline="0" fieldPosition="0">
        <references count="2">
          <reference field="4294967294" count="1" selected="0">
            <x v="0"/>
          </reference>
          <reference field="30" count="1" selected="0">
            <x v="22"/>
          </reference>
        </references>
      </pivotArea>
    </chartFormat>
    <chartFormat chart="16" format="77">
      <pivotArea type="data" outline="0" fieldPosition="0">
        <references count="2">
          <reference field="4294967294" count="1" selected="0">
            <x v="0"/>
          </reference>
          <reference field="30" count="1" selected="0">
            <x v="46"/>
          </reference>
        </references>
      </pivotArea>
    </chartFormat>
    <chartFormat chart="16" format="78">
      <pivotArea type="data" outline="0" fieldPosition="0">
        <references count="2">
          <reference field="4294967294" count="1" selected="0">
            <x v="0"/>
          </reference>
          <reference field="30" count="1" selected="0">
            <x v="23"/>
          </reference>
        </references>
      </pivotArea>
    </chartFormat>
    <chartFormat chart="16" format="79">
      <pivotArea type="data" outline="0" fieldPosition="0">
        <references count="2">
          <reference field="4294967294" count="1" selected="0">
            <x v="0"/>
          </reference>
          <reference field="30" count="1" selected="0">
            <x v="48"/>
          </reference>
        </references>
      </pivotArea>
    </chartFormat>
    <chartFormat chart="16" format="80">
      <pivotArea type="data" outline="0" fieldPosition="0">
        <references count="2">
          <reference field="4294967294" count="1" selected="0">
            <x v="0"/>
          </reference>
          <reference field="30" count="1" selected="0">
            <x v="10"/>
          </reference>
        </references>
      </pivotArea>
    </chartFormat>
    <chartFormat chart="16" format="81">
      <pivotArea type="data" outline="0" fieldPosition="0">
        <references count="2">
          <reference field="4294967294" count="1" selected="0">
            <x v="0"/>
          </reference>
          <reference field="30" count="1" selected="0">
            <x v="37"/>
          </reference>
        </references>
      </pivotArea>
    </chartFormat>
    <chartFormat chart="16" format="82">
      <pivotArea type="data" outline="0" fieldPosition="0">
        <references count="2">
          <reference field="4294967294" count="1" selected="0">
            <x v="0"/>
          </reference>
          <reference field="30" count="1" selected="0">
            <x v="29"/>
          </reference>
        </references>
      </pivotArea>
    </chartFormat>
    <chartFormat chart="16" format="83">
      <pivotArea type="data" outline="0" fieldPosition="0">
        <references count="2">
          <reference field="4294967294" count="1" selected="0">
            <x v="0"/>
          </reference>
          <reference field="30" count="1" selected="0">
            <x v="50"/>
          </reference>
        </references>
      </pivotArea>
    </chartFormat>
    <chartFormat chart="17" format="84" series="1">
      <pivotArea type="data" outline="0" fieldPosition="0">
        <references count="1">
          <reference field="4294967294" count="1" selected="0">
            <x v="0"/>
          </reference>
        </references>
      </pivotArea>
    </chartFormat>
    <chartFormat chart="17" format="85">
      <pivotArea type="data" outline="0" fieldPosition="0">
        <references count="2">
          <reference field="4294967294" count="1" selected="0">
            <x v="0"/>
          </reference>
          <reference field="30" count="1" selected="0">
            <x v="26"/>
          </reference>
        </references>
      </pivotArea>
    </chartFormat>
    <chartFormat chart="17" format="86">
      <pivotArea type="data" outline="0" fieldPosition="0">
        <references count="2">
          <reference field="4294967294" count="1" selected="0">
            <x v="0"/>
          </reference>
          <reference field="30" count="1" selected="0">
            <x v="1"/>
          </reference>
        </references>
      </pivotArea>
    </chartFormat>
    <chartFormat chart="17" format="87">
      <pivotArea type="data" outline="0" fieldPosition="0">
        <references count="2">
          <reference field="4294967294" count="1" selected="0">
            <x v="0"/>
          </reference>
          <reference field="30" count="1" selected="0">
            <x v="41"/>
          </reference>
        </references>
      </pivotArea>
    </chartFormat>
    <chartFormat chart="17" format="88">
      <pivotArea type="data" outline="0" fieldPosition="0">
        <references count="2">
          <reference field="4294967294" count="1" selected="0">
            <x v="0"/>
          </reference>
          <reference field="30" count="1" selected="0">
            <x v="35"/>
          </reference>
        </references>
      </pivotArea>
    </chartFormat>
    <chartFormat chart="17" format="89">
      <pivotArea type="data" outline="0" fieldPosition="0">
        <references count="2">
          <reference field="4294967294" count="1" selected="0">
            <x v="0"/>
          </reference>
          <reference field="30" count="1" selected="0">
            <x v="31"/>
          </reference>
        </references>
      </pivotArea>
    </chartFormat>
    <chartFormat chart="17" format="90">
      <pivotArea type="data" outline="0" fieldPosition="0">
        <references count="2">
          <reference field="4294967294" count="1" selected="0">
            <x v="0"/>
          </reference>
          <reference field="30" count="1" selected="0">
            <x v="13"/>
          </reference>
        </references>
      </pivotArea>
    </chartFormat>
    <chartFormat chart="17" format="91">
      <pivotArea type="data" outline="0" fieldPosition="0">
        <references count="2">
          <reference field="4294967294" count="1" selected="0">
            <x v="0"/>
          </reference>
          <reference field="30" count="1" selected="0">
            <x v="43"/>
          </reference>
        </references>
      </pivotArea>
    </chartFormat>
    <chartFormat chart="17" format="92">
      <pivotArea type="data" outline="0" fieldPosition="0">
        <references count="2">
          <reference field="4294967294" count="1" selected="0">
            <x v="0"/>
          </reference>
          <reference field="30" count="1" selected="0">
            <x v="17"/>
          </reference>
        </references>
      </pivotArea>
    </chartFormat>
    <chartFormat chart="17" format="93">
      <pivotArea type="data" outline="0" fieldPosition="0">
        <references count="2">
          <reference field="4294967294" count="1" selected="0">
            <x v="0"/>
          </reference>
          <reference field="30" count="1" selected="0">
            <x v="25"/>
          </reference>
        </references>
      </pivotArea>
    </chartFormat>
    <chartFormat chart="17" format="94">
      <pivotArea type="data" outline="0" fieldPosition="0">
        <references count="2">
          <reference field="4294967294" count="1" selected="0">
            <x v="0"/>
          </reference>
          <reference field="30" count="1" selected="0">
            <x v="30"/>
          </reference>
        </references>
      </pivotArea>
    </chartFormat>
    <chartFormat chart="17" format="95">
      <pivotArea type="data" outline="0" fieldPosition="0">
        <references count="2">
          <reference field="4294967294" count="1" selected="0">
            <x v="0"/>
          </reference>
          <reference field="30" count="1" selected="0">
            <x v="4"/>
          </reference>
        </references>
      </pivotArea>
    </chartFormat>
    <chartFormat chart="17" format="96">
      <pivotArea type="data" outline="0" fieldPosition="0">
        <references count="2">
          <reference field="4294967294" count="1" selected="0">
            <x v="0"/>
          </reference>
          <reference field="30" count="1" selected="0">
            <x v="5"/>
          </reference>
        </references>
      </pivotArea>
    </chartFormat>
    <chartFormat chart="17" format="97">
      <pivotArea type="data" outline="0" fieldPosition="0">
        <references count="2">
          <reference field="4294967294" count="1" selected="0">
            <x v="0"/>
          </reference>
          <reference field="30" count="1" selected="0">
            <x v="14"/>
          </reference>
        </references>
      </pivotArea>
    </chartFormat>
    <chartFormat chart="17" format="98">
      <pivotArea type="data" outline="0" fieldPosition="0">
        <references count="2">
          <reference field="4294967294" count="1" selected="0">
            <x v="0"/>
          </reference>
          <reference field="30" count="1" selected="0">
            <x v="0"/>
          </reference>
        </references>
      </pivotArea>
    </chartFormat>
    <chartFormat chart="17" format="99">
      <pivotArea type="data" outline="0" fieldPosition="0">
        <references count="2">
          <reference field="4294967294" count="1" selected="0">
            <x v="0"/>
          </reference>
          <reference field="30" count="1" selected="0">
            <x v="34"/>
          </reference>
        </references>
      </pivotArea>
    </chartFormat>
    <chartFormat chart="17" format="100">
      <pivotArea type="data" outline="0" fieldPosition="0">
        <references count="2">
          <reference field="4294967294" count="1" selected="0">
            <x v="0"/>
          </reference>
          <reference field="30" count="1" selected="0">
            <x v="12"/>
          </reference>
        </references>
      </pivotArea>
    </chartFormat>
    <chartFormat chart="17" format="101">
      <pivotArea type="data" outline="0" fieldPosition="0">
        <references count="2">
          <reference field="4294967294" count="1" selected="0">
            <x v="0"/>
          </reference>
          <reference field="30" count="1" selected="0">
            <x v="11"/>
          </reference>
        </references>
      </pivotArea>
    </chartFormat>
    <chartFormat chart="17" format="102">
      <pivotArea type="data" outline="0" fieldPosition="0">
        <references count="2">
          <reference field="4294967294" count="1" selected="0">
            <x v="0"/>
          </reference>
          <reference field="30" count="1" selected="0">
            <x v="38"/>
          </reference>
        </references>
      </pivotArea>
    </chartFormat>
    <chartFormat chart="17" format="103">
      <pivotArea type="data" outline="0" fieldPosition="0">
        <references count="2">
          <reference field="4294967294" count="1" selected="0">
            <x v="0"/>
          </reference>
          <reference field="30" count="1" selected="0">
            <x v="36"/>
          </reference>
        </references>
      </pivotArea>
    </chartFormat>
    <chartFormat chart="17" format="104">
      <pivotArea type="data" outline="0" fieldPosition="0">
        <references count="2">
          <reference field="4294967294" count="1" selected="0">
            <x v="0"/>
          </reference>
          <reference field="30" count="1" selected="0">
            <x v="9"/>
          </reference>
        </references>
      </pivotArea>
    </chartFormat>
    <chartFormat chart="17" format="105">
      <pivotArea type="data" outline="0" fieldPosition="0">
        <references count="2">
          <reference field="4294967294" count="1" selected="0">
            <x v="0"/>
          </reference>
          <reference field="30" count="1" selected="0">
            <x v="24"/>
          </reference>
        </references>
      </pivotArea>
    </chartFormat>
    <chartFormat chart="17" format="106">
      <pivotArea type="data" outline="0" fieldPosition="0">
        <references count="2">
          <reference field="4294967294" count="1" selected="0">
            <x v="0"/>
          </reference>
          <reference field="30" count="1" selected="0">
            <x v="16"/>
          </reference>
        </references>
      </pivotArea>
    </chartFormat>
    <chartFormat chart="17" format="107">
      <pivotArea type="data" outline="0" fieldPosition="0">
        <references count="2">
          <reference field="4294967294" count="1" selected="0">
            <x v="0"/>
          </reference>
          <reference field="30" count="1" selected="0">
            <x v="6"/>
          </reference>
        </references>
      </pivotArea>
    </chartFormat>
    <chartFormat chart="17" format="108">
      <pivotArea type="data" outline="0" fieldPosition="0">
        <references count="2">
          <reference field="4294967294" count="1" selected="0">
            <x v="0"/>
          </reference>
          <reference field="30" count="1" selected="0">
            <x v="20"/>
          </reference>
        </references>
      </pivotArea>
    </chartFormat>
    <chartFormat chart="17" format="109">
      <pivotArea type="data" outline="0" fieldPosition="0">
        <references count="2">
          <reference field="4294967294" count="1" selected="0">
            <x v="0"/>
          </reference>
          <reference field="30" count="1" selected="0">
            <x v="2"/>
          </reference>
        </references>
      </pivotArea>
    </chartFormat>
    <chartFormat chart="17" format="110">
      <pivotArea type="data" outline="0" fieldPosition="0">
        <references count="2">
          <reference field="4294967294" count="1" selected="0">
            <x v="0"/>
          </reference>
          <reference field="30" count="1" selected="0">
            <x v="28"/>
          </reference>
        </references>
      </pivotArea>
    </chartFormat>
    <chartFormat chart="17" format="111">
      <pivotArea type="data" outline="0" fieldPosition="0">
        <references count="2">
          <reference field="4294967294" count="1" selected="0">
            <x v="0"/>
          </reference>
          <reference field="30" count="1" selected="0">
            <x v="7"/>
          </reference>
        </references>
      </pivotArea>
    </chartFormat>
    <chartFormat chart="17" format="112">
      <pivotArea type="data" outline="0" fieldPosition="0">
        <references count="2">
          <reference field="4294967294" count="1" selected="0">
            <x v="0"/>
          </reference>
          <reference field="30" count="1" selected="0">
            <x v="18"/>
          </reference>
        </references>
      </pivotArea>
    </chartFormat>
    <chartFormat chart="17" format="113">
      <pivotArea type="data" outline="0" fieldPosition="0">
        <references count="2">
          <reference field="4294967294" count="1" selected="0">
            <x v="0"/>
          </reference>
          <reference field="30" count="1" selected="0">
            <x v="45"/>
          </reference>
        </references>
      </pivotArea>
    </chartFormat>
    <chartFormat chart="17" format="114">
      <pivotArea type="data" outline="0" fieldPosition="0">
        <references count="2">
          <reference field="4294967294" count="1" selected="0">
            <x v="0"/>
          </reference>
          <reference field="30" count="1" selected="0">
            <x v="27"/>
          </reference>
        </references>
      </pivotArea>
    </chartFormat>
    <chartFormat chart="17" format="115">
      <pivotArea type="data" outline="0" fieldPosition="0">
        <references count="2">
          <reference field="4294967294" count="1" selected="0">
            <x v="0"/>
          </reference>
          <reference field="30" count="1" selected="0">
            <x v="39"/>
          </reference>
        </references>
      </pivotArea>
    </chartFormat>
    <chartFormat chart="17" format="116">
      <pivotArea type="data" outline="0" fieldPosition="0">
        <references count="2">
          <reference field="4294967294" count="1" selected="0">
            <x v="0"/>
          </reference>
          <reference field="30" count="1" selected="0">
            <x v="49"/>
          </reference>
        </references>
      </pivotArea>
    </chartFormat>
    <chartFormat chart="17" format="117">
      <pivotArea type="data" outline="0" fieldPosition="0">
        <references count="2">
          <reference field="4294967294" count="1" selected="0">
            <x v="0"/>
          </reference>
          <reference field="30" count="1" selected="0">
            <x v="8"/>
          </reference>
        </references>
      </pivotArea>
    </chartFormat>
    <chartFormat chart="17" format="118">
      <pivotArea type="data" outline="0" fieldPosition="0">
        <references count="2">
          <reference field="4294967294" count="1" selected="0">
            <x v="0"/>
          </reference>
          <reference field="30" count="1" selected="0">
            <x v="19"/>
          </reference>
        </references>
      </pivotArea>
    </chartFormat>
    <chartFormat chart="17" format="119">
      <pivotArea type="data" outline="0" fieldPosition="0">
        <references count="2">
          <reference field="4294967294" count="1" selected="0">
            <x v="0"/>
          </reference>
          <reference field="30" count="1" selected="0">
            <x v="47"/>
          </reference>
        </references>
      </pivotArea>
    </chartFormat>
    <chartFormat chart="17" format="120">
      <pivotArea type="data" outline="0" fieldPosition="0">
        <references count="2">
          <reference field="4294967294" count="1" selected="0">
            <x v="0"/>
          </reference>
          <reference field="30" count="1" selected="0">
            <x v="15"/>
          </reference>
        </references>
      </pivotArea>
    </chartFormat>
    <chartFormat chart="17" format="121">
      <pivotArea type="data" outline="0" fieldPosition="0">
        <references count="2">
          <reference field="4294967294" count="1" selected="0">
            <x v="0"/>
          </reference>
          <reference field="30" count="1" selected="0">
            <x v="3"/>
          </reference>
        </references>
      </pivotArea>
    </chartFormat>
    <chartFormat chart="17" format="122">
      <pivotArea type="data" outline="0" fieldPosition="0">
        <references count="2">
          <reference field="4294967294" count="1" selected="0">
            <x v="0"/>
          </reference>
          <reference field="30" count="1" selected="0">
            <x v="21"/>
          </reference>
        </references>
      </pivotArea>
    </chartFormat>
    <chartFormat chart="17" format="123">
      <pivotArea type="data" outline="0" fieldPosition="0">
        <references count="2">
          <reference field="4294967294" count="1" selected="0">
            <x v="0"/>
          </reference>
          <reference field="30" count="1" selected="0">
            <x v="40"/>
          </reference>
        </references>
      </pivotArea>
    </chartFormat>
    <chartFormat chart="17" format="124">
      <pivotArea type="data" outline="0" fieldPosition="0">
        <references count="2">
          <reference field="4294967294" count="1" selected="0">
            <x v="0"/>
          </reference>
          <reference field="30" count="1" selected="0">
            <x v="32"/>
          </reference>
        </references>
      </pivotArea>
    </chartFormat>
    <chartFormat chart="17" format="125">
      <pivotArea type="data" outline="0" fieldPosition="0">
        <references count="2">
          <reference field="4294967294" count="1" selected="0">
            <x v="0"/>
          </reference>
          <reference field="30" count="1" selected="0">
            <x v="42"/>
          </reference>
        </references>
      </pivotArea>
    </chartFormat>
    <chartFormat chart="17" format="126">
      <pivotArea type="data" outline="0" fieldPosition="0">
        <references count="2">
          <reference field="4294967294" count="1" selected="0">
            <x v="0"/>
          </reference>
          <reference field="30" count="1" selected="0">
            <x v="33"/>
          </reference>
        </references>
      </pivotArea>
    </chartFormat>
    <chartFormat chart="17" format="127">
      <pivotArea type="data" outline="0" fieldPosition="0">
        <references count="2">
          <reference field="4294967294" count="1" selected="0">
            <x v="0"/>
          </reference>
          <reference field="30" count="1" selected="0">
            <x v="44"/>
          </reference>
        </references>
      </pivotArea>
    </chartFormat>
    <chartFormat chart="17" format="128">
      <pivotArea type="data" outline="0" fieldPosition="0">
        <references count="2">
          <reference field="4294967294" count="1" selected="0">
            <x v="0"/>
          </reference>
          <reference field="30" count="1" selected="0">
            <x v="22"/>
          </reference>
        </references>
      </pivotArea>
    </chartFormat>
    <chartFormat chart="17" format="129">
      <pivotArea type="data" outline="0" fieldPosition="0">
        <references count="2">
          <reference field="4294967294" count="1" selected="0">
            <x v="0"/>
          </reference>
          <reference field="30" count="1" selected="0">
            <x v="46"/>
          </reference>
        </references>
      </pivotArea>
    </chartFormat>
    <chartFormat chart="17" format="130">
      <pivotArea type="data" outline="0" fieldPosition="0">
        <references count="2">
          <reference field="4294967294" count="1" selected="0">
            <x v="0"/>
          </reference>
          <reference field="30" count="1" selected="0">
            <x v="23"/>
          </reference>
        </references>
      </pivotArea>
    </chartFormat>
    <chartFormat chart="17" format="131">
      <pivotArea type="data" outline="0" fieldPosition="0">
        <references count="2">
          <reference field="4294967294" count="1" selected="0">
            <x v="0"/>
          </reference>
          <reference field="30" count="1" selected="0">
            <x v="48"/>
          </reference>
        </references>
      </pivotArea>
    </chartFormat>
    <chartFormat chart="17" format="132">
      <pivotArea type="data" outline="0" fieldPosition="0">
        <references count="2">
          <reference field="4294967294" count="1" selected="0">
            <x v="0"/>
          </reference>
          <reference field="30" count="1" selected="0">
            <x v="10"/>
          </reference>
        </references>
      </pivotArea>
    </chartFormat>
    <chartFormat chart="17" format="133">
      <pivotArea type="data" outline="0" fieldPosition="0">
        <references count="2">
          <reference field="4294967294" count="1" selected="0">
            <x v="0"/>
          </reference>
          <reference field="30" count="1" selected="0">
            <x v="37"/>
          </reference>
        </references>
      </pivotArea>
    </chartFormat>
    <chartFormat chart="17" format="134">
      <pivotArea type="data" outline="0" fieldPosition="0">
        <references count="2">
          <reference field="4294967294" count="1" selected="0">
            <x v="0"/>
          </reference>
          <reference field="30" count="1" selected="0">
            <x v="29"/>
          </reference>
        </references>
      </pivotArea>
    </chartFormat>
    <chartFormat chart="17" format="135">
      <pivotArea type="data" outline="0" fieldPosition="0">
        <references count="2">
          <reference field="4294967294" count="1" selected="0">
            <x v="0"/>
          </reference>
          <reference field="30" count="1" selected="0">
            <x v="50"/>
          </reference>
        </references>
      </pivotArea>
    </chartFormat>
    <chartFormat chart="15" format="32">
      <pivotArea type="data" outline="0" fieldPosition="0">
        <references count="2">
          <reference field="4294967294" count="1" selected="0">
            <x v="0"/>
          </reference>
          <reference field="30" count="1" selected="0">
            <x v="26"/>
          </reference>
        </references>
      </pivotArea>
    </chartFormat>
    <chartFormat chart="15" format="33">
      <pivotArea type="data" outline="0" fieldPosition="0">
        <references count="2">
          <reference field="4294967294" count="1" selected="0">
            <x v="0"/>
          </reference>
          <reference field="30" count="1" selected="0">
            <x v="1"/>
          </reference>
        </references>
      </pivotArea>
    </chartFormat>
    <chartFormat chart="15" format="34">
      <pivotArea type="data" outline="0" fieldPosition="0">
        <references count="2">
          <reference field="4294967294" count="1" selected="0">
            <x v="0"/>
          </reference>
          <reference field="30" count="1" selected="0">
            <x v="41"/>
          </reference>
        </references>
      </pivotArea>
    </chartFormat>
    <chartFormat chart="15" format="35">
      <pivotArea type="data" outline="0" fieldPosition="0">
        <references count="2">
          <reference field="4294967294" count="1" selected="0">
            <x v="0"/>
          </reference>
          <reference field="30" count="1" selected="0">
            <x v="35"/>
          </reference>
        </references>
      </pivotArea>
    </chartFormat>
    <chartFormat chart="15" format="36">
      <pivotArea type="data" outline="0" fieldPosition="0">
        <references count="2">
          <reference field="4294967294" count="1" selected="0">
            <x v="0"/>
          </reference>
          <reference field="30" count="1" selected="0">
            <x v="31"/>
          </reference>
        </references>
      </pivotArea>
    </chartFormat>
    <chartFormat chart="15" format="37">
      <pivotArea type="data" outline="0" fieldPosition="0">
        <references count="2">
          <reference field="4294967294" count="1" selected="0">
            <x v="0"/>
          </reference>
          <reference field="30" count="1" selected="0">
            <x v="13"/>
          </reference>
        </references>
      </pivotArea>
    </chartFormat>
    <chartFormat chart="15" format="38">
      <pivotArea type="data" outline="0" fieldPosition="0">
        <references count="2">
          <reference field="4294967294" count="1" selected="0">
            <x v="0"/>
          </reference>
          <reference field="30" count="1" selected="0">
            <x v="43"/>
          </reference>
        </references>
      </pivotArea>
    </chartFormat>
    <chartFormat chart="15" format="39">
      <pivotArea type="data" outline="0" fieldPosition="0">
        <references count="2">
          <reference field="4294967294" count="1" selected="0">
            <x v="0"/>
          </reference>
          <reference field="30" count="1" selected="0">
            <x v="17"/>
          </reference>
        </references>
      </pivotArea>
    </chartFormat>
    <chartFormat chart="15" format="40">
      <pivotArea type="data" outline="0" fieldPosition="0">
        <references count="2">
          <reference field="4294967294" count="1" selected="0">
            <x v="0"/>
          </reference>
          <reference field="30" count="1" selected="0">
            <x v="25"/>
          </reference>
        </references>
      </pivotArea>
    </chartFormat>
    <chartFormat chart="15" format="41">
      <pivotArea type="data" outline="0" fieldPosition="0">
        <references count="2">
          <reference field="4294967294" count="1" selected="0">
            <x v="0"/>
          </reference>
          <reference field="30" count="1" selected="0">
            <x v="30"/>
          </reference>
        </references>
      </pivotArea>
    </chartFormat>
    <chartFormat chart="15" format="42">
      <pivotArea type="data" outline="0" fieldPosition="0">
        <references count="2">
          <reference field="4294967294" count="1" selected="0">
            <x v="0"/>
          </reference>
          <reference field="30" count="1" selected="0">
            <x v="4"/>
          </reference>
        </references>
      </pivotArea>
    </chartFormat>
    <chartFormat chart="15" format="43">
      <pivotArea type="data" outline="0" fieldPosition="0">
        <references count="2">
          <reference field="4294967294" count="1" selected="0">
            <x v="0"/>
          </reference>
          <reference field="30" count="1" selected="0">
            <x v="5"/>
          </reference>
        </references>
      </pivotArea>
    </chartFormat>
    <chartFormat chart="15" format="44">
      <pivotArea type="data" outline="0" fieldPosition="0">
        <references count="2">
          <reference field="4294967294" count="1" selected="0">
            <x v="0"/>
          </reference>
          <reference field="30" count="1" selected="0">
            <x v="11"/>
          </reference>
        </references>
      </pivotArea>
    </chartFormat>
    <chartFormat chart="15" format="45">
      <pivotArea type="data" outline="0" fieldPosition="0">
        <references count="2">
          <reference field="4294967294" count="1" selected="0">
            <x v="0"/>
          </reference>
          <reference field="30" count="1" selected="0">
            <x v="38"/>
          </reference>
        </references>
      </pivotArea>
    </chartFormat>
    <chartFormat chart="15" format="46">
      <pivotArea type="data" outline="0" fieldPosition="0">
        <references count="2">
          <reference field="4294967294" count="1" selected="0">
            <x v="0"/>
          </reference>
          <reference field="30" count="1" selected="0">
            <x v="36"/>
          </reference>
        </references>
      </pivotArea>
    </chartFormat>
    <chartFormat chart="15" format="47">
      <pivotArea type="data" outline="0" fieldPosition="0">
        <references count="2">
          <reference field="4294967294" count="1" selected="0">
            <x v="0"/>
          </reference>
          <reference field="30" count="1" selected="0">
            <x v="9"/>
          </reference>
        </references>
      </pivotArea>
    </chartFormat>
    <chartFormat chart="15" format="48">
      <pivotArea type="data" outline="0" fieldPosition="0">
        <references count="2">
          <reference field="4294967294" count="1" selected="0">
            <x v="0"/>
          </reference>
          <reference field="30" count="1" selected="0">
            <x v="24"/>
          </reference>
        </references>
      </pivotArea>
    </chartFormat>
    <chartFormat chart="15" format="49">
      <pivotArea type="data" outline="0" fieldPosition="0">
        <references count="2">
          <reference field="4294967294" count="1" selected="0">
            <x v="0"/>
          </reference>
          <reference field="30" count="1" selected="0">
            <x v="16"/>
          </reference>
        </references>
      </pivotArea>
    </chartFormat>
    <chartFormat chart="15" format="50">
      <pivotArea type="data" outline="0" fieldPosition="0">
        <references count="2">
          <reference field="4294967294" count="1" selected="0">
            <x v="0"/>
          </reference>
          <reference field="30" count="1" selected="0">
            <x v="6"/>
          </reference>
        </references>
      </pivotArea>
    </chartFormat>
    <chartFormat chart="15" format="51">
      <pivotArea type="data" outline="0" fieldPosition="0">
        <references count="2">
          <reference field="4294967294" count="1" selected="0">
            <x v="0"/>
          </reference>
          <reference field="30" count="1" selected="0">
            <x v="5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CF01C08-9157-45DC-9CCA-D49DF5E3C67C}" name="TablaDinámica4" cacheId="8"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6">
  <location ref="A46:B59" firstHeaderRow="1" firstDataRow="1" firstDataCol="1"/>
  <pivotFields count="43">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4">
        <item x="8"/>
        <item x="9"/>
        <item x="7"/>
        <item x="11"/>
        <item x="0"/>
        <item x="2"/>
        <item x="5"/>
        <item x="3"/>
        <item x="4"/>
        <item x="1"/>
        <item x="10"/>
        <item x="6"/>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33"/>
  </rowFields>
  <rowItems count="13">
    <i>
      <x v="4"/>
    </i>
    <i>
      <x v="7"/>
    </i>
    <i>
      <x v="8"/>
    </i>
    <i>
      <x v="6"/>
    </i>
    <i>
      <x/>
    </i>
    <i>
      <x v="5"/>
    </i>
    <i>
      <x v="2"/>
    </i>
    <i>
      <x v="9"/>
    </i>
    <i>
      <x v="1"/>
    </i>
    <i>
      <x v="10"/>
    </i>
    <i>
      <x v="11"/>
    </i>
    <i>
      <x v="3"/>
    </i>
    <i t="grand">
      <x/>
    </i>
  </rowItems>
  <colItems count="1">
    <i/>
  </colItems>
  <dataFields count="1">
    <dataField name="Cuenta de PARTE AFECTADA" fld="33" subtotal="count" baseField="0" baseItem="0"/>
  </dataFields>
  <chartFormats count="1">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CA103B3-C3ED-4AA5-8D42-A3D08B4CF66B}" name="TablaDinámica6" cacheId="8"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1">
  <location ref="A78:B87" firstHeaderRow="1" firstDataRow="1" firstDataCol="1"/>
  <pivotFields count="43">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0">
        <item x="2"/>
        <item x="5"/>
        <item x="1"/>
        <item x="7"/>
        <item x="3"/>
        <item x="0"/>
        <item x="6"/>
        <item x="4"/>
        <item h="1"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34"/>
  </rowFields>
  <rowItems count="9">
    <i>
      <x v="2"/>
    </i>
    <i>
      <x v="4"/>
    </i>
    <i>
      <x v="5"/>
    </i>
    <i>
      <x v="1"/>
    </i>
    <i>
      <x v="6"/>
    </i>
    <i>
      <x v="7"/>
    </i>
    <i>
      <x/>
    </i>
    <i>
      <x v="3"/>
    </i>
    <i t="grand">
      <x/>
    </i>
  </rowItems>
  <colItems count="1">
    <i/>
  </colItems>
  <dataFields count="1">
    <dataField name="Cuenta de NATURALEZA DE LA LESION " fld="34" subtotal="count" baseField="0" baseItem="0"/>
  </dataFields>
  <chartFormats count="3">
    <chartFormat chart="12"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A4927C9-CCD6-4A7F-B258-659D7E6D427B}" name="TablaDinámica5" cacheId="8"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8">
  <location ref="A62:B66" firstHeaderRow="1" firstDataRow="1" firstDataCol="1"/>
  <pivotFields count="43">
    <pivotField showAll="0"/>
    <pivotField showAll="0"/>
    <pivotField showAll="0"/>
    <pivotField showAll="0"/>
    <pivotField showAll="0"/>
    <pivotField showAll="0"/>
    <pivotField showAll="0"/>
    <pivotField showAll="0"/>
    <pivotField showAll="0"/>
    <pivotField numFmtId="14" showAll="0"/>
    <pivotField axis="axisRow" dataField="1" showAll="0" sortType="descending">
      <items count="6">
        <item x="0"/>
        <item x="2"/>
        <item x="1"/>
        <item h="1" x="4"/>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uenta de ANTIGÜEDAD" fld="10" subtotal="count" baseField="0" baseItem="0"/>
  </dataFields>
  <chartFormats count="3">
    <chartFormat chart="9"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CA4EEC51-F759-4EA8-BC21-F57CC2345254}" name="TablaDinámica2" cacheId="8"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1">
  <location ref="A92:B116" firstHeaderRow="1" firstDataRow="1" firstDataCol="1" rowPageCount="1" colPageCount="1"/>
  <pivotFields count="43">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axis="axisRow" multipleItemSelectionAllowed="1" showAll="0">
      <items count="4">
        <item x="1"/>
        <item x="0"/>
        <item x="2"/>
        <item t="default"/>
      </items>
    </pivotField>
    <pivotField showAll="0"/>
    <pivotField showAll="0"/>
    <pivotField axis="axisRow" dataField="1" showAll="0" sortType="descending">
      <items count="13">
        <item x="0"/>
        <item x="3"/>
        <item x="2"/>
        <item x="4"/>
        <item x="1"/>
        <item x="8"/>
        <item x="7"/>
        <item x="6"/>
        <item x="9"/>
        <item x="5"/>
        <item x="10"/>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5">
        <item h="1" x="0"/>
        <item x="1"/>
        <item h="1" x="2"/>
        <item h="1" x="3"/>
        <item t="default"/>
      </items>
    </pivotField>
    <pivotField showAll="0"/>
    <pivotField showAll="0"/>
    <pivotField showAll="0"/>
  </pivotFields>
  <rowFields count="2">
    <field x="18"/>
    <field x="15"/>
  </rowFields>
  <rowItems count="24">
    <i>
      <x v="9"/>
    </i>
    <i r="1">
      <x/>
    </i>
    <i r="1">
      <x v="1"/>
    </i>
    <i>
      <x v="7"/>
    </i>
    <i r="1">
      <x/>
    </i>
    <i r="1">
      <x v="1"/>
    </i>
    <i>
      <x v="6"/>
    </i>
    <i r="1">
      <x/>
    </i>
    <i r="1">
      <x v="1"/>
    </i>
    <i>
      <x v="3"/>
    </i>
    <i r="1">
      <x/>
    </i>
    <i r="1">
      <x v="1"/>
    </i>
    <i>
      <x v="4"/>
    </i>
    <i r="1">
      <x/>
    </i>
    <i r="1">
      <x v="1"/>
    </i>
    <i>
      <x v="2"/>
    </i>
    <i r="1">
      <x/>
    </i>
    <i r="1">
      <x v="1"/>
    </i>
    <i>
      <x v="5"/>
    </i>
    <i r="1">
      <x/>
    </i>
    <i r="1">
      <x v="1"/>
    </i>
    <i>
      <x v="1"/>
    </i>
    <i r="1">
      <x v="1"/>
    </i>
    <i t="grand">
      <x/>
    </i>
  </rowItems>
  <colItems count="1">
    <i/>
  </colItems>
  <pageFields count="1">
    <pageField fld="39" hier="-1"/>
  </pageFields>
  <dataFields count="1">
    <dataField name="Cuenta de AREA" fld="18" subtotal="count" baseField="0" baseItem="0"/>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045C6609-3FAB-4EC0-B90A-8E366B528A16}" name="TablaDinámica1" cacheId="8"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3">
  <location ref="A3:B19" firstHeaderRow="1" firstDataRow="1" firstDataCol="1" rowPageCount="1" colPageCount="1"/>
  <pivotFields count="43">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multipleItemSelectionAllowed="1" showAll="0"/>
    <pivotField showAll="0"/>
    <pivotField showAll="0"/>
    <pivotField axis="axisPage" multipleItemSelectionAllowed="1" showAll="0">
      <items count="13">
        <item x="0"/>
        <item x="3"/>
        <item x="10"/>
        <item x="2"/>
        <item x="4"/>
        <item x="1"/>
        <item x="8"/>
        <item x="7"/>
        <item x="6"/>
        <item x="9"/>
        <item x="5"/>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7">
        <item x="2"/>
        <item x="6"/>
        <item x="1"/>
        <item x="8"/>
        <item x="3"/>
        <item x="14"/>
        <item x="12"/>
        <item x="10"/>
        <item x="9"/>
        <item x="5"/>
        <item x="4"/>
        <item x="13"/>
        <item x="11"/>
        <item x="7"/>
        <item x="0"/>
        <item h="1"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5"/>
  </rowFields>
  <rowItems count="16">
    <i>
      <x v="10"/>
    </i>
    <i>
      <x v="2"/>
    </i>
    <i>
      <x v="9"/>
    </i>
    <i>
      <x v="13"/>
    </i>
    <i>
      <x v="14"/>
    </i>
    <i>
      <x v="3"/>
    </i>
    <i>
      <x v="1"/>
    </i>
    <i>
      <x v="11"/>
    </i>
    <i>
      <x v="4"/>
    </i>
    <i>
      <x/>
    </i>
    <i>
      <x v="6"/>
    </i>
    <i>
      <x v="7"/>
    </i>
    <i>
      <x v="12"/>
    </i>
    <i>
      <x v="8"/>
    </i>
    <i>
      <x v="5"/>
    </i>
    <i t="grand">
      <x/>
    </i>
  </rowItems>
  <colItems count="1">
    <i/>
  </colItems>
  <pageFields count="1">
    <pageField fld="18" hier="-1"/>
  </pageFields>
  <dataFields count="1">
    <dataField name="Cuenta de TIPO ACCIDENTE" fld="35"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BCE49295-2E81-4BE7-9CE5-372CBE046964}" name="TablaDinámica3" cacheId="8"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8">
  <location ref="A22:B43" firstHeaderRow="1" firstDataRow="1" firstDataCol="1"/>
  <pivotFields count="43">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2">
        <item x="11"/>
        <item x="16"/>
        <item x="5"/>
        <item x="14"/>
        <item x="13"/>
        <item x="10"/>
        <item x="18"/>
        <item x="7"/>
        <item x="17"/>
        <item x="19"/>
        <item x="3"/>
        <item x="2"/>
        <item x="6"/>
        <item x="0"/>
        <item x="12"/>
        <item x="8"/>
        <item x="9"/>
        <item x="4"/>
        <item x="1"/>
        <item x="15"/>
        <item h="1" x="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32"/>
  </rowFields>
  <rowItems count="21">
    <i>
      <x v="10"/>
    </i>
    <i>
      <x v="18"/>
    </i>
    <i>
      <x v="13"/>
    </i>
    <i>
      <x v="11"/>
    </i>
    <i>
      <x v="12"/>
    </i>
    <i>
      <x v="7"/>
    </i>
    <i>
      <x v="3"/>
    </i>
    <i>
      <x v="17"/>
    </i>
    <i>
      <x v="16"/>
    </i>
    <i>
      <x v="2"/>
    </i>
    <i>
      <x v="14"/>
    </i>
    <i>
      <x v="1"/>
    </i>
    <i>
      <x/>
    </i>
    <i>
      <x v="4"/>
    </i>
    <i>
      <x v="15"/>
    </i>
    <i>
      <x v="19"/>
    </i>
    <i>
      <x v="6"/>
    </i>
    <i>
      <x v="8"/>
    </i>
    <i>
      <x v="5"/>
    </i>
    <i>
      <x v="9"/>
    </i>
    <i t="grand">
      <x/>
    </i>
  </rowItems>
  <colItems count="1">
    <i/>
  </colItems>
  <dataFields count="1">
    <dataField name="Cuenta de AGENTE ACC" fld="32" subtotal="count" baseField="0" baseItem="0"/>
  </dataFields>
  <chartFormats count="4">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0447346D-C21D-482C-A09F-39C8A8BB456D}" name="TablaDinámica8" cacheId="4"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74:C191" firstHeaderRow="1" firstDataRow="1" firstDataCol="0"/>
  <pivotFields count="42">
    <pivotField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150" dT="2022-11-22T23:47:53.54" personId="{E4BE3981-7A34-44E1-8498-ADAA26786FB2}" id="{95BCF80C-0AC7-47F4-88D3-DA805DD14BF0}">
    <text xml:space="preserve">EVALUAR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6.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22.xml"/><Relationship Id="rId13" Type="http://schemas.openxmlformats.org/officeDocument/2006/relationships/pivotTable" Target="../pivotTables/pivotTable27.xml"/><Relationship Id="rId18" Type="http://schemas.openxmlformats.org/officeDocument/2006/relationships/pivotTable" Target="../pivotTables/pivotTable32.xml"/><Relationship Id="rId3" Type="http://schemas.openxmlformats.org/officeDocument/2006/relationships/pivotTable" Target="../pivotTables/pivotTable17.xml"/><Relationship Id="rId7" Type="http://schemas.openxmlformats.org/officeDocument/2006/relationships/pivotTable" Target="../pivotTables/pivotTable21.xml"/><Relationship Id="rId12" Type="http://schemas.openxmlformats.org/officeDocument/2006/relationships/pivotTable" Target="../pivotTables/pivotTable26.xml"/><Relationship Id="rId17" Type="http://schemas.openxmlformats.org/officeDocument/2006/relationships/pivotTable" Target="../pivotTables/pivotTable31.xml"/><Relationship Id="rId2" Type="http://schemas.openxmlformats.org/officeDocument/2006/relationships/pivotTable" Target="../pivotTables/pivotTable16.xml"/><Relationship Id="rId16" Type="http://schemas.openxmlformats.org/officeDocument/2006/relationships/pivotTable" Target="../pivotTables/pivotTable30.xml"/><Relationship Id="rId1" Type="http://schemas.openxmlformats.org/officeDocument/2006/relationships/pivotTable" Target="../pivotTables/pivotTable15.xml"/><Relationship Id="rId6" Type="http://schemas.openxmlformats.org/officeDocument/2006/relationships/pivotTable" Target="../pivotTables/pivotTable20.xml"/><Relationship Id="rId11" Type="http://schemas.openxmlformats.org/officeDocument/2006/relationships/pivotTable" Target="../pivotTables/pivotTable25.xml"/><Relationship Id="rId5" Type="http://schemas.openxmlformats.org/officeDocument/2006/relationships/pivotTable" Target="../pivotTables/pivotTable19.xml"/><Relationship Id="rId15" Type="http://schemas.openxmlformats.org/officeDocument/2006/relationships/pivotTable" Target="../pivotTables/pivotTable29.xml"/><Relationship Id="rId10" Type="http://schemas.openxmlformats.org/officeDocument/2006/relationships/pivotTable" Target="../pivotTables/pivotTable24.xml"/><Relationship Id="rId4" Type="http://schemas.openxmlformats.org/officeDocument/2006/relationships/pivotTable" Target="../pivotTables/pivotTable18.xml"/><Relationship Id="rId9" Type="http://schemas.openxmlformats.org/officeDocument/2006/relationships/pivotTable" Target="../pivotTables/pivotTable23.xml"/><Relationship Id="rId14" Type="http://schemas.openxmlformats.org/officeDocument/2006/relationships/pivotTable" Target="../pivotTables/pivotTable28.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s>
</file>

<file path=xl/worksheets/_rels/sheet12.xml.rels><?xml version="1.0" encoding="UTF-8" standalone="yes"?>
<Relationships xmlns="http://schemas.openxmlformats.org/package/2006/relationships"><Relationship Id="rId8" Type="http://schemas.openxmlformats.org/officeDocument/2006/relationships/pivotTable" Target="../pivotTables/pivotTable44.xml"/><Relationship Id="rId3" Type="http://schemas.openxmlformats.org/officeDocument/2006/relationships/pivotTable" Target="../pivotTables/pivotTable39.xml"/><Relationship Id="rId7" Type="http://schemas.openxmlformats.org/officeDocument/2006/relationships/pivotTable" Target="../pivotTables/pivotTable43.xml"/><Relationship Id="rId2" Type="http://schemas.openxmlformats.org/officeDocument/2006/relationships/pivotTable" Target="../pivotTables/pivotTable38.xml"/><Relationship Id="rId1" Type="http://schemas.openxmlformats.org/officeDocument/2006/relationships/pivotTable" Target="../pivotTables/pivotTable37.xml"/><Relationship Id="rId6" Type="http://schemas.openxmlformats.org/officeDocument/2006/relationships/pivotTable" Target="../pivotTables/pivotTable42.xml"/><Relationship Id="rId5" Type="http://schemas.openxmlformats.org/officeDocument/2006/relationships/pivotTable" Target="../pivotTables/pivotTable41.xml"/><Relationship Id="rId4" Type="http://schemas.openxmlformats.org/officeDocument/2006/relationships/pivotTable" Target="../pivotTables/pivotTable40.xml"/><Relationship Id="rId9"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Q500"/>
  <sheetViews>
    <sheetView showGridLines="0" tabSelected="1" view="pageBreakPreview" zoomScale="90" zoomScaleNormal="98" zoomScaleSheetLayoutView="90" workbookViewId="0">
      <pane ySplit="6" topLeftCell="A97" activePane="bottomLeft" state="frozen"/>
      <selection activeCell="G1" sqref="G1"/>
      <selection pane="bottomLeft" activeCell="E358" sqref="E358"/>
    </sheetView>
  </sheetViews>
  <sheetFormatPr baseColWidth="10" defaultColWidth="11.42578125" defaultRowHeight="15" x14ac:dyDescent="0.2"/>
  <cols>
    <col min="1" max="1" width="10.140625" style="163" bestFit="1" customWidth="1"/>
    <col min="2" max="2" width="11.7109375" style="163" bestFit="1" customWidth="1"/>
    <col min="3" max="3" width="13.42578125" style="163" bestFit="1" customWidth="1"/>
    <col min="4" max="4" width="24.42578125" style="163" bestFit="1" customWidth="1"/>
    <col min="5" max="5" width="16.42578125" style="163" bestFit="1" customWidth="1"/>
    <col min="6" max="6" width="18.5703125" style="163" bestFit="1" customWidth="1"/>
    <col min="7" max="7" width="22" style="163" bestFit="1" customWidth="1"/>
    <col min="8" max="8" width="25.140625" style="287" bestFit="1" customWidth="1"/>
    <col min="9" max="9" width="14.7109375" style="163" bestFit="1" customWidth="1"/>
    <col min="10" max="10" width="17.85546875" style="180" bestFit="1" customWidth="1"/>
    <col min="11" max="11" width="18.42578125" style="180" bestFit="1" customWidth="1"/>
    <col min="12" max="12" width="21.7109375" style="163" bestFit="1" customWidth="1"/>
    <col min="13" max="13" width="17.42578125" style="163" bestFit="1" customWidth="1"/>
    <col min="14" max="14" width="17.5703125" style="163" bestFit="1" customWidth="1"/>
    <col min="15" max="15" width="10.7109375" style="163" bestFit="1" customWidth="1"/>
    <col min="16" max="16" width="26.42578125" style="163" bestFit="1" customWidth="1"/>
    <col min="17" max="17" width="19.7109375" style="163" bestFit="1" customWidth="1"/>
    <col min="18" max="18" width="24.7109375" style="29" bestFit="1" customWidth="1"/>
    <col min="19" max="19" width="18.5703125" style="163" bestFit="1" customWidth="1"/>
    <col min="20" max="20" width="22.7109375" style="163" bestFit="1" customWidth="1"/>
    <col min="21" max="21" width="33.140625" style="163" bestFit="1" customWidth="1"/>
    <col min="22" max="22" width="38.42578125" style="163" bestFit="1" customWidth="1"/>
    <col min="23" max="23" width="55.7109375" style="163" bestFit="1" customWidth="1"/>
    <col min="24" max="24" width="15.5703125" style="163" bestFit="1" customWidth="1"/>
    <col min="25" max="25" width="11.5703125" style="163" bestFit="1" customWidth="1"/>
    <col min="26" max="26" width="255.7109375" style="163" bestFit="1" customWidth="1"/>
    <col min="27" max="27" width="13.85546875" style="163" bestFit="1" customWidth="1"/>
    <col min="28" max="28" width="13.5703125" style="29" bestFit="1" customWidth="1"/>
    <col min="29" max="29" width="11" style="200" bestFit="1" customWidth="1"/>
    <col min="30" max="30" width="19" style="163" bestFit="1" customWidth="1"/>
    <col min="31" max="31" width="21.42578125" style="163" bestFit="1" customWidth="1"/>
    <col min="32" max="32" width="11.140625" style="163" bestFit="1" customWidth="1"/>
    <col min="33" max="33" width="26" style="163" bestFit="1" customWidth="1"/>
    <col min="34" max="34" width="15.7109375" style="163" bestFit="1" customWidth="1"/>
    <col min="35" max="35" width="24.140625" style="163" bestFit="1" customWidth="1"/>
    <col min="36" max="36" width="33.140625" style="163" bestFit="1" customWidth="1"/>
    <col min="37" max="37" width="255.7109375" style="164" bestFit="1" customWidth="1"/>
    <col min="38" max="38" width="16.28515625" style="29" bestFit="1" customWidth="1"/>
    <col min="39" max="39" width="15.28515625" style="29" bestFit="1" customWidth="1"/>
    <col min="40" max="40" width="23" style="29" bestFit="1" customWidth="1"/>
    <col min="41" max="41" width="24.5703125" style="29" bestFit="1" customWidth="1"/>
    <col min="42" max="42" width="19.85546875" style="29" bestFit="1" customWidth="1"/>
    <col min="43" max="43" width="56.42578125" style="165" bestFit="1" customWidth="1"/>
    <col min="44" max="16384" width="11.42578125" style="165"/>
  </cols>
  <sheetData>
    <row r="1" spans="1:43" ht="12.75" x14ac:dyDescent="0.2">
      <c r="E1" s="377" t="s">
        <v>0</v>
      </c>
      <c r="F1" s="377"/>
      <c r="G1" s="377"/>
      <c r="H1" s="377"/>
      <c r="I1" s="377"/>
      <c r="J1" s="378"/>
      <c r="K1" s="378"/>
      <c r="L1" s="377"/>
      <c r="M1" s="377"/>
      <c r="N1" s="377"/>
      <c r="O1" s="379"/>
    </row>
    <row r="2" spans="1:43" x14ac:dyDescent="0.25">
      <c r="E2" s="30"/>
      <c r="F2" s="29"/>
      <c r="G2" s="6"/>
      <c r="J2" s="163"/>
      <c r="K2" s="163"/>
      <c r="AB2" s="165"/>
      <c r="AC2" s="201"/>
    </row>
    <row r="3" spans="1:43" x14ac:dyDescent="0.2">
      <c r="E3" s="29"/>
      <c r="F3" s="29"/>
      <c r="J3" s="163"/>
      <c r="K3" s="163"/>
      <c r="AB3" s="165"/>
      <c r="AC3" s="201"/>
      <c r="AK3" s="166"/>
    </row>
    <row r="4" spans="1:43" ht="15.75" customHeight="1" x14ac:dyDescent="0.2">
      <c r="E4" s="29"/>
      <c r="F4" s="29"/>
      <c r="J4" s="163"/>
      <c r="K4" s="163"/>
      <c r="AB4" s="165"/>
      <c r="AC4" s="201"/>
      <c r="AG4" s="166"/>
    </row>
    <row r="5" spans="1:43" ht="14.25" customHeight="1" x14ac:dyDescent="0.2">
      <c r="E5" s="29"/>
      <c r="F5" s="29"/>
      <c r="J5" s="163"/>
      <c r="K5" s="163"/>
      <c r="AB5" s="165"/>
      <c r="AC5" s="201"/>
    </row>
    <row r="6" spans="1:43" s="323" customFormat="1" ht="25.5" x14ac:dyDescent="0.2">
      <c r="A6" s="317" t="s">
        <v>1</v>
      </c>
      <c r="B6" s="317" t="s">
        <v>2</v>
      </c>
      <c r="C6" s="317" t="s">
        <v>3</v>
      </c>
      <c r="D6" s="318" t="s">
        <v>4</v>
      </c>
      <c r="E6" s="318" t="s">
        <v>5</v>
      </c>
      <c r="F6" s="318" t="s">
        <v>6</v>
      </c>
      <c r="G6" s="318" t="s">
        <v>7</v>
      </c>
      <c r="H6" s="288" t="s">
        <v>8</v>
      </c>
      <c r="I6" s="168" t="s">
        <v>9</v>
      </c>
      <c r="J6" s="167" t="s">
        <v>10</v>
      </c>
      <c r="K6" s="168" t="s">
        <v>11</v>
      </c>
      <c r="L6" s="167" t="s">
        <v>12</v>
      </c>
      <c r="M6" s="167" t="s">
        <v>13</v>
      </c>
      <c r="N6" s="167" t="s">
        <v>14</v>
      </c>
      <c r="O6" s="167" t="s">
        <v>15</v>
      </c>
      <c r="P6" s="167" t="s">
        <v>16</v>
      </c>
      <c r="Q6" s="167" t="s">
        <v>17</v>
      </c>
      <c r="R6" s="167" t="s">
        <v>18</v>
      </c>
      <c r="S6" s="167" t="s">
        <v>19</v>
      </c>
      <c r="T6" s="167" t="s">
        <v>20</v>
      </c>
      <c r="U6" s="167" t="s">
        <v>21</v>
      </c>
      <c r="V6" s="167" t="s">
        <v>22</v>
      </c>
      <c r="W6" s="167" t="s">
        <v>23</v>
      </c>
      <c r="X6" s="167" t="s">
        <v>24</v>
      </c>
      <c r="Y6" s="167" t="s">
        <v>25</v>
      </c>
      <c r="Z6" s="167" t="s">
        <v>26</v>
      </c>
      <c r="AA6" s="167" t="s">
        <v>27</v>
      </c>
      <c r="AB6" s="319" t="s">
        <v>28</v>
      </c>
      <c r="AC6" s="350" t="s">
        <v>29</v>
      </c>
      <c r="AD6" s="317" t="s">
        <v>30</v>
      </c>
      <c r="AE6" s="317" t="s">
        <v>31</v>
      </c>
      <c r="AF6" s="317" t="s">
        <v>32</v>
      </c>
      <c r="AG6" s="317" t="s">
        <v>33</v>
      </c>
      <c r="AH6" s="317" t="s">
        <v>34</v>
      </c>
      <c r="AI6" s="317" t="s">
        <v>35</v>
      </c>
      <c r="AJ6" s="317" t="s">
        <v>36</v>
      </c>
      <c r="AK6" s="317" t="s">
        <v>37</v>
      </c>
      <c r="AL6" s="317" t="s">
        <v>38</v>
      </c>
      <c r="AM6" s="317" t="s">
        <v>39</v>
      </c>
      <c r="AN6" s="320" t="s">
        <v>40</v>
      </c>
      <c r="AO6" s="321" t="s">
        <v>41</v>
      </c>
      <c r="AP6" s="322" t="s">
        <v>42</v>
      </c>
      <c r="AQ6" s="298" t="s">
        <v>43</v>
      </c>
    </row>
    <row r="7" spans="1:43" ht="15" hidden="1" customHeight="1" x14ac:dyDescent="0.2">
      <c r="A7" s="170">
        <v>2023</v>
      </c>
      <c r="B7" s="170" t="s">
        <v>44</v>
      </c>
      <c r="C7" s="170" t="s">
        <v>45</v>
      </c>
      <c r="D7" s="170" t="s">
        <v>46</v>
      </c>
      <c r="E7" s="170" t="s">
        <v>47</v>
      </c>
      <c r="F7" s="170" t="s">
        <v>48</v>
      </c>
      <c r="G7" s="178" t="s">
        <v>49</v>
      </c>
      <c r="H7" s="289">
        <v>43563</v>
      </c>
      <c r="I7" s="177">
        <f t="shared" ref="I7:I24" si="0">DATEDIF(H7,J7,"m")</f>
        <v>45</v>
      </c>
      <c r="J7" s="235">
        <v>44944</v>
      </c>
      <c r="K7" s="177" t="str">
        <f t="shared" ref="K7:K70" si="1">IF(I7&lt;=6,"NUEVO",IF(I7&lt;=18,"INTERMEDIO","ANTIGUO"))</f>
        <v>ANTIGUO</v>
      </c>
      <c r="L7" s="235">
        <v>44944</v>
      </c>
      <c r="M7" s="177" t="s">
        <v>50</v>
      </c>
      <c r="N7" s="177" t="s">
        <v>50</v>
      </c>
      <c r="O7" s="177">
        <v>0</v>
      </c>
      <c r="P7" s="177" t="s">
        <v>51</v>
      </c>
      <c r="Q7" s="177" t="s">
        <v>50</v>
      </c>
      <c r="R7" s="178" t="s">
        <v>50</v>
      </c>
      <c r="S7" s="178" t="s">
        <v>52</v>
      </c>
      <c r="T7" s="177" t="s">
        <v>52</v>
      </c>
      <c r="U7" s="177" t="s">
        <v>53</v>
      </c>
      <c r="V7" s="177" t="s">
        <v>52</v>
      </c>
      <c r="W7" s="177" t="s">
        <v>50</v>
      </c>
      <c r="X7" s="177" t="s">
        <v>54</v>
      </c>
      <c r="Y7" s="236">
        <v>0.5625</v>
      </c>
      <c r="Z7" s="177" t="s">
        <v>55</v>
      </c>
      <c r="AA7" s="177" t="s">
        <v>56</v>
      </c>
      <c r="AB7" s="178"/>
      <c r="AC7" s="203"/>
      <c r="AD7" s="177" t="s">
        <v>57</v>
      </c>
      <c r="AE7" s="177" t="s">
        <v>58</v>
      </c>
      <c r="AF7" s="163">
        <v>28</v>
      </c>
      <c r="AG7" s="177" t="s">
        <v>59</v>
      </c>
      <c r="AH7" s="177" t="s">
        <v>60</v>
      </c>
      <c r="AI7" s="177" t="s">
        <v>61</v>
      </c>
      <c r="AJ7" s="178" t="s">
        <v>62</v>
      </c>
      <c r="AK7" s="245" t="s">
        <v>63</v>
      </c>
      <c r="AL7" s="177" t="s">
        <v>64</v>
      </c>
      <c r="AM7" s="178" t="s">
        <v>65</v>
      </c>
      <c r="AN7" s="178" t="s">
        <v>66</v>
      </c>
      <c r="AO7" s="178" t="s">
        <v>67</v>
      </c>
      <c r="AP7" s="178" t="s">
        <v>68</v>
      </c>
    </row>
    <row r="8" spans="1:43" ht="12" hidden="1" customHeight="1" x14ac:dyDescent="0.2">
      <c r="A8" s="170">
        <v>2023</v>
      </c>
      <c r="B8" s="170" t="s">
        <v>44</v>
      </c>
      <c r="C8" s="170" t="s">
        <v>45</v>
      </c>
      <c r="D8" s="170" t="s">
        <v>69</v>
      </c>
      <c r="E8" s="172" t="s">
        <v>70</v>
      </c>
      <c r="F8" s="170" t="s">
        <v>71</v>
      </c>
      <c r="G8" s="178" t="s">
        <v>72</v>
      </c>
      <c r="H8" s="289">
        <v>44236</v>
      </c>
      <c r="I8" s="177">
        <f t="shared" si="0"/>
        <v>23</v>
      </c>
      <c r="J8" s="235">
        <v>44945</v>
      </c>
      <c r="K8" s="177" t="str">
        <f t="shared" si="1"/>
        <v>ANTIGUO</v>
      </c>
      <c r="L8" s="177" t="s">
        <v>50</v>
      </c>
      <c r="M8" s="177" t="s">
        <v>50</v>
      </c>
      <c r="N8" s="177" t="s">
        <v>50</v>
      </c>
      <c r="O8" s="177">
        <v>0</v>
      </c>
      <c r="P8" s="177" t="s">
        <v>51</v>
      </c>
      <c r="Q8" s="177" t="s">
        <v>50</v>
      </c>
      <c r="R8" s="178" t="s">
        <v>50</v>
      </c>
      <c r="S8" s="178" t="s">
        <v>73</v>
      </c>
      <c r="T8" s="177" t="s">
        <v>74</v>
      </c>
      <c r="U8" s="177" t="s">
        <v>53</v>
      </c>
      <c r="V8" s="177" t="s">
        <v>75</v>
      </c>
      <c r="W8" s="177" t="s">
        <v>50</v>
      </c>
      <c r="X8" s="177" t="s">
        <v>54</v>
      </c>
      <c r="Y8" s="236">
        <v>0.47222222222222227</v>
      </c>
      <c r="Z8" s="177" t="s">
        <v>76</v>
      </c>
      <c r="AA8" s="177" t="s">
        <v>56</v>
      </c>
      <c r="AB8" s="178"/>
      <c r="AC8" s="203"/>
      <c r="AD8" s="177" t="s">
        <v>77</v>
      </c>
      <c r="AE8" s="177" t="s">
        <v>78</v>
      </c>
      <c r="AF8" s="177">
        <v>39</v>
      </c>
      <c r="AG8" s="177" t="s">
        <v>79</v>
      </c>
      <c r="AH8" s="177" t="s">
        <v>60</v>
      </c>
      <c r="AI8" s="177" t="s">
        <v>80</v>
      </c>
      <c r="AJ8" s="178" t="s">
        <v>81</v>
      </c>
      <c r="AK8" s="164" t="s">
        <v>82</v>
      </c>
      <c r="AL8" s="178" t="s">
        <v>64</v>
      </c>
      <c r="AM8" s="178" t="s">
        <v>65</v>
      </c>
      <c r="AN8" s="178" t="s">
        <v>66</v>
      </c>
      <c r="AO8" s="178" t="s">
        <v>83</v>
      </c>
      <c r="AP8" s="178" t="s">
        <v>84</v>
      </c>
      <c r="AQ8" s="245"/>
    </row>
    <row r="9" spans="1:43" ht="11.25" hidden="1" customHeight="1" x14ac:dyDescent="0.2">
      <c r="A9" s="172">
        <v>2023</v>
      </c>
      <c r="B9" s="172" t="s">
        <v>44</v>
      </c>
      <c r="C9" s="172" t="s">
        <v>45</v>
      </c>
      <c r="D9" s="172" t="s">
        <v>85</v>
      </c>
      <c r="E9" s="172" t="s">
        <v>86</v>
      </c>
      <c r="F9" s="172" t="s">
        <v>48</v>
      </c>
      <c r="G9" s="178" t="s">
        <v>87</v>
      </c>
      <c r="H9" s="289">
        <v>37491</v>
      </c>
      <c r="I9" s="178">
        <f t="shared" si="0"/>
        <v>244</v>
      </c>
      <c r="J9" s="251">
        <v>44947</v>
      </c>
      <c r="K9" s="177" t="str">
        <f t="shared" si="1"/>
        <v>ANTIGUO</v>
      </c>
      <c r="L9" s="251">
        <v>44949</v>
      </c>
      <c r="M9" s="251">
        <v>44961</v>
      </c>
      <c r="N9" s="178" t="s">
        <v>50</v>
      </c>
      <c r="O9" s="285">
        <v>13</v>
      </c>
      <c r="P9" s="178" t="s">
        <v>88</v>
      </c>
      <c r="Q9" s="178" t="s">
        <v>89</v>
      </c>
      <c r="R9" s="178" t="s">
        <v>90</v>
      </c>
      <c r="S9" s="178" t="s">
        <v>91</v>
      </c>
      <c r="T9" s="178" t="s">
        <v>92</v>
      </c>
      <c r="U9" s="177" t="s">
        <v>53</v>
      </c>
      <c r="V9" s="178" t="s">
        <v>93</v>
      </c>
      <c r="W9" s="178" t="s">
        <v>94</v>
      </c>
      <c r="X9" s="178" t="s">
        <v>54</v>
      </c>
      <c r="Y9" s="253">
        <v>0.50694444444444442</v>
      </c>
      <c r="Z9" s="178" t="s">
        <v>95</v>
      </c>
      <c r="AA9" s="178" t="s">
        <v>56</v>
      </c>
      <c r="AB9" s="178">
        <v>15430</v>
      </c>
      <c r="AC9" s="202" t="s">
        <v>96</v>
      </c>
      <c r="AD9" s="178" t="s">
        <v>97</v>
      </c>
      <c r="AE9" s="178" t="s">
        <v>98</v>
      </c>
      <c r="AF9" s="178">
        <v>58</v>
      </c>
      <c r="AG9" s="178" t="s">
        <v>99</v>
      </c>
      <c r="AH9" s="178" t="s">
        <v>60</v>
      </c>
      <c r="AI9" s="178" t="s">
        <v>100</v>
      </c>
      <c r="AJ9" s="178" t="s">
        <v>101</v>
      </c>
      <c r="AK9" s="179" t="s">
        <v>102</v>
      </c>
      <c r="AL9" s="178" t="s">
        <v>64</v>
      </c>
      <c r="AM9" s="178" t="s">
        <v>65</v>
      </c>
      <c r="AN9" s="178" t="s">
        <v>65</v>
      </c>
      <c r="AO9" s="178" t="s">
        <v>83</v>
      </c>
      <c r="AP9" s="178" t="s">
        <v>103</v>
      </c>
      <c r="AQ9" s="245" t="s">
        <v>104</v>
      </c>
    </row>
    <row r="10" spans="1:43" ht="12" hidden="1" customHeight="1" x14ac:dyDescent="0.2">
      <c r="A10" s="170">
        <v>2023</v>
      </c>
      <c r="B10" s="170" t="s">
        <v>44</v>
      </c>
      <c r="C10" s="170" t="s">
        <v>45</v>
      </c>
      <c r="D10" s="170" t="s">
        <v>105</v>
      </c>
      <c r="E10" s="170" t="s">
        <v>106</v>
      </c>
      <c r="F10" s="170" t="s">
        <v>71</v>
      </c>
      <c r="G10" s="178" t="s">
        <v>107</v>
      </c>
      <c r="H10" s="289">
        <v>35886</v>
      </c>
      <c r="I10" s="177">
        <f t="shared" si="0"/>
        <v>297</v>
      </c>
      <c r="J10" s="235">
        <v>44939</v>
      </c>
      <c r="K10" s="177" t="str">
        <f t="shared" si="1"/>
        <v>ANTIGUO</v>
      </c>
      <c r="L10" s="235" t="s">
        <v>50</v>
      </c>
      <c r="M10" s="177" t="s">
        <v>50</v>
      </c>
      <c r="N10" s="177" t="s">
        <v>50</v>
      </c>
      <c r="O10" s="177">
        <v>0</v>
      </c>
      <c r="P10" s="177" t="s">
        <v>51</v>
      </c>
      <c r="Q10" s="177" t="s">
        <v>50</v>
      </c>
      <c r="R10" s="178" t="s">
        <v>50</v>
      </c>
      <c r="S10" s="178" t="s">
        <v>108</v>
      </c>
      <c r="T10" s="177" t="s">
        <v>109</v>
      </c>
      <c r="U10" s="177" t="s">
        <v>53</v>
      </c>
      <c r="V10" s="177" t="s">
        <v>110</v>
      </c>
      <c r="W10" s="177" t="s">
        <v>50</v>
      </c>
      <c r="X10" s="177" t="s">
        <v>54</v>
      </c>
      <c r="Y10" s="236">
        <v>0.16666666666666666</v>
      </c>
      <c r="Z10" s="177" t="s">
        <v>111</v>
      </c>
      <c r="AA10" s="177" t="s">
        <v>112</v>
      </c>
      <c r="AB10" s="178"/>
      <c r="AC10" s="203"/>
      <c r="AD10" s="177" t="s">
        <v>113</v>
      </c>
      <c r="AE10" s="177" t="s">
        <v>114</v>
      </c>
      <c r="AF10" s="177">
        <v>52</v>
      </c>
      <c r="AG10" s="177" t="s">
        <v>115</v>
      </c>
      <c r="AH10" s="177" t="s">
        <v>60</v>
      </c>
      <c r="AI10" s="177" t="s">
        <v>61</v>
      </c>
      <c r="AJ10" s="178" t="s">
        <v>116</v>
      </c>
      <c r="AK10" s="179" t="s">
        <v>117</v>
      </c>
      <c r="AL10" s="237" t="s">
        <v>118</v>
      </c>
      <c r="AM10" s="178" t="s">
        <v>65</v>
      </c>
      <c r="AN10" s="178" t="s">
        <v>66</v>
      </c>
      <c r="AO10" s="178" t="s">
        <v>119</v>
      </c>
      <c r="AP10" s="178" t="s">
        <v>103</v>
      </c>
      <c r="AQ10" s="245"/>
    </row>
    <row r="11" spans="1:43" ht="12" hidden="1" customHeight="1" x14ac:dyDescent="0.25">
      <c r="A11" s="170">
        <v>2023</v>
      </c>
      <c r="B11" s="170" t="s">
        <v>44</v>
      </c>
      <c r="C11" s="170" t="s">
        <v>45</v>
      </c>
      <c r="D11" s="170" t="s">
        <v>120</v>
      </c>
      <c r="E11" s="170" t="s">
        <v>121</v>
      </c>
      <c r="F11" s="170" t="s">
        <v>48</v>
      </c>
      <c r="G11" s="178" t="s">
        <v>122</v>
      </c>
      <c r="H11" s="356">
        <v>43780</v>
      </c>
      <c r="I11" s="177">
        <f t="shared" si="0"/>
        <v>37</v>
      </c>
      <c r="J11" s="235">
        <v>44929</v>
      </c>
      <c r="K11" s="177" t="str">
        <f t="shared" si="1"/>
        <v>ANTIGUO</v>
      </c>
      <c r="L11" s="177" t="s">
        <v>50</v>
      </c>
      <c r="M11" s="177" t="s">
        <v>50</v>
      </c>
      <c r="N11" s="177" t="s">
        <v>50</v>
      </c>
      <c r="O11" s="177">
        <v>0</v>
      </c>
      <c r="P11" s="177" t="s">
        <v>51</v>
      </c>
      <c r="Q11" s="177" t="s">
        <v>50</v>
      </c>
      <c r="R11" s="178" t="s">
        <v>50</v>
      </c>
      <c r="S11" s="178" t="s">
        <v>91</v>
      </c>
      <c r="T11" s="170" t="s">
        <v>123</v>
      </c>
      <c r="U11" s="177" t="s">
        <v>53</v>
      </c>
      <c r="V11" s="177" t="s">
        <v>124</v>
      </c>
      <c r="W11" s="177" t="s">
        <v>50</v>
      </c>
      <c r="X11" s="177" t="s">
        <v>54</v>
      </c>
      <c r="Y11" s="236">
        <v>0.57291666666666663</v>
      </c>
      <c r="Z11" s="177" t="s">
        <v>125</v>
      </c>
      <c r="AA11" s="177" t="s">
        <v>126</v>
      </c>
      <c r="AB11" s="178"/>
      <c r="AC11" s="203"/>
      <c r="AD11" s="177" t="s">
        <v>97</v>
      </c>
      <c r="AE11" s="177"/>
      <c r="AF11" s="343">
        <v>33</v>
      </c>
      <c r="AG11" s="177" t="s">
        <v>59</v>
      </c>
      <c r="AH11" s="177" t="s">
        <v>127</v>
      </c>
      <c r="AI11" s="177" t="s">
        <v>128</v>
      </c>
      <c r="AJ11" s="178" t="s">
        <v>129</v>
      </c>
      <c r="AK11" s="238" t="s">
        <v>130</v>
      </c>
      <c r="AL11" s="237" t="s">
        <v>64</v>
      </c>
      <c r="AM11" s="239" t="s">
        <v>65</v>
      </c>
      <c r="AN11" s="178" t="s">
        <v>66</v>
      </c>
      <c r="AO11" s="178" t="s">
        <v>83</v>
      </c>
      <c r="AP11" s="178" t="s">
        <v>84</v>
      </c>
    </row>
    <row r="12" spans="1:43" ht="12" hidden="1" customHeight="1" x14ac:dyDescent="0.2">
      <c r="A12" s="172">
        <v>2023</v>
      </c>
      <c r="B12" s="172" t="s">
        <v>44</v>
      </c>
      <c r="C12" s="172" t="s">
        <v>45</v>
      </c>
      <c r="D12" s="172" t="s">
        <v>131</v>
      </c>
      <c r="E12" s="172" t="s">
        <v>132</v>
      </c>
      <c r="F12" s="172" t="s">
        <v>48</v>
      </c>
      <c r="G12" s="178" t="s">
        <v>133</v>
      </c>
      <c r="H12" s="289">
        <v>44943</v>
      </c>
      <c r="I12" s="178">
        <f t="shared" si="0"/>
        <v>0</v>
      </c>
      <c r="J12" s="251">
        <v>44949</v>
      </c>
      <c r="K12" s="177" t="str">
        <f t="shared" si="1"/>
        <v>NUEVO</v>
      </c>
      <c r="L12" s="251">
        <v>44950</v>
      </c>
      <c r="M12" s="251">
        <v>45010</v>
      </c>
      <c r="N12" s="178" t="s">
        <v>50</v>
      </c>
      <c r="O12" s="285">
        <v>2</v>
      </c>
      <c r="P12" s="178" t="s">
        <v>88</v>
      </c>
      <c r="Q12" s="178" t="s">
        <v>50</v>
      </c>
      <c r="R12" s="178" t="s">
        <v>50</v>
      </c>
      <c r="S12" s="178" t="s">
        <v>134</v>
      </c>
      <c r="T12" s="178" t="s">
        <v>135</v>
      </c>
      <c r="U12" s="177" t="s">
        <v>53</v>
      </c>
      <c r="V12" s="178" t="s">
        <v>136</v>
      </c>
      <c r="W12" s="178" t="s">
        <v>50</v>
      </c>
      <c r="X12" s="178" t="s">
        <v>54</v>
      </c>
      <c r="Y12" s="253">
        <v>0.47916666666666669</v>
      </c>
      <c r="Z12" s="178" t="s">
        <v>137</v>
      </c>
      <c r="AA12" s="178" t="s">
        <v>138</v>
      </c>
      <c r="AB12" s="178">
        <v>15435</v>
      </c>
      <c r="AC12" s="202" t="s">
        <v>139</v>
      </c>
      <c r="AD12" s="178" t="s">
        <v>140</v>
      </c>
      <c r="AE12" s="341" t="s">
        <v>141</v>
      </c>
      <c r="AF12" s="178">
        <v>52</v>
      </c>
      <c r="AG12" s="178" t="s">
        <v>142</v>
      </c>
      <c r="AH12" s="178" t="s">
        <v>143</v>
      </c>
      <c r="AI12" s="178" t="s">
        <v>80</v>
      </c>
      <c r="AJ12" s="178" t="s">
        <v>144</v>
      </c>
      <c r="AK12" s="238" t="s">
        <v>145</v>
      </c>
      <c r="AL12" s="178" t="s">
        <v>118</v>
      </c>
      <c r="AM12" s="239" t="s">
        <v>65</v>
      </c>
      <c r="AN12" s="172" t="s">
        <v>65</v>
      </c>
      <c r="AO12" s="178" t="s">
        <v>67</v>
      </c>
      <c r="AP12" s="178" t="s">
        <v>84</v>
      </c>
      <c r="AQ12" s="165" t="s">
        <v>146</v>
      </c>
    </row>
    <row r="13" spans="1:43" ht="12" hidden="1" customHeight="1" x14ac:dyDescent="0.2">
      <c r="A13" s="172">
        <v>2023</v>
      </c>
      <c r="B13" s="172" t="s">
        <v>44</v>
      </c>
      <c r="C13" s="172" t="s">
        <v>45</v>
      </c>
      <c r="D13" s="172" t="s">
        <v>147</v>
      </c>
      <c r="E13" s="172" t="s">
        <v>148</v>
      </c>
      <c r="F13" s="172" t="s">
        <v>71</v>
      </c>
      <c r="G13" s="178" t="s">
        <v>149</v>
      </c>
      <c r="H13" s="289">
        <v>44690</v>
      </c>
      <c r="I13" s="178">
        <f t="shared" si="0"/>
        <v>8</v>
      </c>
      <c r="J13" s="251">
        <v>44949</v>
      </c>
      <c r="K13" s="177" t="str">
        <f t="shared" si="1"/>
        <v>INTERMEDIO</v>
      </c>
      <c r="L13" s="251">
        <v>44950</v>
      </c>
      <c r="M13" s="251">
        <v>44954</v>
      </c>
      <c r="N13" s="178" t="s">
        <v>50</v>
      </c>
      <c r="O13" s="285">
        <v>5</v>
      </c>
      <c r="P13" s="178" t="s">
        <v>88</v>
      </c>
      <c r="Q13" s="178" t="s">
        <v>50</v>
      </c>
      <c r="R13" s="178" t="s">
        <v>50</v>
      </c>
      <c r="S13" s="178" t="s">
        <v>134</v>
      </c>
      <c r="T13" s="178" t="s">
        <v>135</v>
      </c>
      <c r="U13" s="177" t="s">
        <v>53</v>
      </c>
      <c r="V13" s="178" t="s">
        <v>150</v>
      </c>
      <c r="W13" s="178" t="s">
        <v>50</v>
      </c>
      <c r="X13" s="178" t="s">
        <v>151</v>
      </c>
      <c r="Y13" s="253">
        <v>0.59375</v>
      </c>
      <c r="Z13" s="178" t="s">
        <v>137</v>
      </c>
      <c r="AA13" s="178" t="s">
        <v>138</v>
      </c>
      <c r="AB13" s="178">
        <v>15436</v>
      </c>
      <c r="AC13" s="202" t="s">
        <v>152</v>
      </c>
      <c r="AD13" s="178" t="s">
        <v>140</v>
      </c>
      <c r="AE13" s="178" t="s">
        <v>141</v>
      </c>
      <c r="AF13" s="178">
        <v>29</v>
      </c>
      <c r="AG13" s="178" t="s">
        <v>115</v>
      </c>
      <c r="AH13" s="178" t="s">
        <v>153</v>
      </c>
      <c r="AI13" s="178" t="s">
        <v>80</v>
      </c>
      <c r="AJ13" s="178" t="s">
        <v>154</v>
      </c>
      <c r="AK13" s="238" t="s">
        <v>155</v>
      </c>
      <c r="AL13" s="178" t="s">
        <v>64</v>
      </c>
      <c r="AM13" s="239" t="s">
        <v>65</v>
      </c>
      <c r="AN13" s="172" t="s">
        <v>65</v>
      </c>
      <c r="AO13" s="178" t="s">
        <v>67</v>
      </c>
      <c r="AP13" s="178" t="s">
        <v>84</v>
      </c>
      <c r="AQ13" s="245" t="s">
        <v>156</v>
      </c>
    </row>
    <row r="14" spans="1:43" ht="12" hidden="1" customHeight="1" x14ac:dyDescent="0.25">
      <c r="A14" s="172">
        <v>2023</v>
      </c>
      <c r="B14" s="172" t="s">
        <v>44</v>
      </c>
      <c r="C14" s="172" t="s">
        <v>45</v>
      </c>
      <c r="D14" s="172" t="s">
        <v>157</v>
      </c>
      <c r="E14" s="315" t="s">
        <v>158</v>
      </c>
      <c r="F14" s="172" t="s">
        <v>71</v>
      </c>
      <c r="G14" s="178" t="s">
        <v>159</v>
      </c>
      <c r="H14" s="289">
        <v>44221</v>
      </c>
      <c r="I14" s="178">
        <f t="shared" si="0"/>
        <v>23</v>
      </c>
      <c r="J14" s="251">
        <v>44929</v>
      </c>
      <c r="K14" s="177" t="str">
        <f t="shared" si="1"/>
        <v>ANTIGUO</v>
      </c>
      <c r="L14" s="251">
        <v>44930</v>
      </c>
      <c r="M14" s="251">
        <v>44938</v>
      </c>
      <c r="N14" s="178" t="s">
        <v>50</v>
      </c>
      <c r="O14" s="285">
        <v>9</v>
      </c>
      <c r="P14" s="178" t="s">
        <v>88</v>
      </c>
      <c r="Q14" s="178" t="s">
        <v>50</v>
      </c>
      <c r="R14" s="178" t="s">
        <v>50</v>
      </c>
      <c r="S14" s="178" t="s">
        <v>160</v>
      </c>
      <c r="T14" s="178" t="s">
        <v>161</v>
      </c>
      <c r="U14" s="177" t="s">
        <v>53</v>
      </c>
      <c r="V14" s="178" t="s">
        <v>162</v>
      </c>
      <c r="W14" s="178" t="s">
        <v>50</v>
      </c>
      <c r="X14" s="178" t="s">
        <v>151</v>
      </c>
      <c r="Y14" s="253">
        <v>0.82638888888888884</v>
      </c>
      <c r="Z14" s="178" t="s">
        <v>125</v>
      </c>
      <c r="AA14" s="178" t="s">
        <v>126</v>
      </c>
      <c r="AB14" s="178">
        <v>15412</v>
      </c>
      <c r="AC14" s="202" t="s">
        <v>163</v>
      </c>
      <c r="AD14" s="178" t="s">
        <v>164</v>
      </c>
      <c r="AE14" s="178" t="s">
        <v>165</v>
      </c>
      <c r="AF14" s="178">
        <v>37</v>
      </c>
      <c r="AG14" s="178" t="s">
        <v>79</v>
      </c>
      <c r="AH14" s="178" t="s">
        <v>166</v>
      </c>
      <c r="AI14" s="178" t="s">
        <v>167</v>
      </c>
      <c r="AJ14" s="178" t="s">
        <v>81</v>
      </c>
      <c r="AK14" s="344" t="s">
        <v>168</v>
      </c>
      <c r="AL14" s="242" t="s">
        <v>118</v>
      </c>
      <c r="AM14" s="178" t="s">
        <v>66</v>
      </c>
      <c r="AN14" s="178" t="s">
        <v>65</v>
      </c>
      <c r="AO14" s="178" t="s">
        <v>83</v>
      </c>
      <c r="AP14" s="178" t="s">
        <v>84</v>
      </c>
      <c r="AQ14" s="245" t="s">
        <v>169</v>
      </c>
    </row>
    <row r="15" spans="1:43" ht="12" hidden="1" customHeight="1" x14ac:dyDescent="0.2">
      <c r="A15" s="172">
        <v>2023</v>
      </c>
      <c r="B15" s="172" t="s">
        <v>44</v>
      </c>
      <c r="C15" s="172" t="s">
        <v>45</v>
      </c>
      <c r="D15" s="172" t="s">
        <v>170</v>
      </c>
      <c r="E15" s="172" t="s">
        <v>171</v>
      </c>
      <c r="F15" s="172" t="s">
        <v>71</v>
      </c>
      <c r="G15" s="178" t="s">
        <v>172</v>
      </c>
      <c r="H15" s="289">
        <v>41918</v>
      </c>
      <c r="I15" s="178">
        <f t="shared" si="0"/>
        <v>99</v>
      </c>
      <c r="J15" s="251">
        <v>44933</v>
      </c>
      <c r="K15" s="177" t="str">
        <f t="shared" si="1"/>
        <v>ANTIGUO</v>
      </c>
      <c r="L15" s="251">
        <v>44936</v>
      </c>
      <c r="M15" s="251">
        <v>44943</v>
      </c>
      <c r="N15" s="251">
        <v>44936</v>
      </c>
      <c r="O15" s="285">
        <v>8</v>
      </c>
      <c r="P15" s="178" t="s">
        <v>88</v>
      </c>
      <c r="Q15" s="178" t="s">
        <v>50</v>
      </c>
      <c r="R15" s="178" t="s">
        <v>50</v>
      </c>
      <c r="S15" s="178" t="s">
        <v>173</v>
      </c>
      <c r="T15" s="178" t="s">
        <v>174</v>
      </c>
      <c r="U15" s="177" t="s">
        <v>53</v>
      </c>
      <c r="V15" s="178" t="s">
        <v>175</v>
      </c>
      <c r="W15" s="178" t="s">
        <v>50</v>
      </c>
      <c r="X15" s="178" t="s">
        <v>176</v>
      </c>
      <c r="Y15" s="253">
        <v>0.94444444444444453</v>
      </c>
      <c r="Z15" s="178" t="s">
        <v>95</v>
      </c>
      <c r="AA15" s="178" t="s">
        <v>126</v>
      </c>
      <c r="AB15" s="178">
        <v>15413</v>
      </c>
      <c r="AC15" s="202" t="s">
        <v>177</v>
      </c>
      <c r="AD15" s="178" t="s">
        <v>178</v>
      </c>
      <c r="AE15" s="178" t="s">
        <v>179</v>
      </c>
      <c r="AF15" s="178">
        <v>35</v>
      </c>
      <c r="AG15" s="178" t="s">
        <v>115</v>
      </c>
      <c r="AH15" s="178" t="s">
        <v>166</v>
      </c>
      <c r="AI15" s="178" t="s">
        <v>80</v>
      </c>
      <c r="AJ15" s="178" t="s">
        <v>180</v>
      </c>
      <c r="AK15" s="306" t="s">
        <v>181</v>
      </c>
      <c r="AL15" s="178" t="s">
        <v>118</v>
      </c>
      <c r="AM15" s="178" t="s">
        <v>65</v>
      </c>
      <c r="AN15" s="178" t="s">
        <v>65</v>
      </c>
      <c r="AO15" s="178" t="s">
        <v>119</v>
      </c>
      <c r="AP15" s="178" t="s">
        <v>84</v>
      </c>
      <c r="AQ15" s="165" t="s">
        <v>182</v>
      </c>
    </row>
    <row r="16" spans="1:43" ht="12" hidden="1" customHeight="1" x14ac:dyDescent="0.2">
      <c r="A16" s="170">
        <v>2023</v>
      </c>
      <c r="B16" s="170" t="s">
        <v>44</v>
      </c>
      <c r="C16" s="170" t="s">
        <v>45</v>
      </c>
      <c r="D16" s="170" t="s">
        <v>183</v>
      </c>
      <c r="E16" s="170" t="s">
        <v>184</v>
      </c>
      <c r="F16" s="170" t="s">
        <v>48</v>
      </c>
      <c r="G16" s="178" t="s">
        <v>185</v>
      </c>
      <c r="H16" s="289">
        <v>44879</v>
      </c>
      <c r="I16" s="177">
        <f t="shared" si="0"/>
        <v>1</v>
      </c>
      <c r="J16" s="235">
        <v>44930</v>
      </c>
      <c r="K16" s="177" t="str">
        <f t="shared" si="1"/>
        <v>NUEVO</v>
      </c>
      <c r="L16" s="177" t="s">
        <v>50</v>
      </c>
      <c r="M16" s="177" t="s">
        <v>50</v>
      </c>
      <c r="N16" s="177" t="s">
        <v>50</v>
      </c>
      <c r="O16" s="177">
        <v>0</v>
      </c>
      <c r="P16" s="177" t="s">
        <v>51</v>
      </c>
      <c r="Q16" s="177" t="s">
        <v>50</v>
      </c>
      <c r="R16" s="178" t="s">
        <v>50</v>
      </c>
      <c r="S16" s="178" t="s">
        <v>173</v>
      </c>
      <c r="T16" s="177" t="s">
        <v>186</v>
      </c>
      <c r="U16" s="177" t="s">
        <v>53</v>
      </c>
      <c r="V16" s="177" t="s">
        <v>160</v>
      </c>
      <c r="W16" s="177" t="s">
        <v>50</v>
      </c>
      <c r="X16" s="177" t="s">
        <v>176</v>
      </c>
      <c r="Y16" s="236">
        <v>8.3333333333333329E-2</v>
      </c>
      <c r="Z16" s="177" t="s">
        <v>55</v>
      </c>
      <c r="AA16" s="177" t="s">
        <v>126</v>
      </c>
      <c r="AB16" s="178"/>
      <c r="AC16" s="203"/>
      <c r="AD16" s="177" t="s">
        <v>178</v>
      </c>
      <c r="AE16" s="177" t="s">
        <v>179</v>
      </c>
      <c r="AF16" s="177">
        <v>34</v>
      </c>
      <c r="AG16" s="177" t="s">
        <v>115</v>
      </c>
      <c r="AH16" s="177" t="s">
        <v>166</v>
      </c>
      <c r="AI16" s="177" t="s">
        <v>80</v>
      </c>
      <c r="AJ16" s="178" t="s">
        <v>180</v>
      </c>
      <c r="AK16" s="306" t="s">
        <v>187</v>
      </c>
      <c r="AL16" s="178" t="s">
        <v>64</v>
      </c>
      <c r="AM16" s="178" t="s">
        <v>65</v>
      </c>
      <c r="AN16" s="178" t="s">
        <v>66</v>
      </c>
      <c r="AO16" s="178" t="s">
        <v>83</v>
      </c>
      <c r="AP16" s="178" t="s">
        <v>84</v>
      </c>
      <c r="AQ16" s="245" t="s">
        <v>146</v>
      </c>
    </row>
    <row r="17" spans="1:43" ht="12" hidden="1" customHeight="1" x14ac:dyDescent="0.2">
      <c r="A17" s="170">
        <v>2023</v>
      </c>
      <c r="B17" s="170" t="s">
        <v>44</v>
      </c>
      <c r="C17" s="170" t="s">
        <v>45</v>
      </c>
      <c r="D17" s="170" t="s">
        <v>188</v>
      </c>
      <c r="E17" s="172" t="s">
        <v>189</v>
      </c>
      <c r="F17" s="170" t="s">
        <v>71</v>
      </c>
      <c r="G17" s="178" t="s">
        <v>190</v>
      </c>
      <c r="H17" s="289">
        <v>43864</v>
      </c>
      <c r="I17" s="177">
        <f t="shared" si="0"/>
        <v>35</v>
      </c>
      <c r="J17" s="235">
        <v>44945</v>
      </c>
      <c r="K17" s="177" t="str">
        <f t="shared" si="1"/>
        <v>ANTIGUO</v>
      </c>
      <c r="L17" s="235" t="s">
        <v>50</v>
      </c>
      <c r="M17" s="177" t="s">
        <v>50</v>
      </c>
      <c r="N17" s="177" t="s">
        <v>50</v>
      </c>
      <c r="O17" s="177">
        <v>0</v>
      </c>
      <c r="P17" s="177" t="s">
        <v>51</v>
      </c>
      <c r="Q17" s="177" t="s">
        <v>50</v>
      </c>
      <c r="R17" s="178" t="s">
        <v>50</v>
      </c>
      <c r="S17" s="178" t="s">
        <v>160</v>
      </c>
      <c r="T17" s="177" t="s">
        <v>191</v>
      </c>
      <c r="U17" s="177" t="s">
        <v>53</v>
      </c>
      <c r="V17" s="177" t="s">
        <v>192</v>
      </c>
      <c r="W17" s="177" t="s">
        <v>50</v>
      </c>
      <c r="X17" s="177" t="s">
        <v>54</v>
      </c>
      <c r="Y17" s="236">
        <v>0.22916666666666666</v>
      </c>
      <c r="Z17" s="177" t="s">
        <v>76</v>
      </c>
      <c r="AA17" s="177" t="s">
        <v>56</v>
      </c>
      <c r="AB17" s="178"/>
      <c r="AC17" s="240"/>
      <c r="AD17" s="177" t="s">
        <v>164</v>
      </c>
      <c r="AE17" s="177" t="s">
        <v>193</v>
      </c>
      <c r="AF17" s="177">
        <v>32</v>
      </c>
      <c r="AG17" s="177" t="s">
        <v>59</v>
      </c>
      <c r="AH17" s="177" t="s">
        <v>60</v>
      </c>
      <c r="AI17" s="177" t="s">
        <v>80</v>
      </c>
      <c r="AJ17" s="178" t="s">
        <v>129</v>
      </c>
      <c r="AK17" s="306" t="s">
        <v>194</v>
      </c>
      <c r="AL17" s="177" t="s">
        <v>64</v>
      </c>
      <c r="AM17" s="178" t="s">
        <v>65</v>
      </c>
      <c r="AN17" s="178" t="s">
        <v>66</v>
      </c>
      <c r="AO17" s="178" t="s">
        <v>83</v>
      </c>
      <c r="AP17" s="178" t="s">
        <v>84</v>
      </c>
      <c r="AQ17" s="245" t="s">
        <v>195</v>
      </c>
    </row>
    <row r="18" spans="1:43" ht="12" hidden="1" customHeight="1" x14ac:dyDescent="0.2">
      <c r="A18" s="170">
        <v>2023</v>
      </c>
      <c r="B18" s="170" t="s">
        <v>44</v>
      </c>
      <c r="C18" s="170" t="s">
        <v>45</v>
      </c>
      <c r="D18" s="170" t="s">
        <v>196</v>
      </c>
      <c r="E18" s="170" t="s">
        <v>197</v>
      </c>
      <c r="F18" s="170" t="s">
        <v>198</v>
      </c>
      <c r="G18" s="178" t="s">
        <v>199</v>
      </c>
      <c r="H18" s="289">
        <v>44543</v>
      </c>
      <c r="I18" s="177">
        <f t="shared" si="0"/>
        <v>13</v>
      </c>
      <c r="J18" s="235">
        <v>44944</v>
      </c>
      <c r="K18" s="177" t="str">
        <f t="shared" si="1"/>
        <v>INTERMEDIO</v>
      </c>
      <c r="L18" s="177" t="s">
        <v>50</v>
      </c>
      <c r="M18" s="177" t="s">
        <v>50</v>
      </c>
      <c r="N18" s="177" t="s">
        <v>50</v>
      </c>
      <c r="O18" s="177" t="s">
        <v>200</v>
      </c>
      <c r="P18" s="177" t="s">
        <v>51</v>
      </c>
      <c r="Q18" s="177" t="s">
        <v>50</v>
      </c>
      <c r="R18" s="178" t="s">
        <v>50</v>
      </c>
      <c r="S18" s="178" t="s">
        <v>173</v>
      </c>
      <c r="T18" s="177" t="s">
        <v>201</v>
      </c>
      <c r="U18" s="177" t="s">
        <v>53</v>
      </c>
      <c r="V18" s="177" t="s">
        <v>192</v>
      </c>
      <c r="W18" s="177" t="s">
        <v>50</v>
      </c>
      <c r="X18" s="177" t="s">
        <v>176</v>
      </c>
      <c r="Y18" s="236">
        <v>0.93402777777777779</v>
      </c>
      <c r="Z18" s="177" t="s">
        <v>55</v>
      </c>
      <c r="AA18" s="177" t="s">
        <v>56</v>
      </c>
      <c r="AB18" s="178"/>
      <c r="AC18" s="203"/>
      <c r="AD18" s="177" t="s">
        <v>178</v>
      </c>
      <c r="AE18" s="342" t="s">
        <v>202</v>
      </c>
      <c r="AF18" s="177">
        <v>31</v>
      </c>
      <c r="AG18" s="177" t="s">
        <v>142</v>
      </c>
      <c r="AH18" s="177" t="s">
        <v>143</v>
      </c>
      <c r="AI18" s="177" t="s">
        <v>80</v>
      </c>
      <c r="AJ18" s="178" t="s">
        <v>180</v>
      </c>
      <c r="AK18" s="306" t="s">
        <v>203</v>
      </c>
      <c r="AL18" s="237" t="s">
        <v>64</v>
      </c>
      <c r="AM18" s="178" t="s">
        <v>65</v>
      </c>
      <c r="AN18" s="178" t="s">
        <v>66</v>
      </c>
      <c r="AO18" s="178" t="s">
        <v>67</v>
      </c>
      <c r="AP18" s="178" t="s">
        <v>68</v>
      </c>
      <c r="AQ18" s="245" t="s">
        <v>182</v>
      </c>
    </row>
    <row r="19" spans="1:43" ht="12" hidden="1" customHeight="1" x14ac:dyDescent="0.2">
      <c r="A19" s="172">
        <v>2023</v>
      </c>
      <c r="B19" s="172" t="s">
        <v>44</v>
      </c>
      <c r="C19" s="172" t="s">
        <v>45</v>
      </c>
      <c r="D19" s="172" t="s">
        <v>196</v>
      </c>
      <c r="E19" s="172" t="s">
        <v>197</v>
      </c>
      <c r="F19" s="172" t="s">
        <v>48</v>
      </c>
      <c r="G19" s="178" t="s">
        <v>199</v>
      </c>
      <c r="H19" s="289">
        <f>[2]Nomina_al_06122022!$G$491</f>
        <v>44543</v>
      </c>
      <c r="I19" s="178">
        <f t="shared" si="0"/>
        <v>13</v>
      </c>
      <c r="J19" s="251">
        <v>44944</v>
      </c>
      <c r="K19" s="177" t="str">
        <f t="shared" si="1"/>
        <v>INTERMEDIO</v>
      </c>
      <c r="L19" s="251">
        <v>44946</v>
      </c>
      <c r="M19" s="251">
        <v>44961</v>
      </c>
      <c r="N19" s="178" t="s">
        <v>50</v>
      </c>
      <c r="O19" s="285">
        <v>16</v>
      </c>
      <c r="P19" s="178" t="s">
        <v>88</v>
      </c>
      <c r="Q19" s="178" t="s">
        <v>50</v>
      </c>
      <c r="R19" s="178" t="s">
        <v>50</v>
      </c>
      <c r="S19" s="178" t="s">
        <v>173</v>
      </c>
      <c r="T19" s="178" t="s">
        <v>186</v>
      </c>
      <c r="U19" s="177" t="s">
        <v>53</v>
      </c>
      <c r="V19" s="178" t="s">
        <v>204</v>
      </c>
      <c r="W19" s="178" t="s">
        <v>50</v>
      </c>
      <c r="X19" s="178" t="s">
        <v>151</v>
      </c>
      <c r="Y19" s="253">
        <v>0.93402777777777779</v>
      </c>
      <c r="Z19" s="178" t="s">
        <v>55</v>
      </c>
      <c r="AA19" s="178" t="s">
        <v>56</v>
      </c>
      <c r="AB19" s="178">
        <v>15426</v>
      </c>
      <c r="AC19" s="202" t="s">
        <v>205</v>
      </c>
      <c r="AD19" s="178" t="s">
        <v>178</v>
      </c>
      <c r="AE19" s="178" t="s">
        <v>202</v>
      </c>
      <c r="AF19" s="178">
        <v>31</v>
      </c>
      <c r="AG19" s="178" t="s">
        <v>115</v>
      </c>
      <c r="AH19" s="178" t="s">
        <v>143</v>
      </c>
      <c r="AI19" s="178" t="s">
        <v>80</v>
      </c>
      <c r="AJ19" s="178" t="s">
        <v>180</v>
      </c>
      <c r="AK19" s="307" t="s">
        <v>206</v>
      </c>
      <c r="AL19" s="178" t="s">
        <v>64</v>
      </c>
      <c r="AM19" s="239" t="s">
        <v>65</v>
      </c>
      <c r="AN19" s="178" t="s">
        <v>65</v>
      </c>
      <c r="AO19" s="178" t="s">
        <v>83</v>
      </c>
      <c r="AP19" s="178" t="s">
        <v>68</v>
      </c>
      <c r="AQ19" s="245" t="s">
        <v>182</v>
      </c>
    </row>
    <row r="20" spans="1:43" ht="15" hidden="1" customHeight="1" x14ac:dyDescent="0.2">
      <c r="A20" s="172">
        <v>2023</v>
      </c>
      <c r="B20" s="172" t="s">
        <v>207</v>
      </c>
      <c r="C20" s="172" t="s">
        <v>45</v>
      </c>
      <c r="D20" s="172" t="s">
        <v>208</v>
      </c>
      <c r="E20" s="172" t="s">
        <v>209</v>
      </c>
      <c r="F20" s="172" t="s">
        <v>48</v>
      </c>
      <c r="G20" s="178" t="s">
        <v>210</v>
      </c>
      <c r="H20" s="289">
        <v>44791</v>
      </c>
      <c r="I20" s="178">
        <f t="shared" si="0"/>
        <v>5</v>
      </c>
      <c r="J20" s="251">
        <v>44972</v>
      </c>
      <c r="K20" s="177" t="str">
        <f t="shared" si="1"/>
        <v>NUEVO</v>
      </c>
      <c r="L20" s="251">
        <v>44972</v>
      </c>
      <c r="M20" s="251">
        <v>44972</v>
      </c>
      <c r="N20" s="178" t="s">
        <v>50</v>
      </c>
      <c r="O20" s="178">
        <v>0</v>
      </c>
      <c r="P20" s="178" t="s">
        <v>51</v>
      </c>
      <c r="Q20" s="178" t="s">
        <v>50</v>
      </c>
      <c r="R20" s="178" t="s">
        <v>50</v>
      </c>
      <c r="S20" s="178" t="s">
        <v>160</v>
      </c>
      <c r="T20" s="178" t="s">
        <v>211</v>
      </c>
      <c r="U20" s="177" t="s">
        <v>53</v>
      </c>
      <c r="V20" s="178" t="s">
        <v>212</v>
      </c>
      <c r="W20" s="178" t="s">
        <v>50</v>
      </c>
      <c r="X20" s="178" t="s">
        <v>54</v>
      </c>
      <c r="Y20" s="253">
        <v>0.2951388888888889</v>
      </c>
      <c r="Z20" s="178" t="s">
        <v>55</v>
      </c>
      <c r="AA20" s="178" t="s">
        <v>213</v>
      </c>
      <c r="AB20" s="178">
        <v>15478</v>
      </c>
      <c r="AC20" s="202" t="s">
        <v>214</v>
      </c>
      <c r="AD20" s="178" t="s">
        <v>164</v>
      </c>
      <c r="AE20" s="178" t="s">
        <v>215</v>
      </c>
      <c r="AF20" s="178">
        <v>22</v>
      </c>
      <c r="AG20" s="178" t="s">
        <v>216</v>
      </c>
      <c r="AH20" s="178" t="s">
        <v>60</v>
      </c>
      <c r="AI20" s="178" t="s">
        <v>80</v>
      </c>
      <c r="AJ20" s="178" t="s">
        <v>154</v>
      </c>
      <c r="AK20" s="306" t="s">
        <v>217</v>
      </c>
      <c r="AL20" s="178" t="s">
        <v>64</v>
      </c>
      <c r="AM20" s="178" t="s">
        <v>65</v>
      </c>
      <c r="AN20" s="178" t="s">
        <v>65</v>
      </c>
      <c r="AO20" s="178" t="s">
        <v>218</v>
      </c>
      <c r="AP20" s="178" t="s">
        <v>84</v>
      </c>
      <c r="AQ20" s="165" t="s">
        <v>219</v>
      </c>
    </row>
    <row r="21" spans="1:43" ht="15" hidden="1" customHeight="1" x14ac:dyDescent="0.2">
      <c r="A21" s="170">
        <v>2023</v>
      </c>
      <c r="B21" s="170" t="s">
        <v>207</v>
      </c>
      <c r="C21" s="170" t="s">
        <v>45</v>
      </c>
      <c r="D21" s="170" t="s">
        <v>220</v>
      </c>
      <c r="E21" s="170" t="s">
        <v>221</v>
      </c>
      <c r="F21" s="170" t="s">
        <v>48</v>
      </c>
      <c r="G21" s="177" t="s">
        <v>222</v>
      </c>
      <c r="H21" s="289">
        <v>44522</v>
      </c>
      <c r="I21" s="177">
        <f t="shared" si="0"/>
        <v>14</v>
      </c>
      <c r="J21" s="235">
        <v>44964</v>
      </c>
      <c r="K21" s="177" t="str">
        <f t="shared" si="1"/>
        <v>INTERMEDIO</v>
      </c>
      <c r="L21" s="177" t="s">
        <v>50</v>
      </c>
      <c r="M21" s="177" t="s">
        <v>50</v>
      </c>
      <c r="N21" s="177" t="s">
        <v>50</v>
      </c>
      <c r="O21" s="177">
        <v>0</v>
      </c>
      <c r="P21" s="177" t="s">
        <v>51</v>
      </c>
      <c r="Q21" s="177" t="s">
        <v>50</v>
      </c>
      <c r="R21" s="178" t="s">
        <v>50</v>
      </c>
      <c r="S21" s="178" t="s">
        <v>91</v>
      </c>
      <c r="T21" s="177" t="s">
        <v>223</v>
      </c>
      <c r="U21" s="177" t="s">
        <v>53</v>
      </c>
      <c r="V21" s="177" t="s">
        <v>223</v>
      </c>
      <c r="W21" s="177" t="s">
        <v>50</v>
      </c>
      <c r="X21" s="177" t="s">
        <v>151</v>
      </c>
      <c r="Y21" s="236">
        <v>0.9375</v>
      </c>
      <c r="Z21" s="177" t="s">
        <v>125</v>
      </c>
      <c r="AA21" s="177" t="s">
        <v>224</v>
      </c>
      <c r="AB21" s="178"/>
      <c r="AC21" s="203"/>
      <c r="AD21" s="177" t="s">
        <v>97</v>
      </c>
      <c r="AE21" s="177" t="s">
        <v>225</v>
      </c>
      <c r="AF21" s="360">
        <v>24</v>
      </c>
      <c r="AG21" s="177" t="s">
        <v>226</v>
      </c>
      <c r="AH21" s="177" t="s">
        <v>227</v>
      </c>
      <c r="AI21" s="177" t="s">
        <v>228</v>
      </c>
      <c r="AJ21" s="178" t="s">
        <v>229</v>
      </c>
      <c r="AK21" s="179" t="s">
        <v>230</v>
      </c>
      <c r="AL21" s="178" t="s">
        <v>64</v>
      </c>
      <c r="AM21" s="178" t="s">
        <v>65</v>
      </c>
      <c r="AN21" s="178" t="s">
        <v>66</v>
      </c>
      <c r="AO21" s="178" t="s">
        <v>83</v>
      </c>
      <c r="AP21" s="178" t="s">
        <v>84</v>
      </c>
    </row>
    <row r="22" spans="1:43" hidden="1" x14ac:dyDescent="0.2">
      <c r="A22" s="170">
        <v>2023</v>
      </c>
      <c r="B22" s="170" t="s">
        <v>207</v>
      </c>
      <c r="C22" s="170" t="s">
        <v>45</v>
      </c>
      <c r="D22" s="170" t="s">
        <v>231</v>
      </c>
      <c r="E22" s="170" t="s">
        <v>232</v>
      </c>
      <c r="F22" s="170" t="s">
        <v>48</v>
      </c>
      <c r="G22" s="177" t="s">
        <v>233</v>
      </c>
      <c r="H22" s="289">
        <v>44767</v>
      </c>
      <c r="I22" s="177">
        <f t="shared" si="0"/>
        <v>6</v>
      </c>
      <c r="J22" s="235">
        <v>44971</v>
      </c>
      <c r="K22" s="177" t="str">
        <f t="shared" si="1"/>
        <v>NUEVO</v>
      </c>
      <c r="L22" s="177" t="s">
        <v>50</v>
      </c>
      <c r="M22" s="177" t="s">
        <v>50</v>
      </c>
      <c r="N22" s="177" t="s">
        <v>50</v>
      </c>
      <c r="O22" s="177">
        <v>0</v>
      </c>
      <c r="P22" s="177" t="s">
        <v>51</v>
      </c>
      <c r="Q22" s="177" t="s">
        <v>50</v>
      </c>
      <c r="R22" s="178" t="s">
        <v>50</v>
      </c>
      <c r="S22" s="178" t="s">
        <v>234</v>
      </c>
      <c r="T22" s="177" t="s">
        <v>235</v>
      </c>
      <c r="U22" s="177" t="s">
        <v>53</v>
      </c>
      <c r="V22" s="177" t="s">
        <v>235</v>
      </c>
      <c r="W22" s="177" t="s">
        <v>50</v>
      </c>
      <c r="X22" s="177" t="s">
        <v>54</v>
      </c>
      <c r="Y22" s="236">
        <v>0.35416666666666669</v>
      </c>
      <c r="Z22" s="177" t="s">
        <v>125</v>
      </c>
      <c r="AA22" s="177" t="s">
        <v>213</v>
      </c>
      <c r="AB22" s="178"/>
      <c r="AC22" s="203"/>
      <c r="AD22" s="177" t="s">
        <v>236</v>
      </c>
      <c r="AE22" s="177" t="s">
        <v>237</v>
      </c>
      <c r="AF22" s="177">
        <v>41</v>
      </c>
      <c r="AG22" s="177" t="s">
        <v>216</v>
      </c>
      <c r="AH22" s="177" t="s">
        <v>238</v>
      </c>
      <c r="AI22" s="177" t="s">
        <v>80</v>
      </c>
      <c r="AJ22" s="178" t="s">
        <v>154</v>
      </c>
      <c r="AK22" s="164" t="s">
        <v>239</v>
      </c>
      <c r="AL22" s="178" t="s">
        <v>64</v>
      </c>
      <c r="AM22" s="239" t="s">
        <v>65</v>
      </c>
      <c r="AN22" s="178" t="s">
        <v>66</v>
      </c>
      <c r="AO22" s="178" t="s">
        <v>218</v>
      </c>
      <c r="AP22" s="178" t="s">
        <v>240</v>
      </c>
      <c r="AQ22" s="245"/>
    </row>
    <row r="23" spans="1:43" hidden="1" x14ac:dyDescent="0.2">
      <c r="A23" s="170">
        <v>2023</v>
      </c>
      <c r="B23" s="170" t="s">
        <v>207</v>
      </c>
      <c r="C23" s="170" t="s">
        <v>45</v>
      </c>
      <c r="D23" s="170" t="s">
        <v>241</v>
      </c>
      <c r="E23" s="170" t="s">
        <v>242</v>
      </c>
      <c r="F23" s="170" t="s">
        <v>71</v>
      </c>
      <c r="G23" s="177" t="s">
        <v>243</v>
      </c>
      <c r="H23" s="289">
        <v>41036</v>
      </c>
      <c r="I23" s="177">
        <f t="shared" si="0"/>
        <v>129</v>
      </c>
      <c r="J23" s="235">
        <v>44975</v>
      </c>
      <c r="K23" s="177" t="str">
        <f t="shared" si="1"/>
        <v>ANTIGUO</v>
      </c>
      <c r="L23" s="177" t="s">
        <v>50</v>
      </c>
      <c r="M23" s="177" t="s">
        <v>50</v>
      </c>
      <c r="N23" s="177" t="s">
        <v>50</v>
      </c>
      <c r="O23" s="177">
        <v>0</v>
      </c>
      <c r="P23" s="177" t="s">
        <v>51</v>
      </c>
      <c r="Q23" s="177" t="s">
        <v>50</v>
      </c>
      <c r="R23" s="178" t="s">
        <v>50</v>
      </c>
      <c r="S23" s="178" t="s">
        <v>160</v>
      </c>
      <c r="T23" s="177" t="s">
        <v>191</v>
      </c>
      <c r="U23" s="177" t="s">
        <v>53</v>
      </c>
      <c r="V23" s="177" t="s">
        <v>244</v>
      </c>
      <c r="W23" s="177" t="s">
        <v>50</v>
      </c>
      <c r="X23" s="177" t="s">
        <v>54</v>
      </c>
      <c r="Y23" s="236">
        <v>0.26041666666666669</v>
      </c>
      <c r="Z23" s="177" t="s">
        <v>95</v>
      </c>
      <c r="AA23" s="177" t="s">
        <v>213</v>
      </c>
      <c r="AB23" s="178"/>
      <c r="AC23" s="203"/>
      <c r="AD23" s="177" t="s">
        <v>164</v>
      </c>
      <c r="AE23" s="177" t="s">
        <v>215</v>
      </c>
      <c r="AF23" s="177">
        <v>38</v>
      </c>
      <c r="AG23" s="177" t="s">
        <v>79</v>
      </c>
      <c r="AH23" s="177" t="s">
        <v>60</v>
      </c>
      <c r="AI23" s="177" t="s">
        <v>80</v>
      </c>
      <c r="AJ23" s="178" t="s">
        <v>81</v>
      </c>
      <c r="AK23" s="306" t="s">
        <v>245</v>
      </c>
      <c r="AL23" s="242" t="s">
        <v>64</v>
      </c>
      <c r="AM23" s="178" t="s">
        <v>65</v>
      </c>
      <c r="AN23" s="178" t="s">
        <v>66</v>
      </c>
      <c r="AO23" s="178" t="s">
        <v>218</v>
      </c>
      <c r="AP23" s="178" t="s">
        <v>240</v>
      </c>
      <c r="AQ23" s="165" t="s">
        <v>169</v>
      </c>
    </row>
    <row r="24" spans="1:43" ht="15" hidden="1" customHeight="1" x14ac:dyDescent="0.2">
      <c r="A24" s="172">
        <v>2023</v>
      </c>
      <c r="B24" s="172" t="s">
        <v>207</v>
      </c>
      <c r="C24" s="172" t="s">
        <v>45</v>
      </c>
      <c r="D24" s="172" t="s">
        <v>157</v>
      </c>
      <c r="E24" s="172" t="s">
        <v>246</v>
      </c>
      <c r="F24" s="172" t="s">
        <v>71</v>
      </c>
      <c r="G24" s="178" t="s">
        <v>159</v>
      </c>
      <c r="H24" s="289">
        <v>44221</v>
      </c>
      <c r="I24" s="178">
        <f t="shared" si="0"/>
        <v>24</v>
      </c>
      <c r="J24" s="251">
        <v>44975</v>
      </c>
      <c r="K24" s="177" t="str">
        <f t="shared" si="1"/>
        <v>ANTIGUO</v>
      </c>
      <c r="L24" s="251">
        <v>44977</v>
      </c>
      <c r="M24" s="251">
        <v>44982</v>
      </c>
      <c r="N24" s="178" t="s">
        <v>50</v>
      </c>
      <c r="O24" s="285">
        <v>6</v>
      </c>
      <c r="P24" s="178" t="s">
        <v>88</v>
      </c>
      <c r="Q24" s="178" t="s">
        <v>50</v>
      </c>
      <c r="R24" s="178" t="s">
        <v>50</v>
      </c>
      <c r="S24" s="178" t="s">
        <v>160</v>
      </c>
      <c r="T24" s="178" t="s">
        <v>211</v>
      </c>
      <c r="U24" s="177" t="s">
        <v>53</v>
      </c>
      <c r="V24" s="178" t="s">
        <v>247</v>
      </c>
      <c r="W24" s="178" t="s">
        <v>50</v>
      </c>
      <c r="X24" s="178" t="s">
        <v>151</v>
      </c>
      <c r="Y24" s="253">
        <v>0.94791666666666663</v>
      </c>
      <c r="Z24" s="178" t="s">
        <v>111</v>
      </c>
      <c r="AA24" s="178" t="s">
        <v>213</v>
      </c>
      <c r="AB24" s="178">
        <v>15494</v>
      </c>
      <c r="AC24" s="202" t="s">
        <v>248</v>
      </c>
      <c r="AD24" s="178" t="s">
        <v>164</v>
      </c>
      <c r="AE24" s="178" t="s">
        <v>165</v>
      </c>
      <c r="AF24" s="178">
        <v>38</v>
      </c>
      <c r="AG24" s="178" t="s">
        <v>226</v>
      </c>
      <c r="AH24" s="178" t="s">
        <v>166</v>
      </c>
      <c r="AI24" s="178" t="s">
        <v>80</v>
      </c>
      <c r="AJ24" s="178" t="s">
        <v>81</v>
      </c>
      <c r="AK24" s="306" t="s">
        <v>249</v>
      </c>
      <c r="AL24" s="178" t="s">
        <v>118</v>
      </c>
      <c r="AM24" s="178" t="s">
        <v>65</v>
      </c>
      <c r="AN24" s="178" t="s">
        <v>65</v>
      </c>
      <c r="AO24" s="178" t="s">
        <v>218</v>
      </c>
      <c r="AP24" s="178" t="s">
        <v>250</v>
      </c>
      <c r="AQ24" s="165" t="s">
        <v>146</v>
      </c>
    </row>
    <row r="25" spans="1:43" ht="13.5" hidden="1" customHeight="1" x14ac:dyDescent="0.2">
      <c r="A25" s="170">
        <v>2023</v>
      </c>
      <c r="B25" s="170" t="s">
        <v>207</v>
      </c>
      <c r="C25" s="170" t="s">
        <v>45</v>
      </c>
      <c r="D25" s="170" t="s">
        <v>251</v>
      </c>
      <c r="E25" s="170" t="s">
        <v>252</v>
      </c>
      <c r="F25" s="170" t="s">
        <v>48</v>
      </c>
      <c r="G25" s="177" t="s">
        <v>253</v>
      </c>
      <c r="H25" s="289">
        <v>44894</v>
      </c>
      <c r="I25" s="177">
        <v>2</v>
      </c>
      <c r="J25" s="171">
        <v>44972</v>
      </c>
      <c r="K25" s="177" t="str">
        <f t="shared" si="1"/>
        <v>NUEVO</v>
      </c>
      <c r="L25" s="177" t="s">
        <v>50</v>
      </c>
      <c r="M25" s="177" t="s">
        <v>50</v>
      </c>
      <c r="N25" s="177" t="s">
        <v>254</v>
      </c>
      <c r="O25" s="177">
        <v>0</v>
      </c>
      <c r="P25" s="177" t="s">
        <v>51</v>
      </c>
      <c r="Q25" s="177" t="s">
        <v>50</v>
      </c>
      <c r="R25" s="178" t="s">
        <v>50</v>
      </c>
      <c r="S25" s="177" t="s">
        <v>160</v>
      </c>
      <c r="T25" s="177" t="s">
        <v>160</v>
      </c>
      <c r="U25" s="177" t="s">
        <v>53</v>
      </c>
      <c r="V25" s="177" t="s">
        <v>255</v>
      </c>
      <c r="W25" s="177"/>
      <c r="X25" s="177" t="s">
        <v>54</v>
      </c>
      <c r="Y25" s="236">
        <v>0.61805555555555558</v>
      </c>
      <c r="Z25" s="177" t="s">
        <v>55</v>
      </c>
      <c r="AA25" s="177" t="s">
        <v>213</v>
      </c>
      <c r="AB25" s="178"/>
      <c r="AC25" s="203"/>
      <c r="AD25" s="177" t="s">
        <v>164</v>
      </c>
      <c r="AE25" s="177" t="s">
        <v>215</v>
      </c>
      <c r="AF25" s="177">
        <v>22</v>
      </c>
      <c r="AG25" s="177" t="s">
        <v>115</v>
      </c>
      <c r="AH25" s="177" t="s">
        <v>256</v>
      </c>
      <c r="AI25" s="177" t="s">
        <v>80</v>
      </c>
      <c r="AJ25" s="178" t="s">
        <v>129</v>
      </c>
      <c r="AK25" s="306" t="s">
        <v>257</v>
      </c>
      <c r="AL25" s="178" t="s">
        <v>258</v>
      </c>
      <c r="AM25" s="178" t="s">
        <v>65</v>
      </c>
      <c r="AN25" s="178" t="s">
        <v>66</v>
      </c>
      <c r="AO25" s="178" t="s">
        <v>67</v>
      </c>
      <c r="AP25" s="250" t="s">
        <v>103</v>
      </c>
      <c r="AQ25" s="245" t="s">
        <v>259</v>
      </c>
    </row>
    <row r="26" spans="1:43" ht="15" hidden="1" customHeight="1" x14ac:dyDescent="0.2">
      <c r="A26" s="170">
        <v>2023</v>
      </c>
      <c r="B26" s="170" t="s">
        <v>207</v>
      </c>
      <c r="C26" s="170" t="s">
        <v>45</v>
      </c>
      <c r="D26" s="170" t="s">
        <v>260</v>
      </c>
      <c r="E26" s="170" t="s">
        <v>261</v>
      </c>
      <c r="F26" s="170" t="s">
        <v>48</v>
      </c>
      <c r="G26" s="178" t="s">
        <v>262</v>
      </c>
      <c r="H26" s="289">
        <v>44319</v>
      </c>
      <c r="I26" s="177">
        <f t="shared" ref="I26:I89" si="2">DATEDIF(H26,J26,"m")</f>
        <v>21</v>
      </c>
      <c r="J26" s="235">
        <v>44960</v>
      </c>
      <c r="K26" s="177" t="str">
        <f t="shared" si="1"/>
        <v>ANTIGUO</v>
      </c>
      <c r="L26" s="177" t="s">
        <v>50</v>
      </c>
      <c r="M26" s="177" t="s">
        <v>50</v>
      </c>
      <c r="N26" s="177" t="s">
        <v>50</v>
      </c>
      <c r="O26" s="177">
        <v>0</v>
      </c>
      <c r="P26" s="177" t="s">
        <v>51</v>
      </c>
      <c r="Q26" s="177" t="s">
        <v>89</v>
      </c>
      <c r="R26" s="178" t="s">
        <v>263</v>
      </c>
      <c r="S26" s="178" t="s">
        <v>264</v>
      </c>
      <c r="T26" s="177" t="s">
        <v>265</v>
      </c>
      <c r="U26" s="177" t="s">
        <v>266</v>
      </c>
      <c r="V26" s="177" t="s">
        <v>265</v>
      </c>
      <c r="W26" s="177" t="s">
        <v>267</v>
      </c>
      <c r="X26" s="177" t="s">
        <v>54</v>
      </c>
      <c r="Y26" s="236">
        <v>0.43472222222222223</v>
      </c>
      <c r="Z26" s="177" t="s">
        <v>111</v>
      </c>
      <c r="AA26" s="177" t="s">
        <v>268</v>
      </c>
      <c r="AB26" s="178"/>
      <c r="AC26" s="203"/>
      <c r="AD26" s="177" t="s">
        <v>269</v>
      </c>
      <c r="AE26" s="177" t="s">
        <v>270</v>
      </c>
      <c r="AF26" s="177">
        <v>27</v>
      </c>
      <c r="AG26" s="177" t="s">
        <v>271</v>
      </c>
      <c r="AH26" s="177" t="s">
        <v>153</v>
      </c>
      <c r="AI26" s="177" t="s">
        <v>80</v>
      </c>
      <c r="AJ26" s="178" t="s">
        <v>129</v>
      </c>
      <c r="AK26" s="179" t="s">
        <v>272</v>
      </c>
      <c r="AL26" s="237" t="s">
        <v>64</v>
      </c>
      <c r="AM26" s="178" t="s">
        <v>65</v>
      </c>
      <c r="AN26" s="178" t="s">
        <v>66</v>
      </c>
      <c r="AO26" s="178" t="s">
        <v>83</v>
      </c>
      <c r="AP26" s="178" t="s">
        <v>103</v>
      </c>
    </row>
    <row r="27" spans="1:43" ht="15" hidden="1" customHeight="1" x14ac:dyDescent="0.2">
      <c r="A27" s="170">
        <v>2023</v>
      </c>
      <c r="B27" s="170" t="s">
        <v>207</v>
      </c>
      <c r="C27" s="170" t="s">
        <v>45</v>
      </c>
      <c r="D27" s="170" t="s">
        <v>273</v>
      </c>
      <c r="E27" s="170" t="s">
        <v>274</v>
      </c>
      <c r="F27" s="170" t="s">
        <v>48</v>
      </c>
      <c r="G27" s="177" t="s">
        <v>275</v>
      </c>
      <c r="H27" s="289">
        <v>44872</v>
      </c>
      <c r="I27" s="177">
        <f t="shared" si="2"/>
        <v>3</v>
      </c>
      <c r="J27" s="235">
        <v>44973</v>
      </c>
      <c r="K27" s="177" t="str">
        <f t="shared" si="1"/>
        <v>NUEVO</v>
      </c>
      <c r="L27" s="177" t="s">
        <v>50</v>
      </c>
      <c r="M27" s="177" t="s">
        <v>50</v>
      </c>
      <c r="N27" s="177" t="s">
        <v>50</v>
      </c>
      <c r="O27" s="177">
        <v>0</v>
      </c>
      <c r="P27" s="177" t="s">
        <v>51</v>
      </c>
      <c r="Q27" s="177" t="s">
        <v>50</v>
      </c>
      <c r="R27" s="178" t="s">
        <v>50</v>
      </c>
      <c r="S27" s="178" t="s">
        <v>234</v>
      </c>
      <c r="T27" s="177" t="s">
        <v>265</v>
      </c>
      <c r="U27" s="177" t="s">
        <v>53</v>
      </c>
      <c r="V27" s="177" t="s">
        <v>265</v>
      </c>
      <c r="W27" s="177" t="s">
        <v>50</v>
      </c>
      <c r="X27" s="177" t="s">
        <v>54</v>
      </c>
      <c r="Y27" s="236">
        <v>0.3527777777777778</v>
      </c>
      <c r="Z27" s="177" t="s">
        <v>76</v>
      </c>
      <c r="AA27" s="177" t="s">
        <v>213</v>
      </c>
      <c r="AB27" s="178"/>
      <c r="AC27" s="203"/>
      <c r="AD27" s="177" t="s">
        <v>236</v>
      </c>
      <c r="AE27" s="177" t="s">
        <v>276</v>
      </c>
      <c r="AF27" s="177">
        <v>20</v>
      </c>
      <c r="AG27" s="177" t="s">
        <v>277</v>
      </c>
      <c r="AH27" s="177" t="s">
        <v>60</v>
      </c>
      <c r="AI27" s="177" t="s">
        <v>128</v>
      </c>
      <c r="AJ27" s="178" t="s">
        <v>116</v>
      </c>
      <c r="AK27" s="238" t="s">
        <v>278</v>
      </c>
      <c r="AL27" s="178" t="s">
        <v>118</v>
      </c>
      <c r="AM27" s="239" t="s">
        <v>65</v>
      </c>
      <c r="AN27" s="178" t="s">
        <v>66</v>
      </c>
      <c r="AO27" s="178" t="s">
        <v>218</v>
      </c>
      <c r="AP27" s="178" t="s">
        <v>84</v>
      </c>
      <c r="AQ27" s="245"/>
    </row>
    <row r="28" spans="1:43" ht="15" hidden="1" customHeight="1" x14ac:dyDescent="0.2">
      <c r="A28" s="170">
        <v>2023</v>
      </c>
      <c r="B28" s="170" t="s">
        <v>207</v>
      </c>
      <c r="C28" s="170" t="s">
        <v>45</v>
      </c>
      <c r="D28" s="170" t="s">
        <v>279</v>
      </c>
      <c r="E28" s="170" t="s">
        <v>280</v>
      </c>
      <c r="F28" s="170" t="s">
        <v>71</v>
      </c>
      <c r="G28" s="177" t="s">
        <v>281</v>
      </c>
      <c r="H28" s="289">
        <v>35871</v>
      </c>
      <c r="I28" s="177">
        <f t="shared" si="2"/>
        <v>299</v>
      </c>
      <c r="J28" s="235">
        <v>44985</v>
      </c>
      <c r="K28" s="177" t="str">
        <f t="shared" si="1"/>
        <v>ANTIGUO</v>
      </c>
      <c r="L28" s="177" t="s">
        <v>50</v>
      </c>
      <c r="M28" s="177" t="s">
        <v>50</v>
      </c>
      <c r="N28" s="177" t="s">
        <v>50</v>
      </c>
      <c r="O28" s="177">
        <v>0</v>
      </c>
      <c r="P28" s="177" t="s">
        <v>51</v>
      </c>
      <c r="Q28" s="177" t="s">
        <v>50</v>
      </c>
      <c r="R28" s="178" t="s">
        <v>50</v>
      </c>
      <c r="S28" s="178" t="s">
        <v>234</v>
      </c>
      <c r="T28" s="177" t="s">
        <v>265</v>
      </c>
      <c r="U28" s="177" t="s">
        <v>53</v>
      </c>
      <c r="V28" s="177" t="s">
        <v>265</v>
      </c>
      <c r="W28" s="177" t="s">
        <v>50</v>
      </c>
      <c r="X28" s="177" t="s">
        <v>54</v>
      </c>
      <c r="Y28" s="236">
        <v>0.22916666666666666</v>
      </c>
      <c r="Z28" s="177" t="s">
        <v>125</v>
      </c>
      <c r="AA28" s="177" t="s">
        <v>282</v>
      </c>
      <c r="AB28" s="178"/>
      <c r="AC28" s="203"/>
      <c r="AD28" s="177" t="s">
        <v>236</v>
      </c>
      <c r="AE28" s="177" t="s">
        <v>276</v>
      </c>
      <c r="AF28" s="177">
        <v>52</v>
      </c>
      <c r="AG28" s="177" t="s">
        <v>59</v>
      </c>
      <c r="AH28" s="177" t="s">
        <v>60</v>
      </c>
      <c r="AI28" s="177" t="s">
        <v>80</v>
      </c>
      <c r="AJ28" s="178" t="s">
        <v>154</v>
      </c>
      <c r="AK28" s="179" t="s">
        <v>283</v>
      </c>
      <c r="AL28" s="242" t="s">
        <v>118</v>
      </c>
      <c r="AM28" s="178" t="s">
        <v>65</v>
      </c>
      <c r="AN28" s="178" t="s">
        <v>66</v>
      </c>
      <c r="AO28" s="178" t="s">
        <v>83</v>
      </c>
      <c r="AP28" s="178" t="s">
        <v>284</v>
      </c>
      <c r="AQ28" s="245"/>
    </row>
    <row r="29" spans="1:43" ht="15" hidden="1" customHeight="1" x14ac:dyDescent="0.2">
      <c r="A29" s="170">
        <v>2023</v>
      </c>
      <c r="B29" s="170" t="s">
        <v>207</v>
      </c>
      <c r="C29" s="170" t="s">
        <v>45</v>
      </c>
      <c r="D29" s="170" t="s">
        <v>285</v>
      </c>
      <c r="E29" s="170" t="s">
        <v>286</v>
      </c>
      <c r="F29" s="170" t="s">
        <v>48</v>
      </c>
      <c r="G29" s="177" t="s">
        <v>287</v>
      </c>
      <c r="H29" s="289">
        <v>38252</v>
      </c>
      <c r="I29" s="177">
        <f t="shared" si="2"/>
        <v>221</v>
      </c>
      <c r="J29" s="235">
        <v>44982</v>
      </c>
      <c r="K29" s="177" t="str">
        <f t="shared" si="1"/>
        <v>ANTIGUO</v>
      </c>
      <c r="L29" s="177" t="s">
        <v>50</v>
      </c>
      <c r="M29" s="177" t="s">
        <v>50</v>
      </c>
      <c r="N29" s="177" t="s">
        <v>50</v>
      </c>
      <c r="O29" s="177">
        <v>0</v>
      </c>
      <c r="P29" s="177" t="s">
        <v>51</v>
      </c>
      <c r="Q29" s="177" t="s">
        <v>50</v>
      </c>
      <c r="R29" s="178" t="s">
        <v>50</v>
      </c>
      <c r="S29" s="178" t="s">
        <v>288</v>
      </c>
      <c r="T29" s="177" t="s">
        <v>289</v>
      </c>
      <c r="U29" s="177" t="s">
        <v>53</v>
      </c>
      <c r="V29" s="177" t="s">
        <v>290</v>
      </c>
      <c r="W29" s="177" t="s">
        <v>50</v>
      </c>
      <c r="X29" s="177" t="s">
        <v>54</v>
      </c>
      <c r="Y29" s="236">
        <v>0.21875</v>
      </c>
      <c r="Z29" s="177" t="s">
        <v>95</v>
      </c>
      <c r="AA29" s="177" t="s">
        <v>291</v>
      </c>
      <c r="AB29" s="178"/>
      <c r="AC29" s="203"/>
      <c r="AD29" s="177" t="s">
        <v>164</v>
      </c>
      <c r="AE29" s="177" t="s">
        <v>292</v>
      </c>
      <c r="AF29" s="177">
        <v>64</v>
      </c>
      <c r="AG29" s="177" t="s">
        <v>115</v>
      </c>
      <c r="AH29" s="177" t="s">
        <v>60</v>
      </c>
      <c r="AI29" s="177" t="s">
        <v>128</v>
      </c>
      <c r="AJ29" s="178" t="s">
        <v>293</v>
      </c>
      <c r="AK29" s="179" t="s">
        <v>294</v>
      </c>
      <c r="AL29" s="178" t="s">
        <v>118</v>
      </c>
      <c r="AM29" s="178" t="s">
        <v>65</v>
      </c>
      <c r="AN29" s="178" t="s">
        <v>66</v>
      </c>
      <c r="AO29" s="178" t="s">
        <v>218</v>
      </c>
      <c r="AP29" s="178" t="s">
        <v>84</v>
      </c>
    </row>
    <row r="30" spans="1:43" ht="15" hidden="1" customHeight="1" x14ac:dyDescent="0.2">
      <c r="A30" s="170">
        <v>2023</v>
      </c>
      <c r="B30" s="170" t="s">
        <v>207</v>
      </c>
      <c r="C30" s="170" t="s">
        <v>45</v>
      </c>
      <c r="D30" s="170" t="s">
        <v>295</v>
      </c>
      <c r="E30" s="170" t="s">
        <v>296</v>
      </c>
      <c r="F30" s="170" t="s">
        <v>48</v>
      </c>
      <c r="G30" s="177" t="s">
        <v>297</v>
      </c>
      <c r="H30" s="289">
        <v>43885</v>
      </c>
      <c r="I30" s="177">
        <f t="shared" si="2"/>
        <v>35</v>
      </c>
      <c r="J30" s="235">
        <v>44968</v>
      </c>
      <c r="K30" s="177" t="str">
        <f t="shared" si="1"/>
        <v>ANTIGUO</v>
      </c>
      <c r="L30" s="177" t="s">
        <v>50</v>
      </c>
      <c r="M30" s="177" t="s">
        <v>50</v>
      </c>
      <c r="N30" s="177" t="s">
        <v>50</v>
      </c>
      <c r="O30" s="177">
        <v>0</v>
      </c>
      <c r="P30" s="177" t="s">
        <v>51</v>
      </c>
      <c r="Q30" s="177" t="s">
        <v>50</v>
      </c>
      <c r="R30" s="178" t="s">
        <v>50</v>
      </c>
      <c r="S30" s="178" t="s">
        <v>173</v>
      </c>
      <c r="T30" s="163" t="s">
        <v>298</v>
      </c>
      <c r="U30" s="177" t="s">
        <v>53</v>
      </c>
      <c r="V30" s="177" t="s">
        <v>299</v>
      </c>
      <c r="W30" s="177" t="s">
        <v>50</v>
      </c>
      <c r="X30" s="177" t="s">
        <v>176</v>
      </c>
      <c r="Y30" s="236">
        <v>0.14583333333333334</v>
      </c>
      <c r="Z30" s="177" t="s">
        <v>95</v>
      </c>
      <c r="AA30" s="177" t="s">
        <v>224</v>
      </c>
      <c r="AB30" s="178"/>
      <c r="AC30" s="203"/>
      <c r="AD30" s="177" t="s">
        <v>178</v>
      </c>
      <c r="AE30" s="177" t="s">
        <v>300</v>
      </c>
      <c r="AF30" s="177">
        <v>39</v>
      </c>
      <c r="AG30" s="177" t="s">
        <v>301</v>
      </c>
      <c r="AH30" s="177" t="s">
        <v>227</v>
      </c>
      <c r="AI30" s="177" t="s">
        <v>302</v>
      </c>
      <c r="AJ30" s="178" t="s">
        <v>303</v>
      </c>
      <c r="AK30" s="345" t="s">
        <v>304</v>
      </c>
      <c r="AL30" s="178" t="s">
        <v>64</v>
      </c>
      <c r="AM30" s="178" t="s">
        <v>65</v>
      </c>
      <c r="AN30" s="178" t="s">
        <v>66</v>
      </c>
      <c r="AO30" s="178" t="s">
        <v>218</v>
      </c>
      <c r="AP30" s="178" t="s">
        <v>84</v>
      </c>
      <c r="AQ30" s="346" t="s">
        <v>305</v>
      </c>
    </row>
    <row r="31" spans="1:43" ht="15" hidden="1" customHeight="1" x14ac:dyDescent="0.2">
      <c r="A31" s="170">
        <v>2023</v>
      </c>
      <c r="B31" s="170" t="s">
        <v>306</v>
      </c>
      <c r="C31" s="170" t="s">
        <v>45</v>
      </c>
      <c r="D31" s="170" t="s">
        <v>307</v>
      </c>
      <c r="E31" s="170" t="s">
        <v>308</v>
      </c>
      <c r="F31" s="170" t="s">
        <v>48</v>
      </c>
      <c r="G31" s="177" t="s">
        <v>309</v>
      </c>
      <c r="H31" s="289">
        <v>44481</v>
      </c>
      <c r="I31" s="177">
        <f t="shared" si="2"/>
        <v>17</v>
      </c>
      <c r="J31" s="235">
        <v>45009</v>
      </c>
      <c r="K31" s="177" t="str">
        <f t="shared" si="1"/>
        <v>INTERMEDIO</v>
      </c>
      <c r="L31" s="177" t="s">
        <v>50</v>
      </c>
      <c r="M31" s="177" t="s">
        <v>50</v>
      </c>
      <c r="N31" s="177" t="s">
        <v>50</v>
      </c>
      <c r="O31" s="177">
        <v>0</v>
      </c>
      <c r="P31" s="177" t="s">
        <v>51</v>
      </c>
      <c r="Q31" s="177" t="s">
        <v>50</v>
      </c>
      <c r="R31" s="178" t="s">
        <v>50</v>
      </c>
      <c r="S31" s="178" t="s">
        <v>264</v>
      </c>
      <c r="T31" s="177" t="s">
        <v>264</v>
      </c>
      <c r="U31" s="177" t="s">
        <v>310</v>
      </c>
      <c r="V31" s="177" t="s">
        <v>74</v>
      </c>
      <c r="W31" s="177" t="s">
        <v>50</v>
      </c>
      <c r="X31" s="177" t="s">
        <v>54</v>
      </c>
      <c r="Y31" s="236">
        <v>0.40972222222222227</v>
      </c>
      <c r="Z31" s="177" t="s">
        <v>111</v>
      </c>
      <c r="AA31" s="177" t="s">
        <v>311</v>
      </c>
      <c r="AB31" s="178"/>
      <c r="AC31" s="203"/>
      <c r="AD31" s="177" t="s">
        <v>269</v>
      </c>
      <c r="AE31" s="177" t="s">
        <v>270</v>
      </c>
      <c r="AF31" s="177">
        <v>31</v>
      </c>
      <c r="AG31" s="177" t="s">
        <v>59</v>
      </c>
      <c r="AH31" s="177" t="s">
        <v>60</v>
      </c>
      <c r="AI31" s="177" t="s">
        <v>128</v>
      </c>
      <c r="AJ31" s="178" t="s">
        <v>293</v>
      </c>
      <c r="AK31" s="179" t="s">
        <v>312</v>
      </c>
      <c r="AL31" s="178" t="s">
        <v>118</v>
      </c>
      <c r="AM31" s="178" t="s">
        <v>65</v>
      </c>
      <c r="AN31" s="178" t="s">
        <v>66</v>
      </c>
      <c r="AO31" s="178" t="s">
        <v>67</v>
      </c>
      <c r="AP31" s="178" t="s">
        <v>284</v>
      </c>
      <c r="AQ31" s="245"/>
    </row>
    <row r="32" spans="1:43" ht="15" hidden="1" customHeight="1" x14ac:dyDescent="0.2">
      <c r="A32" s="170">
        <v>2023</v>
      </c>
      <c r="B32" s="170" t="s">
        <v>306</v>
      </c>
      <c r="C32" s="170" t="s">
        <v>45</v>
      </c>
      <c r="D32" s="172" t="s">
        <v>313</v>
      </c>
      <c r="E32" s="170" t="s">
        <v>314</v>
      </c>
      <c r="F32" s="170" t="s">
        <v>71</v>
      </c>
      <c r="G32" s="177" t="s">
        <v>315</v>
      </c>
      <c r="H32" s="289">
        <v>41918</v>
      </c>
      <c r="I32" s="177">
        <f t="shared" si="2"/>
        <v>101</v>
      </c>
      <c r="J32" s="235">
        <v>45002</v>
      </c>
      <c r="K32" s="177" t="str">
        <f t="shared" si="1"/>
        <v>ANTIGUO</v>
      </c>
      <c r="L32" s="177" t="s">
        <v>50</v>
      </c>
      <c r="M32" s="177" t="s">
        <v>50</v>
      </c>
      <c r="N32" s="177" t="s">
        <v>50</v>
      </c>
      <c r="O32" s="177">
        <v>0</v>
      </c>
      <c r="P32" s="177" t="s">
        <v>51</v>
      </c>
      <c r="Q32" s="177" t="s">
        <v>50</v>
      </c>
      <c r="R32" s="178" t="s">
        <v>50</v>
      </c>
      <c r="S32" s="178" t="s">
        <v>160</v>
      </c>
      <c r="T32" s="177" t="s">
        <v>191</v>
      </c>
      <c r="U32" s="177" t="s">
        <v>53</v>
      </c>
      <c r="V32" s="177" t="s">
        <v>191</v>
      </c>
      <c r="W32" s="177" t="s">
        <v>50</v>
      </c>
      <c r="X32" s="177" t="s">
        <v>54</v>
      </c>
      <c r="Y32" s="236">
        <v>0.54166666666666663</v>
      </c>
      <c r="Z32" s="177" t="s">
        <v>111</v>
      </c>
      <c r="AA32" s="177" t="s">
        <v>316</v>
      </c>
      <c r="AB32" s="178"/>
      <c r="AC32" s="203"/>
      <c r="AD32" s="177" t="s">
        <v>164</v>
      </c>
      <c r="AE32" s="177" t="s">
        <v>215</v>
      </c>
      <c r="AF32" s="177">
        <v>40</v>
      </c>
      <c r="AG32" s="177" t="s">
        <v>59</v>
      </c>
      <c r="AH32" s="177" t="s">
        <v>143</v>
      </c>
      <c r="AI32" s="177" t="s">
        <v>80</v>
      </c>
      <c r="AJ32" s="178" t="s">
        <v>154</v>
      </c>
      <c r="AK32" s="306" t="s">
        <v>317</v>
      </c>
      <c r="AL32" s="178" t="s">
        <v>64</v>
      </c>
      <c r="AM32" s="178" t="s">
        <v>65</v>
      </c>
      <c r="AN32" s="178" t="s">
        <v>66</v>
      </c>
      <c r="AO32" s="178" t="s">
        <v>83</v>
      </c>
      <c r="AP32" s="178" t="s">
        <v>250</v>
      </c>
      <c r="AQ32" s="165" t="s">
        <v>318</v>
      </c>
    </row>
    <row r="33" spans="1:43" ht="15" hidden="1" customHeight="1" x14ac:dyDescent="0.2">
      <c r="A33" s="170">
        <v>2023</v>
      </c>
      <c r="B33" s="170" t="s">
        <v>306</v>
      </c>
      <c r="C33" s="170" t="s">
        <v>45</v>
      </c>
      <c r="D33" s="170" t="s">
        <v>319</v>
      </c>
      <c r="E33" s="170" t="s">
        <v>320</v>
      </c>
      <c r="F33" s="170" t="s">
        <v>71</v>
      </c>
      <c r="G33" s="177" t="s">
        <v>321</v>
      </c>
      <c r="H33" s="289">
        <v>43980</v>
      </c>
      <c r="I33" s="177">
        <f t="shared" si="2"/>
        <v>33</v>
      </c>
      <c r="J33" s="235">
        <v>44986</v>
      </c>
      <c r="K33" s="177" t="str">
        <f t="shared" si="1"/>
        <v>ANTIGUO</v>
      </c>
      <c r="L33" s="177" t="s">
        <v>50</v>
      </c>
      <c r="M33" s="177" t="s">
        <v>50</v>
      </c>
      <c r="N33" s="177" t="s">
        <v>50</v>
      </c>
      <c r="O33" s="177">
        <v>0</v>
      </c>
      <c r="P33" s="177" t="s">
        <v>51</v>
      </c>
      <c r="Q33" s="177" t="s">
        <v>50</v>
      </c>
      <c r="R33" s="178" t="s">
        <v>50</v>
      </c>
      <c r="S33" s="178" t="s">
        <v>73</v>
      </c>
      <c r="T33" s="177" t="s">
        <v>322</v>
      </c>
      <c r="U33" s="177" t="s">
        <v>53</v>
      </c>
      <c r="V33" s="177" t="s">
        <v>322</v>
      </c>
      <c r="W33" s="177" t="s">
        <v>50</v>
      </c>
      <c r="X33" s="177" t="s">
        <v>176</v>
      </c>
      <c r="Y33" s="236">
        <v>5.5555555555555552E-2</v>
      </c>
      <c r="Z33" s="177" t="s">
        <v>55</v>
      </c>
      <c r="AA33" s="177" t="s">
        <v>282</v>
      </c>
      <c r="AB33" s="178"/>
      <c r="AC33" s="203"/>
      <c r="AD33" s="177" t="s">
        <v>77</v>
      </c>
      <c r="AE33" s="177" t="s">
        <v>323</v>
      </c>
      <c r="AF33" s="177">
        <v>32</v>
      </c>
      <c r="AG33" s="177" t="s">
        <v>301</v>
      </c>
      <c r="AH33" s="177" t="s">
        <v>227</v>
      </c>
      <c r="AI33" s="177" t="s">
        <v>61</v>
      </c>
      <c r="AJ33" s="178" t="s">
        <v>229</v>
      </c>
      <c r="AK33" s="179" t="s">
        <v>324</v>
      </c>
      <c r="AL33" s="178" t="s">
        <v>64</v>
      </c>
      <c r="AM33" s="178" t="s">
        <v>65</v>
      </c>
      <c r="AN33" s="178" t="s">
        <v>66</v>
      </c>
      <c r="AO33" s="178" t="s">
        <v>218</v>
      </c>
      <c r="AP33" s="178" t="s">
        <v>284</v>
      </c>
      <c r="AQ33" s="245"/>
    </row>
    <row r="34" spans="1:43" hidden="1" x14ac:dyDescent="0.2">
      <c r="A34" s="170">
        <v>2023</v>
      </c>
      <c r="B34" s="170" t="s">
        <v>306</v>
      </c>
      <c r="C34" s="170" t="s">
        <v>45</v>
      </c>
      <c r="D34" s="170" t="s">
        <v>325</v>
      </c>
      <c r="E34" s="170" t="s">
        <v>326</v>
      </c>
      <c r="F34" s="170" t="s">
        <v>48</v>
      </c>
      <c r="G34" s="177" t="s">
        <v>327</v>
      </c>
      <c r="H34" s="289">
        <v>44826</v>
      </c>
      <c r="I34" s="177">
        <f t="shared" si="2"/>
        <v>5</v>
      </c>
      <c r="J34" s="235">
        <v>45000</v>
      </c>
      <c r="K34" s="177" t="str">
        <f t="shared" si="1"/>
        <v>NUEVO</v>
      </c>
      <c r="L34" s="177" t="s">
        <v>50</v>
      </c>
      <c r="M34" s="177" t="s">
        <v>50</v>
      </c>
      <c r="N34" s="177" t="s">
        <v>50</v>
      </c>
      <c r="O34" s="177">
        <v>0</v>
      </c>
      <c r="P34" s="177" t="s">
        <v>51</v>
      </c>
      <c r="Q34" s="177" t="s">
        <v>50</v>
      </c>
      <c r="R34" s="178" t="s">
        <v>50</v>
      </c>
      <c r="S34" s="178" t="s">
        <v>264</v>
      </c>
      <c r="T34" s="177"/>
      <c r="U34" s="177" t="s">
        <v>266</v>
      </c>
      <c r="V34" s="177" t="s">
        <v>328</v>
      </c>
      <c r="W34" s="177" t="s">
        <v>50</v>
      </c>
      <c r="X34" s="177" t="s">
        <v>54</v>
      </c>
      <c r="Y34" s="236">
        <v>0.63541666666666663</v>
      </c>
      <c r="Z34" s="177" t="s">
        <v>55</v>
      </c>
      <c r="AA34" s="177" t="s">
        <v>316</v>
      </c>
      <c r="AB34" s="178"/>
      <c r="AC34" s="203"/>
      <c r="AD34" s="177" t="s">
        <v>269</v>
      </c>
      <c r="AE34" s="177"/>
      <c r="AF34" s="177">
        <v>29</v>
      </c>
      <c r="AG34" s="177" t="s">
        <v>115</v>
      </c>
      <c r="AH34" s="177" t="s">
        <v>256</v>
      </c>
      <c r="AI34" s="177" t="s">
        <v>302</v>
      </c>
      <c r="AJ34" s="178" t="s">
        <v>329</v>
      </c>
      <c r="AK34" s="179" t="s">
        <v>330</v>
      </c>
      <c r="AL34" s="237" t="s">
        <v>118</v>
      </c>
      <c r="AM34" s="178" t="s">
        <v>65</v>
      </c>
      <c r="AN34" s="178" t="s">
        <v>66</v>
      </c>
      <c r="AO34" s="178" t="s">
        <v>67</v>
      </c>
      <c r="AP34" s="178" t="s">
        <v>84</v>
      </c>
      <c r="AQ34" s="245"/>
    </row>
    <row r="35" spans="1:43" ht="15" hidden="1" customHeight="1" x14ac:dyDescent="0.2">
      <c r="A35" s="172">
        <v>2023</v>
      </c>
      <c r="B35" s="172" t="s">
        <v>306</v>
      </c>
      <c r="C35" s="172" t="s">
        <v>45</v>
      </c>
      <c r="D35" s="172" t="s">
        <v>331</v>
      </c>
      <c r="E35" s="375" t="s">
        <v>332</v>
      </c>
      <c r="F35" s="172" t="s">
        <v>48</v>
      </c>
      <c r="G35" s="172" t="s">
        <v>333</v>
      </c>
      <c r="H35" s="289">
        <v>44876</v>
      </c>
      <c r="I35" s="172">
        <f t="shared" si="2"/>
        <v>3</v>
      </c>
      <c r="J35" s="297">
        <v>44995</v>
      </c>
      <c r="K35" s="177" t="str">
        <f t="shared" si="1"/>
        <v>NUEVO</v>
      </c>
      <c r="L35" s="297">
        <v>44995</v>
      </c>
      <c r="M35" s="297">
        <v>44995</v>
      </c>
      <c r="N35" s="297" t="s">
        <v>50</v>
      </c>
      <c r="O35" s="172">
        <v>0</v>
      </c>
      <c r="P35" s="172" t="s">
        <v>51</v>
      </c>
      <c r="Q35" s="178" t="s">
        <v>50</v>
      </c>
      <c r="R35" s="178" t="s">
        <v>50</v>
      </c>
      <c r="S35" s="172" t="s">
        <v>73</v>
      </c>
      <c r="T35" s="37" t="s">
        <v>334</v>
      </c>
      <c r="U35" s="177" t="s">
        <v>53</v>
      </c>
      <c r="V35" s="172" t="s">
        <v>335</v>
      </c>
      <c r="W35" s="172" t="s">
        <v>50</v>
      </c>
      <c r="X35" s="172" t="s">
        <v>54</v>
      </c>
      <c r="Y35" s="305">
        <v>0.25</v>
      </c>
      <c r="Z35" s="172" t="s">
        <v>111</v>
      </c>
      <c r="AA35" s="172" t="s">
        <v>336</v>
      </c>
      <c r="AB35" s="172" t="s">
        <v>50</v>
      </c>
      <c r="AC35" s="202" t="s">
        <v>337</v>
      </c>
      <c r="AD35" s="172" t="s">
        <v>77</v>
      </c>
      <c r="AE35" s="172"/>
      <c r="AF35" s="172">
        <v>23</v>
      </c>
      <c r="AG35" s="172" t="s">
        <v>79</v>
      </c>
      <c r="AH35" s="172" t="s">
        <v>143</v>
      </c>
      <c r="AI35" s="172" t="s">
        <v>80</v>
      </c>
      <c r="AJ35" s="172" t="s">
        <v>81</v>
      </c>
      <c r="AK35" s="282" t="s">
        <v>338</v>
      </c>
      <c r="AL35" s="172" t="s">
        <v>118</v>
      </c>
      <c r="AM35" s="295" t="s">
        <v>65</v>
      </c>
      <c r="AN35" s="172" t="s">
        <v>65</v>
      </c>
      <c r="AO35" s="172" t="s">
        <v>67</v>
      </c>
      <c r="AP35" s="172" t="s">
        <v>103</v>
      </c>
      <c r="AQ35" s="278" t="s">
        <v>169</v>
      </c>
    </row>
    <row r="36" spans="1:43" ht="15" hidden="1" customHeight="1" x14ac:dyDescent="0.2">
      <c r="A36" s="170">
        <v>2023</v>
      </c>
      <c r="B36" s="170" t="s">
        <v>306</v>
      </c>
      <c r="C36" s="170" t="s">
        <v>45</v>
      </c>
      <c r="D36" s="170" t="s">
        <v>339</v>
      </c>
      <c r="E36" s="170" t="s">
        <v>340</v>
      </c>
      <c r="F36" s="170" t="s">
        <v>48</v>
      </c>
      <c r="G36" s="177" t="s">
        <v>341</v>
      </c>
      <c r="H36" s="289">
        <v>43591</v>
      </c>
      <c r="I36" s="177">
        <f t="shared" si="2"/>
        <v>46</v>
      </c>
      <c r="J36" s="235">
        <v>45002</v>
      </c>
      <c r="K36" s="177" t="str">
        <f t="shared" si="1"/>
        <v>ANTIGUO</v>
      </c>
      <c r="L36" s="177" t="s">
        <v>50</v>
      </c>
      <c r="M36" s="177" t="s">
        <v>50</v>
      </c>
      <c r="N36" s="177" t="s">
        <v>50</v>
      </c>
      <c r="O36" s="177">
        <v>0</v>
      </c>
      <c r="P36" s="177" t="s">
        <v>51</v>
      </c>
      <c r="Q36" s="177" t="s">
        <v>50</v>
      </c>
      <c r="R36" s="178" t="s">
        <v>50</v>
      </c>
      <c r="S36" s="178" t="s">
        <v>134</v>
      </c>
      <c r="T36" s="177" t="s">
        <v>342</v>
      </c>
      <c r="U36" s="177" t="s">
        <v>53</v>
      </c>
      <c r="V36" s="177" t="s">
        <v>343</v>
      </c>
      <c r="W36" s="177" t="s">
        <v>50</v>
      </c>
      <c r="X36" s="177" t="s">
        <v>54</v>
      </c>
      <c r="Y36" s="236">
        <v>0.75</v>
      </c>
      <c r="Z36" s="177" t="s">
        <v>111</v>
      </c>
      <c r="AA36" s="177" t="s">
        <v>316</v>
      </c>
      <c r="AB36" s="178"/>
      <c r="AC36" s="203"/>
      <c r="AD36" s="177" t="s">
        <v>140</v>
      </c>
      <c r="AE36" s="177" t="s">
        <v>344</v>
      </c>
      <c r="AF36" s="177">
        <v>32</v>
      </c>
      <c r="AG36" s="177" t="s">
        <v>59</v>
      </c>
      <c r="AH36" s="177" t="s">
        <v>153</v>
      </c>
      <c r="AI36" s="177" t="s">
        <v>80</v>
      </c>
      <c r="AJ36" s="178" t="s">
        <v>154</v>
      </c>
      <c r="AK36" s="179" t="s">
        <v>345</v>
      </c>
      <c r="AL36" s="242" t="s">
        <v>118</v>
      </c>
      <c r="AM36" s="178" t="s">
        <v>65</v>
      </c>
      <c r="AN36" s="178" t="s">
        <v>66</v>
      </c>
      <c r="AO36" s="178" t="s">
        <v>83</v>
      </c>
      <c r="AP36" s="250" t="s">
        <v>103</v>
      </c>
      <c r="AQ36" s="245"/>
    </row>
    <row r="37" spans="1:43" s="175" customFormat="1" ht="15" hidden="1" customHeight="1" x14ac:dyDescent="0.2">
      <c r="A37" s="172">
        <v>2023</v>
      </c>
      <c r="B37" s="172" t="s">
        <v>306</v>
      </c>
      <c r="C37" s="172" t="s">
        <v>45</v>
      </c>
      <c r="D37" s="172" t="s">
        <v>346</v>
      </c>
      <c r="E37" s="172" t="s">
        <v>347</v>
      </c>
      <c r="F37" s="172" t="s">
        <v>71</v>
      </c>
      <c r="G37" s="178" t="s">
        <v>348</v>
      </c>
      <c r="H37" s="289">
        <v>44767</v>
      </c>
      <c r="I37" s="178">
        <f t="shared" si="2"/>
        <v>7</v>
      </c>
      <c r="J37" s="251">
        <v>44987</v>
      </c>
      <c r="K37" s="177" t="str">
        <f t="shared" si="1"/>
        <v>INTERMEDIO</v>
      </c>
      <c r="L37" s="251">
        <v>44994</v>
      </c>
      <c r="M37" s="251">
        <v>45000</v>
      </c>
      <c r="N37" s="178" t="s">
        <v>50</v>
      </c>
      <c r="O37" s="285">
        <v>7</v>
      </c>
      <c r="P37" s="178" t="s">
        <v>88</v>
      </c>
      <c r="Q37" s="178" t="s">
        <v>50</v>
      </c>
      <c r="R37" s="178" t="s">
        <v>50</v>
      </c>
      <c r="S37" s="178" t="s">
        <v>264</v>
      </c>
      <c r="T37" s="178" t="s">
        <v>349</v>
      </c>
      <c r="U37" s="178" t="s">
        <v>350</v>
      </c>
      <c r="V37" s="178" t="s">
        <v>351</v>
      </c>
      <c r="W37" s="178" t="s">
        <v>50</v>
      </c>
      <c r="X37" s="178" t="s">
        <v>151</v>
      </c>
      <c r="Y37" s="253">
        <v>0.69097222222222221</v>
      </c>
      <c r="Z37" s="178" t="s">
        <v>76</v>
      </c>
      <c r="AA37" s="178" t="s">
        <v>282</v>
      </c>
      <c r="AB37" s="178">
        <v>15554</v>
      </c>
      <c r="AC37" s="202" t="s">
        <v>352</v>
      </c>
      <c r="AD37" s="178" t="s">
        <v>269</v>
      </c>
      <c r="AE37" s="178" t="s">
        <v>353</v>
      </c>
      <c r="AF37" s="178">
        <v>27</v>
      </c>
      <c r="AG37" s="178" t="s">
        <v>79</v>
      </c>
      <c r="AH37" s="178" t="s">
        <v>153</v>
      </c>
      <c r="AI37" s="178" t="s">
        <v>80</v>
      </c>
      <c r="AJ37" s="178" t="s">
        <v>154</v>
      </c>
      <c r="AK37" s="238" t="s">
        <v>354</v>
      </c>
      <c r="AL37" s="242" t="s">
        <v>64</v>
      </c>
      <c r="AM37" s="178" t="s">
        <v>65</v>
      </c>
      <c r="AN37" s="178" t="s">
        <v>65</v>
      </c>
      <c r="AO37" s="178" t="s">
        <v>67</v>
      </c>
      <c r="AP37" s="250" t="s">
        <v>103</v>
      </c>
      <c r="AQ37" s="245" t="s">
        <v>169</v>
      </c>
    </row>
    <row r="38" spans="1:43" ht="15" hidden="1" customHeight="1" x14ac:dyDescent="0.2">
      <c r="A38" s="170">
        <v>2023</v>
      </c>
      <c r="B38" s="170" t="s">
        <v>306</v>
      </c>
      <c r="C38" s="170" t="s">
        <v>45</v>
      </c>
      <c r="D38" s="170" t="s">
        <v>355</v>
      </c>
      <c r="E38" s="170" t="s">
        <v>356</v>
      </c>
      <c r="F38" s="170" t="s">
        <v>48</v>
      </c>
      <c r="G38" s="177" t="s">
        <v>357</v>
      </c>
      <c r="H38" s="356">
        <v>44419</v>
      </c>
      <c r="I38" s="177">
        <f t="shared" si="2"/>
        <v>19</v>
      </c>
      <c r="J38" s="235">
        <v>45016</v>
      </c>
      <c r="K38" s="177" t="str">
        <f t="shared" si="1"/>
        <v>ANTIGUO</v>
      </c>
      <c r="L38" s="235" t="s">
        <v>50</v>
      </c>
      <c r="M38" s="177" t="s">
        <v>50</v>
      </c>
      <c r="N38" s="177" t="s">
        <v>50</v>
      </c>
      <c r="O38" s="177">
        <v>0</v>
      </c>
      <c r="P38" s="177" t="s">
        <v>51</v>
      </c>
      <c r="Q38" s="177" t="s">
        <v>50</v>
      </c>
      <c r="R38" s="178" t="s">
        <v>50</v>
      </c>
      <c r="S38" s="178" t="s">
        <v>160</v>
      </c>
      <c r="T38" s="177" t="s">
        <v>211</v>
      </c>
      <c r="U38" s="177" t="s">
        <v>53</v>
      </c>
      <c r="V38" s="177" t="s">
        <v>211</v>
      </c>
      <c r="W38" s="177" t="s">
        <v>50</v>
      </c>
      <c r="X38" s="177" t="s">
        <v>54</v>
      </c>
      <c r="Y38" s="236">
        <v>0.36458333333333331</v>
      </c>
      <c r="Z38" s="177" t="s">
        <v>111</v>
      </c>
      <c r="AA38" s="177" t="s">
        <v>358</v>
      </c>
      <c r="AB38" s="178"/>
      <c r="AC38" s="203"/>
      <c r="AD38" s="177" t="s">
        <v>164</v>
      </c>
      <c r="AE38" s="177" t="s">
        <v>359</v>
      </c>
      <c r="AF38" s="177">
        <v>51</v>
      </c>
      <c r="AG38" s="177" t="s">
        <v>226</v>
      </c>
      <c r="AH38" s="177" t="s">
        <v>227</v>
      </c>
      <c r="AI38" s="177" t="s">
        <v>228</v>
      </c>
      <c r="AJ38" s="178" t="s">
        <v>229</v>
      </c>
      <c r="AK38" s="307" t="s">
        <v>360</v>
      </c>
      <c r="AL38" s="177" t="s">
        <v>64</v>
      </c>
      <c r="AM38" s="178" t="s">
        <v>65</v>
      </c>
      <c r="AN38" s="178" t="s">
        <v>66</v>
      </c>
      <c r="AO38" s="178" t="s">
        <v>67</v>
      </c>
      <c r="AP38" s="178" t="s">
        <v>103</v>
      </c>
      <c r="AQ38" s="346" t="s">
        <v>361</v>
      </c>
    </row>
    <row r="39" spans="1:43" ht="15" hidden="1" customHeight="1" x14ac:dyDescent="0.2">
      <c r="A39" s="170">
        <v>2023</v>
      </c>
      <c r="B39" s="170" t="s">
        <v>306</v>
      </c>
      <c r="C39" s="170" t="s">
        <v>45</v>
      </c>
      <c r="D39" s="170" t="s">
        <v>362</v>
      </c>
      <c r="E39" s="170" t="s">
        <v>363</v>
      </c>
      <c r="F39" s="170" t="s">
        <v>48</v>
      </c>
      <c r="G39" s="178" t="s">
        <v>364</v>
      </c>
      <c r="H39" s="289">
        <v>38786</v>
      </c>
      <c r="I39" s="177">
        <f t="shared" si="2"/>
        <v>204</v>
      </c>
      <c r="J39" s="235">
        <v>45002</v>
      </c>
      <c r="K39" s="177" t="str">
        <f t="shared" si="1"/>
        <v>ANTIGUO</v>
      </c>
      <c r="L39" s="177" t="s">
        <v>50</v>
      </c>
      <c r="M39" s="177" t="s">
        <v>50</v>
      </c>
      <c r="N39" s="177" t="s">
        <v>50</v>
      </c>
      <c r="O39" s="177">
        <v>0</v>
      </c>
      <c r="P39" s="177" t="s">
        <v>51</v>
      </c>
      <c r="Q39" s="177" t="s">
        <v>50</v>
      </c>
      <c r="R39" s="178" t="s">
        <v>50</v>
      </c>
      <c r="S39" s="178" t="s">
        <v>160</v>
      </c>
      <c r="T39" s="177" t="s">
        <v>211</v>
      </c>
      <c r="U39" s="177" t="s">
        <v>53</v>
      </c>
      <c r="V39" s="177" t="s">
        <v>211</v>
      </c>
      <c r="W39" s="177" t="s">
        <v>50</v>
      </c>
      <c r="X39" s="177" t="s">
        <v>151</v>
      </c>
      <c r="Y39" s="236">
        <v>0.86111111111111116</v>
      </c>
      <c r="Z39" s="177" t="s">
        <v>111</v>
      </c>
      <c r="AA39" s="177" t="s">
        <v>316</v>
      </c>
      <c r="AB39" s="178"/>
      <c r="AC39" s="203"/>
      <c r="AD39" s="177" t="s">
        <v>164</v>
      </c>
      <c r="AE39" s="177" t="s">
        <v>165</v>
      </c>
      <c r="AF39" s="177">
        <v>63</v>
      </c>
      <c r="AG39" s="177" t="s">
        <v>301</v>
      </c>
      <c r="AH39" s="177" t="s">
        <v>227</v>
      </c>
      <c r="AI39" s="177" t="s">
        <v>228</v>
      </c>
      <c r="AJ39" s="178" t="s">
        <v>229</v>
      </c>
      <c r="AK39" s="307" t="s">
        <v>365</v>
      </c>
      <c r="AL39" s="178" t="s">
        <v>64</v>
      </c>
      <c r="AM39" s="178" t="s">
        <v>66</v>
      </c>
      <c r="AN39" s="178" t="s">
        <v>66</v>
      </c>
      <c r="AO39" s="178" t="s">
        <v>67</v>
      </c>
      <c r="AP39" s="178" t="s">
        <v>250</v>
      </c>
      <c r="AQ39" s="165" t="s">
        <v>366</v>
      </c>
    </row>
    <row r="40" spans="1:43" s="175" customFormat="1" ht="15" hidden="1" customHeight="1" x14ac:dyDescent="0.2">
      <c r="A40" s="172">
        <v>2023</v>
      </c>
      <c r="B40" s="172" t="s">
        <v>306</v>
      </c>
      <c r="C40" s="172" t="s">
        <v>45</v>
      </c>
      <c r="D40" s="172" t="s">
        <v>367</v>
      </c>
      <c r="E40" s="172" t="s">
        <v>368</v>
      </c>
      <c r="F40" s="172" t="s">
        <v>71</v>
      </c>
      <c r="G40" s="172" t="s">
        <v>369</v>
      </c>
      <c r="H40" s="290">
        <v>43850</v>
      </c>
      <c r="I40" s="172">
        <f t="shared" si="2"/>
        <v>38</v>
      </c>
      <c r="J40" s="297">
        <v>45016</v>
      </c>
      <c r="K40" s="177" t="str">
        <f t="shared" si="1"/>
        <v>ANTIGUO</v>
      </c>
      <c r="L40" s="297">
        <v>45016</v>
      </c>
      <c r="M40" s="172" t="s">
        <v>370</v>
      </c>
      <c r="N40" s="172" t="s">
        <v>50</v>
      </c>
      <c r="O40" s="285">
        <v>7</v>
      </c>
      <c r="P40" s="172" t="s">
        <v>88</v>
      </c>
      <c r="Q40" s="172" t="s">
        <v>50</v>
      </c>
      <c r="R40" s="172" t="s">
        <v>50</v>
      </c>
      <c r="S40" s="172" t="s">
        <v>160</v>
      </c>
      <c r="T40" s="172" t="s">
        <v>371</v>
      </c>
      <c r="U40" s="177" t="s">
        <v>53</v>
      </c>
      <c r="V40" s="172" t="s">
        <v>371</v>
      </c>
      <c r="W40" s="172" t="s">
        <v>50</v>
      </c>
      <c r="X40" s="172" t="s">
        <v>54</v>
      </c>
      <c r="Y40" s="305">
        <v>0.53819444444444442</v>
      </c>
      <c r="Z40" s="172" t="s">
        <v>111</v>
      </c>
      <c r="AA40" s="172" t="s">
        <v>358</v>
      </c>
      <c r="AB40" s="172">
        <v>15596</v>
      </c>
      <c r="AC40" s="202" t="s">
        <v>372</v>
      </c>
      <c r="AD40" s="172" t="s">
        <v>164</v>
      </c>
      <c r="AE40" s="172" t="s">
        <v>215</v>
      </c>
      <c r="AF40" s="172">
        <v>36</v>
      </c>
      <c r="AG40" s="172" t="s">
        <v>373</v>
      </c>
      <c r="AH40" s="172" t="s">
        <v>60</v>
      </c>
      <c r="AI40" s="172" t="s">
        <v>128</v>
      </c>
      <c r="AJ40" s="172" t="s">
        <v>293</v>
      </c>
      <c r="AK40" s="308" t="s">
        <v>374</v>
      </c>
      <c r="AL40" s="172" t="s">
        <v>64</v>
      </c>
      <c r="AM40" s="172" t="s">
        <v>65</v>
      </c>
      <c r="AN40" s="172" t="s">
        <v>65</v>
      </c>
      <c r="AO40" s="172" t="s">
        <v>67</v>
      </c>
      <c r="AP40" s="300" t="s">
        <v>103</v>
      </c>
      <c r="AQ40" s="278" t="s">
        <v>375</v>
      </c>
    </row>
    <row r="41" spans="1:43" ht="15" hidden="1" customHeight="1" x14ac:dyDescent="0.2">
      <c r="A41" s="170">
        <v>2023</v>
      </c>
      <c r="B41" s="170" t="s">
        <v>306</v>
      </c>
      <c r="C41" s="170" t="s">
        <v>45</v>
      </c>
      <c r="D41" s="170" t="s">
        <v>147</v>
      </c>
      <c r="E41" s="170" t="s">
        <v>376</v>
      </c>
      <c r="F41" s="170" t="s">
        <v>71</v>
      </c>
      <c r="G41" s="177" t="s">
        <v>377</v>
      </c>
      <c r="H41" s="289">
        <v>44768</v>
      </c>
      <c r="I41" s="177">
        <f t="shared" si="2"/>
        <v>7</v>
      </c>
      <c r="J41" s="235">
        <v>44994</v>
      </c>
      <c r="K41" s="177" t="str">
        <f t="shared" si="1"/>
        <v>INTERMEDIO</v>
      </c>
      <c r="L41" s="235" t="s">
        <v>50</v>
      </c>
      <c r="M41" s="177" t="s">
        <v>50</v>
      </c>
      <c r="N41" s="235" t="s">
        <v>50</v>
      </c>
      <c r="O41" s="177">
        <v>0</v>
      </c>
      <c r="P41" s="177" t="s">
        <v>51</v>
      </c>
      <c r="Q41" s="177" t="s">
        <v>50</v>
      </c>
      <c r="R41" s="178" t="s">
        <v>50</v>
      </c>
      <c r="S41" s="178" t="s">
        <v>73</v>
      </c>
      <c r="T41" s="177" t="s">
        <v>74</v>
      </c>
      <c r="U41" s="177" t="s">
        <v>53</v>
      </c>
      <c r="V41" s="177" t="s">
        <v>74</v>
      </c>
      <c r="W41" s="177" t="s">
        <v>50</v>
      </c>
      <c r="X41" s="177" t="s">
        <v>151</v>
      </c>
      <c r="Y41" s="236">
        <v>0.63541666666666663</v>
      </c>
      <c r="Z41" s="177" t="s">
        <v>76</v>
      </c>
      <c r="AA41" s="177" t="s">
        <v>336</v>
      </c>
      <c r="AB41" s="178"/>
      <c r="AC41" s="203"/>
      <c r="AD41" s="177" t="s">
        <v>77</v>
      </c>
      <c r="AE41" s="177" t="s">
        <v>378</v>
      </c>
      <c r="AF41" s="177">
        <v>29</v>
      </c>
      <c r="AG41" s="177" t="s">
        <v>115</v>
      </c>
      <c r="AH41" s="177" t="s">
        <v>166</v>
      </c>
      <c r="AI41" s="177" t="s">
        <v>80</v>
      </c>
      <c r="AJ41" s="178" t="s">
        <v>154</v>
      </c>
      <c r="AK41" s="179" t="s">
        <v>379</v>
      </c>
      <c r="AL41" s="178" t="s">
        <v>64</v>
      </c>
      <c r="AM41" s="178" t="s">
        <v>65</v>
      </c>
      <c r="AN41" s="178" t="s">
        <v>66</v>
      </c>
      <c r="AO41" s="178" t="s">
        <v>67</v>
      </c>
      <c r="AP41" s="178" t="s">
        <v>240</v>
      </c>
    </row>
    <row r="42" spans="1:43" ht="15" hidden="1" customHeight="1" x14ac:dyDescent="0.2">
      <c r="A42" s="170">
        <v>2023</v>
      </c>
      <c r="B42" s="170" t="s">
        <v>306</v>
      </c>
      <c r="C42" s="170" t="s">
        <v>45</v>
      </c>
      <c r="D42" s="170" t="s">
        <v>380</v>
      </c>
      <c r="E42" s="170" t="s">
        <v>381</v>
      </c>
      <c r="F42" s="170" t="s">
        <v>71</v>
      </c>
      <c r="G42" s="177" t="s">
        <v>382</v>
      </c>
      <c r="H42" s="289">
        <v>44452</v>
      </c>
      <c r="I42" s="177">
        <f t="shared" si="2"/>
        <v>18</v>
      </c>
      <c r="J42" s="235">
        <v>45016</v>
      </c>
      <c r="K42" s="177" t="str">
        <f t="shared" si="1"/>
        <v>INTERMEDIO</v>
      </c>
      <c r="L42" s="177" t="s">
        <v>50</v>
      </c>
      <c r="M42" s="177" t="s">
        <v>50</v>
      </c>
      <c r="N42" s="177" t="s">
        <v>50</v>
      </c>
      <c r="O42" s="177">
        <v>0</v>
      </c>
      <c r="P42" s="177" t="s">
        <v>51</v>
      </c>
      <c r="Q42" s="177" t="s">
        <v>50</v>
      </c>
      <c r="R42" s="178" t="s">
        <v>50</v>
      </c>
      <c r="S42" s="178" t="s">
        <v>91</v>
      </c>
      <c r="T42" s="177" t="s">
        <v>123</v>
      </c>
      <c r="U42" s="177" t="s">
        <v>53</v>
      </c>
      <c r="V42" s="177" t="s">
        <v>150</v>
      </c>
      <c r="W42" s="177" t="s">
        <v>50</v>
      </c>
      <c r="X42" s="177" t="s">
        <v>54</v>
      </c>
      <c r="Y42" s="236">
        <v>0.47916666666666669</v>
      </c>
      <c r="Z42" s="177" t="s">
        <v>111</v>
      </c>
      <c r="AA42" s="177" t="s">
        <v>358</v>
      </c>
      <c r="AB42" s="178"/>
      <c r="AC42" s="203"/>
      <c r="AD42" s="177" t="s">
        <v>97</v>
      </c>
      <c r="AE42" s="177" t="s">
        <v>225</v>
      </c>
      <c r="AF42" s="177">
        <v>26</v>
      </c>
      <c r="AG42" s="177" t="s">
        <v>383</v>
      </c>
      <c r="AH42" s="177" t="s">
        <v>166</v>
      </c>
      <c r="AI42" s="177" t="s">
        <v>61</v>
      </c>
      <c r="AJ42" s="178" t="s">
        <v>384</v>
      </c>
      <c r="AK42" s="179" t="s">
        <v>385</v>
      </c>
      <c r="AL42" s="178" t="s">
        <v>118</v>
      </c>
      <c r="AM42" s="178" t="s">
        <v>65</v>
      </c>
      <c r="AN42" s="178" t="s">
        <v>66</v>
      </c>
      <c r="AO42" s="178" t="s">
        <v>67</v>
      </c>
      <c r="AP42" s="178" t="s">
        <v>103</v>
      </c>
    </row>
    <row r="43" spans="1:43" ht="15" hidden="1" customHeight="1" x14ac:dyDescent="0.2">
      <c r="A43" s="170">
        <v>2023</v>
      </c>
      <c r="B43" s="170" t="s">
        <v>306</v>
      </c>
      <c r="C43" s="170" t="s">
        <v>45</v>
      </c>
      <c r="D43" s="170" t="s">
        <v>386</v>
      </c>
      <c r="E43" s="170" t="s">
        <v>387</v>
      </c>
      <c r="F43" s="170" t="s">
        <v>71</v>
      </c>
      <c r="G43" s="177" t="s">
        <v>388</v>
      </c>
      <c r="H43" s="289">
        <v>43843</v>
      </c>
      <c r="I43" s="177">
        <f t="shared" si="2"/>
        <v>38</v>
      </c>
      <c r="J43" s="235">
        <v>45008</v>
      </c>
      <c r="K43" s="177" t="str">
        <f t="shared" si="1"/>
        <v>ANTIGUO</v>
      </c>
      <c r="L43" s="235" t="s">
        <v>50</v>
      </c>
      <c r="M43" s="177" t="s">
        <v>50</v>
      </c>
      <c r="N43" s="177" t="s">
        <v>50</v>
      </c>
      <c r="O43" s="177">
        <v>0</v>
      </c>
      <c r="P43" s="177" t="s">
        <v>51</v>
      </c>
      <c r="Q43" s="177" t="s">
        <v>50</v>
      </c>
      <c r="R43" s="178" t="s">
        <v>50</v>
      </c>
      <c r="S43" s="178" t="s">
        <v>173</v>
      </c>
      <c r="T43" s="177" t="s">
        <v>389</v>
      </c>
      <c r="U43" s="177" t="s">
        <v>53</v>
      </c>
      <c r="V43" s="177" t="s">
        <v>192</v>
      </c>
      <c r="W43" s="177" t="s">
        <v>50</v>
      </c>
      <c r="X43" s="177" t="s">
        <v>151</v>
      </c>
      <c r="Y43" s="236">
        <v>0.1875</v>
      </c>
      <c r="Z43" s="177" t="s">
        <v>76</v>
      </c>
      <c r="AA43" s="177" t="s">
        <v>311</v>
      </c>
      <c r="AB43" s="178"/>
      <c r="AC43" s="203"/>
      <c r="AD43" s="177" t="s">
        <v>390</v>
      </c>
      <c r="AE43" s="177" t="s">
        <v>391</v>
      </c>
      <c r="AF43" s="177">
        <v>35</v>
      </c>
      <c r="AG43" s="177" t="s">
        <v>115</v>
      </c>
      <c r="AH43" s="177" t="s">
        <v>60</v>
      </c>
      <c r="AI43" s="177" t="s">
        <v>80</v>
      </c>
      <c r="AJ43" s="178" t="s">
        <v>129</v>
      </c>
      <c r="AK43" s="306" t="s">
        <v>392</v>
      </c>
      <c r="AL43" s="177" t="s">
        <v>118</v>
      </c>
      <c r="AM43" s="178" t="s">
        <v>65</v>
      </c>
      <c r="AN43" s="178" t="s">
        <v>66</v>
      </c>
      <c r="AO43" s="178" t="s">
        <v>83</v>
      </c>
      <c r="AP43" s="178" t="s">
        <v>240</v>
      </c>
      <c r="AQ43" s="165" t="s">
        <v>195</v>
      </c>
    </row>
    <row r="44" spans="1:43" ht="15" hidden="1" customHeight="1" x14ac:dyDescent="0.2">
      <c r="A44" s="172">
        <v>2023</v>
      </c>
      <c r="B44" s="172" t="s">
        <v>306</v>
      </c>
      <c r="C44" s="172" t="s">
        <v>45</v>
      </c>
      <c r="D44" s="176" t="s">
        <v>393</v>
      </c>
      <c r="E44" s="375" t="s">
        <v>221</v>
      </c>
      <c r="F44" s="172" t="s">
        <v>48</v>
      </c>
      <c r="G44" s="172" t="s">
        <v>394</v>
      </c>
      <c r="H44" s="290">
        <v>44869</v>
      </c>
      <c r="I44" s="172">
        <f t="shared" si="2"/>
        <v>4</v>
      </c>
      <c r="J44" s="297">
        <v>44993</v>
      </c>
      <c r="K44" s="177" t="str">
        <f t="shared" si="1"/>
        <v>NUEVO</v>
      </c>
      <c r="L44" s="297">
        <v>44995</v>
      </c>
      <c r="M44" s="297">
        <v>44995</v>
      </c>
      <c r="N44" s="172" t="s">
        <v>50</v>
      </c>
      <c r="O44" s="172">
        <v>0</v>
      </c>
      <c r="P44" s="172" t="s">
        <v>51</v>
      </c>
      <c r="Q44" s="178" t="s">
        <v>50</v>
      </c>
      <c r="R44" s="178" t="s">
        <v>50</v>
      </c>
      <c r="S44" s="172" t="s">
        <v>73</v>
      </c>
      <c r="T44" s="172" t="s">
        <v>395</v>
      </c>
      <c r="U44" s="177" t="s">
        <v>53</v>
      </c>
      <c r="V44" s="172" t="s">
        <v>396</v>
      </c>
      <c r="W44" s="172" t="s">
        <v>50</v>
      </c>
      <c r="X44" s="172" t="s">
        <v>151</v>
      </c>
      <c r="Y44" s="305">
        <v>0.77430555555555547</v>
      </c>
      <c r="Z44" s="172" t="s">
        <v>55</v>
      </c>
      <c r="AA44" s="172" t="s">
        <v>336</v>
      </c>
      <c r="AB44" s="172">
        <v>15564</v>
      </c>
      <c r="AC44" s="202" t="s">
        <v>397</v>
      </c>
      <c r="AD44" s="172" t="s">
        <v>77</v>
      </c>
      <c r="AE44" s="172"/>
      <c r="AF44" s="172">
        <v>39</v>
      </c>
      <c r="AG44" s="172" t="s">
        <v>59</v>
      </c>
      <c r="AH44" s="172" t="s">
        <v>60</v>
      </c>
      <c r="AI44" s="172" t="s">
        <v>80</v>
      </c>
      <c r="AJ44" s="172" t="s">
        <v>129</v>
      </c>
      <c r="AK44" s="174" t="s">
        <v>398</v>
      </c>
      <c r="AL44" s="172" t="s">
        <v>64</v>
      </c>
      <c r="AM44" s="172" t="s">
        <v>65</v>
      </c>
      <c r="AN44" s="172" t="s">
        <v>65</v>
      </c>
      <c r="AO44" s="172" t="s">
        <v>83</v>
      </c>
      <c r="AP44" s="172" t="s">
        <v>284</v>
      </c>
      <c r="AQ44" s="278" t="s">
        <v>399</v>
      </c>
    </row>
    <row r="45" spans="1:43" ht="15" hidden="1" customHeight="1" x14ac:dyDescent="0.2">
      <c r="A45" s="170">
        <v>2023</v>
      </c>
      <c r="B45" s="170" t="s">
        <v>306</v>
      </c>
      <c r="C45" s="170" t="s">
        <v>45</v>
      </c>
      <c r="D45" s="170" t="s">
        <v>251</v>
      </c>
      <c r="E45" s="170" t="s">
        <v>252</v>
      </c>
      <c r="F45" s="170" t="s">
        <v>48</v>
      </c>
      <c r="G45" s="177" t="s">
        <v>253</v>
      </c>
      <c r="H45" s="289">
        <v>44894</v>
      </c>
      <c r="I45" s="177">
        <f t="shared" si="2"/>
        <v>3</v>
      </c>
      <c r="J45" s="235">
        <v>44999</v>
      </c>
      <c r="K45" s="177" t="str">
        <f t="shared" si="1"/>
        <v>NUEVO</v>
      </c>
      <c r="L45" s="177" t="s">
        <v>50</v>
      </c>
      <c r="M45" s="177" t="s">
        <v>50</v>
      </c>
      <c r="N45" s="177" t="s">
        <v>50</v>
      </c>
      <c r="O45" s="177">
        <v>0</v>
      </c>
      <c r="P45" s="177" t="s">
        <v>51</v>
      </c>
      <c r="Q45" s="177" t="s">
        <v>50</v>
      </c>
      <c r="R45" s="178" t="s">
        <v>50</v>
      </c>
      <c r="S45" s="178" t="s">
        <v>160</v>
      </c>
      <c r="T45" s="177" t="s">
        <v>211</v>
      </c>
      <c r="U45" s="177" t="s">
        <v>53</v>
      </c>
      <c r="V45" s="177" t="s">
        <v>211</v>
      </c>
      <c r="W45" s="177" t="s">
        <v>50</v>
      </c>
      <c r="X45" s="177" t="s">
        <v>54</v>
      </c>
      <c r="Y45" s="236">
        <v>0.40625</v>
      </c>
      <c r="Z45" s="177" t="s">
        <v>125</v>
      </c>
      <c r="AA45" s="177" t="s">
        <v>316</v>
      </c>
      <c r="AB45" s="178"/>
      <c r="AC45" s="203"/>
      <c r="AD45" s="177" t="s">
        <v>164</v>
      </c>
      <c r="AE45" s="177" t="s">
        <v>215</v>
      </c>
      <c r="AF45" s="177">
        <v>22</v>
      </c>
      <c r="AG45" s="177" t="s">
        <v>115</v>
      </c>
      <c r="AH45" s="177" t="s">
        <v>166</v>
      </c>
      <c r="AI45" s="177" t="s">
        <v>80</v>
      </c>
      <c r="AJ45" s="178" t="s">
        <v>129</v>
      </c>
      <c r="AK45" s="306" t="s">
        <v>400</v>
      </c>
      <c r="AL45" s="177" t="s">
        <v>118</v>
      </c>
      <c r="AM45" s="178" t="s">
        <v>65</v>
      </c>
      <c r="AN45" s="178" t="s">
        <v>66</v>
      </c>
      <c r="AO45" s="178" t="s">
        <v>83</v>
      </c>
      <c r="AP45" s="178" t="s">
        <v>240</v>
      </c>
      <c r="AQ45" s="165" t="s">
        <v>259</v>
      </c>
    </row>
    <row r="46" spans="1:43" ht="15" hidden="1" customHeight="1" x14ac:dyDescent="0.25">
      <c r="A46" s="170">
        <v>2023</v>
      </c>
      <c r="B46" s="170" t="s">
        <v>306</v>
      </c>
      <c r="C46" s="170" t="s">
        <v>45</v>
      </c>
      <c r="D46" s="170" t="s">
        <v>401</v>
      </c>
      <c r="E46" s="170" t="s">
        <v>402</v>
      </c>
      <c r="F46" s="170" t="s">
        <v>48</v>
      </c>
      <c r="G46" s="177" t="s">
        <v>403</v>
      </c>
      <c r="H46" s="289">
        <v>44869</v>
      </c>
      <c r="I46" s="177">
        <f t="shared" si="2"/>
        <v>4</v>
      </c>
      <c r="J46" s="235">
        <v>45004</v>
      </c>
      <c r="K46" s="177" t="str">
        <f t="shared" si="1"/>
        <v>NUEVO</v>
      </c>
      <c r="L46" s="235" t="s">
        <v>50</v>
      </c>
      <c r="M46" s="177" t="s">
        <v>50</v>
      </c>
      <c r="N46" s="177" t="s">
        <v>50</v>
      </c>
      <c r="O46" s="177">
        <v>0</v>
      </c>
      <c r="P46" s="177" t="s">
        <v>51</v>
      </c>
      <c r="Q46" s="177" t="s">
        <v>50</v>
      </c>
      <c r="R46" s="178" t="s">
        <v>50</v>
      </c>
      <c r="S46" s="178" t="s">
        <v>264</v>
      </c>
      <c r="T46" s="163" t="s">
        <v>264</v>
      </c>
      <c r="U46" s="9" t="s">
        <v>310</v>
      </c>
      <c r="V46" s="163" t="s">
        <v>211</v>
      </c>
      <c r="W46" s="177" t="s">
        <v>50</v>
      </c>
      <c r="X46" s="177" t="s">
        <v>54</v>
      </c>
      <c r="Y46" s="236">
        <v>0.64583333333333337</v>
      </c>
      <c r="Z46" s="177" t="s">
        <v>404</v>
      </c>
      <c r="AA46" s="177" t="s">
        <v>316</v>
      </c>
      <c r="AB46" s="178"/>
      <c r="AC46" s="203"/>
      <c r="AD46" s="177" t="s">
        <v>269</v>
      </c>
      <c r="AE46" s="177" t="s">
        <v>405</v>
      </c>
      <c r="AF46" s="177">
        <v>29</v>
      </c>
      <c r="AG46" s="177" t="s">
        <v>59</v>
      </c>
      <c r="AH46" s="177" t="s">
        <v>227</v>
      </c>
      <c r="AI46" s="177" t="s">
        <v>80</v>
      </c>
      <c r="AJ46" s="178" t="s">
        <v>129</v>
      </c>
      <c r="AK46" s="179" t="s">
        <v>406</v>
      </c>
      <c r="AL46" s="243" t="s">
        <v>64</v>
      </c>
      <c r="AM46" s="178" t="s">
        <v>65</v>
      </c>
      <c r="AN46" s="178" t="s">
        <v>66</v>
      </c>
      <c r="AO46" s="178" t="s">
        <v>67</v>
      </c>
      <c r="AP46" s="178" t="s">
        <v>103</v>
      </c>
    </row>
    <row r="47" spans="1:43" s="175" customFormat="1" hidden="1" x14ac:dyDescent="0.2">
      <c r="A47" s="172">
        <v>2023</v>
      </c>
      <c r="B47" s="172" t="s">
        <v>306</v>
      </c>
      <c r="C47" s="172" t="s">
        <v>45</v>
      </c>
      <c r="D47" s="172" t="s">
        <v>407</v>
      </c>
      <c r="E47" s="172" t="s">
        <v>408</v>
      </c>
      <c r="F47" s="172" t="s">
        <v>71</v>
      </c>
      <c r="G47" s="37" t="s">
        <v>409</v>
      </c>
      <c r="H47" s="289">
        <v>42963</v>
      </c>
      <c r="I47" s="178">
        <f t="shared" si="2"/>
        <v>66</v>
      </c>
      <c r="J47" s="251">
        <v>44986</v>
      </c>
      <c r="K47" s="177" t="str">
        <f t="shared" si="1"/>
        <v>ANTIGUO</v>
      </c>
      <c r="L47" s="251">
        <v>44986</v>
      </c>
      <c r="M47" s="251">
        <v>44987</v>
      </c>
      <c r="N47" s="178" t="s">
        <v>50</v>
      </c>
      <c r="O47" s="285">
        <v>2</v>
      </c>
      <c r="P47" s="178" t="s">
        <v>88</v>
      </c>
      <c r="Q47" s="178" t="s">
        <v>89</v>
      </c>
      <c r="R47" s="178" t="s">
        <v>410</v>
      </c>
      <c r="S47" s="178" t="s">
        <v>173</v>
      </c>
      <c r="T47" s="178" t="s">
        <v>411</v>
      </c>
      <c r="U47" s="177" t="s">
        <v>53</v>
      </c>
      <c r="V47" s="178" t="s">
        <v>411</v>
      </c>
      <c r="W47" s="178" t="s">
        <v>50</v>
      </c>
      <c r="X47" s="178" t="s">
        <v>176</v>
      </c>
      <c r="Y47" s="253">
        <v>0.16666666666666666</v>
      </c>
      <c r="Z47" s="178" t="s">
        <v>55</v>
      </c>
      <c r="AA47" s="178" t="s">
        <v>282</v>
      </c>
      <c r="AB47" s="178">
        <v>15530</v>
      </c>
      <c r="AC47" s="202" t="s">
        <v>412</v>
      </c>
      <c r="AD47" s="178" t="s">
        <v>178</v>
      </c>
      <c r="AE47" s="178" t="s">
        <v>179</v>
      </c>
      <c r="AF47" s="178">
        <v>31</v>
      </c>
      <c r="AG47" s="178" t="s">
        <v>301</v>
      </c>
      <c r="AH47" s="178" t="s">
        <v>166</v>
      </c>
      <c r="AI47" s="178" t="s">
        <v>302</v>
      </c>
      <c r="AJ47" s="178" t="s">
        <v>413</v>
      </c>
      <c r="AK47" s="307" t="s">
        <v>414</v>
      </c>
      <c r="AL47" s="178" t="s">
        <v>64</v>
      </c>
      <c r="AM47" s="239" t="s">
        <v>65</v>
      </c>
      <c r="AN47" s="178" t="s">
        <v>65</v>
      </c>
      <c r="AO47" s="178" t="s">
        <v>218</v>
      </c>
      <c r="AP47" s="250" t="s">
        <v>284</v>
      </c>
      <c r="AQ47" s="299" t="s">
        <v>305</v>
      </c>
    </row>
    <row r="48" spans="1:43" ht="15" hidden="1" customHeight="1" x14ac:dyDescent="0.25">
      <c r="A48" s="170">
        <v>2023</v>
      </c>
      <c r="B48" s="170" t="s">
        <v>306</v>
      </c>
      <c r="C48" s="170" t="s">
        <v>45</v>
      </c>
      <c r="D48" s="170" t="s">
        <v>415</v>
      </c>
      <c r="E48" s="170" t="s">
        <v>416</v>
      </c>
      <c r="F48" s="170" t="s">
        <v>48</v>
      </c>
      <c r="G48" s="9" t="s">
        <v>417</v>
      </c>
      <c r="H48" s="289">
        <v>44263</v>
      </c>
      <c r="I48" s="177">
        <f t="shared" si="2"/>
        <v>24</v>
      </c>
      <c r="J48" s="235">
        <v>45012</v>
      </c>
      <c r="K48" s="177" t="str">
        <f t="shared" si="1"/>
        <v>ANTIGUO</v>
      </c>
      <c r="L48" s="177" t="s">
        <v>50</v>
      </c>
      <c r="M48" s="177" t="s">
        <v>50</v>
      </c>
      <c r="N48" s="177" t="s">
        <v>50</v>
      </c>
      <c r="O48" s="177">
        <v>0</v>
      </c>
      <c r="P48" s="177" t="s">
        <v>51</v>
      </c>
      <c r="Q48" s="177" t="s">
        <v>50</v>
      </c>
      <c r="R48" s="178" t="s">
        <v>50</v>
      </c>
      <c r="S48" s="178" t="s">
        <v>173</v>
      </c>
      <c r="T48" s="177" t="s">
        <v>389</v>
      </c>
      <c r="U48" s="177" t="s">
        <v>53</v>
      </c>
      <c r="V48" s="177" t="s">
        <v>418</v>
      </c>
      <c r="W48" s="177" t="s">
        <v>50</v>
      </c>
      <c r="X48" s="177" t="s">
        <v>151</v>
      </c>
      <c r="Y48" s="236">
        <v>0.60416666666666663</v>
      </c>
      <c r="Z48" s="177" t="s">
        <v>137</v>
      </c>
      <c r="AA48" s="177" t="s">
        <v>358</v>
      </c>
      <c r="AB48" s="285"/>
      <c r="AC48" s="203"/>
      <c r="AD48" s="177" t="s">
        <v>390</v>
      </c>
      <c r="AE48" s="177" t="s">
        <v>419</v>
      </c>
      <c r="AF48" s="177">
        <v>32</v>
      </c>
      <c r="AG48" s="177" t="s">
        <v>61</v>
      </c>
      <c r="AH48" s="177" t="s">
        <v>256</v>
      </c>
      <c r="AI48" s="177" t="s">
        <v>61</v>
      </c>
      <c r="AJ48" s="178" t="s">
        <v>61</v>
      </c>
      <c r="AK48" s="307" t="s">
        <v>420</v>
      </c>
      <c r="AL48" s="178" t="s">
        <v>64</v>
      </c>
      <c r="AM48" s="239" t="s">
        <v>65</v>
      </c>
      <c r="AN48" s="178" t="s">
        <v>66</v>
      </c>
      <c r="AO48" s="178" t="s">
        <v>67</v>
      </c>
      <c r="AP48" s="178" t="s">
        <v>103</v>
      </c>
      <c r="AQ48" s="245" t="s">
        <v>156</v>
      </c>
    </row>
    <row r="49" spans="1:43" ht="15" hidden="1" customHeight="1" x14ac:dyDescent="0.2">
      <c r="A49" s="170">
        <v>2023</v>
      </c>
      <c r="B49" s="170" t="s">
        <v>306</v>
      </c>
      <c r="C49" s="170" t="s">
        <v>45</v>
      </c>
      <c r="D49" s="170" t="s">
        <v>421</v>
      </c>
      <c r="E49" s="170" t="s">
        <v>422</v>
      </c>
      <c r="F49" s="170" t="s">
        <v>48</v>
      </c>
      <c r="G49" s="177" t="s">
        <v>423</v>
      </c>
      <c r="H49" s="289">
        <v>43752</v>
      </c>
      <c r="I49" s="177">
        <f t="shared" si="2"/>
        <v>40</v>
      </c>
      <c r="J49" s="235">
        <v>44993</v>
      </c>
      <c r="K49" s="177" t="str">
        <f t="shared" si="1"/>
        <v>ANTIGUO</v>
      </c>
      <c r="L49" s="177" t="s">
        <v>50</v>
      </c>
      <c r="M49" s="177" t="s">
        <v>50</v>
      </c>
      <c r="N49" s="177" t="s">
        <v>50</v>
      </c>
      <c r="O49" s="177">
        <v>0</v>
      </c>
      <c r="P49" s="177" t="s">
        <v>51</v>
      </c>
      <c r="Q49" s="177" t="s">
        <v>50</v>
      </c>
      <c r="R49" s="178" t="s">
        <v>50</v>
      </c>
      <c r="S49" s="178" t="s">
        <v>91</v>
      </c>
      <c r="T49" s="177" t="s">
        <v>123</v>
      </c>
      <c r="U49" s="177" t="s">
        <v>53</v>
      </c>
      <c r="V49" s="177" t="s">
        <v>424</v>
      </c>
      <c r="W49" s="177" t="s">
        <v>50</v>
      </c>
      <c r="X49" s="177" t="s">
        <v>151</v>
      </c>
      <c r="Y49" s="236">
        <v>0.76388888888888884</v>
      </c>
      <c r="Z49" s="177" t="s">
        <v>55</v>
      </c>
      <c r="AA49" s="177" t="s">
        <v>336</v>
      </c>
      <c r="AB49" s="178"/>
      <c r="AC49" s="203"/>
      <c r="AD49" s="177" t="s">
        <v>97</v>
      </c>
      <c r="AE49" s="177" t="s">
        <v>98</v>
      </c>
      <c r="AF49" s="177">
        <v>34</v>
      </c>
      <c r="AG49" s="177" t="s">
        <v>425</v>
      </c>
      <c r="AH49" s="177" t="s">
        <v>153</v>
      </c>
      <c r="AI49" s="177" t="s">
        <v>128</v>
      </c>
      <c r="AJ49" s="178" t="s">
        <v>293</v>
      </c>
      <c r="AK49" s="179" t="s">
        <v>426</v>
      </c>
      <c r="AL49" s="244" t="s">
        <v>118</v>
      </c>
      <c r="AM49" s="178" t="s">
        <v>65</v>
      </c>
      <c r="AN49" s="178" t="s">
        <v>66</v>
      </c>
      <c r="AO49" s="178" t="s">
        <v>83</v>
      </c>
      <c r="AP49" s="178" t="s">
        <v>84</v>
      </c>
    </row>
    <row r="50" spans="1:43" ht="15" hidden="1" customHeight="1" x14ac:dyDescent="0.2">
      <c r="A50" s="170">
        <v>2023</v>
      </c>
      <c r="B50" s="170" t="s">
        <v>306</v>
      </c>
      <c r="C50" s="170" t="s">
        <v>45</v>
      </c>
      <c r="D50" s="170" t="s">
        <v>427</v>
      </c>
      <c r="E50" s="170" t="s">
        <v>428</v>
      </c>
      <c r="F50" s="170" t="s">
        <v>71</v>
      </c>
      <c r="G50" s="177" t="s">
        <v>429</v>
      </c>
      <c r="H50" s="289">
        <v>44915</v>
      </c>
      <c r="I50" s="177">
        <f t="shared" si="2"/>
        <v>2</v>
      </c>
      <c r="J50" s="235">
        <v>44989</v>
      </c>
      <c r="K50" s="177" t="str">
        <f t="shared" si="1"/>
        <v>NUEVO</v>
      </c>
      <c r="L50" s="235" t="s">
        <v>50</v>
      </c>
      <c r="M50" s="177" t="s">
        <v>50</v>
      </c>
      <c r="N50" s="177" t="s">
        <v>50</v>
      </c>
      <c r="O50" s="178">
        <v>0</v>
      </c>
      <c r="P50" s="177" t="s">
        <v>51</v>
      </c>
      <c r="Q50" s="177" t="s">
        <v>50</v>
      </c>
      <c r="R50" s="178" t="s">
        <v>50</v>
      </c>
      <c r="S50" s="178" t="s">
        <v>160</v>
      </c>
      <c r="T50" s="177" t="s">
        <v>430</v>
      </c>
      <c r="U50" s="177" t="s">
        <v>53</v>
      </c>
      <c r="V50" s="177" t="s">
        <v>431</v>
      </c>
      <c r="W50" s="177" t="s">
        <v>50</v>
      </c>
      <c r="X50" s="177" t="s">
        <v>54</v>
      </c>
      <c r="Y50" s="236">
        <v>0.46527777777777773</v>
      </c>
      <c r="Z50" s="177" t="s">
        <v>95</v>
      </c>
      <c r="AA50" s="177" t="s">
        <v>282</v>
      </c>
      <c r="AB50" s="178"/>
      <c r="AC50" s="203"/>
      <c r="AD50" s="177" t="s">
        <v>164</v>
      </c>
      <c r="AE50" s="177" t="s">
        <v>215</v>
      </c>
      <c r="AF50" s="177">
        <v>43</v>
      </c>
      <c r="AG50" s="177" t="s">
        <v>79</v>
      </c>
      <c r="AH50" s="177" t="s">
        <v>256</v>
      </c>
      <c r="AI50" s="177" t="s">
        <v>80</v>
      </c>
      <c r="AJ50" s="178" t="s">
        <v>180</v>
      </c>
      <c r="AK50" s="307" t="s">
        <v>432</v>
      </c>
      <c r="AL50" s="177" t="s">
        <v>64</v>
      </c>
      <c r="AM50" s="239" t="s">
        <v>65</v>
      </c>
      <c r="AN50" s="178" t="s">
        <v>66</v>
      </c>
      <c r="AO50" s="178" t="s">
        <v>83</v>
      </c>
      <c r="AP50" s="178" t="s">
        <v>284</v>
      </c>
      <c r="AQ50" s="245" t="s">
        <v>169</v>
      </c>
    </row>
    <row r="51" spans="1:43" ht="15" hidden="1" customHeight="1" x14ac:dyDescent="0.2">
      <c r="A51" s="172">
        <v>2023</v>
      </c>
      <c r="B51" s="172" t="s">
        <v>306</v>
      </c>
      <c r="C51" s="172" t="s">
        <v>45</v>
      </c>
      <c r="D51" s="172" t="s">
        <v>433</v>
      </c>
      <c r="E51" s="172" t="s">
        <v>286</v>
      </c>
      <c r="F51" s="172" t="s">
        <v>48</v>
      </c>
      <c r="G51" s="178" t="s">
        <v>434</v>
      </c>
      <c r="H51" s="289">
        <v>44851</v>
      </c>
      <c r="I51" s="178">
        <f t="shared" si="2"/>
        <v>4</v>
      </c>
      <c r="J51" s="251">
        <v>44988</v>
      </c>
      <c r="K51" s="177" t="str">
        <f t="shared" si="1"/>
        <v>NUEVO</v>
      </c>
      <c r="L51" s="251">
        <v>44988</v>
      </c>
      <c r="M51" s="251">
        <v>44988</v>
      </c>
      <c r="N51" s="178" t="s">
        <v>50</v>
      </c>
      <c r="O51" s="178">
        <v>0</v>
      </c>
      <c r="P51" s="178" t="s">
        <v>51</v>
      </c>
      <c r="Q51" s="178" t="s">
        <v>50</v>
      </c>
      <c r="R51" s="178" t="s">
        <v>50</v>
      </c>
      <c r="S51" s="178" t="s">
        <v>91</v>
      </c>
      <c r="T51" s="178" t="s">
        <v>435</v>
      </c>
      <c r="U51" s="177" t="s">
        <v>53</v>
      </c>
      <c r="V51" s="178" t="s">
        <v>435</v>
      </c>
      <c r="W51" s="178" t="s">
        <v>50</v>
      </c>
      <c r="X51" s="178" t="s">
        <v>54</v>
      </c>
      <c r="Y51" s="253">
        <v>0.29166666666666669</v>
      </c>
      <c r="Z51" s="178" t="s">
        <v>111</v>
      </c>
      <c r="AA51" s="178" t="s">
        <v>282</v>
      </c>
      <c r="AB51" s="178">
        <v>15542</v>
      </c>
      <c r="AC51" s="202" t="s">
        <v>436</v>
      </c>
      <c r="AD51" s="178" t="s">
        <v>97</v>
      </c>
      <c r="AE51" s="178" t="s">
        <v>437</v>
      </c>
      <c r="AF51" s="178">
        <v>37</v>
      </c>
      <c r="AG51" s="178" t="s">
        <v>383</v>
      </c>
      <c r="AH51" s="178" t="s">
        <v>227</v>
      </c>
      <c r="AI51" s="178" t="s">
        <v>228</v>
      </c>
      <c r="AJ51" s="178" t="s">
        <v>229</v>
      </c>
      <c r="AK51" s="179" t="s">
        <v>438</v>
      </c>
      <c r="AL51" s="242" t="s">
        <v>118</v>
      </c>
      <c r="AM51" s="178" t="s">
        <v>65</v>
      </c>
      <c r="AN51" s="178" t="s">
        <v>65</v>
      </c>
      <c r="AO51" s="178" t="s">
        <v>83</v>
      </c>
      <c r="AP51" s="178" t="s">
        <v>103</v>
      </c>
      <c r="AQ51" s="165" t="s">
        <v>439</v>
      </c>
    </row>
    <row r="52" spans="1:43" ht="15" hidden="1" customHeight="1" x14ac:dyDescent="0.2">
      <c r="A52" s="170">
        <v>2023</v>
      </c>
      <c r="B52" s="170" t="s">
        <v>306</v>
      </c>
      <c r="C52" s="170" t="s">
        <v>45</v>
      </c>
      <c r="D52" s="170" t="s">
        <v>440</v>
      </c>
      <c r="E52" s="170" t="s">
        <v>441</v>
      </c>
      <c r="F52" s="170" t="s">
        <v>48</v>
      </c>
      <c r="G52" s="177" t="s">
        <v>442</v>
      </c>
      <c r="H52" s="289">
        <v>43423</v>
      </c>
      <c r="I52" s="177">
        <f t="shared" si="2"/>
        <v>52</v>
      </c>
      <c r="J52" s="235">
        <v>45008</v>
      </c>
      <c r="K52" s="177" t="str">
        <f t="shared" si="1"/>
        <v>ANTIGUO</v>
      </c>
      <c r="L52" s="235" t="s">
        <v>50</v>
      </c>
      <c r="M52" s="177" t="s">
        <v>50</v>
      </c>
      <c r="N52" s="177" t="s">
        <v>50</v>
      </c>
      <c r="O52" s="177">
        <v>0</v>
      </c>
      <c r="P52" s="177" t="s">
        <v>51</v>
      </c>
      <c r="Q52" s="177" t="s">
        <v>50</v>
      </c>
      <c r="R52" s="178" t="s">
        <v>50</v>
      </c>
      <c r="S52" s="178" t="s">
        <v>160</v>
      </c>
      <c r="T52" s="177" t="s">
        <v>191</v>
      </c>
      <c r="U52" s="177" t="s">
        <v>53</v>
      </c>
      <c r="V52" s="177"/>
      <c r="W52" s="177" t="s">
        <v>50</v>
      </c>
      <c r="X52" s="177" t="s">
        <v>54</v>
      </c>
      <c r="Y52" s="236"/>
      <c r="Z52" s="177" t="s">
        <v>76</v>
      </c>
      <c r="AA52" s="177" t="s">
        <v>311</v>
      </c>
      <c r="AB52" s="178"/>
      <c r="AC52" s="203"/>
      <c r="AD52" s="177" t="s">
        <v>164</v>
      </c>
      <c r="AE52" s="177"/>
      <c r="AF52" s="177">
        <v>49</v>
      </c>
      <c r="AG52" s="177" t="s">
        <v>59</v>
      </c>
      <c r="AH52" s="177" t="s">
        <v>256</v>
      </c>
      <c r="AI52" s="177" t="s">
        <v>61</v>
      </c>
      <c r="AJ52" s="178" t="s">
        <v>62</v>
      </c>
      <c r="AK52" s="306" t="s">
        <v>443</v>
      </c>
      <c r="AL52" s="243" t="s">
        <v>64</v>
      </c>
      <c r="AM52" s="178" t="s">
        <v>65</v>
      </c>
      <c r="AN52" s="178" t="s">
        <v>66</v>
      </c>
      <c r="AO52" s="178" t="s">
        <v>83</v>
      </c>
      <c r="AP52" s="178" t="s">
        <v>103</v>
      </c>
      <c r="AQ52" s="245" t="s">
        <v>219</v>
      </c>
    </row>
    <row r="53" spans="1:43" s="175" customFormat="1" ht="15" hidden="1" customHeight="1" x14ac:dyDescent="0.2">
      <c r="A53" s="172">
        <v>2023</v>
      </c>
      <c r="B53" s="172" t="s">
        <v>306</v>
      </c>
      <c r="C53" s="172" t="s">
        <v>45</v>
      </c>
      <c r="D53" s="172" t="s">
        <v>444</v>
      </c>
      <c r="E53" s="172" t="s">
        <v>445</v>
      </c>
      <c r="F53" s="172" t="s">
        <v>71</v>
      </c>
      <c r="G53" s="172" t="s">
        <v>446</v>
      </c>
      <c r="H53" s="290">
        <v>41596</v>
      </c>
      <c r="I53" s="172">
        <f t="shared" si="2"/>
        <v>112</v>
      </c>
      <c r="J53" s="297">
        <v>45007</v>
      </c>
      <c r="K53" s="177" t="str">
        <f t="shared" si="1"/>
        <v>ANTIGUO</v>
      </c>
      <c r="L53" s="297">
        <v>44995</v>
      </c>
      <c r="M53" s="297">
        <v>44995</v>
      </c>
      <c r="N53" s="172" t="s">
        <v>50</v>
      </c>
      <c r="O53" s="172">
        <v>0</v>
      </c>
      <c r="P53" s="172" t="s">
        <v>51</v>
      </c>
      <c r="Q53" s="172" t="s">
        <v>50</v>
      </c>
      <c r="R53" s="172" t="s">
        <v>50</v>
      </c>
      <c r="S53" s="172" t="s">
        <v>173</v>
      </c>
      <c r="T53" s="172" t="s">
        <v>389</v>
      </c>
      <c r="U53" s="177" t="s">
        <v>53</v>
      </c>
      <c r="V53" s="172" t="s">
        <v>447</v>
      </c>
      <c r="W53" s="172" t="s">
        <v>50</v>
      </c>
      <c r="X53" s="172" t="s">
        <v>54</v>
      </c>
      <c r="Y53" s="305">
        <v>0.4861111111111111</v>
      </c>
      <c r="Z53" s="172" t="s">
        <v>55</v>
      </c>
      <c r="AA53" s="172" t="s">
        <v>311</v>
      </c>
      <c r="AB53" s="172">
        <v>15582</v>
      </c>
      <c r="AC53" s="202" t="s">
        <v>448</v>
      </c>
      <c r="AD53" s="172" t="s">
        <v>390</v>
      </c>
      <c r="AE53" s="172" t="s">
        <v>449</v>
      </c>
      <c r="AF53" s="172">
        <v>58</v>
      </c>
      <c r="AG53" s="172" t="s">
        <v>142</v>
      </c>
      <c r="AH53" s="172" t="s">
        <v>450</v>
      </c>
      <c r="AI53" s="172" t="s">
        <v>80</v>
      </c>
      <c r="AJ53" s="172" t="s">
        <v>81</v>
      </c>
      <c r="AK53" s="308" t="s">
        <v>451</v>
      </c>
      <c r="AL53" s="172" t="s">
        <v>118</v>
      </c>
      <c r="AM53" s="295" t="s">
        <v>65</v>
      </c>
      <c r="AN53" s="172" t="s">
        <v>65</v>
      </c>
      <c r="AO53" s="172" t="s">
        <v>67</v>
      </c>
      <c r="AP53" s="172" t="s">
        <v>240</v>
      </c>
      <c r="AQ53" s="245" t="s">
        <v>195</v>
      </c>
    </row>
    <row r="54" spans="1:43" ht="15" hidden="1" customHeight="1" x14ac:dyDescent="0.2">
      <c r="A54" s="170">
        <v>2023</v>
      </c>
      <c r="B54" s="170" t="s">
        <v>306</v>
      </c>
      <c r="C54" s="170" t="s">
        <v>45</v>
      </c>
      <c r="D54" s="170" t="s">
        <v>452</v>
      </c>
      <c r="E54" s="170" t="s">
        <v>453</v>
      </c>
      <c r="F54" s="170" t="s">
        <v>48</v>
      </c>
      <c r="G54" s="177" t="s">
        <v>454</v>
      </c>
      <c r="H54" s="289">
        <v>43633</v>
      </c>
      <c r="I54" s="177">
        <f t="shared" si="2"/>
        <v>44</v>
      </c>
      <c r="J54" s="235">
        <v>44986</v>
      </c>
      <c r="K54" s="177" t="str">
        <f t="shared" si="1"/>
        <v>ANTIGUO</v>
      </c>
      <c r="L54" s="177" t="s">
        <v>50</v>
      </c>
      <c r="M54" s="177" t="s">
        <v>50</v>
      </c>
      <c r="N54" s="177" t="s">
        <v>50</v>
      </c>
      <c r="O54" s="177">
        <v>0</v>
      </c>
      <c r="P54" s="177" t="s">
        <v>51</v>
      </c>
      <c r="Q54" s="177" t="s">
        <v>50</v>
      </c>
      <c r="R54" s="178" t="s">
        <v>50</v>
      </c>
      <c r="S54" s="178" t="s">
        <v>173</v>
      </c>
      <c r="T54" s="177" t="s">
        <v>123</v>
      </c>
      <c r="U54" s="177" t="s">
        <v>53</v>
      </c>
      <c r="V54" s="177" t="s">
        <v>424</v>
      </c>
      <c r="W54" s="177" t="s">
        <v>50</v>
      </c>
      <c r="X54" s="177" t="s">
        <v>176</v>
      </c>
      <c r="Y54" s="236">
        <v>0.92013888888888884</v>
      </c>
      <c r="Z54" s="177" t="s">
        <v>55</v>
      </c>
      <c r="AA54" s="177" t="s">
        <v>282</v>
      </c>
      <c r="AB54" s="178"/>
      <c r="AC54" s="203"/>
      <c r="AD54" s="177" t="s">
        <v>178</v>
      </c>
      <c r="AE54" s="177" t="s">
        <v>202</v>
      </c>
      <c r="AF54" s="177">
        <v>59</v>
      </c>
      <c r="AG54" s="177" t="s">
        <v>301</v>
      </c>
      <c r="AH54" s="177" t="s">
        <v>227</v>
      </c>
      <c r="AI54" s="177" t="s">
        <v>61</v>
      </c>
      <c r="AJ54" s="178" t="s">
        <v>229</v>
      </c>
      <c r="AK54" s="306" t="s">
        <v>455</v>
      </c>
      <c r="AL54" s="242" t="s">
        <v>64</v>
      </c>
      <c r="AM54" s="178" t="s">
        <v>65</v>
      </c>
      <c r="AN54" s="178" t="s">
        <v>66</v>
      </c>
      <c r="AO54" s="178" t="s">
        <v>218</v>
      </c>
      <c r="AP54" s="178" t="s">
        <v>240</v>
      </c>
      <c r="AQ54" s="346" t="s">
        <v>305</v>
      </c>
    </row>
    <row r="55" spans="1:43" s="296" customFormat="1" ht="15" hidden="1" customHeight="1" x14ac:dyDescent="0.2">
      <c r="A55" s="170">
        <v>2023</v>
      </c>
      <c r="B55" s="170" t="s">
        <v>456</v>
      </c>
      <c r="C55" s="170" t="s">
        <v>45</v>
      </c>
      <c r="D55" s="170" t="s">
        <v>457</v>
      </c>
      <c r="E55" s="170" t="s">
        <v>458</v>
      </c>
      <c r="F55" s="170" t="s">
        <v>48</v>
      </c>
      <c r="G55" s="177" t="s">
        <v>459</v>
      </c>
      <c r="H55" s="289">
        <v>44791</v>
      </c>
      <c r="I55" s="177">
        <f t="shared" si="2"/>
        <v>7</v>
      </c>
      <c r="J55" s="235">
        <v>45020</v>
      </c>
      <c r="K55" s="177" t="str">
        <f t="shared" si="1"/>
        <v>INTERMEDIO</v>
      </c>
      <c r="L55" s="235" t="s">
        <v>50</v>
      </c>
      <c r="M55" s="177" t="s">
        <v>50</v>
      </c>
      <c r="N55" s="177" t="s">
        <v>50</v>
      </c>
      <c r="O55" s="177">
        <v>0</v>
      </c>
      <c r="P55" s="177" t="s">
        <v>51</v>
      </c>
      <c r="Q55" s="177" t="s">
        <v>50</v>
      </c>
      <c r="R55" s="178" t="s">
        <v>50</v>
      </c>
      <c r="S55" s="178" t="s">
        <v>160</v>
      </c>
      <c r="T55" s="177" t="s">
        <v>191</v>
      </c>
      <c r="U55" s="177" t="s">
        <v>53</v>
      </c>
      <c r="V55" s="177" t="s">
        <v>460</v>
      </c>
      <c r="W55" s="177" t="s">
        <v>50</v>
      </c>
      <c r="X55" s="177" t="s">
        <v>151</v>
      </c>
      <c r="Y55" s="236">
        <v>3.125E-2</v>
      </c>
      <c r="Z55" s="177" t="s">
        <v>55</v>
      </c>
      <c r="AA55" s="177" t="s">
        <v>461</v>
      </c>
      <c r="AB55" s="178"/>
      <c r="AC55" s="203"/>
      <c r="AD55" s="177" t="s">
        <v>164</v>
      </c>
      <c r="AE55" s="177" t="s">
        <v>215</v>
      </c>
      <c r="AF55" s="177">
        <v>27</v>
      </c>
      <c r="AG55" s="177" t="s">
        <v>271</v>
      </c>
      <c r="AH55" s="177" t="s">
        <v>256</v>
      </c>
      <c r="AI55" s="177" t="s">
        <v>61</v>
      </c>
      <c r="AJ55" s="178" t="s">
        <v>62</v>
      </c>
      <c r="AK55" s="306" t="s">
        <v>462</v>
      </c>
      <c r="AL55" s="177" t="s">
        <v>64</v>
      </c>
      <c r="AM55" s="178" t="s">
        <v>65</v>
      </c>
      <c r="AN55" s="178" t="s">
        <v>66</v>
      </c>
      <c r="AO55" s="178" t="s">
        <v>83</v>
      </c>
      <c r="AP55" s="250" t="s">
        <v>284</v>
      </c>
      <c r="AQ55" s="245" t="s">
        <v>219</v>
      </c>
    </row>
    <row r="56" spans="1:43" s="296" customFormat="1" ht="15" hidden="1" customHeight="1" x14ac:dyDescent="0.2">
      <c r="A56" s="170">
        <v>2023</v>
      </c>
      <c r="B56" s="170" t="s">
        <v>456</v>
      </c>
      <c r="C56" s="170" t="s">
        <v>45</v>
      </c>
      <c r="D56" s="170" t="s">
        <v>463</v>
      </c>
      <c r="E56" s="170" t="s">
        <v>464</v>
      </c>
      <c r="F56" s="170" t="s">
        <v>48</v>
      </c>
      <c r="G56" s="177" t="s">
        <v>465</v>
      </c>
      <c r="H56" s="289">
        <v>44774</v>
      </c>
      <c r="I56" s="177">
        <f t="shared" si="2"/>
        <v>8</v>
      </c>
      <c r="J56" s="235">
        <v>45028</v>
      </c>
      <c r="K56" s="177" t="str">
        <f t="shared" si="1"/>
        <v>INTERMEDIO</v>
      </c>
      <c r="L56" s="235" t="s">
        <v>50</v>
      </c>
      <c r="M56" s="177" t="s">
        <v>50</v>
      </c>
      <c r="N56" s="177" t="s">
        <v>50</v>
      </c>
      <c r="O56" s="177">
        <v>0</v>
      </c>
      <c r="P56" s="177" t="s">
        <v>51</v>
      </c>
      <c r="Q56" s="177" t="s">
        <v>89</v>
      </c>
      <c r="R56" s="178" t="s">
        <v>263</v>
      </c>
      <c r="S56" s="178" t="s">
        <v>134</v>
      </c>
      <c r="T56" s="177" t="s">
        <v>134</v>
      </c>
      <c r="U56" s="177" t="s">
        <v>53</v>
      </c>
      <c r="V56" s="177" t="s">
        <v>466</v>
      </c>
      <c r="W56" s="177" t="s">
        <v>267</v>
      </c>
      <c r="X56" s="177" t="s">
        <v>54</v>
      </c>
      <c r="Y56" s="236">
        <v>0.40625</v>
      </c>
      <c r="Z56" s="177" t="s">
        <v>55</v>
      </c>
      <c r="AA56" s="177" t="s">
        <v>467</v>
      </c>
      <c r="AB56" s="178"/>
      <c r="AC56" s="203"/>
      <c r="AD56" s="177" t="s">
        <v>140</v>
      </c>
      <c r="AE56" s="177" t="s">
        <v>468</v>
      </c>
      <c r="AF56" s="177">
        <v>20</v>
      </c>
      <c r="AG56" s="177" t="s">
        <v>99</v>
      </c>
      <c r="AH56" s="177" t="s">
        <v>153</v>
      </c>
      <c r="AI56" s="177" t="s">
        <v>80</v>
      </c>
      <c r="AJ56" s="178" t="s">
        <v>129</v>
      </c>
      <c r="AK56" s="179" t="s">
        <v>469</v>
      </c>
      <c r="AL56" s="237" t="s">
        <v>64</v>
      </c>
      <c r="AM56" s="178" t="s">
        <v>65</v>
      </c>
      <c r="AN56" s="178" t="s">
        <v>66</v>
      </c>
      <c r="AO56" s="178" t="s">
        <v>83</v>
      </c>
      <c r="AP56" s="178" t="s">
        <v>103</v>
      </c>
      <c r="AQ56" s="245"/>
    </row>
    <row r="57" spans="1:43" ht="15" hidden="1" customHeight="1" x14ac:dyDescent="0.2">
      <c r="A57" s="170">
        <v>2023</v>
      </c>
      <c r="B57" s="170" t="s">
        <v>456</v>
      </c>
      <c r="C57" s="170" t="s">
        <v>45</v>
      </c>
      <c r="D57" s="170" t="s">
        <v>470</v>
      </c>
      <c r="E57" s="170" t="s">
        <v>471</v>
      </c>
      <c r="F57" s="170" t="s">
        <v>48</v>
      </c>
      <c r="G57" s="177" t="s">
        <v>472</v>
      </c>
      <c r="H57" s="289">
        <v>38153</v>
      </c>
      <c r="I57" s="177">
        <f t="shared" si="2"/>
        <v>226</v>
      </c>
      <c r="J57" s="235">
        <v>45034</v>
      </c>
      <c r="K57" s="177" t="str">
        <f t="shared" si="1"/>
        <v>ANTIGUO</v>
      </c>
      <c r="L57" s="177" t="s">
        <v>50</v>
      </c>
      <c r="M57" s="177" t="s">
        <v>50</v>
      </c>
      <c r="N57" s="177" t="s">
        <v>50</v>
      </c>
      <c r="O57" s="177">
        <v>0</v>
      </c>
      <c r="P57" s="177" t="s">
        <v>51</v>
      </c>
      <c r="Q57" s="177" t="s">
        <v>50</v>
      </c>
      <c r="R57" s="178" t="s">
        <v>50</v>
      </c>
      <c r="S57" s="178" t="s">
        <v>73</v>
      </c>
      <c r="T57" s="177" t="s">
        <v>473</v>
      </c>
      <c r="U57" s="177" t="s">
        <v>53</v>
      </c>
      <c r="V57" s="177" t="s">
        <v>473</v>
      </c>
      <c r="W57" s="177" t="s">
        <v>50</v>
      </c>
      <c r="X57" s="177" t="s">
        <v>151</v>
      </c>
      <c r="Y57" s="236">
        <v>0.64583333333333337</v>
      </c>
      <c r="Z57" s="177" t="s">
        <v>125</v>
      </c>
      <c r="AA57" s="177" t="s">
        <v>474</v>
      </c>
      <c r="AB57" s="178"/>
      <c r="AC57" s="203"/>
      <c r="AD57" s="177" t="s">
        <v>77</v>
      </c>
      <c r="AE57" s="177" t="s">
        <v>378</v>
      </c>
      <c r="AF57" s="177">
        <v>63</v>
      </c>
      <c r="AG57" s="177" t="s">
        <v>475</v>
      </c>
      <c r="AH57" s="177" t="s">
        <v>60</v>
      </c>
      <c r="AI57" s="177" t="s">
        <v>80</v>
      </c>
      <c r="AJ57" s="178" t="s">
        <v>62</v>
      </c>
      <c r="AK57" s="238" t="s">
        <v>476</v>
      </c>
      <c r="AL57" s="178" t="s">
        <v>64</v>
      </c>
      <c r="AM57" s="239" t="s">
        <v>65</v>
      </c>
      <c r="AN57" s="178" t="s">
        <v>66</v>
      </c>
      <c r="AO57" s="178" t="s">
        <v>67</v>
      </c>
      <c r="AP57" s="178" t="s">
        <v>250</v>
      </c>
      <c r="AQ57" s="245"/>
    </row>
    <row r="58" spans="1:43" s="296" customFormat="1" ht="15.75" hidden="1" customHeight="1" x14ac:dyDescent="0.2">
      <c r="A58" s="170">
        <v>2023</v>
      </c>
      <c r="B58" s="170" t="s">
        <v>456</v>
      </c>
      <c r="C58" s="170" t="s">
        <v>45</v>
      </c>
      <c r="D58" s="170" t="s">
        <v>477</v>
      </c>
      <c r="E58" s="170" t="s">
        <v>478</v>
      </c>
      <c r="F58" s="170" t="s">
        <v>48</v>
      </c>
      <c r="G58" s="177" t="s">
        <v>479</v>
      </c>
      <c r="H58" s="289">
        <v>44348</v>
      </c>
      <c r="I58" s="177">
        <f t="shared" si="2"/>
        <v>22</v>
      </c>
      <c r="J58" s="235">
        <v>45033</v>
      </c>
      <c r="K58" s="177" t="str">
        <f t="shared" si="1"/>
        <v>ANTIGUO</v>
      </c>
      <c r="L58" s="177" t="s">
        <v>50</v>
      </c>
      <c r="M58" s="177" t="s">
        <v>50</v>
      </c>
      <c r="N58" s="177" t="s">
        <v>50</v>
      </c>
      <c r="O58" s="177">
        <v>0</v>
      </c>
      <c r="P58" s="177" t="s">
        <v>51</v>
      </c>
      <c r="Q58" s="177" t="s">
        <v>89</v>
      </c>
      <c r="R58" s="178" t="s">
        <v>263</v>
      </c>
      <c r="S58" s="178" t="s">
        <v>73</v>
      </c>
      <c r="T58" s="177" t="s">
        <v>73</v>
      </c>
      <c r="U58" s="177" t="s">
        <v>53</v>
      </c>
      <c r="V58" s="177" t="s">
        <v>480</v>
      </c>
      <c r="W58" s="177" t="s">
        <v>267</v>
      </c>
      <c r="X58" s="177" t="s">
        <v>54</v>
      </c>
      <c r="Y58" s="236">
        <v>0.42083333333333334</v>
      </c>
      <c r="Z58" s="177" t="s">
        <v>137</v>
      </c>
      <c r="AA58" s="177" t="s">
        <v>474</v>
      </c>
      <c r="AB58" s="178"/>
      <c r="AC58" s="203"/>
      <c r="AD58" s="177" t="s">
        <v>77</v>
      </c>
      <c r="AE58" s="177" t="s">
        <v>323</v>
      </c>
      <c r="AF58" s="177">
        <v>42</v>
      </c>
      <c r="AG58" s="177" t="s">
        <v>271</v>
      </c>
      <c r="AH58" s="177" t="s">
        <v>60</v>
      </c>
      <c r="AI58" s="177" t="s">
        <v>80</v>
      </c>
      <c r="AJ58" s="178" t="s">
        <v>129</v>
      </c>
      <c r="AK58" s="179" t="s">
        <v>481</v>
      </c>
      <c r="AL58" s="242" t="s">
        <v>64</v>
      </c>
      <c r="AM58" s="178" t="s">
        <v>65</v>
      </c>
      <c r="AN58" s="178" t="s">
        <v>66</v>
      </c>
      <c r="AO58" s="178" t="s">
        <v>67</v>
      </c>
      <c r="AP58" s="178" t="s">
        <v>284</v>
      </c>
      <c r="AQ58" s="245"/>
    </row>
    <row r="59" spans="1:43" s="296" customFormat="1" ht="15" hidden="1" customHeight="1" x14ac:dyDescent="0.2">
      <c r="A59" s="170">
        <v>2023</v>
      </c>
      <c r="B59" s="170" t="s">
        <v>456</v>
      </c>
      <c r="C59" s="170" t="s">
        <v>45</v>
      </c>
      <c r="D59" s="170" t="s">
        <v>482</v>
      </c>
      <c r="E59" s="170" t="s">
        <v>483</v>
      </c>
      <c r="F59" s="170" t="s">
        <v>71</v>
      </c>
      <c r="G59" s="177" t="s">
        <v>484</v>
      </c>
      <c r="H59" s="289">
        <v>44326</v>
      </c>
      <c r="I59" s="177">
        <f t="shared" si="2"/>
        <v>23</v>
      </c>
      <c r="J59" s="235">
        <v>45027</v>
      </c>
      <c r="K59" s="177" t="str">
        <f t="shared" si="1"/>
        <v>ANTIGUO</v>
      </c>
      <c r="L59" s="177" t="s">
        <v>50</v>
      </c>
      <c r="M59" s="177" t="s">
        <v>50</v>
      </c>
      <c r="N59" s="177" t="s">
        <v>50</v>
      </c>
      <c r="O59" s="177">
        <v>0</v>
      </c>
      <c r="P59" s="177" t="s">
        <v>51</v>
      </c>
      <c r="Q59" s="177" t="s">
        <v>50</v>
      </c>
      <c r="R59" s="178" t="s">
        <v>50</v>
      </c>
      <c r="S59" s="178" t="s">
        <v>160</v>
      </c>
      <c r="T59" s="177" t="s">
        <v>191</v>
      </c>
      <c r="U59" s="177" t="s">
        <v>53</v>
      </c>
      <c r="V59" s="177" t="s">
        <v>480</v>
      </c>
      <c r="W59" s="177" t="s">
        <v>50</v>
      </c>
      <c r="X59" s="177" t="s">
        <v>54</v>
      </c>
      <c r="Y59" s="236">
        <v>0.37152777777777773</v>
      </c>
      <c r="Z59" s="177" t="s">
        <v>125</v>
      </c>
      <c r="AA59" s="177" t="s">
        <v>467</v>
      </c>
      <c r="AB59" s="178"/>
      <c r="AC59" s="203"/>
      <c r="AD59" s="177" t="s">
        <v>164</v>
      </c>
      <c r="AE59" s="177" t="s">
        <v>485</v>
      </c>
      <c r="AF59" s="177">
        <v>25</v>
      </c>
      <c r="AG59" s="177" t="s">
        <v>142</v>
      </c>
      <c r="AH59" s="177" t="s">
        <v>143</v>
      </c>
      <c r="AI59" s="177" t="s">
        <v>80</v>
      </c>
      <c r="AJ59" s="178" t="s">
        <v>81</v>
      </c>
      <c r="AK59" s="306" t="s">
        <v>486</v>
      </c>
      <c r="AL59" s="178" t="s">
        <v>118</v>
      </c>
      <c r="AM59" s="178" t="s">
        <v>65</v>
      </c>
      <c r="AN59" s="178" t="s">
        <v>66</v>
      </c>
      <c r="AO59" s="178" t="s">
        <v>83</v>
      </c>
      <c r="AP59" s="178" t="s">
        <v>103</v>
      </c>
      <c r="AQ59" s="245" t="s">
        <v>146</v>
      </c>
    </row>
    <row r="60" spans="1:43" ht="15" hidden="1" customHeight="1" x14ac:dyDescent="0.25">
      <c r="A60" s="170">
        <v>2023</v>
      </c>
      <c r="B60" s="170" t="s">
        <v>456</v>
      </c>
      <c r="C60" s="170" t="s">
        <v>45</v>
      </c>
      <c r="D60" s="170" t="s">
        <v>487</v>
      </c>
      <c r="E60" s="170" t="s">
        <v>488</v>
      </c>
      <c r="F60" s="170" t="s">
        <v>71</v>
      </c>
      <c r="G60" s="177" t="s">
        <v>489</v>
      </c>
      <c r="H60" s="10">
        <v>44887</v>
      </c>
      <c r="I60" s="177">
        <f t="shared" si="2"/>
        <v>4</v>
      </c>
      <c r="J60" s="235">
        <v>45035</v>
      </c>
      <c r="K60" s="177" t="str">
        <f t="shared" si="1"/>
        <v>NUEVO</v>
      </c>
      <c r="L60" s="177" t="s">
        <v>50</v>
      </c>
      <c r="M60" s="177" t="s">
        <v>50</v>
      </c>
      <c r="N60" s="177" t="s">
        <v>50</v>
      </c>
      <c r="O60" s="177">
        <v>0</v>
      </c>
      <c r="P60" s="177" t="s">
        <v>51</v>
      </c>
      <c r="Q60" s="177" t="s">
        <v>50</v>
      </c>
      <c r="R60" s="178" t="s">
        <v>50</v>
      </c>
      <c r="S60" s="178" t="s">
        <v>73</v>
      </c>
      <c r="T60" s="177" t="s">
        <v>473</v>
      </c>
      <c r="U60" s="177" t="s">
        <v>53</v>
      </c>
      <c r="V60" s="177" t="s">
        <v>473</v>
      </c>
      <c r="W60" s="177" t="s">
        <v>50</v>
      </c>
      <c r="X60" s="177" t="s">
        <v>151</v>
      </c>
      <c r="Y60" s="236">
        <v>0.79166666666666663</v>
      </c>
      <c r="Z60" s="177" t="s">
        <v>55</v>
      </c>
      <c r="AA60" s="177" t="s">
        <v>474</v>
      </c>
      <c r="AB60" s="178"/>
      <c r="AC60" s="203"/>
      <c r="AD60" s="177" t="s">
        <v>77</v>
      </c>
      <c r="AE60" s="177" t="s">
        <v>378</v>
      </c>
      <c r="AF60" s="177">
        <v>35</v>
      </c>
      <c r="AG60" s="177" t="s">
        <v>226</v>
      </c>
      <c r="AH60" s="177" t="s">
        <v>227</v>
      </c>
      <c r="AI60" s="177" t="s">
        <v>228</v>
      </c>
      <c r="AJ60" s="178" t="s">
        <v>229</v>
      </c>
      <c r="AK60" s="179" t="s">
        <v>490</v>
      </c>
      <c r="AL60" s="237" t="s">
        <v>64</v>
      </c>
      <c r="AM60" s="178" t="s">
        <v>65</v>
      </c>
      <c r="AN60" s="178" t="s">
        <v>66</v>
      </c>
      <c r="AO60" s="178" t="s">
        <v>83</v>
      </c>
      <c r="AP60" s="178" t="s">
        <v>240</v>
      </c>
      <c r="AQ60" s="245"/>
    </row>
    <row r="61" spans="1:43" ht="15" hidden="1" customHeight="1" x14ac:dyDescent="0.25">
      <c r="A61" s="170">
        <v>2023</v>
      </c>
      <c r="B61" s="170" t="s">
        <v>456</v>
      </c>
      <c r="C61" s="170" t="s">
        <v>45</v>
      </c>
      <c r="D61" s="170" t="s">
        <v>491</v>
      </c>
      <c r="E61" s="170" t="s">
        <v>492</v>
      </c>
      <c r="F61" s="170" t="s">
        <v>71</v>
      </c>
      <c r="G61" s="177" t="s">
        <v>493</v>
      </c>
      <c r="H61" s="10">
        <v>44935</v>
      </c>
      <c r="I61" s="177">
        <f t="shared" si="2"/>
        <v>3</v>
      </c>
      <c r="J61" s="235">
        <v>45040</v>
      </c>
      <c r="K61" s="177" t="str">
        <f t="shared" si="1"/>
        <v>NUEVO</v>
      </c>
      <c r="L61" s="235" t="s">
        <v>50</v>
      </c>
      <c r="M61" s="177" t="s">
        <v>50</v>
      </c>
      <c r="N61" s="177" t="s">
        <v>50</v>
      </c>
      <c r="O61" s="177">
        <v>0</v>
      </c>
      <c r="P61" s="177" t="s">
        <v>51</v>
      </c>
      <c r="Q61" s="177" t="s">
        <v>50</v>
      </c>
      <c r="R61" s="178" t="s">
        <v>50</v>
      </c>
      <c r="S61" s="178" t="s">
        <v>73</v>
      </c>
      <c r="T61" s="177" t="s">
        <v>473</v>
      </c>
      <c r="U61" s="177" t="s">
        <v>53</v>
      </c>
      <c r="V61" s="177" t="s">
        <v>473</v>
      </c>
      <c r="W61" s="177" t="s">
        <v>50</v>
      </c>
      <c r="X61" s="177" t="s">
        <v>151</v>
      </c>
      <c r="Y61" s="236">
        <v>0.9375</v>
      </c>
      <c r="Z61" s="177" t="s">
        <v>137</v>
      </c>
      <c r="AA61" s="177" t="s">
        <v>494</v>
      </c>
      <c r="AB61" s="178"/>
      <c r="AC61" s="240"/>
      <c r="AD61" s="177" t="s">
        <v>77</v>
      </c>
      <c r="AE61" s="177" t="s">
        <v>323</v>
      </c>
      <c r="AF61" s="177">
        <v>23</v>
      </c>
      <c r="AG61" s="177" t="s">
        <v>142</v>
      </c>
      <c r="AH61" s="177" t="s">
        <v>166</v>
      </c>
      <c r="AI61" s="177" t="s">
        <v>80</v>
      </c>
      <c r="AJ61" s="178" t="s">
        <v>180</v>
      </c>
      <c r="AK61" s="238" t="s">
        <v>495</v>
      </c>
      <c r="AL61" s="177" t="s">
        <v>118</v>
      </c>
      <c r="AM61" s="239" t="s">
        <v>65</v>
      </c>
      <c r="AN61" s="178" t="s">
        <v>66</v>
      </c>
      <c r="AO61" s="178" t="s">
        <v>67</v>
      </c>
      <c r="AP61" s="178" t="s">
        <v>103</v>
      </c>
      <c r="AQ61" s="245"/>
    </row>
    <row r="62" spans="1:43" hidden="1" x14ac:dyDescent="0.2">
      <c r="A62" s="172">
        <v>2023</v>
      </c>
      <c r="B62" s="172" t="s">
        <v>456</v>
      </c>
      <c r="C62" s="172" t="s">
        <v>45</v>
      </c>
      <c r="D62" s="172" t="s">
        <v>496</v>
      </c>
      <c r="E62" s="172" t="s">
        <v>497</v>
      </c>
      <c r="F62" s="172" t="s">
        <v>48</v>
      </c>
      <c r="G62" s="178" t="s">
        <v>498</v>
      </c>
      <c r="H62" s="289">
        <v>40940</v>
      </c>
      <c r="I62" s="178">
        <f t="shared" si="2"/>
        <v>134</v>
      </c>
      <c r="J62" s="251">
        <v>45031</v>
      </c>
      <c r="K62" s="177" t="str">
        <f t="shared" si="1"/>
        <v>ANTIGUO</v>
      </c>
      <c r="L62" s="251">
        <v>45031</v>
      </c>
      <c r="M62" s="251">
        <v>45193</v>
      </c>
      <c r="N62" s="178" t="s">
        <v>50</v>
      </c>
      <c r="O62" s="285">
        <v>163</v>
      </c>
      <c r="P62" s="178" t="s">
        <v>88</v>
      </c>
      <c r="Q62" s="178" t="s">
        <v>89</v>
      </c>
      <c r="R62" s="178" t="s">
        <v>90</v>
      </c>
      <c r="S62" s="178" t="s">
        <v>234</v>
      </c>
      <c r="T62" s="178" t="s">
        <v>499</v>
      </c>
      <c r="U62" s="177" t="s">
        <v>53</v>
      </c>
      <c r="V62" s="178" t="s">
        <v>499</v>
      </c>
      <c r="W62" s="178" t="s">
        <v>500</v>
      </c>
      <c r="X62" s="178" t="s">
        <v>54</v>
      </c>
      <c r="Y62" s="253">
        <v>0.4861111111111111</v>
      </c>
      <c r="Z62" s="178" t="s">
        <v>95</v>
      </c>
      <c r="AA62" s="178" t="s">
        <v>467</v>
      </c>
      <c r="AB62" s="178">
        <v>15621</v>
      </c>
      <c r="AC62" s="316" t="s">
        <v>501</v>
      </c>
      <c r="AD62" s="178" t="s">
        <v>236</v>
      </c>
      <c r="AE62" s="178" t="s">
        <v>276</v>
      </c>
      <c r="AF62" s="178">
        <v>35</v>
      </c>
      <c r="AG62" s="178" t="s">
        <v>99</v>
      </c>
      <c r="AH62" s="178" t="s">
        <v>60</v>
      </c>
      <c r="AI62" s="178" t="s">
        <v>502</v>
      </c>
      <c r="AJ62" s="178" t="s">
        <v>101</v>
      </c>
      <c r="AK62" s="179" t="s">
        <v>503</v>
      </c>
      <c r="AL62" s="244" t="s">
        <v>64</v>
      </c>
      <c r="AM62" s="178" t="s">
        <v>65</v>
      </c>
      <c r="AN62" s="172" t="s">
        <v>65</v>
      </c>
      <c r="AO62" s="178" t="s">
        <v>67</v>
      </c>
      <c r="AP62" s="178" t="s">
        <v>240</v>
      </c>
      <c r="AQ62" s="346" t="s">
        <v>504</v>
      </c>
    </row>
    <row r="63" spans="1:43" s="296" customFormat="1" ht="15" hidden="1" customHeight="1" x14ac:dyDescent="0.2">
      <c r="A63" s="172">
        <v>2023</v>
      </c>
      <c r="B63" s="172" t="s">
        <v>456</v>
      </c>
      <c r="C63" s="172" t="s">
        <v>45</v>
      </c>
      <c r="D63" s="172" t="s">
        <v>505</v>
      </c>
      <c r="E63" s="172" t="s">
        <v>506</v>
      </c>
      <c r="F63" s="172" t="s">
        <v>71</v>
      </c>
      <c r="G63" s="178" t="s">
        <v>507</v>
      </c>
      <c r="H63" s="304">
        <v>45012</v>
      </c>
      <c r="I63" s="178">
        <f t="shared" si="2"/>
        <v>0</v>
      </c>
      <c r="J63" s="251">
        <v>45038</v>
      </c>
      <c r="K63" s="177" t="str">
        <f t="shared" si="1"/>
        <v>NUEVO</v>
      </c>
      <c r="L63" s="251">
        <v>45040</v>
      </c>
      <c r="M63" s="235">
        <v>45043</v>
      </c>
      <c r="N63" s="178" t="s">
        <v>50</v>
      </c>
      <c r="O63" s="285">
        <v>4</v>
      </c>
      <c r="P63" s="178" t="s">
        <v>88</v>
      </c>
      <c r="Q63" s="178" t="s">
        <v>50</v>
      </c>
      <c r="R63" s="178" t="s">
        <v>50</v>
      </c>
      <c r="S63" s="178" t="s">
        <v>134</v>
      </c>
      <c r="T63" s="178" t="s">
        <v>134</v>
      </c>
      <c r="U63" s="177" t="s">
        <v>53</v>
      </c>
      <c r="V63" s="178" t="s">
        <v>508</v>
      </c>
      <c r="W63" s="178" t="s">
        <v>50</v>
      </c>
      <c r="X63" s="178" t="s">
        <v>54</v>
      </c>
      <c r="Y63" s="253">
        <v>0.27430555555555552</v>
      </c>
      <c r="Z63" s="178" t="s">
        <v>95</v>
      </c>
      <c r="AA63" s="178" t="s">
        <v>474</v>
      </c>
      <c r="AB63" s="178">
        <v>15645</v>
      </c>
      <c r="AC63" s="202" t="s">
        <v>509</v>
      </c>
      <c r="AD63" s="178" t="s">
        <v>140</v>
      </c>
      <c r="AE63" s="178" t="s">
        <v>510</v>
      </c>
      <c r="AF63" s="178">
        <v>30</v>
      </c>
      <c r="AG63" s="178" t="s">
        <v>142</v>
      </c>
      <c r="AH63" s="178" t="s">
        <v>166</v>
      </c>
      <c r="AI63" s="178" t="s">
        <v>80</v>
      </c>
      <c r="AJ63" s="178" t="s">
        <v>81</v>
      </c>
      <c r="AK63" s="238" t="s">
        <v>511</v>
      </c>
      <c r="AL63" s="178" t="s">
        <v>118</v>
      </c>
      <c r="AM63" s="239" t="s">
        <v>65</v>
      </c>
      <c r="AN63" s="172" t="s">
        <v>65</v>
      </c>
      <c r="AO63" s="178" t="s">
        <v>67</v>
      </c>
      <c r="AP63" s="178" t="s">
        <v>250</v>
      </c>
      <c r="AQ63" s="299" t="s">
        <v>146</v>
      </c>
    </row>
    <row r="64" spans="1:43" ht="25.5" hidden="1" customHeight="1" x14ac:dyDescent="0.2">
      <c r="A64" s="172">
        <v>2023</v>
      </c>
      <c r="B64" s="172" t="s">
        <v>456</v>
      </c>
      <c r="C64" s="172" t="s">
        <v>45</v>
      </c>
      <c r="D64" s="172" t="s">
        <v>512</v>
      </c>
      <c r="E64" s="172" t="s">
        <v>513</v>
      </c>
      <c r="F64" s="172" t="s">
        <v>71</v>
      </c>
      <c r="G64" s="178" t="s">
        <v>514</v>
      </c>
      <c r="H64" s="289">
        <v>44249</v>
      </c>
      <c r="I64" s="178">
        <f t="shared" si="2"/>
        <v>25</v>
      </c>
      <c r="J64" s="297">
        <v>45037</v>
      </c>
      <c r="K64" s="177" t="str">
        <f t="shared" si="1"/>
        <v>ANTIGUO</v>
      </c>
      <c r="L64" s="297">
        <v>45040</v>
      </c>
      <c r="M64" s="297">
        <v>45042</v>
      </c>
      <c r="N64" s="172" t="s">
        <v>50</v>
      </c>
      <c r="O64" s="285">
        <v>3</v>
      </c>
      <c r="P64" s="172" t="s">
        <v>88</v>
      </c>
      <c r="Q64" s="172" t="s">
        <v>50</v>
      </c>
      <c r="R64" s="172" t="s">
        <v>50</v>
      </c>
      <c r="S64" s="172" t="s">
        <v>160</v>
      </c>
      <c r="T64" s="172" t="s">
        <v>371</v>
      </c>
      <c r="U64" s="177" t="s">
        <v>53</v>
      </c>
      <c r="V64" s="172" t="s">
        <v>371</v>
      </c>
      <c r="W64" s="172" t="s">
        <v>50</v>
      </c>
      <c r="X64" s="172" t="s">
        <v>151</v>
      </c>
      <c r="Y64" s="172"/>
      <c r="Z64" s="172" t="s">
        <v>111</v>
      </c>
      <c r="AA64" s="172" t="s">
        <v>474</v>
      </c>
      <c r="AB64" s="172">
        <v>15647</v>
      </c>
      <c r="AC64" s="202" t="s">
        <v>515</v>
      </c>
      <c r="AD64" s="172" t="s">
        <v>164</v>
      </c>
      <c r="AE64" s="172" t="s">
        <v>215</v>
      </c>
      <c r="AF64" s="172">
        <v>32</v>
      </c>
      <c r="AG64" s="178" t="s">
        <v>216</v>
      </c>
      <c r="AH64" s="178" t="s">
        <v>60</v>
      </c>
      <c r="AI64" s="178" t="s">
        <v>80</v>
      </c>
      <c r="AJ64" s="178" t="s">
        <v>154</v>
      </c>
      <c r="AK64" s="309" t="s">
        <v>516</v>
      </c>
      <c r="AL64" s="242" t="s">
        <v>64</v>
      </c>
      <c r="AM64" s="178" t="s">
        <v>65</v>
      </c>
      <c r="AN64" s="172" t="s">
        <v>65</v>
      </c>
      <c r="AO64" s="178" t="s">
        <v>83</v>
      </c>
      <c r="AP64" s="178"/>
      <c r="AQ64" s="346" t="s">
        <v>361</v>
      </c>
    </row>
    <row r="65" spans="1:43" ht="15" hidden="1" customHeight="1" x14ac:dyDescent="0.25">
      <c r="A65" s="170">
        <v>2023</v>
      </c>
      <c r="B65" s="170" t="s">
        <v>456</v>
      </c>
      <c r="C65" s="170" t="s">
        <v>45</v>
      </c>
      <c r="D65" s="170" t="s">
        <v>393</v>
      </c>
      <c r="E65" s="170" t="s">
        <v>221</v>
      </c>
      <c r="F65" s="170" t="s">
        <v>48</v>
      </c>
      <c r="G65" s="177" t="s">
        <v>394</v>
      </c>
      <c r="H65" s="10">
        <v>44869</v>
      </c>
      <c r="I65" s="177">
        <f t="shared" si="2"/>
        <v>5</v>
      </c>
      <c r="J65" s="235">
        <v>45043</v>
      </c>
      <c r="K65" s="177" t="str">
        <f t="shared" si="1"/>
        <v>NUEVO</v>
      </c>
      <c r="L65" s="235" t="s">
        <v>50</v>
      </c>
      <c r="M65" s="177" t="s">
        <v>50</v>
      </c>
      <c r="N65" s="235">
        <v>45044</v>
      </c>
      <c r="O65" s="177">
        <v>0</v>
      </c>
      <c r="P65" s="177" t="s">
        <v>51</v>
      </c>
      <c r="Q65" s="177" t="s">
        <v>50</v>
      </c>
      <c r="R65" s="178" t="s">
        <v>50</v>
      </c>
      <c r="S65" s="178" t="s">
        <v>73</v>
      </c>
      <c r="T65" s="177" t="s">
        <v>74</v>
      </c>
      <c r="U65" s="177" t="s">
        <v>53</v>
      </c>
      <c r="V65" s="177" t="s">
        <v>160</v>
      </c>
      <c r="W65" s="177" t="s">
        <v>50</v>
      </c>
      <c r="X65" s="177" t="s">
        <v>54</v>
      </c>
      <c r="Y65" s="236">
        <v>0.34027777777777773</v>
      </c>
      <c r="Z65" s="177" t="s">
        <v>76</v>
      </c>
      <c r="AA65" s="177" t="s">
        <v>494</v>
      </c>
      <c r="AB65" s="178"/>
      <c r="AC65" s="240"/>
      <c r="AD65" s="177" t="s">
        <v>77</v>
      </c>
      <c r="AE65" s="177" t="s">
        <v>378</v>
      </c>
      <c r="AF65" s="177">
        <v>40</v>
      </c>
      <c r="AG65" s="177" t="s">
        <v>216</v>
      </c>
      <c r="AH65" s="177" t="s">
        <v>153</v>
      </c>
      <c r="AI65" s="177" t="s">
        <v>80</v>
      </c>
      <c r="AJ65" s="178" t="s">
        <v>129</v>
      </c>
      <c r="AK65" s="179" t="s">
        <v>517</v>
      </c>
      <c r="AL65" s="243" t="s">
        <v>64</v>
      </c>
      <c r="AM65" s="178" t="s">
        <v>65</v>
      </c>
      <c r="AN65" s="178" t="s">
        <v>66</v>
      </c>
      <c r="AO65" s="178" t="s">
        <v>83</v>
      </c>
      <c r="AP65" s="178" t="s">
        <v>240</v>
      </c>
    </row>
    <row r="66" spans="1:43" s="296" customFormat="1" ht="15" hidden="1" customHeight="1" x14ac:dyDescent="0.25">
      <c r="A66" s="170">
        <v>2023</v>
      </c>
      <c r="B66" s="170" t="s">
        <v>456</v>
      </c>
      <c r="C66" s="170" t="s">
        <v>45</v>
      </c>
      <c r="D66" s="170" t="s">
        <v>518</v>
      </c>
      <c r="E66" s="170" t="s">
        <v>519</v>
      </c>
      <c r="F66" s="170" t="s">
        <v>48</v>
      </c>
      <c r="G66" s="177" t="s">
        <v>520</v>
      </c>
      <c r="H66" s="10">
        <v>44880</v>
      </c>
      <c r="I66" s="177">
        <f t="shared" si="2"/>
        <v>5</v>
      </c>
      <c r="J66" s="235">
        <v>45040</v>
      </c>
      <c r="K66" s="177" t="str">
        <f t="shared" si="1"/>
        <v>NUEVO</v>
      </c>
      <c r="L66" s="177" t="s">
        <v>50</v>
      </c>
      <c r="M66" s="177" t="s">
        <v>50</v>
      </c>
      <c r="N66" s="177" t="s">
        <v>50</v>
      </c>
      <c r="O66" s="177">
        <v>0</v>
      </c>
      <c r="P66" s="177" t="s">
        <v>51</v>
      </c>
      <c r="Q66" s="177" t="s">
        <v>50</v>
      </c>
      <c r="R66" s="178" t="s">
        <v>50</v>
      </c>
      <c r="S66" s="178" t="s">
        <v>73</v>
      </c>
      <c r="T66" s="177" t="s">
        <v>74</v>
      </c>
      <c r="U66" s="177" t="s">
        <v>53</v>
      </c>
      <c r="V66" s="177" t="s">
        <v>135</v>
      </c>
      <c r="W66" s="177" t="s">
        <v>50</v>
      </c>
      <c r="X66" s="177" t="s">
        <v>54</v>
      </c>
      <c r="Y66" s="236">
        <v>0.33333333333333331</v>
      </c>
      <c r="Z66" s="177" t="s">
        <v>137</v>
      </c>
      <c r="AA66" s="177" t="s">
        <v>494</v>
      </c>
      <c r="AB66" s="178"/>
      <c r="AC66" s="203"/>
      <c r="AD66" s="177" t="s">
        <v>77</v>
      </c>
      <c r="AE66" s="177" t="s">
        <v>78</v>
      </c>
      <c r="AF66" s="177">
        <v>41</v>
      </c>
      <c r="AG66" s="177" t="s">
        <v>59</v>
      </c>
      <c r="AH66" s="177" t="s">
        <v>127</v>
      </c>
      <c r="AI66" s="177" t="s">
        <v>80</v>
      </c>
      <c r="AJ66" s="178" t="s">
        <v>129</v>
      </c>
      <c r="AK66" s="238" t="s">
        <v>521</v>
      </c>
      <c r="AL66" s="178" t="s">
        <v>64</v>
      </c>
      <c r="AM66" s="239" t="s">
        <v>65</v>
      </c>
      <c r="AN66" s="178" t="s">
        <v>66</v>
      </c>
      <c r="AO66" s="178" t="s">
        <v>83</v>
      </c>
      <c r="AP66" s="178" t="s">
        <v>103</v>
      </c>
      <c r="AQ66" s="245"/>
    </row>
    <row r="67" spans="1:43" hidden="1" x14ac:dyDescent="0.25">
      <c r="A67" s="170">
        <v>2023</v>
      </c>
      <c r="B67" s="170" t="s">
        <v>456</v>
      </c>
      <c r="C67" s="170" t="s">
        <v>45</v>
      </c>
      <c r="D67" s="170" t="s">
        <v>522</v>
      </c>
      <c r="E67" s="170" t="s">
        <v>523</v>
      </c>
      <c r="F67" s="170" t="s">
        <v>71</v>
      </c>
      <c r="G67" s="177" t="s">
        <v>524</v>
      </c>
      <c r="H67" s="10">
        <v>33975</v>
      </c>
      <c r="I67" s="177">
        <f t="shared" si="2"/>
        <v>363</v>
      </c>
      <c r="J67" s="235">
        <v>45043</v>
      </c>
      <c r="K67" s="177" t="str">
        <f t="shared" si="1"/>
        <v>ANTIGUO</v>
      </c>
      <c r="L67" s="235" t="s">
        <v>50</v>
      </c>
      <c r="M67" s="177" t="s">
        <v>50</v>
      </c>
      <c r="N67" s="177" t="s">
        <v>50</v>
      </c>
      <c r="O67" s="177">
        <v>0</v>
      </c>
      <c r="P67" s="177" t="s">
        <v>51</v>
      </c>
      <c r="Q67" s="177" t="s">
        <v>50</v>
      </c>
      <c r="R67" s="178" t="s">
        <v>50</v>
      </c>
      <c r="S67" s="178" t="s">
        <v>160</v>
      </c>
      <c r="T67" s="177" t="s">
        <v>525</v>
      </c>
      <c r="U67" s="177" t="s">
        <v>53</v>
      </c>
      <c r="V67" s="177" t="s">
        <v>526</v>
      </c>
      <c r="W67" s="177" t="s">
        <v>50</v>
      </c>
      <c r="X67" s="177" t="s">
        <v>54</v>
      </c>
      <c r="Y67" s="236">
        <v>0.52083333333333337</v>
      </c>
      <c r="Z67" s="177" t="s">
        <v>111</v>
      </c>
      <c r="AA67" s="177" t="s">
        <v>494</v>
      </c>
      <c r="AB67" s="178"/>
      <c r="AC67" s="203"/>
      <c r="AD67" s="177" t="s">
        <v>164</v>
      </c>
      <c r="AE67" s="177" t="s">
        <v>215</v>
      </c>
      <c r="AF67" s="177">
        <v>55</v>
      </c>
      <c r="AG67" s="177" t="s">
        <v>59</v>
      </c>
      <c r="AH67" s="177" t="s">
        <v>60</v>
      </c>
      <c r="AI67" s="177" t="s">
        <v>128</v>
      </c>
      <c r="AJ67" s="178" t="s">
        <v>116</v>
      </c>
      <c r="AK67" s="306" t="s">
        <v>527</v>
      </c>
      <c r="AL67" s="242" t="s">
        <v>64</v>
      </c>
      <c r="AM67" s="178" t="s">
        <v>65</v>
      </c>
      <c r="AN67" s="178" t="s">
        <v>66</v>
      </c>
      <c r="AO67" s="178" t="s">
        <v>67</v>
      </c>
      <c r="AP67" s="178" t="s">
        <v>103</v>
      </c>
      <c r="AQ67" s="175" t="s">
        <v>528</v>
      </c>
    </row>
    <row r="68" spans="1:43" ht="14.25" hidden="1" customHeight="1" x14ac:dyDescent="0.2">
      <c r="A68" s="172">
        <v>2023</v>
      </c>
      <c r="B68" s="172" t="s">
        <v>456</v>
      </c>
      <c r="C68" s="172" t="s">
        <v>45</v>
      </c>
      <c r="D68" s="172" t="s">
        <v>529</v>
      </c>
      <c r="E68" s="172" t="s">
        <v>530</v>
      </c>
      <c r="F68" s="172" t="s">
        <v>48</v>
      </c>
      <c r="G68" s="178" t="s">
        <v>531</v>
      </c>
      <c r="H68" s="289">
        <v>44999</v>
      </c>
      <c r="I68" s="178">
        <f t="shared" si="2"/>
        <v>0</v>
      </c>
      <c r="J68" s="251">
        <v>45026</v>
      </c>
      <c r="K68" s="177" t="str">
        <f t="shared" si="1"/>
        <v>NUEVO</v>
      </c>
      <c r="L68" s="251">
        <v>45027</v>
      </c>
      <c r="M68" s="251">
        <v>45028</v>
      </c>
      <c r="N68" s="178" t="s">
        <v>50</v>
      </c>
      <c r="O68" s="285">
        <v>1</v>
      </c>
      <c r="P68" s="178" t="s">
        <v>88</v>
      </c>
      <c r="Q68" s="178" t="s">
        <v>50</v>
      </c>
      <c r="R68" s="178" t="s">
        <v>50</v>
      </c>
      <c r="S68" s="178" t="s">
        <v>160</v>
      </c>
      <c r="T68" s="178" t="s">
        <v>191</v>
      </c>
      <c r="U68" s="177" t="s">
        <v>53</v>
      </c>
      <c r="V68" s="178" t="s">
        <v>191</v>
      </c>
      <c r="W68" s="178" t="s">
        <v>50</v>
      </c>
      <c r="X68" s="178" t="s">
        <v>54</v>
      </c>
      <c r="Y68" s="253">
        <v>0.35416666666666669</v>
      </c>
      <c r="Z68" s="178" t="s">
        <v>137</v>
      </c>
      <c r="AA68" s="178" t="s">
        <v>467</v>
      </c>
      <c r="AB68" s="178">
        <v>15618</v>
      </c>
      <c r="AC68" s="202" t="s">
        <v>532</v>
      </c>
      <c r="AD68" s="178" t="s">
        <v>164</v>
      </c>
      <c r="AE68" s="178" t="s">
        <v>215</v>
      </c>
      <c r="AF68" s="178">
        <v>24</v>
      </c>
      <c r="AG68" s="178" t="s">
        <v>226</v>
      </c>
      <c r="AH68" s="178" t="s">
        <v>227</v>
      </c>
      <c r="AI68" s="178" t="s">
        <v>228</v>
      </c>
      <c r="AJ68" s="178" t="s">
        <v>229</v>
      </c>
      <c r="AK68" s="306" t="s">
        <v>533</v>
      </c>
      <c r="AL68" s="178" t="s">
        <v>64</v>
      </c>
      <c r="AM68" s="178" t="s">
        <v>65</v>
      </c>
      <c r="AN68" s="172" t="s">
        <v>65</v>
      </c>
      <c r="AO68" s="178" t="s">
        <v>83</v>
      </c>
      <c r="AP68" s="250" t="s">
        <v>103</v>
      </c>
      <c r="AQ68" s="299" t="s">
        <v>361</v>
      </c>
    </row>
    <row r="69" spans="1:43" s="296" customFormat="1" ht="15" hidden="1" customHeight="1" x14ac:dyDescent="0.2">
      <c r="A69" s="172">
        <v>2023</v>
      </c>
      <c r="B69" s="172" t="s">
        <v>456</v>
      </c>
      <c r="C69" s="172" t="s">
        <v>45</v>
      </c>
      <c r="D69" s="172" t="s">
        <v>534</v>
      </c>
      <c r="E69" s="172" t="s">
        <v>86</v>
      </c>
      <c r="F69" s="172" t="s">
        <v>48</v>
      </c>
      <c r="G69" s="178" t="s">
        <v>535</v>
      </c>
      <c r="H69" s="304">
        <v>44879</v>
      </c>
      <c r="I69" s="178">
        <f t="shared" si="2"/>
        <v>5</v>
      </c>
      <c r="J69" s="251">
        <v>45040</v>
      </c>
      <c r="K69" s="177" t="str">
        <f t="shared" si="1"/>
        <v>NUEVO</v>
      </c>
      <c r="L69" s="251">
        <v>45040</v>
      </c>
      <c r="M69" s="251">
        <v>45040</v>
      </c>
      <c r="N69" s="178" t="s">
        <v>50</v>
      </c>
      <c r="O69" s="178">
        <v>0</v>
      </c>
      <c r="P69" s="178" t="s">
        <v>51</v>
      </c>
      <c r="Q69" s="178" t="s">
        <v>50</v>
      </c>
      <c r="R69" s="178" t="s">
        <v>50</v>
      </c>
      <c r="S69" s="178" t="s">
        <v>160</v>
      </c>
      <c r="T69" s="178" t="s">
        <v>161</v>
      </c>
      <c r="U69" s="177" t="s">
        <v>53</v>
      </c>
      <c r="V69" s="178" t="s">
        <v>161</v>
      </c>
      <c r="W69" s="178" t="s">
        <v>50</v>
      </c>
      <c r="X69" s="178" t="s">
        <v>151</v>
      </c>
      <c r="Y69" s="253">
        <v>0.66666666666666663</v>
      </c>
      <c r="Z69" s="178" t="s">
        <v>137</v>
      </c>
      <c r="AA69" s="178" t="s">
        <v>494</v>
      </c>
      <c r="AB69" s="178">
        <v>15646</v>
      </c>
      <c r="AC69" s="202" t="s">
        <v>536</v>
      </c>
      <c r="AD69" s="178" t="s">
        <v>164</v>
      </c>
      <c r="AE69" s="178" t="s">
        <v>165</v>
      </c>
      <c r="AF69" s="178">
        <v>24</v>
      </c>
      <c r="AG69" s="178" t="s">
        <v>59</v>
      </c>
      <c r="AH69" s="178" t="s">
        <v>153</v>
      </c>
      <c r="AI69" s="178" t="s">
        <v>128</v>
      </c>
      <c r="AJ69" s="178" t="s">
        <v>116</v>
      </c>
      <c r="AK69" s="306" t="s">
        <v>537</v>
      </c>
      <c r="AL69" s="178" t="s">
        <v>118</v>
      </c>
      <c r="AM69" s="178" t="s">
        <v>65</v>
      </c>
      <c r="AN69" s="178" t="s">
        <v>65</v>
      </c>
      <c r="AO69" s="178" t="s">
        <v>67</v>
      </c>
      <c r="AP69" s="178" t="s">
        <v>103</v>
      </c>
      <c r="AQ69" s="245" t="s">
        <v>219</v>
      </c>
    </row>
    <row r="70" spans="1:43" ht="15" hidden="1" customHeight="1" x14ac:dyDescent="0.2">
      <c r="A70" s="172">
        <v>2023</v>
      </c>
      <c r="B70" s="172" t="s">
        <v>456</v>
      </c>
      <c r="C70" s="172" t="s">
        <v>45</v>
      </c>
      <c r="D70" s="172" t="s">
        <v>538</v>
      </c>
      <c r="E70" s="172" t="s">
        <v>539</v>
      </c>
      <c r="F70" s="172" t="s">
        <v>48</v>
      </c>
      <c r="G70" s="178" t="s">
        <v>540</v>
      </c>
      <c r="H70" s="289">
        <v>38687</v>
      </c>
      <c r="I70" s="178">
        <f t="shared" si="2"/>
        <v>208</v>
      </c>
      <c r="J70" s="251">
        <v>45045</v>
      </c>
      <c r="K70" s="177" t="str">
        <f t="shared" si="1"/>
        <v>ANTIGUO</v>
      </c>
      <c r="L70" s="297">
        <v>45045</v>
      </c>
      <c r="M70" s="297">
        <v>45051</v>
      </c>
      <c r="N70" s="172" t="s">
        <v>50</v>
      </c>
      <c r="O70" s="285">
        <v>7</v>
      </c>
      <c r="P70" s="172" t="s">
        <v>88</v>
      </c>
      <c r="Q70" s="178" t="s">
        <v>50</v>
      </c>
      <c r="R70" s="178" t="s">
        <v>50</v>
      </c>
      <c r="S70" s="178" t="s">
        <v>173</v>
      </c>
      <c r="T70" s="178" t="s">
        <v>389</v>
      </c>
      <c r="U70" s="178" t="s">
        <v>541</v>
      </c>
      <c r="V70" s="178" t="s">
        <v>542</v>
      </c>
      <c r="W70" s="178" t="s">
        <v>50</v>
      </c>
      <c r="X70" s="178" t="s">
        <v>54</v>
      </c>
      <c r="Y70" s="253">
        <v>0.44444444444444442</v>
      </c>
      <c r="Z70" s="178" t="s">
        <v>95</v>
      </c>
      <c r="AA70" s="178" t="s">
        <v>494</v>
      </c>
      <c r="AB70" s="178">
        <v>15654</v>
      </c>
      <c r="AC70" s="202" t="s">
        <v>543</v>
      </c>
      <c r="AD70" s="178" t="s">
        <v>178</v>
      </c>
      <c r="AE70" s="178" t="s">
        <v>391</v>
      </c>
      <c r="AF70" s="178">
        <v>47</v>
      </c>
      <c r="AG70" s="178" t="s">
        <v>115</v>
      </c>
      <c r="AH70" s="178" t="s">
        <v>153</v>
      </c>
      <c r="AI70" s="178" t="s">
        <v>167</v>
      </c>
      <c r="AJ70" s="178" t="s">
        <v>81</v>
      </c>
      <c r="AK70" s="306" t="s">
        <v>544</v>
      </c>
      <c r="AL70" s="237" t="s">
        <v>118</v>
      </c>
      <c r="AM70" s="178" t="s">
        <v>65</v>
      </c>
      <c r="AN70" s="172" t="s">
        <v>65</v>
      </c>
      <c r="AO70" s="178" t="s">
        <v>83</v>
      </c>
      <c r="AP70" s="178" t="s">
        <v>284</v>
      </c>
      <c r="AQ70" s="346" t="s">
        <v>169</v>
      </c>
    </row>
    <row r="71" spans="1:43" ht="15" hidden="1" customHeight="1" x14ac:dyDescent="0.2">
      <c r="A71" s="172">
        <v>2023</v>
      </c>
      <c r="B71" s="172" t="s">
        <v>456</v>
      </c>
      <c r="C71" s="172" t="s">
        <v>45</v>
      </c>
      <c r="D71" s="172" t="s">
        <v>545</v>
      </c>
      <c r="E71" s="172" t="s">
        <v>458</v>
      </c>
      <c r="F71" s="172" t="s">
        <v>48</v>
      </c>
      <c r="G71" s="178" t="s">
        <v>546</v>
      </c>
      <c r="H71" s="289">
        <v>43906</v>
      </c>
      <c r="I71" s="178">
        <f t="shared" si="2"/>
        <v>37</v>
      </c>
      <c r="J71" s="251">
        <v>45034</v>
      </c>
      <c r="K71" s="177" t="str">
        <f t="shared" ref="K71:K134" si="3">IF(I71&lt;=6,"NUEVO",IF(I71&lt;=18,"INTERMEDIO","ANTIGUO"))</f>
        <v>ANTIGUO</v>
      </c>
      <c r="L71" s="251">
        <v>45035</v>
      </c>
      <c r="M71" s="251">
        <v>45040</v>
      </c>
      <c r="N71" s="178" t="s">
        <v>50</v>
      </c>
      <c r="O71" s="285">
        <v>6</v>
      </c>
      <c r="P71" s="178" t="s">
        <v>88</v>
      </c>
      <c r="Q71" s="178" t="s">
        <v>50</v>
      </c>
      <c r="R71" s="178" t="s">
        <v>50</v>
      </c>
      <c r="S71" s="178" t="s">
        <v>264</v>
      </c>
      <c r="T71" s="178" t="s">
        <v>264</v>
      </c>
      <c r="U71" s="177" t="s">
        <v>53</v>
      </c>
      <c r="V71" s="178" t="s">
        <v>547</v>
      </c>
      <c r="W71" s="178" t="s">
        <v>50</v>
      </c>
      <c r="X71" s="178" t="s">
        <v>151</v>
      </c>
      <c r="Y71" s="253">
        <v>0.75</v>
      </c>
      <c r="Z71" s="178" t="s">
        <v>125</v>
      </c>
      <c r="AA71" s="178" t="s">
        <v>474</v>
      </c>
      <c r="AB71" s="178">
        <v>15632</v>
      </c>
      <c r="AC71" s="316" t="s">
        <v>548</v>
      </c>
      <c r="AD71" s="178" t="s">
        <v>269</v>
      </c>
      <c r="AE71" s="178" t="s">
        <v>405</v>
      </c>
      <c r="AF71" s="178">
        <v>27</v>
      </c>
      <c r="AG71" s="178" t="s">
        <v>61</v>
      </c>
      <c r="AH71" s="178" t="s">
        <v>153</v>
      </c>
      <c r="AI71" s="178" t="s">
        <v>128</v>
      </c>
      <c r="AJ71" s="178" t="s">
        <v>61</v>
      </c>
      <c r="AK71" s="238" t="s">
        <v>549</v>
      </c>
      <c r="AL71" s="178" t="s">
        <v>64</v>
      </c>
      <c r="AM71" s="239" t="s">
        <v>65</v>
      </c>
      <c r="AN71" s="172" t="s">
        <v>65</v>
      </c>
      <c r="AO71" s="178" t="s">
        <v>218</v>
      </c>
      <c r="AP71" s="178" t="s">
        <v>250</v>
      </c>
      <c r="AQ71" s="346" t="s">
        <v>550</v>
      </c>
    </row>
    <row r="72" spans="1:43" s="296" customFormat="1" ht="14.25" hidden="1" customHeight="1" x14ac:dyDescent="0.2">
      <c r="A72" s="170">
        <v>2023</v>
      </c>
      <c r="B72" s="170" t="s">
        <v>456</v>
      </c>
      <c r="C72" s="170" t="s">
        <v>45</v>
      </c>
      <c r="D72" s="170" t="s">
        <v>551</v>
      </c>
      <c r="E72" s="170" t="s">
        <v>363</v>
      </c>
      <c r="F72" s="170" t="s">
        <v>48</v>
      </c>
      <c r="G72" s="177" t="s">
        <v>552</v>
      </c>
      <c r="H72" s="289">
        <v>39647</v>
      </c>
      <c r="I72" s="177">
        <f t="shared" si="2"/>
        <v>176</v>
      </c>
      <c r="J72" s="235">
        <v>45028</v>
      </c>
      <c r="K72" s="177" t="str">
        <f t="shared" si="3"/>
        <v>ANTIGUO</v>
      </c>
      <c r="L72" s="235" t="s">
        <v>50</v>
      </c>
      <c r="M72" s="177" t="s">
        <v>50</v>
      </c>
      <c r="N72" s="177" t="s">
        <v>50</v>
      </c>
      <c r="O72" s="177">
        <v>0</v>
      </c>
      <c r="P72" s="177" t="s">
        <v>51</v>
      </c>
      <c r="Q72" s="177" t="s">
        <v>50</v>
      </c>
      <c r="R72" s="178" t="s">
        <v>50</v>
      </c>
      <c r="S72" s="178" t="s">
        <v>160</v>
      </c>
      <c r="T72" s="177" t="s">
        <v>161</v>
      </c>
      <c r="U72" s="177" t="s">
        <v>53</v>
      </c>
      <c r="V72" s="177" t="s">
        <v>553</v>
      </c>
      <c r="W72" s="177" t="s">
        <v>50</v>
      </c>
      <c r="X72" s="177" t="s">
        <v>151</v>
      </c>
      <c r="Y72" s="236">
        <v>0.63194444444444442</v>
      </c>
      <c r="Z72" s="177" t="s">
        <v>55</v>
      </c>
      <c r="AA72" s="177" t="s">
        <v>467</v>
      </c>
      <c r="AB72" s="178"/>
      <c r="AC72" s="240"/>
      <c r="AD72" s="177" t="s">
        <v>164</v>
      </c>
      <c r="AE72" s="177" t="s">
        <v>554</v>
      </c>
      <c r="AF72" s="177">
        <v>34</v>
      </c>
      <c r="AG72" s="177" t="s">
        <v>216</v>
      </c>
      <c r="AH72" s="177" t="s">
        <v>256</v>
      </c>
      <c r="AI72" s="177" t="s">
        <v>61</v>
      </c>
      <c r="AJ72" s="178" t="s">
        <v>62</v>
      </c>
      <c r="AK72" s="306" t="s">
        <v>555</v>
      </c>
      <c r="AL72" s="247" t="s">
        <v>64</v>
      </c>
      <c r="AM72" s="178" t="s">
        <v>65</v>
      </c>
      <c r="AN72" s="178" t="s">
        <v>66</v>
      </c>
      <c r="AO72" s="178" t="s">
        <v>83</v>
      </c>
      <c r="AP72" s="178" t="s">
        <v>103</v>
      </c>
      <c r="AQ72" s="245" t="s">
        <v>219</v>
      </c>
    </row>
    <row r="73" spans="1:43" ht="15" hidden="1" customHeight="1" x14ac:dyDescent="0.2">
      <c r="A73" s="172">
        <v>2023</v>
      </c>
      <c r="B73" s="172" t="s">
        <v>456</v>
      </c>
      <c r="C73" s="172" t="s">
        <v>45</v>
      </c>
      <c r="D73" s="172" t="s">
        <v>556</v>
      </c>
      <c r="E73" s="172" t="s">
        <v>557</v>
      </c>
      <c r="F73" s="172" t="s">
        <v>48</v>
      </c>
      <c r="G73" s="178" t="s">
        <v>558</v>
      </c>
      <c r="H73" s="291">
        <v>44312</v>
      </c>
      <c r="I73" s="178">
        <f t="shared" si="2"/>
        <v>23</v>
      </c>
      <c r="J73" s="251">
        <v>45020</v>
      </c>
      <c r="K73" s="177" t="str">
        <f t="shared" si="3"/>
        <v>ANTIGUO</v>
      </c>
      <c r="L73" s="251">
        <v>45021</v>
      </c>
      <c r="M73" s="251">
        <v>45037</v>
      </c>
      <c r="N73" s="178" t="s">
        <v>50</v>
      </c>
      <c r="O73" s="285">
        <v>17</v>
      </c>
      <c r="P73" s="178" t="s">
        <v>88</v>
      </c>
      <c r="Q73" s="178" t="s">
        <v>50</v>
      </c>
      <c r="R73" s="178" t="s">
        <v>50</v>
      </c>
      <c r="S73" s="178" t="s">
        <v>160</v>
      </c>
      <c r="T73" s="178" t="s">
        <v>191</v>
      </c>
      <c r="U73" s="177" t="s">
        <v>53</v>
      </c>
      <c r="V73" s="178" t="s">
        <v>191</v>
      </c>
      <c r="W73" s="178" t="s">
        <v>50</v>
      </c>
      <c r="X73" s="178" t="s">
        <v>151</v>
      </c>
      <c r="Y73" s="253">
        <v>0.68055555555555547</v>
      </c>
      <c r="Z73" s="178" t="s">
        <v>125</v>
      </c>
      <c r="AA73" s="178" t="s">
        <v>461</v>
      </c>
      <c r="AB73" s="178">
        <v>15605</v>
      </c>
      <c r="AC73" s="202" t="s">
        <v>559</v>
      </c>
      <c r="AD73" s="178" t="s">
        <v>164</v>
      </c>
      <c r="AE73" s="178" t="s">
        <v>215</v>
      </c>
      <c r="AF73" s="178">
        <v>24</v>
      </c>
      <c r="AG73" s="178" t="s">
        <v>99</v>
      </c>
      <c r="AH73" s="178" t="s">
        <v>60</v>
      </c>
      <c r="AI73" s="178" t="s">
        <v>128</v>
      </c>
      <c r="AJ73" s="178" t="s">
        <v>116</v>
      </c>
      <c r="AK73" s="307" t="s">
        <v>560</v>
      </c>
      <c r="AL73" s="178" t="s">
        <v>64</v>
      </c>
      <c r="AM73" s="239" t="s">
        <v>65</v>
      </c>
      <c r="AN73" s="172" t="s">
        <v>65</v>
      </c>
      <c r="AO73" s="178" t="s">
        <v>218</v>
      </c>
      <c r="AP73" s="178" t="s">
        <v>103</v>
      </c>
      <c r="AQ73" s="346" t="s">
        <v>361</v>
      </c>
    </row>
    <row r="74" spans="1:43" s="175" customFormat="1" ht="14.25" hidden="1" customHeight="1" x14ac:dyDescent="0.2">
      <c r="A74" s="172">
        <v>2023</v>
      </c>
      <c r="B74" s="172" t="s">
        <v>456</v>
      </c>
      <c r="C74" s="172" t="s">
        <v>45</v>
      </c>
      <c r="D74" s="172" t="s">
        <v>1664</v>
      </c>
      <c r="E74" s="172" t="s">
        <v>561</v>
      </c>
      <c r="F74" s="172" t="s">
        <v>48</v>
      </c>
      <c r="G74" s="178" t="s">
        <v>562</v>
      </c>
      <c r="H74" s="304">
        <v>44452</v>
      </c>
      <c r="I74" s="178">
        <f t="shared" si="2"/>
        <v>19</v>
      </c>
      <c r="J74" s="251">
        <v>45037</v>
      </c>
      <c r="K74" s="177" t="str">
        <f t="shared" si="3"/>
        <v>ANTIGUO</v>
      </c>
      <c r="L74" s="178" t="s">
        <v>50</v>
      </c>
      <c r="M74" s="177" t="s">
        <v>50</v>
      </c>
      <c r="N74" s="178" t="s">
        <v>50</v>
      </c>
      <c r="O74" s="178">
        <v>0</v>
      </c>
      <c r="P74" s="178" t="s">
        <v>51</v>
      </c>
      <c r="Q74" s="178" t="s">
        <v>89</v>
      </c>
      <c r="R74" s="178" t="s">
        <v>263</v>
      </c>
      <c r="S74" s="178" t="s">
        <v>134</v>
      </c>
      <c r="T74" s="178" t="s">
        <v>134</v>
      </c>
      <c r="U74" s="177" t="s">
        <v>53</v>
      </c>
      <c r="V74" s="178" t="s">
        <v>881</v>
      </c>
      <c r="W74" s="178" t="s">
        <v>267</v>
      </c>
      <c r="X74" s="178" t="s">
        <v>151</v>
      </c>
      <c r="Y74" s="253">
        <v>0.60416666666666663</v>
      </c>
      <c r="Z74" s="178" t="s">
        <v>111</v>
      </c>
      <c r="AA74" s="178" t="s">
        <v>474</v>
      </c>
      <c r="AB74" s="178"/>
      <c r="AC74" s="202" t="s">
        <v>563</v>
      </c>
      <c r="AD74" s="178" t="s">
        <v>140</v>
      </c>
      <c r="AE74" s="178" t="s">
        <v>510</v>
      </c>
      <c r="AF74" s="178">
        <v>40</v>
      </c>
      <c r="AG74" s="178" t="s">
        <v>271</v>
      </c>
      <c r="AH74" s="178" t="s">
        <v>143</v>
      </c>
      <c r="AI74" s="178" t="s">
        <v>80</v>
      </c>
      <c r="AJ74" s="178" t="s">
        <v>129</v>
      </c>
      <c r="AK74" s="179" t="s">
        <v>564</v>
      </c>
      <c r="AL74" s="178" t="s">
        <v>64</v>
      </c>
      <c r="AM74" s="178" t="s">
        <v>65</v>
      </c>
      <c r="AN74" s="172" t="s">
        <v>65</v>
      </c>
      <c r="AO74" s="178" t="s">
        <v>83</v>
      </c>
      <c r="AP74" s="250" t="s">
        <v>284</v>
      </c>
      <c r="AQ74" s="245" t="s">
        <v>399</v>
      </c>
    </row>
    <row r="75" spans="1:43" s="175" customFormat="1" ht="14.25" hidden="1" customHeight="1" x14ac:dyDescent="0.2">
      <c r="A75" s="172">
        <v>2023</v>
      </c>
      <c r="B75" s="172" t="s">
        <v>456</v>
      </c>
      <c r="C75" s="172" t="s">
        <v>45</v>
      </c>
      <c r="D75" s="172" t="s">
        <v>565</v>
      </c>
      <c r="E75" s="172" t="s">
        <v>566</v>
      </c>
      <c r="F75" s="172" t="s">
        <v>71</v>
      </c>
      <c r="G75" s="178" t="s">
        <v>567</v>
      </c>
      <c r="H75" s="289">
        <v>44559</v>
      </c>
      <c r="I75" s="178">
        <f t="shared" si="2"/>
        <v>15</v>
      </c>
      <c r="J75" s="251">
        <v>45020</v>
      </c>
      <c r="K75" s="177" t="str">
        <f t="shared" si="3"/>
        <v>INTERMEDIO</v>
      </c>
      <c r="L75" s="178" t="s">
        <v>50</v>
      </c>
      <c r="M75" s="177" t="s">
        <v>50</v>
      </c>
      <c r="N75" s="178" t="s">
        <v>50</v>
      </c>
      <c r="O75" s="178">
        <v>0</v>
      </c>
      <c r="P75" s="178" t="s">
        <v>51</v>
      </c>
      <c r="Q75" s="178" t="s">
        <v>50</v>
      </c>
      <c r="R75" s="178" t="s">
        <v>50</v>
      </c>
      <c r="S75" s="178" t="s">
        <v>173</v>
      </c>
      <c r="T75" s="178" t="s">
        <v>389</v>
      </c>
      <c r="U75" s="177" t="s">
        <v>53</v>
      </c>
      <c r="V75" s="178" t="s">
        <v>191</v>
      </c>
      <c r="W75" s="178" t="s">
        <v>50</v>
      </c>
      <c r="X75" s="178" t="s">
        <v>151</v>
      </c>
      <c r="Y75" s="253">
        <v>0.36458333333333331</v>
      </c>
      <c r="Z75" s="178" t="s">
        <v>125</v>
      </c>
      <c r="AA75" s="178" t="s">
        <v>461</v>
      </c>
      <c r="AB75" s="178">
        <v>15606</v>
      </c>
      <c r="AC75" s="202" t="s">
        <v>568</v>
      </c>
      <c r="AD75" s="178" t="s">
        <v>390</v>
      </c>
      <c r="AE75" s="178" t="s">
        <v>391</v>
      </c>
      <c r="AF75" s="178">
        <v>28</v>
      </c>
      <c r="AG75" s="178" t="s">
        <v>142</v>
      </c>
      <c r="AH75" s="178" t="s">
        <v>450</v>
      </c>
      <c r="AI75" s="178" t="s">
        <v>80</v>
      </c>
      <c r="AJ75" s="178" t="s">
        <v>81</v>
      </c>
      <c r="AK75" s="307" t="s">
        <v>569</v>
      </c>
      <c r="AL75" s="178" t="s">
        <v>118</v>
      </c>
      <c r="AM75" s="239" t="s">
        <v>65</v>
      </c>
      <c r="AN75" s="178" t="s">
        <v>65</v>
      </c>
      <c r="AO75" s="178" t="s">
        <v>67</v>
      </c>
      <c r="AP75" s="178" t="s">
        <v>103</v>
      </c>
      <c r="AQ75" s="346" t="s">
        <v>146</v>
      </c>
    </row>
    <row r="76" spans="1:43" ht="15" hidden="1" customHeight="1" x14ac:dyDescent="0.2">
      <c r="A76" s="172">
        <v>2023</v>
      </c>
      <c r="B76" s="172" t="s">
        <v>456</v>
      </c>
      <c r="C76" s="172" t="s">
        <v>45</v>
      </c>
      <c r="D76" s="172" t="s">
        <v>570</v>
      </c>
      <c r="E76" s="172" t="s">
        <v>571</v>
      </c>
      <c r="F76" s="172" t="s">
        <v>71</v>
      </c>
      <c r="G76" s="178" t="s">
        <v>572</v>
      </c>
      <c r="H76" s="356">
        <v>41953</v>
      </c>
      <c r="I76" s="178">
        <f t="shared" si="2"/>
        <v>100</v>
      </c>
      <c r="J76" s="251">
        <v>45022</v>
      </c>
      <c r="K76" s="177" t="str">
        <f t="shared" si="3"/>
        <v>ANTIGUO</v>
      </c>
      <c r="L76" s="251">
        <v>45024</v>
      </c>
      <c r="M76" s="251">
        <v>45031</v>
      </c>
      <c r="N76" s="178" t="s">
        <v>50</v>
      </c>
      <c r="O76" s="285">
        <v>8</v>
      </c>
      <c r="P76" s="178" t="s">
        <v>88</v>
      </c>
      <c r="Q76" s="178" t="s">
        <v>89</v>
      </c>
      <c r="R76" s="178" t="s">
        <v>410</v>
      </c>
      <c r="S76" s="178" t="s">
        <v>173</v>
      </c>
      <c r="T76" s="178" t="s">
        <v>389</v>
      </c>
      <c r="U76" s="177" t="s">
        <v>53</v>
      </c>
      <c r="V76" s="178" t="s">
        <v>201</v>
      </c>
      <c r="W76" s="178" t="s">
        <v>50</v>
      </c>
      <c r="X76" s="178" t="s">
        <v>176</v>
      </c>
      <c r="Y76" s="253">
        <v>0.8125</v>
      </c>
      <c r="Z76" s="178" t="s">
        <v>76</v>
      </c>
      <c r="AA76" s="178" t="s">
        <v>461</v>
      </c>
      <c r="AB76" s="178">
        <v>15615</v>
      </c>
      <c r="AC76" s="202" t="s">
        <v>573</v>
      </c>
      <c r="AD76" s="178" t="s">
        <v>390</v>
      </c>
      <c r="AE76" s="178" t="s">
        <v>202</v>
      </c>
      <c r="AF76" s="178">
        <v>56</v>
      </c>
      <c r="AG76" s="178" t="s">
        <v>301</v>
      </c>
      <c r="AH76" s="178" t="s">
        <v>60</v>
      </c>
      <c r="AI76" s="178" t="s">
        <v>302</v>
      </c>
      <c r="AJ76" s="178" t="s">
        <v>413</v>
      </c>
      <c r="AK76" s="307" t="s">
        <v>574</v>
      </c>
      <c r="AL76" s="178" t="s">
        <v>64</v>
      </c>
      <c r="AM76" s="239" t="s">
        <v>65</v>
      </c>
      <c r="AN76" s="172" t="s">
        <v>65</v>
      </c>
      <c r="AO76" s="178" t="s">
        <v>83</v>
      </c>
      <c r="AP76" s="178"/>
      <c r="AQ76" s="346" t="s">
        <v>305</v>
      </c>
    </row>
    <row r="77" spans="1:43" ht="15" hidden="1" customHeight="1" x14ac:dyDescent="0.25">
      <c r="A77" s="170">
        <v>2023</v>
      </c>
      <c r="B77" s="170" t="s">
        <v>456</v>
      </c>
      <c r="C77" s="170" t="s">
        <v>45</v>
      </c>
      <c r="D77" s="170" t="s">
        <v>575</v>
      </c>
      <c r="E77" s="170" t="s">
        <v>576</v>
      </c>
      <c r="F77" s="170" t="s">
        <v>71</v>
      </c>
      <c r="G77" s="177" t="s">
        <v>577</v>
      </c>
      <c r="H77" s="301">
        <v>43717</v>
      </c>
      <c r="I77" s="177">
        <f t="shared" si="2"/>
        <v>43</v>
      </c>
      <c r="J77" s="235">
        <v>45040</v>
      </c>
      <c r="K77" s="177" t="str">
        <f t="shared" si="3"/>
        <v>ANTIGUO</v>
      </c>
      <c r="L77" s="235" t="s">
        <v>50</v>
      </c>
      <c r="M77" s="177" t="s">
        <v>50</v>
      </c>
      <c r="N77" s="177" t="s">
        <v>50</v>
      </c>
      <c r="O77" s="177">
        <v>0</v>
      </c>
      <c r="P77" s="177" t="s">
        <v>51</v>
      </c>
      <c r="Q77" s="177" t="s">
        <v>50</v>
      </c>
      <c r="R77" s="178" t="s">
        <v>50</v>
      </c>
      <c r="S77" s="178" t="s">
        <v>160</v>
      </c>
      <c r="T77" s="177" t="s">
        <v>191</v>
      </c>
      <c r="U77" s="177" t="s">
        <v>53</v>
      </c>
      <c r="V77" s="177" t="s">
        <v>191</v>
      </c>
      <c r="W77" s="177" t="s">
        <v>50</v>
      </c>
      <c r="X77" s="177" t="s">
        <v>151</v>
      </c>
      <c r="Y77" s="236">
        <v>0.61805555555555558</v>
      </c>
      <c r="Z77" s="177" t="s">
        <v>137</v>
      </c>
      <c r="AA77" s="177" t="s">
        <v>494</v>
      </c>
      <c r="AB77" s="178"/>
      <c r="AC77" s="240"/>
      <c r="AD77" s="177" t="s">
        <v>164</v>
      </c>
      <c r="AE77" s="177" t="s">
        <v>578</v>
      </c>
      <c r="AF77" s="177">
        <v>48</v>
      </c>
      <c r="AG77" s="177" t="s">
        <v>59</v>
      </c>
      <c r="AH77" s="177" t="s">
        <v>60</v>
      </c>
      <c r="AI77" s="177" t="s">
        <v>80</v>
      </c>
      <c r="AJ77" s="178" t="s">
        <v>154</v>
      </c>
      <c r="AK77" s="306" t="s">
        <v>579</v>
      </c>
      <c r="AL77" s="177" t="s">
        <v>64</v>
      </c>
      <c r="AM77" s="178" t="s">
        <v>65</v>
      </c>
      <c r="AN77" s="178" t="s">
        <v>66</v>
      </c>
      <c r="AO77" s="178" t="s">
        <v>83</v>
      </c>
      <c r="AP77" s="178" t="s">
        <v>103</v>
      </c>
      <c r="AQ77" s="349" t="s">
        <v>580</v>
      </c>
    </row>
    <row r="78" spans="1:43" ht="15" hidden="1" customHeight="1" x14ac:dyDescent="0.25">
      <c r="A78" s="170">
        <v>2023</v>
      </c>
      <c r="B78" s="170" t="s">
        <v>581</v>
      </c>
      <c r="C78" s="170" t="s">
        <v>45</v>
      </c>
      <c r="D78" s="170" t="s">
        <v>457</v>
      </c>
      <c r="E78" s="170" t="s">
        <v>458</v>
      </c>
      <c r="F78" s="170" t="s">
        <v>48</v>
      </c>
      <c r="G78" s="177" t="s">
        <v>459</v>
      </c>
      <c r="H78" s="10">
        <v>44791</v>
      </c>
      <c r="I78" s="177">
        <f t="shared" si="2"/>
        <v>8</v>
      </c>
      <c r="J78" s="235">
        <v>45059</v>
      </c>
      <c r="K78" s="177" t="str">
        <f t="shared" si="3"/>
        <v>INTERMEDIO</v>
      </c>
      <c r="L78" s="177" t="s">
        <v>50</v>
      </c>
      <c r="M78" s="177" t="s">
        <v>50</v>
      </c>
      <c r="N78" s="177" t="s">
        <v>50</v>
      </c>
      <c r="O78" s="177">
        <v>0</v>
      </c>
      <c r="P78" s="177" t="s">
        <v>51</v>
      </c>
      <c r="Q78" s="177" t="s">
        <v>50</v>
      </c>
      <c r="R78" s="178" t="s">
        <v>50</v>
      </c>
      <c r="S78" s="178" t="s">
        <v>160</v>
      </c>
      <c r="T78" s="177" t="s">
        <v>191</v>
      </c>
      <c r="U78" s="177" t="s">
        <v>53</v>
      </c>
      <c r="V78" s="177" t="s">
        <v>191</v>
      </c>
      <c r="W78" s="177" t="s">
        <v>50</v>
      </c>
      <c r="X78" s="177" t="s">
        <v>54</v>
      </c>
      <c r="Y78" s="236">
        <v>0.41666666666666669</v>
      </c>
      <c r="Z78" s="177" t="s">
        <v>95</v>
      </c>
      <c r="AA78" s="177" t="s">
        <v>582</v>
      </c>
      <c r="AB78" s="178"/>
      <c r="AC78" s="203"/>
      <c r="AD78" s="177" t="s">
        <v>164</v>
      </c>
      <c r="AE78" s="177" t="s">
        <v>215</v>
      </c>
      <c r="AF78" s="177">
        <v>27</v>
      </c>
      <c r="AG78" s="177" t="s">
        <v>475</v>
      </c>
      <c r="AH78" s="177" t="s">
        <v>450</v>
      </c>
      <c r="AI78" s="177" t="s">
        <v>167</v>
      </c>
      <c r="AJ78" s="178" t="s">
        <v>61</v>
      </c>
      <c r="AK78" s="179" t="s">
        <v>583</v>
      </c>
      <c r="AL78" s="178" t="s">
        <v>64</v>
      </c>
      <c r="AM78" s="178" t="s">
        <v>65</v>
      </c>
      <c r="AN78" s="178" t="s">
        <v>66</v>
      </c>
      <c r="AO78" s="178" t="s">
        <v>67</v>
      </c>
      <c r="AP78" s="250" t="s">
        <v>240</v>
      </c>
      <c r="AQ78" s="245" t="s">
        <v>219</v>
      </c>
    </row>
    <row r="79" spans="1:43" ht="15" hidden="1" customHeight="1" x14ac:dyDescent="0.2">
      <c r="A79" s="172">
        <v>2023</v>
      </c>
      <c r="B79" s="172" t="s">
        <v>581</v>
      </c>
      <c r="C79" s="172" t="s">
        <v>45</v>
      </c>
      <c r="D79" s="172" t="s">
        <v>584</v>
      </c>
      <c r="E79" s="172" t="s">
        <v>585</v>
      </c>
      <c r="F79" s="172" t="s">
        <v>71</v>
      </c>
      <c r="G79" s="178" t="s">
        <v>586</v>
      </c>
      <c r="H79" s="357">
        <v>44580</v>
      </c>
      <c r="I79" s="178">
        <f t="shared" si="2"/>
        <v>15</v>
      </c>
      <c r="J79" s="251">
        <v>45054</v>
      </c>
      <c r="K79" s="177" t="str">
        <f t="shared" si="3"/>
        <v>INTERMEDIO</v>
      </c>
      <c r="L79" s="251">
        <v>45054</v>
      </c>
      <c r="M79" s="251">
        <v>45061</v>
      </c>
      <c r="N79" s="178" t="s">
        <v>50</v>
      </c>
      <c r="O79" s="285">
        <v>8</v>
      </c>
      <c r="P79" s="178" t="s">
        <v>88</v>
      </c>
      <c r="Q79" s="178" t="s">
        <v>89</v>
      </c>
      <c r="R79" s="178" t="s">
        <v>90</v>
      </c>
      <c r="S79" s="178" t="s">
        <v>173</v>
      </c>
      <c r="T79" s="178" t="s">
        <v>389</v>
      </c>
      <c r="U79" s="177" t="s">
        <v>53</v>
      </c>
      <c r="V79" s="178" t="s">
        <v>587</v>
      </c>
      <c r="W79" s="178" t="s">
        <v>587</v>
      </c>
      <c r="X79" s="178" t="s">
        <v>176</v>
      </c>
      <c r="Y79" s="253">
        <v>4.5138888888888888E-2</v>
      </c>
      <c r="Z79" s="178" t="s">
        <v>137</v>
      </c>
      <c r="AA79" s="178" t="s">
        <v>582</v>
      </c>
      <c r="AB79" s="178">
        <v>15681</v>
      </c>
      <c r="AC79" s="202" t="s">
        <v>1785</v>
      </c>
      <c r="AD79" s="178" t="s">
        <v>390</v>
      </c>
      <c r="AE79" s="178" t="s">
        <v>179</v>
      </c>
      <c r="AF79" s="178">
        <v>22</v>
      </c>
      <c r="AG79" s="178" t="s">
        <v>99</v>
      </c>
      <c r="AH79" s="178" t="s">
        <v>60</v>
      </c>
      <c r="AI79" s="178" t="s">
        <v>80</v>
      </c>
      <c r="AJ79" s="178" t="s">
        <v>101</v>
      </c>
      <c r="AK79" s="306" t="s">
        <v>588</v>
      </c>
      <c r="AL79" s="178" t="s">
        <v>64</v>
      </c>
      <c r="AM79" s="178" t="s">
        <v>65</v>
      </c>
      <c r="AN79" s="172" t="s">
        <v>65</v>
      </c>
      <c r="AO79" s="178" t="s">
        <v>83</v>
      </c>
      <c r="AP79" s="178" t="s">
        <v>284</v>
      </c>
      <c r="AQ79" s="346" t="s">
        <v>361</v>
      </c>
    </row>
    <row r="80" spans="1:43" ht="15" hidden="1" customHeight="1" x14ac:dyDescent="0.25">
      <c r="A80" s="170">
        <v>2023</v>
      </c>
      <c r="B80" s="170" t="s">
        <v>581</v>
      </c>
      <c r="C80" s="170" t="s">
        <v>45</v>
      </c>
      <c r="D80" s="170" t="s">
        <v>589</v>
      </c>
      <c r="E80" s="170" t="s">
        <v>590</v>
      </c>
      <c r="F80" s="170" t="s">
        <v>71</v>
      </c>
      <c r="G80" s="177" t="s">
        <v>591</v>
      </c>
      <c r="H80" s="10">
        <v>44908</v>
      </c>
      <c r="I80" s="177">
        <f t="shared" si="2"/>
        <v>4</v>
      </c>
      <c r="J80" s="235">
        <v>45055</v>
      </c>
      <c r="K80" s="177" t="str">
        <f t="shared" si="3"/>
        <v>NUEVO</v>
      </c>
      <c r="L80" s="177" t="s">
        <v>50</v>
      </c>
      <c r="M80" s="177" t="s">
        <v>50</v>
      </c>
      <c r="N80" s="177" t="s">
        <v>50</v>
      </c>
      <c r="O80" s="177">
        <v>0</v>
      </c>
      <c r="P80" s="177" t="s">
        <v>51</v>
      </c>
      <c r="Q80" s="177" t="s">
        <v>50</v>
      </c>
      <c r="R80" s="178" t="s">
        <v>50</v>
      </c>
      <c r="S80" s="178" t="s">
        <v>160</v>
      </c>
      <c r="T80" s="177" t="s">
        <v>191</v>
      </c>
      <c r="U80" s="177" t="s">
        <v>53</v>
      </c>
      <c r="V80" s="177" t="s">
        <v>288</v>
      </c>
      <c r="W80" s="177" t="s">
        <v>50</v>
      </c>
      <c r="X80" s="177" t="s">
        <v>54</v>
      </c>
      <c r="Y80" s="236">
        <v>0.56944444444444442</v>
      </c>
      <c r="Z80" s="177" t="s">
        <v>125</v>
      </c>
      <c r="AA80" s="177" t="s">
        <v>582</v>
      </c>
      <c r="AB80" s="178"/>
      <c r="AC80" s="203"/>
      <c r="AD80" s="177" t="s">
        <v>164</v>
      </c>
      <c r="AE80" s="177" t="s">
        <v>215</v>
      </c>
      <c r="AF80" s="177">
        <v>37</v>
      </c>
      <c r="AG80" s="177" t="s">
        <v>226</v>
      </c>
      <c r="AH80" s="177" t="s">
        <v>143</v>
      </c>
      <c r="AI80" s="177" t="s">
        <v>80</v>
      </c>
      <c r="AJ80" s="178" t="s">
        <v>81</v>
      </c>
      <c r="AK80" s="179" t="s">
        <v>592</v>
      </c>
      <c r="AL80" s="178" t="s">
        <v>118</v>
      </c>
      <c r="AM80" s="178" t="s">
        <v>65</v>
      </c>
      <c r="AN80" s="178" t="s">
        <v>66</v>
      </c>
      <c r="AO80" s="178" t="s">
        <v>83</v>
      </c>
      <c r="AP80" s="250" t="s">
        <v>240</v>
      </c>
      <c r="AQ80" s="245" t="s">
        <v>146</v>
      </c>
    </row>
    <row r="81" spans="1:43" ht="15" hidden="1" customHeight="1" x14ac:dyDescent="0.25">
      <c r="A81" s="170">
        <v>2023</v>
      </c>
      <c r="B81" s="170" t="s">
        <v>581</v>
      </c>
      <c r="C81" s="170" t="s">
        <v>45</v>
      </c>
      <c r="D81" s="170" t="s">
        <v>593</v>
      </c>
      <c r="E81" s="170" t="s">
        <v>594</v>
      </c>
      <c r="F81" s="170" t="s">
        <v>48</v>
      </c>
      <c r="G81" s="177" t="s">
        <v>595</v>
      </c>
      <c r="H81" s="10">
        <v>44999</v>
      </c>
      <c r="I81" s="177">
        <f t="shared" si="2"/>
        <v>2</v>
      </c>
      <c r="J81" s="235">
        <v>45068</v>
      </c>
      <c r="K81" s="177" t="str">
        <f t="shared" si="3"/>
        <v>NUEVO</v>
      </c>
      <c r="L81" s="177" t="s">
        <v>50</v>
      </c>
      <c r="M81" s="177" t="s">
        <v>50</v>
      </c>
      <c r="N81" s="177" t="s">
        <v>50</v>
      </c>
      <c r="O81" s="177">
        <v>0</v>
      </c>
      <c r="P81" s="177" t="s">
        <v>51</v>
      </c>
      <c r="Q81" s="177" t="s">
        <v>50</v>
      </c>
      <c r="R81" s="178" t="s">
        <v>50</v>
      </c>
      <c r="S81" s="178" t="s">
        <v>160</v>
      </c>
      <c r="T81" s="177" t="s">
        <v>191</v>
      </c>
      <c r="U81" s="177" t="s">
        <v>53</v>
      </c>
      <c r="V81" s="177" t="s">
        <v>191</v>
      </c>
      <c r="W81" s="177" t="s">
        <v>267</v>
      </c>
      <c r="X81" s="177" t="s">
        <v>54</v>
      </c>
      <c r="Y81" s="236">
        <v>0.35416666666666669</v>
      </c>
      <c r="Z81" s="177" t="s">
        <v>137</v>
      </c>
      <c r="AA81" s="177" t="s">
        <v>596</v>
      </c>
      <c r="AB81" s="178"/>
      <c r="AC81" s="203"/>
      <c r="AD81" s="177" t="s">
        <v>164</v>
      </c>
      <c r="AE81" s="177" t="s">
        <v>215</v>
      </c>
      <c r="AF81" s="177">
        <v>19</v>
      </c>
      <c r="AG81" s="177" t="s">
        <v>271</v>
      </c>
      <c r="AH81" s="177" t="s">
        <v>153</v>
      </c>
      <c r="AI81" s="177" t="s">
        <v>80</v>
      </c>
      <c r="AJ81" s="178" t="s">
        <v>129</v>
      </c>
      <c r="AK81" s="179" t="s">
        <v>597</v>
      </c>
      <c r="AL81" s="178" t="s">
        <v>64</v>
      </c>
      <c r="AM81" s="178" t="s">
        <v>65</v>
      </c>
      <c r="AN81" s="178" t="s">
        <v>66</v>
      </c>
      <c r="AO81" s="178" t="s">
        <v>83</v>
      </c>
      <c r="AP81" s="178" t="s">
        <v>103</v>
      </c>
    </row>
    <row r="82" spans="1:43" hidden="1" x14ac:dyDescent="0.25">
      <c r="A82" s="170">
        <v>2023</v>
      </c>
      <c r="B82" s="170" t="s">
        <v>581</v>
      </c>
      <c r="C82" s="170" t="s">
        <v>45</v>
      </c>
      <c r="D82" s="170" t="s">
        <v>598</v>
      </c>
      <c r="E82" s="170" t="s">
        <v>471</v>
      </c>
      <c r="F82" s="170" t="s">
        <v>48</v>
      </c>
      <c r="G82" s="177" t="s">
        <v>599</v>
      </c>
      <c r="H82" s="10">
        <v>45068</v>
      </c>
      <c r="I82" s="177">
        <f t="shared" si="2"/>
        <v>0</v>
      </c>
      <c r="J82" s="235">
        <v>45070</v>
      </c>
      <c r="K82" s="177" t="str">
        <f t="shared" si="3"/>
        <v>NUEVO</v>
      </c>
      <c r="L82" s="177" t="s">
        <v>50</v>
      </c>
      <c r="M82" s="177" t="s">
        <v>50</v>
      </c>
      <c r="N82" s="177" t="s">
        <v>50</v>
      </c>
      <c r="O82" s="177">
        <v>0</v>
      </c>
      <c r="P82" s="177" t="s">
        <v>51</v>
      </c>
      <c r="Q82" s="177" t="s">
        <v>50</v>
      </c>
      <c r="R82" s="178" t="s">
        <v>50</v>
      </c>
      <c r="S82" s="178" t="s">
        <v>91</v>
      </c>
      <c r="T82" s="177" t="s">
        <v>600</v>
      </c>
      <c r="U82" s="177" t="s">
        <v>53</v>
      </c>
      <c r="V82" s="177" t="s">
        <v>201</v>
      </c>
      <c r="W82" s="177" t="s">
        <v>50</v>
      </c>
      <c r="X82" s="177" t="s">
        <v>54</v>
      </c>
      <c r="Y82" s="236">
        <v>0.27083333333333331</v>
      </c>
      <c r="Z82" s="177" t="s">
        <v>55</v>
      </c>
      <c r="AA82" s="177" t="s">
        <v>596</v>
      </c>
      <c r="AB82" s="178"/>
      <c r="AC82" s="203"/>
      <c r="AD82" s="177" t="s">
        <v>97</v>
      </c>
      <c r="AE82" s="177" t="s">
        <v>98</v>
      </c>
      <c r="AF82" s="177">
        <v>36</v>
      </c>
      <c r="AG82" s="177" t="s">
        <v>115</v>
      </c>
      <c r="AH82" s="177" t="s">
        <v>450</v>
      </c>
      <c r="AI82" s="177" t="s">
        <v>80</v>
      </c>
      <c r="AJ82" s="178" t="s">
        <v>129</v>
      </c>
      <c r="AK82" s="179" t="s">
        <v>601</v>
      </c>
      <c r="AL82" s="237" t="s">
        <v>64</v>
      </c>
      <c r="AM82" s="178" t="s">
        <v>65</v>
      </c>
      <c r="AN82" s="178" t="s">
        <v>66</v>
      </c>
      <c r="AO82" s="178" t="s">
        <v>83</v>
      </c>
      <c r="AP82" s="178" t="s">
        <v>250</v>
      </c>
    </row>
    <row r="83" spans="1:43" ht="15" hidden="1" customHeight="1" x14ac:dyDescent="0.25">
      <c r="A83" s="170">
        <v>2023</v>
      </c>
      <c r="B83" s="170" t="s">
        <v>581</v>
      </c>
      <c r="C83" s="170" t="s">
        <v>45</v>
      </c>
      <c r="D83" s="170" t="s">
        <v>602</v>
      </c>
      <c r="E83" s="170" t="s">
        <v>603</v>
      </c>
      <c r="F83" s="170" t="s">
        <v>71</v>
      </c>
      <c r="G83" s="177" t="s">
        <v>604</v>
      </c>
      <c r="H83" s="10">
        <v>43416</v>
      </c>
      <c r="I83" s="177">
        <f t="shared" si="2"/>
        <v>53</v>
      </c>
      <c r="J83" s="235">
        <v>45048</v>
      </c>
      <c r="K83" s="177" t="str">
        <f t="shared" si="3"/>
        <v>ANTIGUO</v>
      </c>
      <c r="L83" s="177" t="s">
        <v>50</v>
      </c>
      <c r="M83" s="177" t="s">
        <v>50</v>
      </c>
      <c r="N83" s="177" t="s">
        <v>50</v>
      </c>
      <c r="O83" s="177">
        <v>0</v>
      </c>
      <c r="P83" s="177" t="s">
        <v>51</v>
      </c>
      <c r="Q83" s="177" t="s">
        <v>50</v>
      </c>
      <c r="R83" s="178" t="s">
        <v>50</v>
      </c>
      <c r="S83" s="178" t="s">
        <v>73</v>
      </c>
      <c r="T83" s="177" t="s">
        <v>74</v>
      </c>
      <c r="U83" s="177" t="s">
        <v>53</v>
      </c>
      <c r="V83" s="177" t="s">
        <v>605</v>
      </c>
      <c r="W83" s="177" t="s">
        <v>50</v>
      </c>
      <c r="X83" s="177" t="s">
        <v>54</v>
      </c>
      <c r="Y83" s="236">
        <v>0.23263888888888887</v>
      </c>
      <c r="Z83" s="177" t="s">
        <v>125</v>
      </c>
      <c r="AA83" s="177" t="s">
        <v>606</v>
      </c>
      <c r="AB83" s="178"/>
      <c r="AC83" s="203"/>
      <c r="AD83" s="177" t="s">
        <v>77</v>
      </c>
      <c r="AE83" s="177" t="s">
        <v>323</v>
      </c>
      <c r="AF83" s="177">
        <v>41</v>
      </c>
      <c r="AG83" s="177" t="s">
        <v>301</v>
      </c>
      <c r="AH83" s="177" t="s">
        <v>143</v>
      </c>
      <c r="AI83" s="177" t="s">
        <v>61</v>
      </c>
      <c r="AJ83" s="178" t="s">
        <v>413</v>
      </c>
      <c r="AK83" s="238" t="s">
        <v>607</v>
      </c>
      <c r="AL83" s="178" t="s">
        <v>118</v>
      </c>
      <c r="AM83" s="239" t="s">
        <v>65</v>
      </c>
      <c r="AN83" s="178" t="s">
        <v>66</v>
      </c>
      <c r="AO83" s="178" t="s">
        <v>67</v>
      </c>
      <c r="AP83" s="178" t="s">
        <v>103</v>
      </c>
    </row>
    <row r="84" spans="1:43" ht="15" hidden="1" customHeight="1" x14ac:dyDescent="0.25">
      <c r="A84" s="170">
        <v>2023</v>
      </c>
      <c r="B84" s="170" t="s">
        <v>581</v>
      </c>
      <c r="C84" s="170" t="s">
        <v>45</v>
      </c>
      <c r="D84" s="170" t="s">
        <v>608</v>
      </c>
      <c r="E84" s="170" t="s">
        <v>609</v>
      </c>
      <c r="F84" s="170" t="s">
        <v>48</v>
      </c>
      <c r="G84" s="177" t="s">
        <v>610</v>
      </c>
      <c r="H84" s="10">
        <v>44914</v>
      </c>
      <c r="I84" s="177">
        <f t="shared" si="2"/>
        <v>4</v>
      </c>
      <c r="J84" s="235">
        <v>45057</v>
      </c>
      <c r="K84" s="177" t="str">
        <f t="shared" si="3"/>
        <v>NUEVO</v>
      </c>
      <c r="L84" s="235">
        <v>45057</v>
      </c>
      <c r="M84" s="235">
        <v>45063</v>
      </c>
      <c r="N84" s="178" t="s">
        <v>50</v>
      </c>
      <c r="O84" s="314">
        <v>7</v>
      </c>
      <c r="P84" s="177" t="s">
        <v>88</v>
      </c>
      <c r="Q84" s="177" t="s">
        <v>50</v>
      </c>
      <c r="R84" s="178" t="s">
        <v>50</v>
      </c>
      <c r="S84" s="178" t="s">
        <v>173</v>
      </c>
      <c r="T84" s="177" t="s">
        <v>389</v>
      </c>
      <c r="U84" s="177" t="s">
        <v>53</v>
      </c>
      <c r="V84" s="177" t="s">
        <v>611</v>
      </c>
      <c r="W84" s="177" t="s">
        <v>612</v>
      </c>
      <c r="X84" s="177" t="s">
        <v>151</v>
      </c>
      <c r="Y84" s="236">
        <v>0.76736111111111116</v>
      </c>
      <c r="Z84" s="177" t="s">
        <v>76</v>
      </c>
      <c r="AA84" s="177" t="s">
        <v>582</v>
      </c>
      <c r="AB84" s="178">
        <v>15692</v>
      </c>
      <c r="AC84" s="202" t="s">
        <v>613</v>
      </c>
      <c r="AD84" s="177" t="s">
        <v>390</v>
      </c>
      <c r="AE84" s="177" t="s">
        <v>614</v>
      </c>
      <c r="AF84" s="177">
        <v>37</v>
      </c>
      <c r="AG84" s="177" t="s">
        <v>216</v>
      </c>
      <c r="AH84" s="177" t="s">
        <v>60</v>
      </c>
      <c r="AI84" s="177" t="s">
        <v>80</v>
      </c>
      <c r="AJ84" s="178" t="s">
        <v>154</v>
      </c>
      <c r="AK84" s="245" t="s">
        <v>615</v>
      </c>
      <c r="AL84" s="242" t="s">
        <v>64</v>
      </c>
      <c r="AM84" s="178" t="s">
        <v>65</v>
      </c>
      <c r="AN84" s="172" t="s">
        <v>65</v>
      </c>
      <c r="AO84" s="178" t="s">
        <v>67</v>
      </c>
      <c r="AP84" s="178" t="s">
        <v>103</v>
      </c>
      <c r="AQ84" s="165" t="s">
        <v>219</v>
      </c>
    </row>
    <row r="85" spans="1:43" ht="15" hidden="1" customHeight="1" x14ac:dyDescent="0.25">
      <c r="A85" s="170">
        <v>2023</v>
      </c>
      <c r="B85" s="170" t="s">
        <v>581</v>
      </c>
      <c r="C85" s="170" t="s">
        <v>45</v>
      </c>
      <c r="D85" s="170" t="s">
        <v>616</v>
      </c>
      <c r="E85" s="170" t="s">
        <v>530</v>
      </c>
      <c r="F85" s="170" t="s">
        <v>48</v>
      </c>
      <c r="G85" s="177" t="s">
        <v>617</v>
      </c>
      <c r="H85" s="10">
        <v>38504</v>
      </c>
      <c r="I85" s="177">
        <f t="shared" si="2"/>
        <v>215</v>
      </c>
      <c r="J85" s="235">
        <v>45059</v>
      </c>
      <c r="K85" s="177" t="str">
        <f t="shared" si="3"/>
        <v>ANTIGUO</v>
      </c>
      <c r="L85" s="177" t="s">
        <v>50</v>
      </c>
      <c r="M85" s="177" t="s">
        <v>50</v>
      </c>
      <c r="N85" s="177" t="s">
        <v>50</v>
      </c>
      <c r="O85" s="177">
        <v>0</v>
      </c>
      <c r="P85" s="177" t="s">
        <v>51</v>
      </c>
      <c r="Q85" s="177" t="s">
        <v>50</v>
      </c>
      <c r="R85" s="178" t="s">
        <v>50</v>
      </c>
      <c r="S85" s="178" t="s">
        <v>234</v>
      </c>
      <c r="T85" s="163" t="s">
        <v>499</v>
      </c>
      <c r="U85" s="177" t="s">
        <v>53</v>
      </c>
      <c r="V85" s="177" t="s">
        <v>499</v>
      </c>
      <c r="W85" s="177" t="s">
        <v>50</v>
      </c>
      <c r="X85" s="177" t="s">
        <v>151</v>
      </c>
      <c r="Y85" s="236">
        <v>0.70486111111111116</v>
      </c>
      <c r="Z85" s="177" t="s">
        <v>95</v>
      </c>
      <c r="AA85" s="177" t="s">
        <v>582</v>
      </c>
      <c r="AB85" s="178"/>
      <c r="AC85" s="240"/>
      <c r="AD85" s="177" t="s">
        <v>236</v>
      </c>
      <c r="AE85" s="177" t="s">
        <v>276</v>
      </c>
      <c r="AF85" s="177">
        <v>43</v>
      </c>
      <c r="AG85" s="177" t="s">
        <v>99</v>
      </c>
      <c r="AH85" s="177" t="s">
        <v>60</v>
      </c>
      <c r="AI85" s="177" t="s">
        <v>128</v>
      </c>
      <c r="AJ85" s="178" t="s">
        <v>293</v>
      </c>
      <c r="AK85" s="179" t="s">
        <v>618</v>
      </c>
      <c r="AL85" s="177" t="s">
        <v>64</v>
      </c>
      <c r="AM85" s="178" t="s">
        <v>65</v>
      </c>
      <c r="AN85" s="178" t="s">
        <v>66</v>
      </c>
      <c r="AO85" s="178" t="s">
        <v>67</v>
      </c>
      <c r="AP85" s="178" t="s">
        <v>240</v>
      </c>
    </row>
    <row r="86" spans="1:43" ht="15" hidden="1" customHeight="1" x14ac:dyDescent="0.2">
      <c r="A86" s="170">
        <v>2023</v>
      </c>
      <c r="B86" s="170" t="s">
        <v>581</v>
      </c>
      <c r="C86" s="170" t="s">
        <v>45</v>
      </c>
      <c r="D86" s="170" t="s">
        <v>319</v>
      </c>
      <c r="E86" s="170" t="s">
        <v>320</v>
      </c>
      <c r="F86" s="170" t="s">
        <v>71</v>
      </c>
      <c r="G86" s="177" t="s">
        <v>321</v>
      </c>
      <c r="H86" s="289">
        <v>43980</v>
      </c>
      <c r="I86" s="177">
        <f t="shared" si="2"/>
        <v>35</v>
      </c>
      <c r="J86" s="235">
        <v>45049</v>
      </c>
      <c r="K86" s="177" t="str">
        <f t="shared" si="3"/>
        <v>ANTIGUO</v>
      </c>
      <c r="L86" s="235" t="s">
        <v>50</v>
      </c>
      <c r="M86" s="177" t="s">
        <v>50</v>
      </c>
      <c r="N86" s="177" t="s">
        <v>50</v>
      </c>
      <c r="O86" s="177">
        <v>0</v>
      </c>
      <c r="P86" s="177" t="s">
        <v>51</v>
      </c>
      <c r="Q86" s="177" t="s">
        <v>50</v>
      </c>
      <c r="R86" s="178" t="s">
        <v>50</v>
      </c>
      <c r="S86" s="178" t="s">
        <v>73</v>
      </c>
      <c r="T86" s="177" t="s">
        <v>619</v>
      </c>
      <c r="U86" s="177" t="s">
        <v>53</v>
      </c>
      <c r="V86" s="177" t="s">
        <v>619</v>
      </c>
      <c r="W86" s="177" t="s">
        <v>620</v>
      </c>
      <c r="X86" s="177" t="s">
        <v>54</v>
      </c>
      <c r="Y86" s="236">
        <v>0.23541666666666669</v>
      </c>
      <c r="Z86" s="177" t="s">
        <v>55</v>
      </c>
      <c r="AA86" s="177" t="s">
        <v>606</v>
      </c>
      <c r="AB86" s="178"/>
      <c r="AC86" s="240"/>
      <c r="AD86" s="177" t="s">
        <v>77</v>
      </c>
      <c r="AE86" s="177" t="s">
        <v>323</v>
      </c>
      <c r="AF86" s="177">
        <v>32</v>
      </c>
      <c r="AG86" s="177" t="s">
        <v>99</v>
      </c>
      <c r="AH86" s="177" t="s">
        <v>60</v>
      </c>
      <c r="AI86" s="177" t="s">
        <v>80</v>
      </c>
      <c r="AJ86" s="178" t="s">
        <v>129</v>
      </c>
      <c r="AK86" s="179" t="s">
        <v>621</v>
      </c>
      <c r="AL86" s="177" t="s">
        <v>64</v>
      </c>
      <c r="AM86" s="178" t="s">
        <v>65</v>
      </c>
      <c r="AN86" s="178" t="s">
        <v>66</v>
      </c>
      <c r="AO86" s="178" t="s">
        <v>119</v>
      </c>
      <c r="AP86" s="178" t="s">
        <v>284</v>
      </c>
    </row>
    <row r="87" spans="1:43" ht="15" hidden="1" customHeight="1" x14ac:dyDescent="0.25">
      <c r="A87" s="170">
        <v>2023</v>
      </c>
      <c r="B87" s="170" t="s">
        <v>581</v>
      </c>
      <c r="C87" s="170" t="s">
        <v>45</v>
      </c>
      <c r="D87" s="170" t="s">
        <v>622</v>
      </c>
      <c r="E87" s="170" t="s">
        <v>402</v>
      </c>
      <c r="F87" s="170" t="s">
        <v>48</v>
      </c>
      <c r="G87" s="177" t="s">
        <v>623</v>
      </c>
      <c r="H87" s="10">
        <v>42898</v>
      </c>
      <c r="I87" s="177">
        <f t="shared" si="2"/>
        <v>71</v>
      </c>
      <c r="J87" s="235">
        <v>45072</v>
      </c>
      <c r="K87" s="177" t="str">
        <f t="shared" si="3"/>
        <v>ANTIGUO</v>
      </c>
      <c r="L87" s="177" t="s">
        <v>50</v>
      </c>
      <c r="M87" s="177" t="s">
        <v>50</v>
      </c>
      <c r="N87" s="177" t="s">
        <v>50</v>
      </c>
      <c r="O87" s="177">
        <v>0</v>
      </c>
      <c r="P87" s="177" t="s">
        <v>51</v>
      </c>
      <c r="Q87" s="177" t="s">
        <v>50</v>
      </c>
      <c r="R87" s="178" t="s">
        <v>50</v>
      </c>
      <c r="S87" s="178" t="s">
        <v>288</v>
      </c>
      <c r="T87" s="177" t="s">
        <v>624</v>
      </c>
      <c r="U87" s="177" t="s">
        <v>53</v>
      </c>
      <c r="V87" s="177" t="s">
        <v>625</v>
      </c>
      <c r="W87" s="177" t="s">
        <v>50</v>
      </c>
      <c r="X87" s="177" t="s">
        <v>151</v>
      </c>
      <c r="Y87" s="236">
        <v>0.64583333333333337</v>
      </c>
      <c r="Z87" s="177" t="s">
        <v>111</v>
      </c>
      <c r="AA87" s="177" t="s">
        <v>596</v>
      </c>
      <c r="AB87" s="178"/>
      <c r="AC87" s="246"/>
      <c r="AD87" s="177" t="s">
        <v>77</v>
      </c>
      <c r="AE87" s="177" t="s">
        <v>626</v>
      </c>
      <c r="AF87" s="177">
        <v>26</v>
      </c>
      <c r="AG87" s="177" t="s">
        <v>475</v>
      </c>
      <c r="AH87" s="177" t="s">
        <v>60</v>
      </c>
      <c r="AI87" s="177" t="s">
        <v>80</v>
      </c>
      <c r="AJ87" s="178" t="s">
        <v>129</v>
      </c>
      <c r="AK87" s="179" t="s">
        <v>627</v>
      </c>
      <c r="AL87" s="177" t="s">
        <v>64</v>
      </c>
      <c r="AM87" s="178" t="s">
        <v>65</v>
      </c>
      <c r="AN87" s="178" t="s">
        <v>66</v>
      </c>
      <c r="AO87" s="178" t="s">
        <v>83</v>
      </c>
      <c r="AP87" s="178" t="s">
        <v>103</v>
      </c>
      <c r="AQ87" s="245"/>
    </row>
    <row r="88" spans="1:43" ht="15" hidden="1" customHeight="1" x14ac:dyDescent="0.25">
      <c r="A88" s="170">
        <v>2023</v>
      </c>
      <c r="B88" s="170" t="s">
        <v>581</v>
      </c>
      <c r="C88" s="170" t="s">
        <v>45</v>
      </c>
      <c r="D88" s="170" t="s">
        <v>628</v>
      </c>
      <c r="E88" s="170" t="s">
        <v>629</v>
      </c>
      <c r="F88" s="170" t="s">
        <v>71</v>
      </c>
      <c r="G88" s="177" t="s">
        <v>630</v>
      </c>
      <c r="H88" s="10">
        <v>45029</v>
      </c>
      <c r="I88" s="177">
        <f t="shared" si="2"/>
        <v>1</v>
      </c>
      <c r="J88" s="235">
        <v>45062</v>
      </c>
      <c r="K88" s="177" t="str">
        <f t="shared" si="3"/>
        <v>NUEVO</v>
      </c>
      <c r="L88" s="235">
        <v>45062</v>
      </c>
      <c r="M88" s="177" t="s">
        <v>50</v>
      </c>
      <c r="N88" s="177" t="s">
        <v>50</v>
      </c>
      <c r="O88" s="177">
        <v>0</v>
      </c>
      <c r="P88" s="177" t="s">
        <v>51</v>
      </c>
      <c r="Q88" s="177" t="s">
        <v>50</v>
      </c>
      <c r="R88" s="178" t="s">
        <v>50</v>
      </c>
      <c r="S88" s="178" t="s">
        <v>160</v>
      </c>
      <c r="T88" s="177" t="s">
        <v>191</v>
      </c>
      <c r="U88" s="177" t="s">
        <v>53</v>
      </c>
      <c r="V88" s="177" t="s">
        <v>631</v>
      </c>
      <c r="W88" s="177" t="s">
        <v>50</v>
      </c>
      <c r="X88" s="177" t="s">
        <v>151</v>
      </c>
      <c r="Y88" s="236">
        <v>0.76041666666666663</v>
      </c>
      <c r="Z88" s="177" t="s">
        <v>125</v>
      </c>
      <c r="AA88" s="177" t="s">
        <v>632</v>
      </c>
      <c r="AB88" s="178">
        <v>15700</v>
      </c>
      <c r="AC88" s="232" t="s">
        <v>633</v>
      </c>
      <c r="AD88" s="177" t="s">
        <v>164</v>
      </c>
      <c r="AE88" s="177" t="s">
        <v>215</v>
      </c>
      <c r="AF88" s="177">
        <v>27</v>
      </c>
      <c r="AG88" s="177" t="s">
        <v>61</v>
      </c>
      <c r="AH88" s="177" t="s">
        <v>60</v>
      </c>
      <c r="AI88" s="177" t="s">
        <v>128</v>
      </c>
      <c r="AJ88" s="178" t="s">
        <v>293</v>
      </c>
      <c r="AK88" s="179" t="s">
        <v>634</v>
      </c>
      <c r="AL88" s="177" t="s">
        <v>118</v>
      </c>
      <c r="AM88" s="178" t="s">
        <v>66</v>
      </c>
      <c r="AN88" s="178" t="s">
        <v>65</v>
      </c>
      <c r="AO88" s="178" t="s">
        <v>83</v>
      </c>
      <c r="AP88" s="178" t="s">
        <v>250</v>
      </c>
      <c r="AQ88" s="245"/>
    </row>
    <row r="89" spans="1:43" ht="15" hidden="1" customHeight="1" x14ac:dyDescent="0.2">
      <c r="A89" s="170">
        <v>2023</v>
      </c>
      <c r="B89" s="170" t="s">
        <v>581</v>
      </c>
      <c r="C89" s="170" t="s">
        <v>45</v>
      </c>
      <c r="D89" s="170" t="s">
        <v>635</v>
      </c>
      <c r="E89" s="170" t="s">
        <v>636</v>
      </c>
      <c r="F89" s="170" t="s">
        <v>48</v>
      </c>
      <c r="G89" s="177" t="s">
        <v>637</v>
      </c>
      <c r="H89" s="289">
        <v>45054</v>
      </c>
      <c r="I89" s="177">
        <f t="shared" si="2"/>
        <v>0</v>
      </c>
      <c r="J89" s="235">
        <v>45057</v>
      </c>
      <c r="K89" s="177" t="str">
        <f t="shared" si="3"/>
        <v>NUEVO</v>
      </c>
      <c r="L89" s="177" t="s">
        <v>50</v>
      </c>
      <c r="M89" s="177" t="s">
        <v>50</v>
      </c>
      <c r="N89" s="177" t="s">
        <v>50</v>
      </c>
      <c r="O89" s="177">
        <v>0</v>
      </c>
      <c r="P89" s="177" t="s">
        <v>51</v>
      </c>
      <c r="Q89" s="177" t="s">
        <v>50</v>
      </c>
      <c r="R89" s="178" t="s">
        <v>50</v>
      </c>
      <c r="S89" s="178" t="s">
        <v>234</v>
      </c>
      <c r="T89" s="177" t="s">
        <v>265</v>
      </c>
      <c r="U89" s="177" t="s">
        <v>53</v>
      </c>
      <c r="V89" s="177" t="s">
        <v>265</v>
      </c>
      <c r="W89" s="177" t="s">
        <v>94</v>
      </c>
      <c r="X89" s="177" t="s">
        <v>54</v>
      </c>
      <c r="Y89" s="236">
        <v>5.1423611111111116</v>
      </c>
      <c r="Z89" s="177" t="s">
        <v>76</v>
      </c>
      <c r="AA89" s="177" t="s">
        <v>582</v>
      </c>
      <c r="AB89" s="178"/>
      <c r="AC89" s="203"/>
      <c r="AD89" s="177" t="s">
        <v>236</v>
      </c>
      <c r="AE89" s="177" t="s">
        <v>237</v>
      </c>
      <c r="AF89" s="177"/>
      <c r="AG89" s="177" t="s">
        <v>115</v>
      </c>
      <c r="AH89" s="177" t="s">
        <v>60</v>
      </c>
      <c r="AI89" s="177" t="s">
        <v>80</v>
      </c>
      <c r="AJ89" s="178" t="s">
        <v>154</v>
      </c>
      <c r="AK89" s="245" t="s">
        <v>638</v>
      </c>
      <c r="AL89" s="178" t="s">
        <v>64</v>
      </c>
      <c r="AM89" s="178" t="s">
        <v>65</v>
      </c>
      <c r="AN89" s="178" t="s">
        <v>66</v>
      </c>
      <c r="AO89" s="178" t="s">
        <v>83</v>
      </c>
      <c r="AP89" s="178" t="s">
        <v>103</v>
      </c>
      <c r="AQ89" s="245"/>
    </row>
    <row r="90" spans="1:43" ht="25.5" hidden="1" customHeight="1" x14ac:dyDescent="0.25">
      <c r="A90" s="170">
        <v>2023</v>
      </c>
      <c r="B90" s="170" t="s">
        <v>581</v>
      </c>
      <c r="C90" s="170" t="s">
        <v>45</v>
      </c>
      <c r="D90" s="170" t="s">
        <v>639</v>
      </c>
      <c r="E90" s="170" t="s">
        <v>640</v>
      </c>
      <c r="F90" s="170" t="s">
        <v>48</v>
      </c>
      <c r="G90" s="9" t="s">
        <v>641</v>
      </c>
      <c r="H90" s="10">
        <v>36220</v>
      </c>
      <c r="I90" s="177">
        <f t="shared" ref="I90:I153" si="4">DATEDIF(H90,J90,"m")</f>
        <v>290</v>
      </c>
      <c r="J90" s="235">
        <v>45065</v>
      </c>
      <c r="K90" s="177" t="str">
        <f t="shared" si="3"/>
        <v>ANTIGUO</v>
      </c>
      <c r="L90" s="177" t="s">
        <v>50</v>
      </c>
      <c r="M90" s="177" t="s">
        <v>50</v>
      </c>
      <c r="N90" s="177" t="s">
        <v>50</v>
      </c>
      <c r="O90" s="177">
        <v>0</v>
      </c>
      <c r="P90" s="177" t="s">
        <v>51</v>
      </c>
      <c r="Q90" s="177" t="s">
        <v>50</v>
      </c>
      <c r="R90" s="178" t="s">
        <v>50</v>
      </c>
      <c r="S90" s="178" t="s">
        <v>160</v>
      </c>
      <c r="T90" s="177" t="s">
        <v>161</v>
      </c>
      <c r="U90" s="177" t="s">
        <v>31</v>
      </c>
      <c r="V90" s="177" t="s">
        <v>161</v>
      </c>
      <c r="W90" s="177" t="s">
        <v>50</v>
      </c>
      <c r="X90" s="177" t="s">
        <v>54</v>
      </c>
      <c r="Y90" s="236">
        <v>0.45833333333333331</v>
      </c>
      <c r="Z90" s="177" t="s">
        <v>111</v>
      </c>
      <c r="AA90" s="177" t="s">
        <v>632</v>
      </c>
      <c r="AB90" s="178"/>
      <c r="AC90" s="203"/>
      <c r="AD90" s="177" t="s">
        <v>164</v>
      </c>
      <c r="AE90" s="177" t="s">
        <v>165</v>
      </c>
      <c r="AF90" s="177">
        <v>51</v>
      </c>
      <c r="AG90" s="177" t="s">
        <v>226</v>
      </c>
      <c r="AH90" s="177" t="s">
        <v>642</v>
      </c>
      <c r="AI90" s="177" t="s">
        <v>80</v>
      </c>
      <c r="AJ90" s="178" t="s">
        <v>129</v>
      </c>
      <c r="AK90" s="179" t="s">
        <v>643</v>
      </c>
      <c r="AL90" s="178" t="s">
        <v>118</v>
      </c>
      <c r="AM90" s="178" t="s">
        <v>65</v>
      </c>
      <c r="AN90" s="178" t="s">
        <v>66</v>
      </c>
      <c r="AO90" s="178" t="s">
        <v>83</v>
      </c>
      <c r="AP90" s="178" t="s">
        <v>250</v>
      </c>
    </row>
    <row r="91" spans="1:43" ht="15" hidden="1" customHeight="1" x14ac:dyDescent="0.2">
      <c r="A91" s="172">
        <v>2023</v>
      </c>
      <c r="B91" s="172" t="s">
        <v>581</v>
      </c>
      <c r="C91" s="172" t="s">
        <v>45</v>
      </c>
      <c r="D91" s="172" t="s">
        <v>644</v>
      </c>
      <c r="E91" s="172" t="s">
        <v>645</v>
      </c>
      <c r="F91" s="172" t="s">
        <v>71</v>
      </c>
      <c r="G91" s="178" t="s">
        <v>646</v>
      </c>
      <c r="H91" s="357">
        <v>42835</v>
      </c>
      <c r="I91" s="178">
        <f t="shared" si="4"/>
        <v>72</v>
      </c>
      <c r="J91" s="251">
        <v>45048</v>
      </c>
      <c r="K91" s="177" t="str">
        <f t="shared" si="3"/>
        <v>ANTIGUO</v>
      </c>
      <c r="L91" s="251">
        <v>45048</v>
      </c>
      <c r="M91" s="251">
        <v>45048</v>
      </c>
      <c r="N91" s="178" t="s">
        <v>50</v>
      </c>
      <c r="O91" s="178">
        <v>0</v>
      </c>
      <c r="P91" s="178" t="s">
        <v>51</v>
      </c>
      <c r="Q91" s="178" t="s">
        <v>50</v>
      </c>
      <c r="R91" s="178" t="s">
        <v>50</v>
      </c>
      <c r="S91" s="178" t="s">
        <v>160</v>
      </c>
      <c r="T91" s="178" t="s">
        <v>191</v>
      </c>
      <c r="U91" s="177" t="s">
        <v>53</v>
      </c>
      <c r="V91" s="178" t="s">
        <v>647</v>
      </c>
      <c r="W91" s="178" t="s">
        <v>50</v>
      </c>
      <c r="X91" s="178" t="s">
        <v>54</v>
      </c>
      <c r="Y91" s="253">
        <v>0.26041666666666669</v>
      </c>
      <c r="Z91" s="178" t="s">
        <v>125</v>
      </c>
      <c r="AA91" s="178" t="s">
        <v>606</v>
      </c>
      <c r="AB91" s="178">
        <v>155661</v>
      </c>
      <c r="AC91" s="202" t="s">
        <v>648</v>
      </c>
      <c r="AD91" s="178" t="s">
        <v>164</v>
      </c>
      <c r="AE91" s="177" t="s">
        <v>578</v>
      </c>
      <c r="AF91" s="178">
        <v>28</v>
      </c>
      <c r="AG91" s="178" t="s">
        <v>649</v>
      </c>
      <c r="AH91" s="178" t="s">
        <v>153</v>
      </c>
      <c r="AI91" s="178" t="s">
        <v>80</v>
      </c>
      <c r="AJ91" s="178" t="s">
        <v>154</v>
      </c>
      <c r="AK91" s="306" t="s">
        <v>650</v>
      </c>
      <c r="AL91" s="178" t="s">
        <v>64</v>
      </c>
      <c r="AM91" s="178" t="s">
        <v>66</v>
      </c>
      <c r="AN91" s="178" t="s">
        <v>65</v>
      </c>
      <c r="AO91" s="178" t="s">
        <v>67</v>
      </c>
      <c r="AP91" s="178" t="s">
        <v>103</v>
      </c>
      <c r="AQ91" s="278" t="s">
        <v>169</v>
      </c>
    </row>
    <row r="92" spans="1:43" hidden="1" x14ac:dyDescent="0.25">
      <c r="A92" s="170">
        <v>2023</v>
      </c>
      <c r="B92" s="170" t="s">
        <v>581</v>
      </c>
      <c r="C92" s="170" t="s">
        <v>45</v>
      </c>
      <c r="D92" s="170" t="s">
        <v>651</v>
      </c>
      <c r="E92" s="170" t="s">
        <v>652</v>
      </c>
      <c r="F92" s="170" t="s">
        <v>71</v>
      </c>
      <c r="G92" s="177" t="s">
        <v>653</v>
      </c>
      <c r="H92" s="10">
        <v>44908</v>
      </c>
      <c r="I92" s="177">
        <f t="shared" si="4"/>
        <v>4</v>
      </c>
      <c r="J92" s="235">
        <v>45058</v>
      </c>
      <c r="K92" s="177" t="str">
        <f t="shared" si="3"/>
        <v>NUEVO</v>
      </c>
      <c r="L92" s="177" t="s">
        <v>50</v>
      </c>
      <c r="M92" s="177" t="s">
        <v>50</v>
      </c>
      <c r="N92" s="177" t="s">
        <v>50</v>
      </c>
      <c r="O92" s="177">
        <v>0</v>
      </c>
      <c r="P92" s="177" t="s">
        <v>51</v>
      </c>
      <c r="Q92" s="177" t="s">
        <v>50</v>
      </c>
      <c r="R92" s="178" t="s">
        <v>50</v>
      </c>
      <c r="S92" s="178" t="s">
        <v>160</v>
      </c>
      <c r="T92" s="177" t="s">
        <v>191</v>
      </c>
      <c r="U92" s="177" t="s">
        <v>53</v>
      </c>
      <c r="V92" s="177" t="s">
        <v>619</v>
      </c>
      <c r="W92" s="177" t="s">
        <v>50</v>
      </c>
      <c r="X92" s="177" t="s">
        <v>151</v>
      </c>
      <c r="Y92" s="236">
        <v>0.83680555555555547</v>
      </c>
      <c r="Z92" s="177" t="s">
        <v>111</v>
      </c>
      <c r="AA92" s="177" t="s">
        <v>582</v>
      </c>
      <c r="AB92" s="178"/>
      <c r="AC92" s="203"/>
      <c r="AD92" s="177" t="s">
        <v>164</v>
      </c>
      <c r="AE92" s="177" t="s">
        <v>578</v>
      </c>
      <c r="AF92" s="177">
        <v>41</v>
      </c>
      <c r="AG92" s="177" t="s">
        <v>79</v>
      </c>
      <c r="AH92" s="177" t="s">
        <v>143</v>
      </c>
      <c r="AI92" s="177" t="s">
        <v>80</v>
      </c>
      <c r="AJ92" s="178" t="s">
        <v>81</v>
      </c>
      <c r="AK92" s="179" t="s">
        <v>654</v>
      </c>
      <c r="AL92" s="178" t="s">
        <v>118</v>
      </c>
      <c r="AM92" s="178" t="s">
        <v>65</v>
      </c>
      <c r="AN92" s="178" t="s">
        <v>66</v>
      </c>
      <c r="AO92" s="178" t="s">
        <v>67</v>
      </c>
      <c r="AP92" s="178" t="s">
        <v>250</v>
      </c>
      <c r="AQ92" s="245" t="s">
        <v>146</v>
      </c>
    </row>
    <row r="93" spans="1:43" ht="15" hidden="1" customHeight="1" x14ac:dyDescent="0.25">
      <c r="A93" s="170">
        <v>2023</v>
      </c>
      <c r="B93" s="170" t="s">
        <v>581</v>
      </c>
      <c r="C93" s="170" t="s">
        <v>45</v>
      </c>
      <c r="D93" s="170" t="s">
        <v>655</v>
      </c>
      <c r="E93" s="170" t="s">
        <v>656</v>
      </c>
      <c r="F93" s="170" t="s">
        <v>48</v>
      </c>
      <c r="G93" s="177" t="s">
        <v>657</v>
      </c>
      <c r="H93" s="10">
        <v>44879</v>
      </c>
      <c r="I93" s="177">
        <f t="shared" si="4"/>
        <v>6</v>
      </c>
      <c r="J93" s="235">
        <v>45075</v>
      </c>
      <c r="K93" s="177" t="str">
        <f t="shared" si="3"/>
        <v>NUEVO</v>
      </c>
      <c r="L93" s="177" t="s">
        <v>50</v>
      </c>
      <c r="M93" s="177" t="s">
        <v>50</v>
      </c>
      <c r="N93" s="177" t="s">
        <v>50</v>
      </c>
      <c r="O93" s="177">
        <v>0</v>
      </c>
      <c r="P93" s="177" t="s">
        <v>51</v>
      </c>
      <c r="Q93" s="177" t="s">
        <v>50</v>
      </c>
      <c r="R93" s="178" t="s">
        <v>50</v>
      </c>
      <c r="S93" s="178" t="s">
        <v>91</v>
      </c>
      <c r="T93" s="177" t="s">
        <v>658</v>
      </c>
      <c r="U93" s="177" t="s">
        <v>53</v>
      </c>
      <c r="V93" s="177" t="s">
        <v>201</v>
      </c>
      <c r="W93" s="177" t="s">
        <v>50</v>
      </c>
      <c r="X93" s="177" t="s">
        <v>151</v>
      </c>
      <c r="Y93" s="236">
        <v>0.69791666666666663</v>
      </c>
      <c r="Z93" s="177" t="s">
        <v>137</v>
      </c>
      <c r="AA93" s="177" t="s">
        <v>659</v>
      </c>
      <c r="AB93" s="178"/>
      <c r="AC93" s="203"/>
      <c r="AD93" s="177" t="s">
        <v>97</v>
      </c>
      <c r="AE93" s="177" t="s">
        <v>98</v>
      </c>
      <c r="AF93" s="177">
        <v>34</v>
      </c>
      <c r="AG93" s="177" t="s">
        <v>226</v>
      </c>
      <c r="AH93" s="177" t="s">
        <v>227</v>
      </c>
      <c r="AI93" s="177" t="s">
        <v>228</v>
      </c>
      <c r="AJ93" s="178" t="s">
        <v>229</v>
      </c>
      <c r="AK93" s="179" t="s">
        <v>660</v>
      </c>
      <c r="AL93" s="178" t="s">
        <v>64</v>
      </c>
      <c r="AM93" s="178" t="s">
        <v>65</v>
      </c>
      <c r="AN93" s="178" t="s">
        <v>66</v>
      </c>
      <c r="AO93" s="178" t="s">
        <v>67</v>
      </c>
      <c r="AP93" s="178" t="s">
        <v>240</v>
      </c>
    </row>
    <row r="94" spans="1:43" hidden="1" x14ac:dyDescent="0.25">
      <c r="A94" s="170">
        <v>2023</v>
      </c>
      <c r="B94" s="170" t="s">
        <v>581</v>
      </c>
      <c r="C94" s="170" t="s">
        <v>45</v>
      </c>
      <c r="D94" s="170" t="s">
        <v>661</v>
      </c>
      <c r="E94" s="170" t="s">
        <v>662</v>
      </c>
      <c r="F94" s="170" t="s">
        <v>48</v>
      </c>
      <c r="G94" s="177" t="s">
        <v>663</v>
      </c>
      <c r="H94" s="10">
        <v>44950</v>
      </c>
      <c r="I94" s="177">
        <f t="shared" si="4"/>
        <v>3</v>
      </c>
      <c r="J94" s="235">
        <v>45069</v>
      </c>
      <c r="K94" s="177" t="str">
        <f t="shared" si="3"/>
        <v>NUEVO</v>
      </c>
      <c r="L94" s="235">
        <v>45075</v>
      </c>
      <c r="M94" s="235">
        <v>45075</v>
      </c>
      <c r="N94" s="177" t="s">
        <v>50</v>
      </c>
      <c r="O94" s="177">
        <v>0</v>
      </c>
      <c r="P94" s="177" t="s">
        <v>51</v>
      </c>
      <c r="Q94" s="177" t="s">
        <v>50</v>
      </c>
      <c r="R94" s="178" t="s">
        <v>50</v>
      </c>
      <c r="S94" s="178" t="s">
        <v>173</v>
      </c>
      <c r="T94" s="9" t="s">
        <v>664</v>
      </c>
      <c r="U94" s="177" t="s">
        <v>53</v>
      </c>
      <c r="V94" s="177" t="s">
        <v>665</v>
      </c>
      <c r="W94" s="177" t="s">
        <v>50</v>
      </c>
      <c r="X94" s="177" t="s">
        <v>176</v>
      </c>
      <c r="Y94" s="236">
        <v>0.17361111111111113</v>
      </c>
      <c r="Z94" s="177" t="s">
        <v>125</v>
      </c>
      <c r="AA94" s="177" t="s">
        <v>596</v>
      </c>
      <c r="AB94" s="178"/>
      <c r="AC94" s="203"/>
      <c r="AD94" s="177" t="s">
        <v>390</v>
      </c>
      <c r="AE94" s="177" t="s">
        <v>666</v>
      </c>
      <c r="AF94" s="177">
        <v>32</v>
      </c>
      <c r="AG94" s="177" t="s">
        <v>59</v>
      </c>
      <c r="AH94" s="177" t="s">
        <v>60</v>
      </c>
      <c r="AI94" s="177" t="s">
        <v>80</v>
      </c>
      <c r="AJ94" s="178" t="s">
        <v>129</v>
      </c>
      <c r="AK94" s="179" t="s">
        <v>667</v>
      </c>
      <c r="AL94" s="178" t="s">
        <v>64</v>
      </c>
      <c r="AM94" s="178" t="s">
        <v>65</v>
      </c>
      <c r="AN94" s="178" t="s">
        <v>66</v>
      </c>
      <c r="AO94" s="178" t="s">
        <v>83</v>
      </c>
      <c r="AP94" s="178" t="s">
        <v>103</v>
      </c>
      <c r="AQ94" s="245"/>
    </row>
    <row r="95" spans="1:43" ht="15" hidden="1" customHeight="1" x14ac:dyDescent="0.2">
      <c r="A95" s="172">
        <v>2023</v>
      </c>
      <c r="B95" s="172" t="s">
        <v>581</v>
      </c>
      <c r="C95" s="172" t="s">
        <v>45</v>
      </c>
      <c r="D95" s="172" t="s">
        <v>668</v>
      </c>
      <c r="E95" s="172" t="s">
        <v>669</v>
      </c>
      <c r="F95" s="172" t="s">
        <v>48</v>
      </c>
      <c r="G95" s="178" t="s">
        <v>670</v>
      </c>
      <c r="H95" s="304">
        <v>44096</v>
      </c>
      <c r="I95" s="178">
        <f t="shared" si="4"/>
        <v>31</v>
      </c>
      <c r="J95" s="251">
        <v>45048</v>
      </c>
      <c r="K95" s="177" t="str">
        <f t="shared" si="3"/>
        <v>ANTIGUO</v>
      </c>
      <c r="L95" s="251">
        <v>45049</v>
      </c>
      <c r="M95" s="177" t="s">
        <v>50</v>
      </c>
      <c r="N95" s="178" t="s">
        <v>50</v>
      </c>
      <c r="O95" s="178">
        <v>0</v>
      </c>
      <c r="P95" s="178" t="s">
        <v>51</v>
      </c>
      <c r="Q95" s="178" t="s">
        <v>50</v>
      </c>
      <c r="R95" s="178" t="s">
        <v>50</v>
      </c>
      <c r="S95" s="178" t="s">
        <v>173</v>
      </c>
      <c r="T95" s="178" t="s">
        <v>389</v>
      </c>
      <c r="U95" s="177" t="s">
        <v>53</v>
      </c>
      <c r="V95" s="178" t="s">
        <v>192</v>
      </c>
      <c r="W95" s="178" t="s">
        <v>50</v>
      </c>
      <c r="X95" s="178" t="s">
        <v>176</v>
      </c>
      <c r="Y95" s="253">
        <v>0.13194444444444445</v>
      </c>
      <c r="Z95" s="178" t="s">
        <v>125</v>
      </c>
      <c r="AA95" s="178" t="s">
        <v>606</v>
      </c>
      <c r="AB95" s="178">
        <v>15673</v>
      </c>
      <c r="AC95" s="202" t="s">
        <v>671</v>
      </c>
      <c r="AD95" s="178" t="s">
        <v>178</v>
      </c>
      <c r="AE95" s="178" t="s">
        <v>202</v>
      </c>
      <c r="AF95" s="178">
        <v>34</v>
      </c>
      <c r="AG95" s="178" t="s">
        <v>301</v>
      </c>
      <c r="AH95" s="178" t="s">
        <v>227</v>
      </c>
      <c r="AI95" s="178" t="s">
        <v>228</v>
      </c>
      <c r="AJ95" s="178" t="s">
        <v>229</v>
      </c>
      <c r="AK95" s="306" t="s">
        <v>672</v>
      </c>
      <c r="AL95" s="237" t="s">
        <v>118</v>
      </c>
      <c r="AM95" s="178" t="s">
        <v>65</v>
      </c>
      <c r="AN95" s="178" t="s">
        <v>65</v>
      </c>
      <c r="AO95" s="178" t="s">
        <v>83</v>
      </c>
      <c r="AP95" s="178" t="s">
        <v>240</v>
      </c>
      <c r="AQ95" s="165" t="s">
        <v>195</v>
      </c>
    </row>
    <row r="96" spans="1:43" ht="15" hidden="1" customHeight="1" x14ac:dyDescent="0.25">
      <c r="A96" s="170">
        <v>2023</v>
      </c>
      <c r="B96" s="170" t="s">
        <v>581</v>
      </c>
      <c r="C96" s="170" t="s">
        <v>45</v>
      </c>
      <c r="D96" s="170" t="s">
        <v>673</v>
      </c>
      <c r="E96" s="170" t="s">
        <v>221</v>
      </c>
      <c r="F96" s="170" t="s">
        <v>48</v>
      </c>
      <c r="G96" s="177" t="s">
        <v>674</v>
      </c>
      <c r="H96" s="10">
        <v>36713</v>
      </c>
      <c r="I96" s="177">
        <f t="shared" si="4"/>
        <v>274</v>
      </c>
      <c r="J96" s="235">
        <v>45062</v>
      </c>
      <c r="K96" s="177" t="str">
        <f t="shared" si="3"/>
        <v>ANTIGUO</v>
      </c>
      <c r="L96" s="177" t="s">
        <v>50</v>
      </c>
      <c r="M96" s="177" t="s">
        <v>50</v>
      </c>
      <c r="N96" s="177" t="s">
        <v>50</v>
      </c>
      <c r="O96" s="177">
        <v>0</v>
      </c>
      <c r="P96" s="177" t="s">
        <v>51</v>
      </c>
      <c r="Q96" s="177" t="s">
        <v>50</v>
      </c>
      <c r="R96" s="178" t="s">
        <v>50</v>
      </c>
      <c r="S96" s="178" t="s">
        <v>288</v>
      </c>
      <c r="T96" s="177" t="s">
        <v>675</v>
      </c>
      <c r="U96" s="177" t="s">
        <v>53</v>
      </c>
      <c r="V96" s="177" t="s">
        <v>676</v>
      </c>
      <c r="W96" s="177" t="s">
        <v>50</v>
      </c>
      <c r="X96" s="177" t="s">
        <v>54</v>
      </c>
      <c r="Y96" s="236">
        <v>0.21527777777777779</v>
      </c>
      <c r="Z96" s="177" t="s">
        <v>125</v>
      </c>
      <c r="AA96" s="177" t="s">
        <v>632</v>
      </c>
      <c r="AB96" s="178"/>
      <c r="AC96" s="240"/>
      <c r="AD96" s="177" t="s">
        <v>77</v>
      </c>
      <c r="AE96" s="177" t="s">
        <v>292</v>
      </c>
      <c r="AF96" s="177">
        <v>51</v>
      </c>
      <c r="AG96" s="177" t="s">
        <v>59</v>
      </c>
      <c r="AH96" s="177" t="s">
        <v>153</v>
      </c>
      <c r="AI96" s="177" t="s">
        <v>80</v>
      </c>
      <c r="AJ96" s="178" t="s">
        <v>129</v>
      </c>
      <c r="AK96" s="238" t="s">
        <v>677</v>
      </c>
      <c r="AL96" s="177" t="s">
        <v>64</v>
      </c>
      <c r="AM96" s="239" t="s">
        <v>65</v>
      </c>
      <c r="AN96" s="178" t="s">
        <v>66</v>
      </c>
      <c r="AO96" s="178" t="s">
        <v>67</v>
      </c>
      <c r="AP96" s="178" t="s">
        <v>250</v>
      </c>
    </row>
    <row r="97" spans="1:43" ht="15" customHeight="1" x14ac:dyDescent="0.25">
      <c r="A97" s="170">
        <v>2023</v>
      </c>
      <c r="B97" s="170" t="s">
        <v>581</v>
      </c>
      <c r="C97" s="170" t="s">
        <v>45</v>
      </c>
      <c r="D97" s="170" t="s">
        <v>678</v>
      </c>
      <c r="E97" s="170" t="s">
        <v>679</v>
      </c>
      <c r="F97" s="170" t="s">
        <v>48</v>
      </c>
      <c r="G97" s="177" t="s">
        <v>680</v>
      </c>
      <c r="H97" s="10">
        <v>39114</v>
      </c>
      <c r="I97" s="177">
        <f>DATEDIF(H97,J97,"m")</f>
        <v>195</v>
      </c>
      <c r="J97" s="235">
        <v>45063</v>
      </c>
      <c r="K97" s="177" t="str">
        <f t="shared" si="3"/>
        <v>ANTIGUO</v>
      </c>
      <c r="L97" s="235">
        <v>45064</v>
      </c>
      <c r="M97" s="235">
        <v>45070</v>
      </c>
      <c r="N97" s="177" t="s">
        <v>50</v>
      </c>
      <c r="O97" s="314">
        <v>7</v>
      </c>
      <c r="P97" s="177" t="s">
        <v>88</v>
      </c>
      <c r="Q97" s="177" t="s">
        <v>89</v>
      </c>
      <c r="R97" s="178" t="s">
        <v>90</v>
      </c>
      <c r="S97" s="178" t="s">
        <v>160</v>
      </c>
      <c r="T97" s="177" t="s">
        <v>191</v>
      </c>
      <c r="U97" s="177" t="s">
        <v>681</v>
      </c>
      <c r="V97" s="177" t="s">
        <v>682</v>
      </c>
      <c r="W97" s="177" t="s">
        <v>683</v>
      </c>
      <c r="X97" s="177" t="s">
        <v>151</v>
      </c>
      <c r="Y97" s="236">
        <v>0.95486111111111116</v>
      </c>
      <c r="Z97" s="177" t="s">
        <v>76</v>
      </c>
      <c r="AA97" s="177" t="s">
        <v>632</v>
      </c>
      <c r="AB97" s="178">
        <v>15701</v>
      </c>
      <c r="AC97" s="202" t="s">
        <v>684</v>
      </c>
      <c r="AD97" s="177" t="s">
        <v>164</v>
      </c>
      <c r="AE97" s="177" t="s">
        <v>215</v>
      </c>
      <c r="AF97" s="177">
        <v>37</v>
      </c>
      <c r="AG97" s="177" t="s">
        <v>99</v>
      </c>
      <c r="AH97" s="177" t="s">
        <v>60</v>
      </c>
      <c r="AI97" s="177" t="s">
        <v>100</v>
      </c>
      <c r="AJ97" s="178" t="s">
        <v>101</v>
      </c>
      <c r="AK97" s="238" t="s">
        <v>685</v>
      </c>
      <c r="AL97" s="178" t="s">
        <v>64</v>
      </c>
      <c r="AM97" s="239" t="s">
        <v>65</v>
      </c>
      <c r="AN97" s="172" t="s">
        <v>65</v>
      </c>
      <c r="AO97" s="178" t="s">
        <v>83</v>
      </c>
      <c r="AP97" s="178" t="s">
        <v>103</v>
      </c>
    </row>
    <row r="98" spans="1:43" ht="15" hidden="1" customHeight="1" x14ac:dyDescent="0.25">
      <c r="A98" s="170">
        <v>2023</v>
      </c>
      <c r="B98" s="170" t="s">
        <v>581</v>
      </c>
      <c r="C98" s="170" t="s">
        <v>45</v>
      </c>
      <c r="D98" s="170" t="s">
        <v>393</v>
      </c>
      <c r="E98" s="170" t="s">
        <v>221</v>
      </c>
      <c r="F98" s="170" t="s">
        <v>48</v>
      </c>
      <c r="G98" s="177" t="s">
        <v>394</v>
      </c>
      <c r="H98" s="10">
        <v>44869</v>
      </c>
      <c r="I98" s="177">
        <f t="shared" si="4"/>
        <v>6</v>
      </c>
      <c r="J98" s="235">
        <v>45076</v>
      </c>
      <c r="K98" s="177" t="str">
        <f t="shared" si="3"/>
        <v>NUEVO</v>
      </c>
      <c r="L98" s="177" t="s">
        <v>50</v>
      </c>
      <c r="M98" s="177" t="s">
        <v>50</v>
      </c>
      <c r="N98" s="177" t="s">
        <v>50</v>
      </c>
      <c r="O98" s="177">
        <v>0</v>
      </c>
      <c r="P98" s="177" t="s">
        <v>51</v>
      </c>
      <c r="Q98" s="177" t="s">
        <v>50</v>
      </c>
      <c r="R98" s="178" t="s">
        <v>50</v>
      </c>
      <c r="S98" s="178" t="s">
        <v>73</v>
      </c>
      <c r="T98" s="177" t="s">
        <v>473</v>
      </c>
      <c r="U98" s="177" t="s">
        <v>53</v>
      </c>
      <c r="V98" s="177" t="s">
        <v>395</v>
      </c>
      <c r="W98" s="177" t="s">
        <v>50</v>
      </c>
      <c r="X98" s="177" t="s">
        <v>151</v>
      </c>
      <c r="Y98" s="236">
        <v>0.74305555555555547</v>
      </c>
      <c r="Z98" s="177" t="s">
        <v>125</v>
      </c>
      <c r="AA98" s="177" t="s">
        <v>659</v>
      </c>
      <c r="AB98" s="178"/>
      <c r="AC98" s="203"/>
      <c r="AD98" s="177" t="s">
        <v>77</v>
      </c>
      <c r="AE98" s="177" t="s">
        <v>378</v>
      </c>
      <c r="AF98" s="177">
        <v>40</v>
      </c>
      <c r="AG98" s="177" t="s">
        <v>383</v>
      </c>
      <c r="AH98" s="177" t="s">
        <v>450</v>
      </c>
      <c r="AI98" s="177" t="s">
        <v>61</v>
      </c>
      <c r="AJ98" s="178" t="s">
        <v>384</v>
      </c>
      <c r="AK98" s="179" t="s">
        <v>686</v>
      </c>
      <c r="AL98" s="244" t="s">
        <v>64</v>
      </c>
      <c r="AM98" s="178" t="s">
        <v>65</v>
      </c>
      <c r="AN98" s="178" t="s">
        <v>66</v>
      </c>
      <c r="AO98" s="178" t="s">
        <v>83</v>
      </c>
      <c r="AP98" s="178" t="s">
        <v>103</v>
      </c>
    </row>
    <row r="99" spans="1:43" hidden="1" x14ac:dyDescent="0.25">
      <c r="A99" s="170">
        <v>2023</v>
      </c>
      <c r="B99" s="170" t="s">
        <v>581</v>
      </c>
      <c r="C99" s="170" t="s">
        <v>45</v>
      </c>
      <c r="D99" s="170" t="s">
        <v>687</v>
      </c>
      <c r="E99" s="170" t="s">
        <v>458</v>
      </c>
      <c r="F99" s="170" t="s">
        <v>48</v>
      </c>
      <c r="G99" s="177" t="s">
        <v>688</v>
      </c>
      <c r="H99" s="10">
        <v>44998</v>
      </c>
      <c r="I99" s="177">
        <f t="shared" si="4"/>
        <v>2</v>
      </c>
      <c r="J99" s="235">
        <v>45059</v>
      </c>
      <c r="K99" s="177" t="str">
        <f t="shared" si="3"/>
        <v>NUEVO</v>
      </c>
      <c r="L99" s="177" t="s">
        <v>50</v>
      </c>
      <c r="M99" s="177" t="s">
        <v>50</v>
      </c>
      <c r="N99" s="177" t="s">
        <v>50</v>
      </c>
      <c r="O99" s="177">
        <v>0</v>
      </c>
      <c r="P99" s="177" t="s">
        <v>51</v>
      </c>
      <c r="Q99" s="177" t="s">
        <v>50</v>
      </c>
      <c r="R99" s="178" t="s">
        <v>50</v>
      </c>
      <c r="S99" s="178" t="s">
        <v>91</v>
      </c>
      <c r="T99" s="177" t="s">
        <v>689</v>
      </c>
      <c r="U99" s="177" t="s">
        <v>53</v>
      </c>
      <c r="V99" s="177" t="s">
        <v>690</v>
      </c>
      <c r="W99" s="177" t="s">
        <v>50</v>
      </c>
      <c r="X99" s="177" t="s">
        <v>54</v>
      </c>
      <c r="Y99" s="236">
        <v>0.35069444444444442</v>
      </c>
      <c r="Z99" s="177" t="s">
        <v>95</v>
      </c>
      <c r="AA99" s="177" t="s">
        <v>582</v>
      </c>
      <c r="AB99" s="178"/>
      <c r="AC99" s="203"/>
      <c r="AD99" s="177" t="s">
        <v>97</v>
      </c>
      <c r="AE99" s="177" t="s">
        <v>98</v>
      </c>
      <c r="AF99" s="177">
        <v>21</v>
      </c>
      <c r="AG99" s="177" t="s">
        <v>226</v>
      </c>
      <c r="AH99" s="177" t="s">
        <v>227</v>
      </c>
      <c r="AI99" s="177" t="s">
        <v>228</v>
      </c>
      <c r="AJ99" s="178" t="s">
        <v>229</v>
      </c>
      <c r="AK99" s="238" t="s">
        <v>691</v>
      </c>
      <c r="AL99" s="178" t="s">
        <v>64</v>
      </c>
      <c r="AM99" s="239" t="s">
        <v>65</v>
      </c>
      <c r="AN99" s="178" t="s">
        <v>66</v>
      </c>
      <c r="AO99" s="178" t="s">
        <v>67</v>
      </c>
      <c r="AP99" s="178" t="s">
        <v>240</v>
      </c>
    </row>
    <row r="100" spans="1:43" hidden="1" x14ac:dyDescent="0.25">
      <c r="A100" s="170">
        <v>2023</v>
      </c>
      <c r="B100" s="170" t="s">
        <v>581</v>
      </c>
      <c r="C100" s="170" t="s">
        <v>45</v>
      </c>
      <c r="D100" s="170" t="s">
        <v>692</v>
      </c>
      <c r="E100" s="170" t="s">
        <v>693</v>
      </c>
      <c r="F100" s="170" t="s">
        <v>71</v>
      </c>
      <c r="G100" s="163" t="s">
        <v>694</v>
      </c>
      <c r="H100" s="10">
        <v>44726</v>
      </c>
      <c r="I100" s="177">
        <f t="shared" si="4"/>
        <v>10</v>
      </c>
      <c r="J100" s="235">
        <v>45049</v>
      </c>
      <c r="K100" s="177" t="str">
        <f t="shared" si="3"/>
        <v>INTERMEDIO</v>
      </c>
      <c r="L100" s="177" t="s">
        <v>50</v>
      </c>
      <c r="M100" s="177" t="s">
        <v>50</v>
      </c>
      <c r="N100" s="177" t="s">
        <v>50</v>
      </c>
      <c r="O100" s="177">
        <v>0</v>
      </c>
      <c r="P100" s="177" t="s">
        <v>51</v>
      </c>
      <c r="Q100" s="177" t="s">
        <v>50</v>
      </c>
      <c r="R100" s="178" t="s">
        <v>50</v>
      </c>
      <c r="S100" s="178" t="s">
        <v>73</v>
      </c>
      <c r="T100" s="177" t="s">
        <v>74</v>
      </c>
      <c r="U100" s="177" t="s">
        <v>53</v>
      </c>
      <c r="V100" s="177" t="s">
        <v>74</v>
      </c>
      <c r="W100" s="177" t="s">
        <v>50</v>
      </c>
      <c r="X100" s="177" t="s">
        <v>151</v>
      </c>
      <c r="Y100" s="236">
        <v>0.9375</v>
      </c>
      <c r="Z100" s="177" t="s">
        <v>55</v>
      </c>
      <c r="AA100" s="177" t="s">
        <v>606</v>
      </c>
      <c r="AB100" s="178"/>
      <c r="AC100" s="203"/>
      <c r="AD100" s="177" t="s">
        <v>77</v>
      </c>
      <c r="AE100" s="177" t="s">
        <v>78</v>
      </c>
      <c r="AF100" s="177">
        <v>34</v>
      </c>
      <c r="AG100" s="177" t="s">
        <v>475</v>
      </c>
      <c r="AH100" s="177" t="s">
        <v>695</v>
      </c>
      <c r="AI100" s="177" t="s">
        <v>80</v>
      </c>
      <c r="AJ100" s="178" t="s">
        <v>129</v>
      </c>
      <c r="AK100" s="179" t="s">
        <v>696</v>
      </c>
      <c r="AL100" s="242" t="s">
        <v>64</v>
      </c>
      <c r="AM100" s="178" t="s">
        <v>65</v>
      </c>
      <c r="AN100" s="178" t="s">
        <v>66</v>
      </c>
      <c r="AO100" s="178" t="s">
        <v>83</v>
      </c>
      <c r="AP100" s="178" t="s">
        <v>284</v>
      </c>
    </row>
    <row r="101" spans="1:43" hidden="1" x14ac:dyDescent="0.25">
      <c r="A101" s="170">
        <v>2023</v>
      </c>
      <c r="B101" s="170" t="s">
        <v>581</v>
      </c>
      <c r="C101" s="170" t="s">
        <v>45</v>
      </c>
      <c r="D101" s="170" t="s">
        <v>697</v>
      </c>
      <c r="E101" s="170" t="s">
        <v>698</v>
      </c>
      <c r="F101" s="170" t="s">
        <v>71</v>
      </c>
      <c r="G101" s="177" t="s">
        <v>699</v>
      </c>
      <c r="H101" s="10">
        <v>44943</v>
      </c>
      <c r="I101" s="177">
        <f t="shared" si="4"/>
        <v>3</v>
      </c>
      <c r="J101" s="235">
        <v>45049</v>
      </c>
      <c r="K101" s="177" t="str">
        <f t="shared" si="3"/>
        <v>NUEVO</v>
      </c>
      <c r="L101" s="177" t="s">
        <v>50</v>
      </c>
      <c r="M101" s="177" t="s">
        <v>50</v>
      </c>
      <c r="N101" s="177" t="s">
        <v>50</v>
      </c>
      <c r="O101" s="177">
        <v>0</v>
      </c>
      <c r="P101" s="177" t="s">
        <v>51</v>
      </c>
      <c r="Q101" s="177" t="s">
        <v>50</v>
      </c>
      <c r="R101" s="178" t="s">
        <v>50</v>
      </c>
      <c r="S101" s="178" t="s">
        <v>160</v>
      </c>
      <c r="T101" s="163" t="s">
        <v>191</v>
      </c>
      <c r="U101" s="177" t="s">
        <v>53</v>
      </c>
      <c r="V101" s="177" t="s">
        <v>191</v>
      </c>
      <c r="W101" s="177" t="s">
        <v>50</v>
      </c>
      <c r="X101" s="177" t="s">
        <v>151</v>
      </c>
      <c r="Y101" s="236">
        <v>0.77083333333333337</v>
      </c>
      <c r="Z101" s="177" t="s">
        <v>55</v>
      </c>
      <c r="AA101" s="177" t="s">
        <v>606</v>
      </c>
      <c r="AB101" s="178"/>
      <c r="AC101" s="203"/>
      <c r="AD101" s="177" t="s">
        <v>164</v>
      </c>
      <c r="AE101" s="177" t="s">
        <v>215</v>
      </c>
      <c r="AF101" s="177">
        <v>35</v>
      </c>
      <c r="AG101" s="177" t="s">
        <v>700</v>
      </c>
      <c r="AH101" s="177" t="s">
        <v>60</v>
      </c>
      <c r="AI101" s="177" t="s">
        <v>80</v>
      </c>
      <c r="AJ101" s="178" t="s">
        <v>62</v>
      </c>
      <c r="AK101" s="306" t="s">
        <v>701</v>
      </c>
      <c r="AL101" s="178" t="s">
        <v>64</v>
      </c>
      <c r="AM101" s="178" t="s">
        <v>65</v>
      </c>
      <c r="AN101" s="178" t="s">
        <v>66</v>
      </c>
      <c r="AO101" s="178" t="s">
        <v>83</v>
      </c>
      <c r="AP101" s="178" t="s">
        <v>284</v>
      </c>
      <c r="AQ101" s="165" t="s">
        <v>702</v>
      </c>
    </row>
    <row r="102" spans="1:43" ht="15" hidden="1" customHeight="1" x14ac:dyDescent="0.25">
      <c r="A102" s="170">
        <v>2023</v>
      </c>
      <c r="B102" s="170" t="s">
        <v>581</v>
      </c>
      <c r="C102" s="170" t="s">
        <v>45</v>
      </c>
      <c r="D102" s="170" t="s">
        <v>703</v>
      </c>
      <c r="E102" s="170" t="s">
        <v>704</v>
      </c>
      <c r="F102" s="170" t="s">
        <v>48</v>
      </c>
      <c r="G102" s="177" t="s">
        <v>705</v>
      </c>
      <c r="H102" s="10">
        <v>44942</v>
      </c>
      <c r="I102" s="177">
        <f>DATEDIF(H102,J102,"m")</f>
        <v>4</v>
      </c>
      <c r="J102" s="235">
        <v>45062</v>
      </c>
      <c r="K102" s="177" t="str">
        <f>IF(I102&lt;=6,"NUEVO",IF(I102&lt;=18,"INTERMEDIO","ANTIGUO"))</f>
        <v>NUEVO</v>
      </c>
      <c r="L102" s="235">
        <v>45062</v>
      </c>
      <c r="M102" s="177" t="s">
        <v>50</v>
      </c>
      <c r="N102" s="178" t="s">
        <v>50</v>
      </c>
      <c r="O102" s="177">
        <v>0</v>
      </c>
      <c r="P102" s="177" t="s">
        <v>51</v>
      </c>
      <c r="Q102" s="177" t="s">
        <v>50</v>
      </c>
      <c r="R102" s="178" t="s">
        <v>50</v>
      </c>
      <c r="S102" s="178" t="s">
        <v>91</v>
      </c>
      <c r="T102" s="177" t="s">
        <v>706</v>
      </c>
      <c r="U102" s="177" t="s">
        <v>53</v>
      </c>
      <c r="V102" s="177" t="s">
        <v>631</v>
      </c>
      <c r="W102" s="177" t="s">
        <v>50</v>
      </c>
      <c r="X102" s="177" t="s">
        <v>54</v>
      </c>
      <c r="Y102" s="236">
        <v>0.50694444444444442</v>
      </c>
      <c r="Z102" s="177" t="s">
        <v>125</v>
      </c>
      <c r="AA102" s="177" t="s">
        <v>632</v>
      </c>
      <c r="AB102" s="178">
        <v>15699</v>
      </c>
      <c r="AC102" s="202" t="s">
        <v>707</v>
      </c>
      <c r="AD102" s="177" t="s">
        <v>97</v>
      </c>
      <c r="AE102" s="177" t="s">
        <v>225</v>
      </c>
      <c r="AF102" s="177">
        <v>37</v>
      </c>
      <c r="AG102" s="177" t="s">
        <v>115</v>
      </c>
      <c r="AH102" s="177" t="s">
        <v>153</v>
      </c>
      <c r="AI102" s="177" t="s">
        <v>128</v>
      </c>
      <c r="AJ102" s="178" t="s">
        <v>81</v>
      </c>
      <c r="AK102" s="179" t="s">
        <v>708</v>
      </c>
      <c r="AL102" s="178" t="s">
        <v>118</v>
      </c>
      <c r="AM102" s="178" t="s">
        <v>66</v>
      </c>
      <c r="AN102" s="178" t="s">
        <v>65</v>
      </c>
      <c r="AO102" s="178" t="s">
        <v>67</v>
      </c>
      <c r="AP102" s="178" t="s">
        <v>250</v>
      </c>
    </row>
    <row r="103" spans="1:43" ht="15" hidden="1" customHeight="1" x14ac:dyDescent="0.25">
      <c r="A103" s="170">
        <v>2023</v>
      </c>
      <c r="B103" s="170" t="s">
        <v>581</v>
      </c>
      <c r="C103" s="170" t="s">
        <v>45</v>
      </c>
      <c r="D103" s="170" t="s">
        <v>709</v>
      </c>
      <c r="E103" s="170" t="s">
        <v>710</v>
      </c>
      <c r="F103" s="170" t="s">
        <v>71</v>
      </c>
      <c r="G103" s="177" t="s">
        <v>711</v>
      </c>
      <c r="H103" s="10">
        <v>41761</v>
      </c>
      <c r="I103" s="177">
        <f t="shared" si="4"/>
        <v>108</v>
      </c>
      <c r="J103" s="235">
        <v>45054</v>
      </c>
      <c r="K103" s="177" t="str">
        <f t="shared" si="3"/>
        <v>ANTIGUO</v>
      </c>
      <c r="L103" s="235">
        <v>45054</v>
      </c>
      <c r="M103" s="235">
        <v>45054</v>
      </c>
      <c r="N103" s="177" t="s">
        <v>50</v>
      </c>
      <c r="O103" s="177">
        <v>0</v>
      </c>
      <c r="P103" s="177" t="s">
        <v>51</v>
      </c>
      <c r="Q103" s="177" t="s">
        <v>50</v>
      </c>
      <c r="R103" s="178" t="s">
        <v>50</v>
      </c>
      <c r="S103" s="178" t="s">
        <v>160</v>
      </c>
      <c r="T103" s="163" t="s">
        <v>712</v>
      </c>
      <c r="U103" s="177" t="s">
        <v>53</v>
      </c>
      <c r="V103" s="177" t="s">
        <v>713</v>
      </c>
      <c r="W103" s="177" t="s">
        <v>50</v>
      </c>
      <c r="X103" s="177" t="s">
        <v>54</v>
      </c>
      <c r="Y103" s="236">
        <v>0.39583333333333331</v>
      </c>
      <c r="Z103" s="177" t="s">
        <v>137</v>
      </c>
      <c r="AA103" s="177" t="s">
        <v>582</v>
      </c>
      <c r="AB103" s="178"/>
      <c r="AC103" s="203"/>
      <c r="AD103" s="177" t="s">
        <v>164</v>
      </c>
      <c r="AE103" s="177" t="s">
        <v>485</v>
      </c>
      <c r="AF103" s="177">
        <v>41</v>
      </c>
      <c r="AG103" s="177" t="s">
        <v>475</v>
      </c>
      <c r="AH103" s="177" t="s">
        <v>256</v>
      </c>
      <c r="AI103" s="177" t="s">
        <v>61</v>
      </c>
      <c r="AJ103" s="178" t="s">
        <v>62</v>
      </c>
      <c r="AK103" s="306" t="s">
        <v>714</v>
      </c>
      <c r="AL103" s="178" t="s">
        <v>64</v>
      </c>
      <c r="AM103" s="178" t="s">
        <v>65</v>
      </c>
      <c r="AN103" s="178" t="s">
        <v>66</v>
      </c>
      <c r="AO103" s="178" t="s">
        <v>83</v>
      </c>
      <c r="AP103" s="178" t="s">
        <v>250</v>
      </c>
      <c r="AQ103" s="165" t="s">
        <v>219</v>
      </c>
    </row>
    <row r="104" spans="1:43" ht="15" hidden="1" customHeight="1" x14ac:dyDescent="0.25">
      <c r="A104" s="170">
        <v>2023</v>
      </c>
      <c r="B104" s="170" t="s">
        <v>581</v>
      </c>
      <c r="C104" s="170" t="s">
        <v>45</v>
      </c>
      <c r="D104" s="170" t="s">
        <v>715</v>
      </c>
      <c r="E104" s="170" t="s">
        <v>471</v>
      </c>
      <c r="F104" s="170" t="s">
        <v>48</v>
      </c>
      <c r="G104" s="177" t="s">
        <v>716</v>
      </c>
      <c r="H104" s="302">
        <v>44791</v>
      </c>
      <c r="I104" s="177">
        <f t="shared" si="4"/>
        <v>8</v>
      </c>
      <c r="J104" s="235">
        <v>45049</v>
      </c>
      <c r="K104" s="177" t="str">
        <f t="shared" si="3"/>
        <v>INTERMEDIO</v>
      </c>
      <c r="L104" s="177" t="s">
        <v>50</v>
      </c>
      <c r="M104" s="177" t="s">
        <v>50</v>
      </c>
      <c r="N104" s="177" t="s">
        <v>50</v>
      </c>
      <c r="O104" s="177">
        <v>0</v>
      </c>
      <c r="P104" s="177" t="s">
        <v>51</v>
      </c>
      <c r="Q104" s="177" t="s">
        <v>50</v>
      </c>
      <c r="R104" s="178" t="s">
        <v>50</v>
      </c>
      <c r="S104" s="178" t="s">
        <v>91</v>
      </c>
      <c r="T104" s="177" t="s">
        <v>424</v>
      </c>
      <c r="U104" s="177" t="s">
        <v>53</v>
      </c>
      <c r="V104" s="177" t="s">
        <v>424</v>
      </c>
      <c r="W104" s="177" t="s">
        <v>50</v>
      </c>
      <c r="X104" s="177" t="s">
        <v>54</v>
      </c>
      <c r="Y104" s="236">
        <v>0.66319444444444442</v>
      </c>
      <c r="Z104" s="177" t="s">
        <v>55</v>
      </c>
      <c r="AA104" s="177" t="s">
        <v>606</v>
      </c>
      <c r="AB104" s="178"/>
      <c r="AC104" s="203"/>
      <c r="AD104" s="177" t="s">
        <v>97</v>
      </c>
      <c r="AE104" s="177"/>
      <c r="AF104" s="177">
        <v>26</v>
      </c>
      <c r="AG104" s="177" t="s">
        <v>226</v>
      </c>
      <c r="AH104" s="177" t="s">
        <v>227</v>
      </c>
      <c r="AI104" s="177" t="s">
        <v>228</v>
      </c>
      <c r="AJ104" s="178" t="s">
        <v>229</v>
      </c>
      <c r="AK104" s="179" t="s">
        <v>717</v>
      </c>
      <c r="AL104" s="178" t="s">
        <v>64</v>
      </c>
      <c r="AM104" s="178" t="s">
        <v>65</v>
      </c>
      <c r="AN104" s="178" t="s">
        <v>66</v>
      </c>
      <c r="AO104" s="178" t="s">
        <v>83</v>
      </c>
      <c r="AP104" s="178" t="s">
        <v>284</v>
      </c>
    </row>
    <row r="105" spans="1:43" ht="15" hidden="1" customHeight="1" x14ac:dyDescent="0.25">
      <c r="A105" s="170">
        <v>2023</v>
      </c>
      <c r="B105" s="170" t="s">
        <v>581</v>
      </c>
      <c r="C105" s="170" t="s">
        <v>45</v>
      </c>
      <c r="D105" s="170" t="s">
        <v>718</v>
      </c>
      <c r="E105" s="170" t="s">
        <v>719</v>
      </c>
      <c r="F105" s="170" t="s">
        <v>48</v>
      </c>
      <c r="G105" s="177" t="s">
        <v>720</v>
      </c>
      <c r="H105" s="10">
        <v>42695</v>
      </c>
      <c r="I105" s="177">
        <f t="shared" si="4"/>
        <v>77</v>
      </c>
      <c r="J105" s="235">
        <v>45066</v>
      </c>
      <c r="K105" s="177" t="str">
        <f t="shared" si="3"/>
        <v>ANTIGUO</v>
      </c>
      <c r="L105" s="235">
        <v>45068</v>
      </c>
      <c r="M105" s="235">
        <v>45079</v>
      </c>
      <c r="N105" s="177" t="s">
        <v>50</v>
      </c>
      <c r="O105" s="314">
        <v>12</v>
      </c>
      <c r="P105" s="177" t="s">
        <v>88</v>
      </c>
      <c r="Q105" s="178" t="s">
        <v>89</v>
      </c>
      <c r="R105" s="178" t="s">
        <v>721</v>
      </c>
      <c r="S105" s="178" t="s">
        <v>173</v>
      </c>
      <c r="T105" s="9" t="s">
        <v>664</v>
      </c>
      <c r="U105" s="177" t="s">
        <v>53</v>
      </c>
      <c r="V105" s="177" t="s">
        <v>191</v>
      </c>
      <c r="W105" s="177" t="s">
        <v>722</v>
      </c>
      <c r="X105" s="177" t="s">
        <v>176</v>
      </c>
      <c r="Y105" s="236">
        <v>0.20833333333333334</v>
      </c>
      <c r="Z105" s="177" t="s">
        <v>95</v>
      </c>
      <c r="AA105" s="177" t="s">
        <v>632</v>
      </c>
      <c r="AB105" s="178">
        <v>15707</v>
      </c>
      <c r="AC105" s="202" t="s">
        <v>723</v>
      </c>
      <c r="AD105" s="177" t="s">
        <v>390</v>
      </c>
      <c r="AE105" s="177" t="s">
        <v>179</v>
      </c>
      <c r="AF105" s="177">
        <v>27</v>
      </c>
      <c r="AG105" s="177" t="s">
        <v>724</v>
      </c>
      <c r="AH105" s="177" t="s">
        <v>166</v>
      </c>
      <c r="AI105" s="177" t="s">
        <v>302</v>
      </c>
      <c r="AJ105" s="178" t="s">
        <v>61</v>
      </c>
      <c r="AK105" s="179" t="s">
        <v>725</v>
      </c>
      <c r="AL105" s="237" t="s">
        <v>64</v>
      </c>
      <c r="AM105" s="178" t="s">
        <v>65</v>
      </c>
      <c r="AN105" s="172" t="s">
        <v>65</v>
      </c>
      <c r="AO105" s="178" t="s">
        <v>67</v>
      </c>
      <c r="AP105" s="178" t="s">
        <v>240</v>
      </c>
    </row>
    <row r="106" spans="1:43" hidden="1" x14ac:dyDescent="0.25">
      <c r="A106" s="170">
        <v>2023</v>
      </c>
      <c r="B106" s="170" t="s">
        <v>581</v>
      </c>
      <c r="C106" s="170" t="s">
        <v>45</v>
      </c>
      <c r="D106" s="170" t="s">
        <v>726</v>
      </c>
      <c r="E106" s="170" t="s">
        <v>727</v>
      </c>
      <c r="F106" s="170" t="s">
        <v>71</v>
      </c>
      <c r="G106" s="177" t="s">
        <v>728</v>
      </c>
      <c r="H106" s="10">
        <v>36359</v>
      </c>
      <c r="I106" s="177">
        <f t="shared" si="4"/>
        <v>285</v>
      </c>
      <c r="J106" s="235">
        <v>45048</v>
      </c>
      <c r="K106" s="177" t="str">
        <f t="shared" si="3"/>
        <v>ANTIGUO</v>
      </c>
      <c r="L106" s="177" t="s">
        <v>50</v>
      </c>
      <c r="M106" s="177" t="s">
        <v>50</v>
      </c>
      <c r="N106" s="177" t="s">
        <v>50</v>
      </c>
      <c r="O106" s="177">
        <v>0</v>
      </c>
      <c r="P106" s="177" t="s">
        <v>51</v>
      </c>
      <c r="Q106" s="177" t="s">
        <v>50</v>
      </c>
      <c r="R106" s="178" t="s">
        <v>50</v>
      </c>
      <c r="S106" s="178" t="s">
        <v>134</v>
      </c>
      <c r="T106" s="177" t="s">
        <v>729</v>
      </c>
      <c r="U106" s="177" t="s">
        <v>53</v>
      </c>
      <c r="V106" s="177" t="s">
        <v>730</v>
      </c>
      <c r="W106" s="177" t="s">
        <v>50</v>
      </c>
      <c r="X106" s="177" t="s">
        <v>176</v>
      </c>
      <c r="Y106" s="236">
        <v>0.92361111111111116</v>
      </c>
      <c r="Z106" s="177" t="s">
        <v>125</v>
      </c>
      <c r="AA106" s="177" t="s">
        <v>606</v>
      </c>
      <c r="AB106" s="178"/>
      <c r="AC106" s="203"/>
      <c r="AD106" s="177" t="s">
        <v>140</v>
      </c>
      <c r="AE106" s="177" t="s">
        <v>731</v>
      </c>
      <c r="AF106" s="177">
        <v>23</v>
      </c>
      <c r="AG106" s="177" t="s">
        <v>475</v>
      </c>
      <c r="AH106" s="177" t="s">
        <v>450</v>
      </c>
      <c r="AI106" s="177" t="s">
        <v>80</v>
      </c>
      <c r="AJ106" s="178" t="s">
        <v>154</v>
      </c>
      <c r="AK106" s="238" t="s">
        <v>732</v>
      </c>
      <c r="AL106" s="178" t="s">
        <v>64</v>
      </c>
      <c r="AM106" s="239" t="s">
        <v>65</v>
      </c>
      <c r="AN106" s="178" t="s">
        <v>66</v>
      </c>
      <c r="AO106" s="178" t="s">
        <v>83</v>
      </c>
      <c r="AP106" s="178" t="s">
        <v>103</v>
      </c>
    </row>
    <row r="107" spans="1:43" hidden="1" x14ac:dyDescent="0.25">
      <c r="A107" s="170">
        <v>2023</v>
      </c>
      <c r="B107" s="170" t="s">
        <v>581</v>
      </c>
      <c r="C107" s="170" t="s">
        <v>45</v>
      </c>
      <c r="D107" s="170" t="s">
        <v>733</v>
      </c>
      <c r="E107" s="170" t="s">
        <v>734</v>
      </c>
      <c r="F107" s="170" t="s">
        <v>48</v>
      </c>
      <c r="G107" s="177" t="s">
        <v>735</v>
      </c>
      <c r="H107" s="10">
        <v>44754</v>
      </c>
      <c r="I107" s="177">
        <f t="shared" si="4"/>
        <v>10</v>
      </c>
      <c r="J107" s="235">
        <v>45062</v>
      </c>
      <c r="K107" s="177" t="str">
        <f t="shared" si="3"/>
        <v>INTERMEDIO</v>
      </c>
      <c r="L107" s="177" t="s">
        <v>50</v>
      </c>
      <c r="M107" s="177" t="s">
        <v>50</v>
      </c>
      <c r="N107" s="177" t="s">
        <v>50</v>
      </c>
      <c r="O107" s="177">
        <v>0</v>
      </c>
      <c r="P107" s="177" t="s">
        <v>51</v>
      </c>
      <c r="Q107" s="177" t="s">
        <v>50</v>
      </c>
      <c r="R107" s="178" t="s">
        <v>50</v>
      </c>
      <c r="S107" s="178" t="s">
        <v>264</v>
      </c>
      <c r="T107" s="177" t="s">
        <v>264</v>
      </c>
      <c r="U107" s="177" t="s">
        <v>53</v>
      </c>
      <c r="V107" s="177" t="s">
        <v>736</v>
      </c>
      <c r="W107" s="177" t="s">
        <v>267</v>
      </c>
      <c r="X107" s="177" t="s">
        <v>54</v>
      </c>
      <c r="Y107" s="236">
        <v>0.47916666666666669</v>
      </c>
      <c r="Z107" s="177" t="s">
        <v>95</v>
      </c>
      <c r="AA107" s="177" t="s">
        <v>606</v>
      </c>
      <c r="AB107" s="178"/>
      <c r="AC107" s="203"/>
      <c r="AD107" s="177" t="s">
        <v>269</v>
      </c>
      <c r="AE107" s="177" t="s">
        <v>737</v>
      </c>
      <c r="AF107" s="177">
        <v>31</v>
      </c>
      <c r="AG107" s="177" t="s">
        <v>271</v>
      </c>
      <c r="AH107" s="177" t="s">
        <v>153</v>
      </c>
      <c r="AI107" s="177" t="s">
        <v>80</v>
      </c>
      <c r="AJ107" s="178" t="s">
        <v>129</v>
      </c>
      <c r="AK107" s="179" t="s">
        <v>738</v>
      </c>
      <c r="AL107" s="242" t="s">
        <v>64</v>
      </c>
      <c r="AM107" s="178" t="s">
        <v>65</v>
      </c>
      <c r="AN107" s="178" t="s">
        <v>66</v>
      </c>
      <c r="AO107" s="178" t="s">
        <v>67</v>
      </c>
      <c r="AP107" s="178" t="s">
        <v>103</v>
      </c>
    </row>
    <row r="108" spans="1:43" ht="15" hidden="1" customHeight="1" x14ac:dyDescent="0.25">
      <c r="A108" s="170">
        <v>2023</v>
      </c>
      <c r="B108" s="170" t="s">
        <v>739</v>
      </c>
      <c r="C108" s="170" t="s">
        <v>45</v>
      </c>
      <c r="D108" s="170" t="s">
        <v>740</v>
      </c>
      <c r="E108" s="170" t="s">
        <v>86</v>
      </c>
      <c r="F108" s="170" t="s">
        <v>48</v>
      </c>
      <c r="G108" s="177" t="s">
        <v>741</v>
      </c>
      <c r="H108" s="10">
        <v>36817</v>
      </c>
      <c r="I108" s="177">
        <f t="shared" si="4"/>
        <v>271</v>
      </c>
      <c r="J108" s="235">
        <v>45090</v>
      </c>
      <c r="K108" s="177" t="str">
        <f t="shared" si="3"/>
        <v>ANTIGUO</v>
      </c>
      <c r="L108" s="235" t="s">
        <v>50</v>
      </c>
      <c r="M108" s="177" t="s">
        <v>50</v>
      </c>
      <c r="N108" s="177" t="s">
        <v>50</v>
      </c>
      <c r="O108" s="177">
        <v>0</v>
      </c>
      <c r="P108" s="177" t="s">
        <v>51</v>
      </c>
      <c r="Q108" s="177" t="s">
        <v>50</v>
      </c>
      <c r="R108" s="178" t="s">
        <v>50</v>
      </c>
      <c r="S108" s="178" t="s">
        <v>134</v>
      </c>
      <c r="T108" s="177" t="s">
        <v>729</v>
      </c>
      <c r="U108" s="9" t="s">
        <v>742</v>
      </c>
      <c r="V108" s="177" t="s">
        <v>743</v>
      </c>
      <c r="W108" s="177" t="s">
        <v>50</v>
      </c>
      <c r="X108" s="177" t="s">
        <v>151</v>
      </c>
      <c r="Y108" s="236">
        <v>0.74305555555555547</v>
      </c>
      <c r="Z108" s="177" t="s">
        <v>125</v>
      </c>
      <c r="AA108" s="177" t="s">
        <v>744</v>
      </c>
      <c r="AB108" s="178"/>
      <c r="AC108" s="246"/>
      <c r="AD108" s="177" t="s">
        <v>140</v>
      </c>
      <c r="AE108" s="177" t="s">
        <v>510</v>
      </c>
      <c r="AF108" s="177">
        <v>43</v>
      </c>
      <c r="AG108" s="177" t="s">
        <v>61</v>
      </c>
      <c r="AH108" s="177" t="s">
        <v>227</v>
      </c>
      <c r="AI108" s="177" t="s">
        <v>228</v>
      </c>
      <c r="AJ108" s="178" t="s">
        <v>229</v>
      </c>
      <c r="AK108" s="249" t="s">
        <v>745</v>
      </c>
      <c r="AL108" s="177" t="s">
        <v>64</v>
      </c>
      <c r="AM108" s="178" t="s">
        <v>65</v>
      </c>
      <c r="AN108" s="178" t="s">
        <v>66</v>
      </c>
      <c r="AO108" s="178" t="s">
        <v>67</v>
      </c>
      <c r="AP108" s="178" t="s">
        <v>240</v>
      </c>
    </row>
    <row r="109" spans="1:43" ht="15" hidden="1" customHeight="1" x14ac:dyDescent="0.25">
      <c r="A109" s="170">
        <v>2023</v>
      </c>
      <c r="B109" s="170" t="s">
        <v>739</v>
      </c>
      <c r="C109" s="170" t="s">
        <v>45</v>
      </c>
      <c r="D109" s="170" t="s">
        <v>746</v>
      </c>
      <c r="E109" s="170" t="s">
        <v>453</v>
      </c>
      <c r="F109" s="170" t="s">
        <v>48</v>
      </c>
      <c r="G109" s="177" t="s">
        <v>747</v>
      </c>
      <c r="H109" s="10">
        <v>42114</v>
      </c>
      <c r="I109" s="177">
        <f t="shared" si="4"/>
        <v>97</v>
      </c>
      <c r="J109" s="235">
        <v>45094</v>
      </c>
      <c r="K109" s="177" t="str">
        <f t="shared" si="3"/>
        <v>ANTIGUO</v>
      </c>
      <c r="L109" s="235">
        <v>45096</v>
      </c>
      <c r="M109" s="10">
        <v>45100</v>
      </c>
      <c r="N109" s="177" t="s">
        <v>50</v>
      </c>
      <c r="O109" s="314">
        <v>5</v>
      </c>
      <c r="P109" s="177" t="s">
        <v>88</v>
      </c>
      <c r="Q109" s="177" t="s">
        <v>50</v>
      </c>
      <c r="R109" s="178" t="s">
        <v>50</v>
      </c>
      <c r="S109" s="178" t="s">
        <v>91</v>
      </c>
      <c r="T109" s="163" t="s">
        <v>748</v>
      </c>
      <c r="U109" s="177" t="s">
        <v>53</v>
      </c>
      <c r="V109" s="177" t="s">
        <v>749</v>
      </c>
      <c r="W109" s="177" t="s">
        <v>50</v>
      </c>
      <c r="X109" s="177" t="s">
        <v>54</v>
      </c>
      <c r="Y109" s="236">
        <v>0.43055555555555558</v>
      </c>
      <c r="Z109" s="177" t="s">
        <v>95</v>
      </c>
      <c r="AA109" s="177" t="s">
        <v>744</v>
      </c>
      <c r="AB109" s="178">
        <v>15761</v>
      </c>
      <c r="AC109" s="202" t="s">
        <v>750</v>
      </c>
      <c r="AD109" s="177" t="s">
        <v>97</v>
      </c>
      <c r="AE109" s="177" t="s">
        <v>225</v>
      </c>
      <c r="AF109" s="177">
        <v>58</v>
      </c>
      <c r="AG109" s="177" t="s">
        <v>79</v>
      </c>
      <c r="AH109" s="177" t="s">
        <v>256</v>
      </c>
      <c r="AI109" s="177" t="s">
        <v>80</v>
      </c>
      <c r="AJ109" s="178" t="s">
        <v>81</v>
      </c>
      <c r="AK109" s="249" t="s">
        <v>751</v>
      </c>
      <c r="AL109" s="178" t="s">
        <v>118</v>
      </c>
      <c r="AM109" s="178" t="s">
        <v>65</v>
      </c>
      <c r="AN109" s="172" t="s">
        <v>65</v>
      </c>
      <c r="AO109" s="178" t="s">
        <v>67</v>
      </c>
      <c r="AP109" s="178" t="s">
        <v>752</v>
      </c>
    </row>
    <row r="110" spans="1:43" ht="15" hidden="1" customHeight="1" x14ac:dyDescent="0.25">
      <c r="A110" s="170">
        <v>2023</v>
      </c>
      <c r="B110" s="170" t="s">
        <v>739</v>
      </c>
      <c r="C110" s="170" t="s">
        <v>45</v>
      </c>
      <c r="D110" s="170" t="s">
        <v>753</v>
      </c>
      <c r="E110" s="170" t="s">
        <v>754</v>
      </c>
      <c r="F110" s="170" t="s">
        <v>48</v>
      </c>
      <c r="G110" s="177" t="s">
        <v>755</v>
      </c>
      <c r="H110" s="10">
        <v>44298</v>
      </c>
      <c r="I110" s="177">
        <f t="shared" si="4"/>
        <v>25</v>
      </c>
      <c r="J110" s="235">
        <v>45085</v>
      </c>
      <c r="K110" s="177" t="str">
        <f t="shared" si="3"/>
        <v>ANTIGUO</v>
      </c>
      <c r="L110" s="235" t="s">
        <v>50</v>
      </c>
      <c r="M110" s="177" t="s">
        <v>50</v>
      </c>
      <c r="N110" s="177" t="s">
        <v>50</v>
      </c>
      <c r="O110" s="177">
        <v>0</v>
      </c>
      <c r="P110" s="177" t="s">
        <v>51</v>
      </c>
      <c r="Q110" s="177" t="s">
        <v>50</v>
      </c>
      <c r="R110" s="178" t="s">
        <v>50</v>
      </c>
      <c r="S110" s="178" t="s">
        <v>91</v>
      </c>
      <c r="T110" s="9" t="s">
        <v>756</v>
      </c>
      <c r="U110" s="177" t="s">
        <v>53</v>
      </c>
      <c r="V110" s="177" t="s">
        <v>424</v>
      </c>
      <c r="W110" s="177" t="s">
        <v>50</v>
      </c>
      <c r="X110" s="177" t="s">
        <v>54</v>
      </c>
      <c r="Y110" s="236">
        <v>0.49305555555555558</v>
      </c>
      <c r="Z110" s="177" t="s">
        <v>76</v>
      </c>
      <c r="AA110" s="177" t="s">
        <v>757</v>
      </c>
      <c r="AB110" s="178"/>
      <c r="AC110" s="246"/>
      <c r="AD110" s="177" t="s">
        <v>97</v>
      </c>
      <c r="AE110" s="177"/>
      <c r="AF110" s="177">
        <v>21</v>
      </c>
      <c r="AG110" s="177" t="s">
        <v>226</v>
      </c>
      <c r="AH110" s="177" t="s">
        <v>227</v>
      </c>
      <c r="AI110" s="177" t="s">
        <v>228</v>
      </c>
      <c r="AJ110" s="178" t="s">
        <v>229</v>
      </c>
      <c r="AK110" s="179" t="s">
        <v>758</v>
      </c>
      <c r="AL110" s="177" t="s">
        <v>64</v>
      </c>
      <c r="AM110" s="178" t="s">
        <v>65</v>
      </c>
      <c r="AN110" s="178" t="s">
        <v>66</v>
      </c>
      <c r="AO110" s="178" t="s">
        <v>83</v>
      </c>
      <c r="AP110" s="178" t="s">
        <v>284</v>
      </c>
    </row>
    <row r="111" spans="1:43" ht="15" hidden="1" customHeight="1" x14ac:dyDescent="0.25">
      <c r="A111" s="170">
        <v>2023</v>
      </c>
      <c r="B111" s="170" t="s">
        <v>739</v>
      </c>
      <c r="C111" s="170" t="s">
        <v>45</v>
      </c>
      <c r="D111" s="170" t="s">
        <v>753</v>
      </c>
      <c r="E111" s="170" t="s">
        <v>754</v>
      </c>
      <c r="F111" s="170" t="s">
        <v>48</v>
      </c>
      <c r="G111" s="177" t="s">
        <v>755</v>
      </c>
      <c r="H111" s="10">
        <v>44298</v>
      </c>
      <c r="I111" s="177">
        <f t="shared" si="4"/>
        <v>26</v>
      </c>
      <c r="J111" s="10">
        <v>45091</v>
      </c>
      <c r="K111" s="177" t="str">
        <f t="shared" si="3"/>
        <v>ANTIGUO</v>
      </c>
      <c r="L111" s="235" t="s">
        <v>50</v>
      </c>
      <c r="M111" s="177" t="s">
        <v>50</v>
      </c>
      <c r="N111" s="177" t="s">
        <v>50</v>
      </c>
      <c r="O111" s="177">
        <v>0</v>
      </c>
      <c r="P111" s="177" t="s">
        <v>51</v>
      </c>
      <c r="Q111" s="177" t="s">
        <v>50</v>
      </c>
      <c r="R111" s="178" t="s">
        <v>50</v>
      </c>
      <c r="S111" s="178" t="s">
        <v>91</v>
      </c>
      <c r="T111" s="6" t="s">
        <v>756</v>
      </c>
      <c r="U111" s="177" t="s">
        <v>53</v>
      </c>
      <c r="V111" s="177" t="s">
        <v>424</v>
      </c>
      <c r="W111" s="177" t="s">
        <v>50</v>
      </c>
      <c r="X111" s="177" t="s">
        <v>54</v>
      </c>
      <c r="Y111" s="236"/>
      <c r="Z111" s="177" t="s">
        <v>55</v>
      </c>
      <c r="AA111" s="177" t="s">
        <v>744</v>
      </c>
      <c r="AB111" s="178"/>
      <c r="AC111" s="203"/>
      <c r="AD111" s="177" t="s">
        <v>97</v>
      </c>
      <c r="AE111" s="177" t="s">
        <v>759</v>
      </c>
      <c r="AF111" s="177">
        <v>21</v>
      </c>
      <c r="AG111" s="177" t="s">
        <v>59</v>
      </c>
      <c r="AH111" s="177" t="s">
        <v>450</v>
      </c>
      <c r="AI111" s="177" t="s">
        <v>128</v>
      </c>
      <c r="AJ111" s="178" t="s">
        <v>293</v>
      </c>
      <c r="AK111" s="249" t="s">
        <v>760</v>
      </c>
      <c r="AL111" s="237" t="s">
        <v>64</v>
      </c>
      <c r="AM111" s="178" t="s">
        <v>65</v>
      </c>
      <c r="AN111" s="178" t="s">
        <v>66</v>
      </c>
      <c r="AO111" s="178" t="s">
        <v>83</v>
      </c>
      <c r="AP111" s="178" t="s">
        <v>103</v>
      </c>
    </row>
    <row r="112" spans="1:43" ht="15" hidden="1" customHeight="1" x14ac:dyDescent="0.25">
      <c r="A112" s="170">
        <v>2023</v>
      </c>
      <c r="B112" s="170" t="s">
        <v>739</v>
      </c>
      <c r="C112" s="170" t="s">
        <v>45</v>
      </c>
      <c r="D112" s="170" t="s">
        <v>761</v>
      </c>
      <c r="E112" s="170" t="s">
        <v>762</v>
      </c>
      <c r="F112" s="170" t="s">
        <v>71</v>
      </c>
      <c r="G112" s="177" t="s">
        <v>763</v>
      </c>
      <c r="H112" s="10">
        <v>43479</v>
      </c>
      <c r="I112" s="177">
        <f t="shared" si="4"/>
        <v>52</v>
      </c>
      <c r="J112" s="235">
        <v>45078</v>
      </c>
      <c r="K112" s="177" t="str">
        <f t="shared" si="3"/>
        <v>ANTIGUO</v>
      </c>
      <c r="L112" s="235">
        <v>45084</v>
      </c>
      <c r="M112" s="235">
        <v>45084</v>
      </c>
      <c r="N112" s="177" t="s">
        <v>50</v>
      </c>
      <c r="O112" s="177">
        <v>0</v>
      </c>
      <c r="P112" s="177" t="s">
        <v>51</v>
      </c>
      <c r="Q112" s="177" t="s">
        <v>50</v>
      </c>
      <c r="R112" s="178" t="s">
        <v>50</v>
      </c>
      <c r="S112" s="178" t="s">
        <v>173</v>
      </c>
      <c r="T112" s="177" t="s">
        <v>764</v>
      </c>
      <c r="U112" s="177" t="s">
        <v>53</v>
      </c>
      <c r="V112" s="177" t="s">
        <v>765</v>
      </c>
      <c r="W112" s="177" t="s">
        <v>50</v>
      </c>
      <c r="X112" s="177" t="s">
        <v>176</v>
      </c>
      <c r="Y112" s="236">
        <v>0.11805555555555557</v>
      </c>
      <c r="Z112" s="177" t="s">
        <v>76</v>
      </c>
      <c r="AA112" s="177" t="s">
        <v>659</v>
      </c>
      <c r="AB112" s="178">
        <v>15749</v>
      </c>
      <c r="AC112" s="202" t="s">
        <v>766</v>
      </c>
      <c r="AD112" s="177" t="s">
        <v>178</v>
      </c>
      <c r="AE112" s="177" t="s">
        <v>179</v>
      </c>
      <c r="AF112" s="177">
        <v>34</v>
      </c>
      <c r="AG112" s="177" t="s">
        <v>142</v>
      </c>
      <c r="AH112" s="177" t="s">
        <v>60</v>
      </c>
      <c r="AI112" s="177" t="s">
        <v>80</v>
      </c>
      <c r="AJ112" s="178" t="s">
        <v>81</v>
      </c>
      <c r="AK112" s="238" t="s">
        <v>767</v>
      </c>
      <c r="AL112" s="178" t="s">
        <v>64</v>
      </c>
      <c r="AM112" s="239" t="s">
        <v>65</v>
      </c>
      <c r="AN112" s="178" t="s">
        <v>65</v>
      </c>
      <c r="AO112" s="178" t="s">
        <v>67</v>
      </c>
      <c r="AP112" s="178" t="s">
        <v>240</v>
      </c>
    </row>
    <row r="113" spans="1:42" hidden="1" x14ac:dyDescent="0.25">
      <c r="A113" s="170">
        <v>2023</v>
      </c>
      <c r="B113" s="170" t="s">
        <v>739</v>
      </c>
      <c r="C113" s="170" t="s">
        <v>45</v>
      </c>
      <c r="D113" s="170" t="s">
        <v>768</v>
      </c>
      <c r="E113" s="170" t="s">
        <v>769</v>
      </c>
      <c r="F113" s="170" t="s">
        <v>71</v>
      </c>
      <c r="G113" s="177" t="s">
        <v>770</v>
      </c>
      <c r="H113" s="10">
        <v>39234</v>
      </c>
      <c r="I113" s="177">
        <f t="shared" si="4"/>
        <v>192</v>
      </c>
      <c r="J113" s="235">
        <v>45079</v>
      </c>
      <c r="K113" s="177" t="str">
        <f t="shared" si="3"/>
        <v>ANTIGUO</v>
      </c>
      <c r="L113" s="235">
        <v>45082</v>
      </c>
      <c r="M113" s="235">
        <v>45082</v>
      </c>
      <c r="N113" s="177" t="s">
        <v>50</v>
      </c>
      <c r="O113" s="177">
        <v>0</v>
      </c>
      <c r="P113" s="177" t="s">
        <v>51</v>
      </c>
      <c r="Q113" s="177" t="s">
        <v>50</v>
      </c>
      <c r="R113" s="178" t="s">
        <v>50</v>
      </c>
      <c r="S113" s="178" t="s">
        <v>234</v>
      </c>
      <c r="T113" s="9" t="s">
        <v>771</v>
      </c>
      <c r="U113" s="177" t="s">
        <v>53</v>
      </c>
      <c r="V113" s="177" t="s">
        <v>265</v>
      </c>
      <c r="W113" s="177" t="s">
        <v>50</v>
      </c>
      <c r="X113" s="177" t="s">
        <v>54</v>
      </c>
      <c r="Y113" s="236">
        <v>0.31944444444444448</v>
      </c>
      <c r="Z113" s="177" t="s">
        <v>111</v>
      </c>
      <c r="AA113" s="177" t="s">
        <v>659</v>
      </c>
      <c r="AB113" s="178">
        <v>15729</v>
      </c>
      <c r="AC113" s="202" t="s">
        <v>772</v>
      </c>
      <c r="AD113" s="177" t="s">
        <v>236</v>
      </c>
      <c r="AE113" s="177" t="s">
        <v>773</v>
      </c>
      <c r="AF113" s="177">
        <v>48</v>
      </c>
      <c r="AG113" s="177" t="s">
        <v>59</v>
      </c>
      <c r="AH113" s="177" t="s">
        <v>60</v>
      </c>
      <c r="AI113" s="177" t="s">
        <v>80</v>
      </c>
      <c r="AJ113" s="178" t="s">
        <v>129</v>
      </c>
      <c r="AK113" s="179" t="s">
        <v>774</v>
      </c>
      <c r="AL113" s="244" t="s">
        <v>64</v>
      </c>
      <c r="AM113" s="178" t="s">
        <v>65</v>
      </c>
      <c r="AN113" s="178" t="s">
        <v>65</v>
      </c>
      <c r="AO113" s="178" t="s">
        <v>83</v>
      </c>
      <c r="AP113" s="178" t="s">
        <v>240</v>
      </c>
    </row>
    <row r="114" spans="1:42" hidden="1" x14ac:dyDescent="0.25">
      <c r="A114" s="170">
        <v>2023</v>
      </c>
      <c r="B114" s="170" t="s">
        <v>739</v>
      </c>
      <c r="C114" s="170" t="s">
        <v>45</v>
      </c>
      <c r="D114" s="170" t="s">
        <v>775</v>
      </c>
      <c r="E114" s="170" t="s">
        <v>776</v>
      </c>
      <c r="F114" s="170" t="s">
        <v>71</v>
      </c>
      <c r="G114" s="177" t="s">
        <v>777</v>
      </c>
      <c r="H114" s="10">
        <v>43906</v>
      </c>
      <c r="I114" s="177">
        <f t="shared" si="4"/>
        <v>38</v>
      </c>
      <c r="J114" s="235">
        <v>45079</v>
      </c>
      <c r="K114" s="177" t="str">
        <f t="shared" si="3"/>
        <v>ANTIGUO</v>
      </c>
      <c r="L114" s="177" t="s">
        <v>50</v>
      </c>
      <c r="M114" s="177" t="s">
        <v>50</v>
      </c>
      <c r="N114" s="177" t="s">
        <v>50</v>
      </c>
      <c r="O114" s="177">
        <v>0</v>
      </c>
      <c r="P114" s="177" t="s">
        <v>51</v>
      </c>
      <c r="Q114" s="177" t="s">
        <v>50</v>
      </c>
      <c r="R114" s="178" t="s">
        <v>50</v>
      </c>
      <c r="S114" s="178" t="s">
        <v>160</v>
      </c>
      <c r="T114" s="163" t="s">
        <v>191</v>
      </c>
      <c r="U114" s="177" t="s">
        <v>53</v>
      </c>
      <c r="V114" s="163" t="s">
        <v>191</v>
      </c>
      <c r="W114" s="177" t="s">
        <v>50</v>
      </c>
      <c r="X114" s="177" t="s">
        <v>54</v>
      </c>
      <c r="Y114" s="236">
        <v>0.32291666666666669</v>
      </c>
      <c r="Z114" s="177" t="s">
        <v>111</v>
      </c>
      <c r="AA114" s="177" t="s">
        <v>659</v>
      </c>
      <c r="AB114" s="178"/>
      <c r="AC114" s="203"/>
      <c r="AD114" s="177" t="s">
        <v>164</v>
      </c>
      <c r="AE114" s="177" t="s">
        <v>578</v>
      </c>
      <c r="AF114" s="177">
        <v>32</v>
      </c>
      <c r="AG114" s="177" t="s">
        <v>226</v>
      </c>
      <c r="AH114" s="177" t="s">
        <v>227</v>
      </c>
      <c r="AI114" s="177" t="s">
        <v>228</v>
      </c>
      <c r="AJ114" s="178" t="s">
        <v>229</v>
      </c>
      <c r="AK114" s="238" t="s">
        <v>778</v>
      </c>
      <c r="AL114" s="178" t="s">
        <v>64</v>
      </c>
      <c r="AM114" s="239" t="s">
        <v>65</v>
      </c>
      <c r="AN114" s="178" t="s">
        <v>66</v>
      </c>
      <c r="AO114" s="178" t="s">
        <v>83</v>
      </c>
      <c r="AP114" s="178" t="s">
        <v>240</v>
      </c>
    </row>
    <row r="115" spans="1:42" ht="15" hidden="1" customHeight="1" x14ac:dyDescent="0.25">
      <c r="A115" s="170">
        <v>2023</v>
      </c>
      <c r="B115" s="170" t="s">
        <v>739</v>
      </c>
      <c r="C115" s="170" t="s">
        <v>45</v>
      </c>
      <c r="D115" s="170" t="s">
        <v>779</v>
      </c>
      <c r="E115" s="170" t="s">
        <v>780</v>
      </c>
      <c r="F115" s="170" t="s">
        <v>71</v>
      </c>
      <c r="G115" s="177" t="s">
        <v>781</v>
      </c>
      <c r="H115" s="10">
        <v>44935</v>
      </c>
      <c r="I115" s="177">
        <f t="shared" si="4"/>
        <v>5</v>
      </c>
      <c r="J115" s="235">
        <v>45105</v>
      </c>
      <c r="K115" s="177" t="str">
        <f t="shared" si="3"/>
        <v>NUEVO</v>
      </c>
      <c r="L115" s="235">
        <v>45106</v>
      </c>
      <c r="M115" s="235">
        <v>45111</v>
      </c>
      <c r="N115" s="177" t="s">
        <v>50</v>
      </c>
      <c r="O115" s="314">
        <v>6</v>
      </c>
      <c r="P115" s="177" t="s">
        <v>88</v>
      </c>
      <c r="Q115" s="177" t="s">
        <v>50</v>
      </c>
      <c r="R115" s="178" t="s">
        <v>50</v>
      </c>
      <c r="S115" s="178" t="s">
        <v>134</v>
      </c>
      <c r="T115" s="177" t="s">
        <v>729</v>
      </c>
      <c r="U115" s="177" t="s">
        <v>53</v>
      </c>
      <c r="V115" s="177" t="s">
        <v>729</v>
      </c>
      <c r="W115" s="177" t="s">
        <v>50</v>
      </c>
      <c r="X115" s="177" t="s">
        <v>54</v>
      </c>
      <c r="Y115" s="236">
        <v>0.4375</v>
      </c>
      <c r="Z115" s="177" t="s">
        <v>55</v>
      </c>
      <c r="AA115" s="177" t="s">
        <v>782</v>
      </c>
      <c r="AB115" s="178">
        <v>15779</v>
      </c>
      <c r="AC115" s="202" t="s">
        <v>783</v>
      </c>
      <c r="AD115" s="177" t="s">
        <v>140</v>
      </c>
      <c r="AE115" s="177" t="s">
        <v>784</v>
      </c>
      <c r="AF115" s="177">
        <v>40</v>
      </c>
      <c r="AG115" s="177" t="s">
        <v>226</v>
      </c>
      <c r="AH115" s="177" t="s">
        <v>60</v>
      </c>
      <c r="AI115" s="177" t="s">
        <v>80</v>
      </c>
      <c r="AJ115" s="178" t="s">
        <v>129</v>
      </c>
      <c r="AK115" s="248" t="s">
        <v>785</v>
      </c>
      <c r="AL115" s="177" t="s">
        <v>64</v>
      </c>
      <c r="AM115" s="239" t="s">
        <v>786</v>
      </c>
      <c r="AN115" s="172" t="s">
        <v>65</v>
      </c>
      <c r="AO115" s="178" t="s">
        <v>83</v>
      </c>
      <c r="AP115" s="178" t="s">
        <v>284</v>
      </c>
    </row>
    <row r="116" spans="1:42" hidden="1" x14ac:dyDescent="0.25">
      <c r="A116" s="170">
        <v>2023</v>
      </c>
      <c r="B116" s="170" t="s">
        <v>739</v>
      </c>
      <c r="C116" s="170" t="s">
        <v>45</v>
      </c>
      <c r="D116" s="170" t="s">
        <v>787</v>
      </c>
      <c r="E116" s="170" t="s">
        <v>788</v>
      </c>
      <c r="F116" s="170" t="s">
        <v>48</v>
      </c>
      <c r="G116" s="177" t="s">
        <v>789</v>
      </c>
      <c r="H116" s="10">
        <v>44894</v>
      </c>
      <c r="I116" s="177">
        <f t="shared" si="4"/>
        <v>6</v>
      </c>
      <c r="J116" s="235">
        <v>45089</v>
      </c>
      <c r="K116" s="177" t="str">
        <f t="shared" si="3"/>
        <v>NUEVO</v>
      </c>
      <c r="L116" s="235">
        <v>45089</v>
      </c>
      <c r="M116" s="235">
        <v>45089</v>
      </c>
      <c r="N116" s="177" t="s">
        <v>50</v>
      </c>
      <c r="O116" s="177">
        <v>0</v>
      </c>
      <c r="P116" s="177" t="s">
        <v>51</v>
      </c>
      <c r="Q116" s="177" t="s">
        <v>50</v>
      </c>
      <c r="R116" s="178" t="s">
        <v>50</v>
      </c>
      <c r="S116" s="178" t="s">
        <v>160</v>
      </c>
      <c r="T116" s="177" t="s">
        <v>191</v>
      </c>
      <c r="U116" s="177" t="s">
        <v>53</v>
      </c>
      <c r="V116" s="177" t="s">
        <v>480</v>
      </c>
      <c r="W116" s="177" t="s">
        <v>50</v>
      </c>
      <c r="X116" s="177" t="s">
        <v>54</v>
      </c>
      <c r="Y116" s="236">
        <v>0.32291666666666669</v>
      </c>
      <c r="Z116" s="177" t="s">
        <v>137</v>
      </c>
      <c r="AA116" s="177" t="s">
        <v>744</v>
      </c>
      <c r="AB116" s="178">
        <v>15748</v>
      </c>
      <c r="AC116" s="202" t="s">
        <v>790</v>
      </c>
      <c r="AD116" s="177" t="s">
        <v>164</v>
      </c>
      <c r="AE116" s="177" t="s">
        <v>578</v>
      </c>
      <c r="AF116" s="177">
        <v>19</v>
      </c>
      <c r="AG116" s="177" t="s">
        <v>79</v>
      </c>
      <c r="AH116" s="177" t="s">
        <v>143</v>
      </c>
      <c r="AI116" s="177" t="s">
        <v>80</v>
      </c>
      <c r="AJ116" s="178" t="s">
        <v>81</v>
      </c>
      <c r="AK116" s="248" t="s">
        <v>791</v>
      </c>
      <c r="AL116" s="177" t="s">
        <v>118</v>
      </c>
      <c r="AM116" s="239" t="s">
        <v>65</v>
      </c>
      <c r="AN116" s="178" t="s">
        <v>65</v>
      </c>
      <c r="AO116" s="178" t="s">
        <v>67</v>
      </c>
      <c r="AP116" s="178" t="s">
        <v>284</v>
      </c>
    </row>
    <row r="117" spans="1:42" ht="15" hidden="1" customHeight="1" x14ac:dyDescent="0.25">
      <c r="A117" s="170">
        <v>2023</v>
      </c>
      <c r="B117" s="170" t="s">
        <v>739</v>
      </c>
      <c r="C117" s="170" t="s">
        <v>45</v>
      </c>
      <c r="D117" s="170" t="s">
        <v>792</v>
      </c>
      <c r="E117" s="376" t="s">
        <v>793</v>
      </c>
      <c r="F117" s="170" t="s">
        <v>48</v>
      </c>
      <c r="G117" s="177" t="s">
        <v>794</v>
      </c>
      <c r="H117" s="10">
        <v>45078</v>
      </c>
      <c r="I117" s="177">
        <f t="shared" si="4"/>
        <v>0</v>
      </c>
      <c r="J117" s="235">
        <v>45107</v>
      </c>
      <c r="K117" s="177" t="str">
        <f t="shared" si="3"/>
        <v>NUEVO</v>
      </c>
      <c r="L117" s="235">
        <v>45110</v>
      </c>
      <c r="M117" s="235">
        <v>45110</v>
      </c>
      <c r="N117" s="177" t="s">
        <v>50</v>
      </c>
      <c r="O117" s="177">
        <v>0</v>
      </c>
      <c r="P117" s="177" t="s">
        <v>51</v>
      </c>
      <c r="Q117" s="177" t="s">
        <v>50</v>
      </c>
      <c r="R117" s="178" t="s">
        <v>50</v>
      </c>
      <c r="S117" s="178" t="s">
        <v>73</v>
      </c>
      <c r="T117" s="243" t="s">
        <v>74</v>
      </c>
      <c r="U117" s="163" t="s">
        <v>53</v>
      </c>
      <c r="V117" s="177" t="s">
        <v>74</v>
      </c>
      <c r="W117" s="177" t="s">
        <v>50</v>
      </c>
      <c r="X117" s="177" t="s">
        <v>54</v>
      </c>
      <c r="Y117" s="236">
        <v>0.4375</v>
      </c>
      <c r="Z117" s="177" t="s">
        <v>111</v>
      </c>
      <c r="AA117" s="177" t="s">
        <v>782</v>
      </c>
      <c r="AB117" s="178">
        <v>15784</v>
      </c>
      <c r="AC117" s="202" t="s">
        <v>795</v>
      </c>
      <c r="AD117" s="177" t="s">
        <v>77</v>
      </c>
      <c r="AE117" s="177" t="s">
        <v>378</v>
      </c>
      <c r="AF117" s="177"/>
      <c r="AG117" s="177" t="s">
        <v>115</v>
      </c>
      <c r="AH117" s="177" t="s">
        <v>153</v>
      </c>
      <c r="AI117" s="177" t="s">
        <v>80</v>
      </c>
      <c r="AJ117" s="178" t="s">
        <v>154</v>
      </c>
      <c r="AK117" s="179" t="s">
        <v>796</v>
      </c>
      <c r="AL117" s="177" t="s">
        <v>64</v>
      </c>
      <c r="AM117" s="178" t="s">
        <v>65</v>
      </c>
      <c r="AN117" s="250" t="s">
        <v>65</v>
      </c>
      <c r="AO117" s="178" t="s">
        <v>83</v>
      </c>
      <c r="AP117" s="178" t="s">
        <v>240</v>
      </c>
    </row>
    <row r="118" spans="1:42" ht="15" hidden="1" customHeight="1" x14ac:dyDescent="0.25">
      <c r="A118" s="170">
        <v>2023</v>
      </c>
      <c r="B118" s="170" t="s">
        <v>739</v>
      </c>
      <c r="C118" s="170" t="s">
        <v>45</v>
      </c>
      <c r="D118" s="170" t="s">
        <v>797</v>
      </c>
      <c r="E118" s="170" t="s">
        <v>798</v>
      </c>
      <c r="F118" s="170" t="s">
        <v>71</v>
      </c>
      <c r="G118" s="177" t="s">
        <v>799</v>
      </c>
      <c r="H118" s="10">
        <v>44705</v>
      </c>
      <c r="I118" s="177">
        <f t="shared" si="4"/>
        <v>12</v>
      </c>
      <c r="J118" s="235">
        <v>45098</v>
      </c>
      <c r="K118" s="177" t="str">
        <f t="shared" si="3"/>
        <v>INTERMEDIO</v>
      </c>
      <c r="L118" s="9" t="s">
        <v>50</v>
      </c>
      <c r="M118" s="9" t="s">
        <v>50</v>
      </c>
      <c r="N118" s="177" t="s">
        <v>50</v>
      </c>
      <c r="O118" s="177">
        <v>0</v>
      </c>
      <c r="P118" s="177" t="s">
        <v>51</v>
      </c>
      <c r="Q118" s="177" t="s">
        <v>50</v>
      </c>
      <c r="R118" s="178" t="s">
        <v>50</v>
      </c>
      <c r="S118" s="178" t="s">
        <v>134</v>
      </c>
      <c r="T118" s="177" t="s">
        <v>729</v>
      </c>
      <c r="U118" s="9" t="s">
        <v>742</v>
      </c>
      <c r="V118" s="177" t="s">
        <v>729</v>
      </c>
      <c r="W118" s="177" t="s">
        <v>50</v>
      </c>
      <c r="X118" s="177" t="s">
        <v>54</v>
      </c>
      <c r="Y118" s="236">
        <v>0.29166666666666669</v>
      </c>
      <c r="Z118" s="177" t="s">
        <v>55</v>
      </c>
      <c r="AA118" s="177" t="s">
        <v>800</v>
      </c>
      <c r="AB118" s="178"/>
      <c r="AC118" s="203"/>
      <c r="AD118" s="177" t="s">
        <v>140</v>
      </c>
      <c r="AE118" s="177" t="s">
        <v>510</v>
      </c>
      <c r="AF118" s="177">
        <v>29</v>
      </c>
      <c r="AG118" s="177" t="s">
        <v>226</v>
      </c>
      <c r="AH118" s="177" t="s">
        <v>60</v>
      </c>
      <c r="AI118" s="177" t="s">
        <v>80</v>
      </c>
      <c r="AJ118" s="178" t="s">
        <v>129</v>
      </c>
      <c r="AK118" s="249" t="s">
        <v>801</v>
      </c>
      <c r="AL118" s="178" t="s">
        <v>64</v>
      </c>
      <c r="AM118" s="178" t="s">
        <v>65</v>
      </c>
      <c r="AN118" s="250" t="s">
        <v>66</v>
      </c>
      <c r="AO118" s="178" t="s">
        <v>83</v>
      </c>
      <c r="AP118" s="178" t="s">
        <v>240</v>
      </c>
    </row>
    <row r="119" spans="1:42" ht="15" hidden="1" customHeight="1" x14ac:dyDescent="0.25">
      <c r="A119" s="170">
        <v>2023</v>
      </c>
      <c r="B119" s="170" t="s">
        <v>739</v>
      </c>
      <c r="C119" s="170" t="s">
        <v>45</v>
      </c>
      <c r="D119" s="170" t="s">
        <v>393</v>
      </c>
      <c r="E119" s="376" t="s">
        <v>221</v>
      </c>
      <c r="F119" s="170" t="s">
        <v>48</v>
      </c>
      <c r="G119" s="177" t="s">
        <v>394</v>
      </c>
      <c r="H119" s="302">
        <v>44869</v>
      </c>
      <c r="I119" s="177">
        <f t="shared" si="4"/>
        <v>7</v>
      </c>
      <c r="J119" s="235">
        <v>45091</v>
      </c>
      <c r="K119" s="177" t="str">
        <f t="shared" si="3"/>
        <v>INTERMEDIO</v>
      </c>
      <c r="L119" s="10">
        <v>45091</v>
      </c>
      <c r="M119" s="10">
        <v>45091</v>
      </c>
      <c r="N119" s="235">
        <v>45097</v>
      </c>
      <c r="O119" s="177">
        <v>0</v>
      </c>
      <c r="P119" s="177" t="s">
        <v>51</v>
      </c>
      <c r="Q119" s="177" t="s">
        <v>50</v>
      </c>
      <c r="R119" s="178" t="s">
        <v>50</v>
      </c>
      <c r="S119" s="178" t="s">
        <v>73</v>
      </c>
      <c r="T119" s="9" t="s">
        <v>802</v>
      </c>
      <c r="U119" s="177" t="s">
        <v>53</v>
      </c>
      <c r="V119" s="177" t="s">
        <v>803</v>
      </c>
      <c r="W119" s="177" t="s">
        <v>50</v>
      </c>
      <c r="X119" s="177" t="s">
        <v>151</v>
      </c>
      <c r="Y119" s="236">
        <v>0.92361111111111116</v>
      </c>
      <c r="Z119" s="235" t="s">
        <v>55</v>
      </c>
      <c r="AA119" s="177" t="s">
        <v>744</v>
      </c>
      <c r="AB119" s="178">
        <v>15564</v>
      </c>
      <c r="AC119" s="202" t="s">
        <v>804</v>
      </c>
      <c r="AD119" s="177" t="s">
        <v>77</v>
      </c>
      <c r="AE119" s="177" t="s">
        <v>378</v>
      </c>
      <c r="AF119" s="177">
        <v>40</v>
      </c>
      <c r="AG119" s="177" t="s">
        <v>79</v>
      </c>
      <c r="AH119" s="177" t="s">
        <v>166</v>
      </c>
      <c r="AI119" s="177" t="s">
        <v>80</v>
      </c>
      <c r="AJ119" s="178" t="s">
        <v>81</v>
      </c>
      <c r="AK119" s="249" t="s">
        <v>805</v>
      </c>
      <c r="AL119" s="237" t="s">
        <v>118</v>
      </c>
      <c r="AM119" s="178" t="s">
        <v>66</v>
      </c>
      <c r="AN119" s="250" t="s">
        <v>65</v>
      </c>
      <c r="AO119" s="178" t="s">
        <v>83</v>
      </c>
      <c r="AP119" s="178" t="s">
        <v>250</v>
      </c>
    </row>
    <row r="120" spans="1:42" ht="15" hidden="1" customHeight="1" x14ac:dyDescent="0.2">
      <c r="A120" s="170">
        <v>2023</v>
      </c>
      <c r="B120" s="170" t="s">
        <v>739</v>
      </c>
      <c r="C120" s="170" t="s">
        <v>45</v>
      </c>
      <c r="D120" s="170" t="s">
        <v>806</v>
      </c>
      <c r="E120" s="170" t="s">
        <v>807</v>
      </c>
      <c r="F120" s="170" t="s">
        <v>71</v>
      </c>
      <c r="G120" s="177" t="s">
        <v>808</v>
      </c>
      <c r="H120" s="304">
        <v>42828</v>
      </c>
      <c r="I120" s="177">
        <f t="shared" si="4"/>
        <v>74</v>
      </c>
      <c r="J120" s="235">
        <v>45086</v>
      </c>
      <c r="K120" s="177" t="str">
        <f t="shared" si="3"/>
        <v>ANTIGUO</v>
      </c>
      <c r="L120" s="235">
        <v>45086</v>
      </c>
      <c r="M120" s="177" t="s">
        <v>50</v>
      </c>
      <c r="N120" s="235">
        <v>45089</v>
      </c>
      <c r="O120" s="314">
        <v>2</v>
      </c>
      <c r="P120" s="177" t="s">
        <v>88</v>
      </c>
      <c r="Q120" s="177" t="s">
        <v>89</v>
      </c>
      <c r="R120" s="178" t="s">
        <v>263</v>
      </c>
      <c r="S120" s="178" t="s">
        <v>234</v>
      </c>
      <c r="T120" s="177" t="s">
        <v>265</v>
      </c>
      <c r="U120" s="177" t="s">
        <v>53</v>
      </c>
      <c r="V120" s="177" t="s">
        <v>265</v>
      </c>
      <c r="W120" s="177" t="s">
        <v>267</v>
      </c>
      <c r="X120" s="177" t="s">
        <v>54</v>
      </c>
      <c r="Y120" s="236">
        <v>0.58333333333333337</v>
      </c>
      <c r="Z120" s="177" t="s">
        <v>111</v>
      </c>
      <c r="AA120" s="177" t="s">
        <v>757</v>
      </c>
      <c r="AB120" s="178">
        <v>15745</v>
      </c>
      <c r="AC120" s="232" t="s">
        <v>809</v>
      </c>
      <c r="AD120" s="177" t="s">
        <v>236</v>
      </c>
      <c r="AE120" s="177" t="s">
        <v>237</v>
      </c>
      <c r="AF120" s="177">
        <v>39</v>
      </c>
      <c r="AG120" s="177" t="s">
        <v>271</v>
      </c>
      <c r="AH120" s="177" t="s">
        <v>143</v>
      </c>
      <c r="AI120" s="177" t="s">
        <v>80</v>
      </c>
      <c r="AJ120" s="178" t="s">
        <v>129</v>
      </c>
      <c r="AK120" s="238" t="s">
        <v>810</v>
      </c>
      <c r="AL120" s="177" t="s">
        <v>64</v>
      </c>
      <c r="AM120" s="239" t="s">
        <v>65</v>
      </c>
      <c r="AN120" s="172" t="s">
        <v>65</v>
      </c>
      <c r="AO120" s="178" t="s">
        <v>67</v>
      </c>
      <c r="AP120" s="178" t="s">
        <v>250</v>
      </c>
    </row>
    <row r="121" spans="1:42" hidden="1" x14ac:dyDescent="0.25">
      <c r="A121" s="170">
        <v>2023</v>
      </c>
      <c r="B121" s="170" t="s">
        <v>739</v>
      </c>
      <c r="C121" s="170" t="s">
        <v>45</v>
      </c>
      <c r="D121" s="170" t="s">
        <v>811</v>
      </c>
      <c r="E121" s="170" t="s">
        <v>812</v>
      </c>
      <c r="F121" s="170" t="s">
        <v>71</v>
      </c>
      <c r="G121" s="177" t="s">
        <v>813</v>
      </c>
      <c r="H121" s="10">
        <v>44697</v>
      </c>
      <c r="I121" s="177">
        <f t="shared" si="4"/>
        <v>12</v>
      </c>
      <c r="J121" s="235">
        <v>45083</v>
      </c>
      <c r="K121" s="177" t="str">
        <f t="shared" si="3"/>
        <v>INTERMEDIO</v>
      </c>
      <c r="L121" s="177" t="s">
        <v>814</v>
      </c>
      <c r="M121" s="177" t="s">
        <v>50</v>
      </c>
      <c r="N121" s="177" t="s">
        <v>50</v>
      </c>
      <c r="O121" s="177">
        <v>0</v>
      </c>
      <c r="P121" s="177" t="s">
        <v>51</v>
      </c>
      <c r="Q121" s="177" t="s">
        <v>50</v>
      </c>
      <c r="R121" s="178" t="s">
        <v>50</v>
      </c>
      <c r="S121" s="178" t="s">
        <v>173</v>
      </c>
      <c r="T121" s="9" t="s">
        <v>664</v>
      </c>
      <c r="U121" s="177" t="s">
        <v>53</v>
      </c>
      <c r="V121" s="177" t="s">
        <v>815</v>
      </c>
      <c r="W121" s="177" t="s">
        <v>50</v>
      </c>
      <c r="X121" s="177" t="s">
        <v>176</v>
      </c>
      <c r="Y121" s="236">
        <v>0.13541666666666666</v>
      </c>
      <c r="Z121" s="177" t="s">
        <v>125</v>
      </c>
      <c r="AA121" s="177" t="s">
        <v>757</v>
      </c>
      <c r="AB121" s="178"/>
      <c r="AC121" s="246"/>
      <c r="AD121" s="177" t="s">
        <v>178</v>
      </c>
      <c r="AE121" s="177" t="s">
        <v>179</v>
      </c>
      <c r="AF121" s="177">
        <v>25</v>
      </c>
      <c r="AG121" s="177" t="s">
        <v>301</v>
      </c>
      <c r="AH121" s="177" t="s">
        <v>816</v>
      </c>
      <c r="AI121" s="177" t="s">
        <v>61</v>
      </c>
      <c r="AJ121" s="178" t="s">
        <v>303</v>
      </c>
      <c r="AK121" s="238" t="s">
        <v>817</v>
      </c>
      <c r="AL121" s="177" t="s">
        <v>64</v>
      </c>
      <c r="AM121" s="239" t="s">
        <v>65</v>
      </c>
      <c r="AN121" s="178" t="s">
        <v>66</v>
      </c>
      <c r="AO121" s="178" t="s">
        <v>83</v>
      </c>
      <c r="AP121" s="178" t="s">
        <v>250</v>
      </c>
    </row>
    <row r="122" spans="1:42" ht="15" hidden="1" customHeight="1" x14ac:dyDescent="0.25">
      <c r="A122" s="170">
        <v>2023</v>
      </c>
      <c r="B122" s="170" t="s">
        <v>739</v>
      </c>
      <c r="C122" s="170" t="s">
        <v>45</v>
      </c>
      <c r="D122" s="170" t="s">
        <v>818</v>
      </c>
      <c r="E122" s="170" t="s">
        <v>819</v>
      </c>
      <c r="F122" s="170" t="s">
        <v>48</v>
      </c>
      <c r="G122" s="177" t="s">
        <v>820</v>
      </c>
      <c r="H122" s="10">
        <v>45068</v>
      </c>
      <c r="I122" s="177">
        <f t="shared" si="4"/>
        <v>0</v>
      </c>
      <c r="J122" s="235">
        <v>45084</v>
      </c>
      <c r="K122" s="177" t="str">
        <f t="shared" si="3"/>
        <v>NUEVO</v>
      </c>
      <c r="L122" s="177" t="s">
        <v>50</v>
      </c>
      <c r="M122" s="177" t="s">
        <v>50</v>
      </c>
      <c r="N122" s="177" t="s">
        <v>50</v>
      </c>
      <c r="O122" s="177">
        <v>0</v>
      </c>
      <c r="P122" s="177" t="s">
        <v>51</v>
      </c>
      <c r="Q122" s="177" t="s">
        <v>50</v>
      </c>
      <c r="R122" s="178" t="s">
        <v>50</v>
      </c>
      <c r="S122" s="178" t="s">
        <v>91</v>
      </c>
      <c r="T122" s="177" t="s">
        <v>821</v>
      </c>
      <c r="U122" s="163" t="s">
        <v>53</v>
      </c>
      <c r="V122" s="177" t="s">
        <v>822</v>
      </c>
      <c r="W122" s="163" t="s">
        <v>822</v>
      </c>
      <c r="X122" s="177" t="s">
        <v>151</v>
      </c>
      <c r="Y122" s="236">
        <v>0.3611111111111111</v>
      </c>
      <c r="Z122" s="177" t="s">
        <v>55</v>
      </c>
      <c r="AA122" s="177" t="s">
        <v>757</v>
      </c>
      <c r="AB122" s="178"/>
      <c r="AC122" s="203"/>
      <c r="AD122" s="177" t="s">
        <v>97</v>
      </c>
      <c r="AE122" s="177" t="s">
        <v>225</v>
      </c>
      <c r="AF122" s="177">
        <v>23</v>
      </c>
      <c r="AG122" s="177" t="s">
        <v>99</v>
      </c>
      <c r="AH122" s="177" t="s">
        <v>60</v>
      </c>
      <c r="AI122" s="177" t="s">
        <v>128</v>
      </c>
      <c r="AJ122" s="178" t="s">
        <v>61</v>
      </c>
      <c r="AK122" s="238" t="s">
        <v>823</v>
      </c>
      <c r="AL122" s="178" t="s">
        <v>64</v>
      </c>
      <c r="AM122" s="239" t="s">
        <v>65</v>
      </c>
      <c r="AN122" s="178" t="s">
        <v>66</v>
      </c>
      <c r="AO122" s="178" t="s">
        <v>67</v>
      </c>
      <c r="AP122" s="178" t="s">
        <v>103</v>
      </c>
    </row>
    <row r="123" spans="1:42" hidden="1" x14ac:dyDescent="0.25">
      <c r="A123" s="170">
        <v>2023</v>
      </c>
      <c r="B123" s="170" t="s">
        <v>739</v>
      </c>
      <c r="C123" s="170" t="s">
        <v>45</v>
      </c>
      <c r="D123" s="170" t="s">
        <v>824</v>
      </c>
      <c r="E123" s="170" t="s">
        <v>825</v>
      </c>
      <c r="F123" s="170" t="s">
        <v>48</v>
      </c>
      <c r="G123" s="177" t="s">
        <v>826</v>
      </c>
      <c r="H123" s="10">
        <v>44858</v>
      </c>
      <c r="I123" s="177">
        <f t="shared" si="4"/>
        <v>7</v>
      </c>
      <c r="J123" s="235">
        <v>45091</v>
      </c>
      <c r="K123" s="177" t="str">
        <f t="shared" si="3"/>
        <v>INTERMEDIO</v>
      </c>
      <c r="L123" s="235" t="s">
        <v>50</v>
      </c>
      <c r="M123" s="177" t="s">
        <v>50</v>
      </c>
      <c r="N123" s="177" t="s">
        <v>50</v>
      </c>
      <c r="O123" s="177">
        <v>0</v>
      </c>
      <c r="P123" s="177" t="s">
        <v>51</v>
      </c>
      <c r="Q123" s="177" t="s">
        <v>50</v>
      </c>
      <c r="R123" s="178" t="s">
        <v>50</v>
      </c>
      <c r="S123" s="178" t="s">
        <v>73</v>
      </c>
      <c r="T123" s="9" t="s">
        <v>802</v>
      </c>
      <c r="U123" s="177" t="s">
        <v>53</v>
      </c>
      <c r="V123" s="177" t="s">
        <v>473</v>
      </c>
      <c r="W123" s="177" t="s">
        <v>50</v>
      </c>
      <c r="X123" s="177" t="s">
        <v>176</v>
      </c>
      <c r="Y123" s="236">
        <v>0.19791666666666666</v>
      </c>
      <c r="Z123" s="235" t="s">
        <v>55</v>
      </c>
      <c r="AA123" s="177" t="s">
        <v>744</v>
      </c>
      <c r="AB123" s="178"/>
      <c r="AC123" s="246"/>
      <c r="AD123" s="177" t="s">
        <v>77</v>
      </c>
      <c r="AE123" s="177" t="s">
        <v>378</v>
      </c>
      <c r="AF123" s="177">
        <v>21</v>
      </c>
      <c r="AG123" s="177" t="s">
        <v>59</v>
      </c>
      <c r="AH123" s="177" t="s">
        <v>60</v>
      </c>
      <c r="AI123" s="177" t="s">
        <v>80</v>
      </c>
      <c r="AJ123" s="178" t="s">
        <v>129</v>
      </c>
      <c r="AK123" s="249" t="s">
        <v>827</v>
      </c>
      <c r="AL123" s="241" t="s">
        <v>64</v>
      </c>
      <c r="AM123" s="178" t="s">
        <v>65</v>
      </c>
      <c r="AN123" s="178" t="s">
        <v>66</v>
      </c>
      <c r="AO123" s="178" t="s">
        <v>83</v>
      </c>
      <c r="AP123" s="178" t="s">
        <v>240</v>
      </c>
    </row>
    <row r="124" spans="1:42" ht="15" hidden="1" customHeight="1" x14ac:dyDescent="0.25">
      <c r="A124" s="170">
        <v>2023</v>
      </c>
      <c r="B124" s="170" t="s">
        <v>739</v>
      </c>
      <c r="C124" s="170" t="s">
        <v>45</v>
      </c>
      <c r="D124" s="170" t="s">
        <v>828</v>
      </c>
      <c r="E124" s="170" t="s">
        <v>242</v>
      </c>
      <c r="F124" s="170" t="s">
        <v>71</v>
      </c>
      <c r="G124" s="177" t="s">
        <v>829</v>
      </c>
      <c r="H124" s="302">
        <v>42016</v>
      </c>
      <c r="I124" s="177">
        <f t="shared" si="4"/>
        <v>100</v>
      </c>
      <c r="J124" s="235">
        <v>45077</v>
      </c>
      <c r="K124" s="177" t="str">
        <f t="shared" si="3"/>
        <v>ANTIGUO</v>
      </c>
      <c r="L124" s="177" t="s">
        <v>50</v>
      </c>
      <c r="M124" s="177" t="s">
        <v>50</v>
      </c>
      <c r="N124" s="177" t="s">
        <v>50</v>
      </c>
      <c r="O124" s="177">
        <v>0</v>
      </c>
      <c r="P124" s="177" t="s">
        <v>51</v>
      </c>
      <c r="Q124" s="177" t="s">
        <v>50</v>
      </c>
      <c r="R124" s="178" t="s">
        <v>50</v>
      </c>
      <c r="S124" s="178" t="s">
        <v>160</v>
      </c>
      <c r="T124" s="177" t="s">
        <v>191</v>
      </c>
      <c r="U124" s="177" t="s">
        <v>53</v>
      </c>
      <c r="V124" s="177" t="s">
        <v>830</v>
      </c>
      <c r="W124" s="177" t="s">
        <v>50</v>
      </c>
      <c r="X124" s="177" t="s">
        <v>151</v>
      </c>
      <c r="Y124" s="236">
        <v>1.3888888888888888E-2</v>
      </c>
      <c r="Z124" s="177" t="s">
        <v>76</v>
      </c>
      <c r="AA124" s="177" t="s">
        <v>757</v>
      </c>
      <c r="AB124" s="178"/>
      <c r="AC124" s="246"/>
      <c r="AD124" s="177" t="s">
        <v>164</v>
      </c>
      <c r="AE124" s="177" t="s">
        <v>215</v>
      </c>
      <c r="AF124" s="177">
        <v>30</v>
      </c>
      <c r="AG124" s="177" t="s">
        <v>79</v>
      </c>
      <c r="AH124" s="177" t="s">
        <v>166</v>
      </c>
      <c r="AI124" s="177" t="s">
        <v>80</v>
      </c>
      <c r="AJ124" s="178" t="s">
        <v>81</v>
      </c>
      <c r="AK124" s="179" t="s">
        <v>831</v>
      </c>
      <c r="AL124" s="177" t="s">
        <v>118</v>
      </c>
      <c r="AM124" s="178" t="s">
        <v>66</v>
      </c>
      <c r="AN124" s="178" t="s">
        <v>66</v>
      </c>
      <c r="AO124" s="178" t="s">
        <v>67</v>
      </c>
      <c r="AP124" s="178" t="s">
        <v>284</v>
      </c>
    </row>
    <row r="125" spans="1:42" ht="15" customHeight="1" x14ac:dyDescent="0.2">
      <c r="A125" s="170">
        <v>2023</v>
      </c>
      <c r="B125" s="170" t="s">
        <v>832</v>
      </c>
      <c r="C125" s="170" t="s">
        <v>45</v>
      </c>
      <c r="D125" s="170" t="s">
        <v>833</v>
      </c>
      <c r="E125" s="170" t="s">
        <v>834</v>
      </c>
      <c r="F125" s="170" t="s">
        <v>48</v>
      </c>
      <c r="G125" s="177" t="s">
        <v>835</v>
      </c>
      <c r="H125" s="289">
        <v>45117</v>
      </c>
      <c r="I125" s="177">
        <f t="shared" si="4"/>
        <v>0</v>
      </c>
      <c r="J125" s="235">
        <v>45126</v>
      </c>
      <c r="K125" s="177" t="str">
        <f t="shared" si="3"/>
        <v>NUEVO</v>
      </c>
      <c r="L125" s="235">
        <v>45126</v>
      </c>
      <c r="M125" s="235">
        <v>45130</v>
      </c>
      <c r="N125" s="177" t="s">
        <v>50</v>
      </c>
      <c r="O125" s="314">
        <v>5</v>
      </c>
      <c r="P125" s="177" t="s">
        <v>88</v>
      </c>
      <c r="Q125" s="177" t="s">
        <v>50</v>
      </c>
      <c r="R125" s="178" t="s">
        <v>50</v>
      </c>
      <c r="S125" s="178" t="s">
        <v>160</v>
      </c>
      <c r="T125" s="177" t="s">
        <v>191</v>
      </c>
      <c r="U125" s="177" t="s">
        <v>53</v>
      </c>
      <c r="V125" s="177" t="s">
        <v>836</v>
      </c>
      <c r="W125" s="177" t="s">
        <v>50</v>
      </c>
      <c r="X125" s="177" t="s">
        <v>54</v>
      </c>
      <c r="Y125" s="236">
        <v>0.3125</v>
      </c>
      <c r="Z125" s="177" t="s">
        <v>55</v>
      </c>
      <c r="AA125" s="177" t="s">
        <v>837</v>
      </c>
      <c r="AB125" s="178">
        <v>15810</v>
      </c>
      <c r="AC125" s="202" t="s">
        <v>838</v>
      </c>
      <c r="AD125" s="177" t="s">
        <v>164</v>
      </c>
      <c r="AE125" s="177" t="s">
        <v>215</v>
      </c>
      <c r="AF125" s="177">
        <v>35</v>
      </c>
      <c r="AG125" s="177" t="s">
        <v>115</v>
      </c>
      <c r="AH125" s="177" t="s">
        <v>60</v>
      </c>
      <c r="AI125" s="177" t="s">
        <v>128</v>
      </c>
      <c r="AJ125" s="178" t="s">
        <v>116</v>
      </c>
      <c r="AK125" s="179" t="s">
        <v>839</v>
      </c>
      <c r="AL125" s="177" t="s">
        <v>64</v>
      </c>
      <c r="AM125" s="178" t="s">
        <v>65</v>
      </c>
      <c r="AN125" s="178" t="s">
        <v>65</v>
      </c>
      <c r="AO125" s="178" t="s">
        <v>83</v>
      </c>
      <c r="AP125" s="178" t="s">
        <v>250</v>
      </c>
    </row>
    <row r="126" spans="1:42" ht="15" hidden="1" customHeight="1" x14ac:dyDescent="0.25">
      <c r="A126" s="170">
        <v>2023</v>
      </c>
      <c r="B126" s="170" t="s">
        <v>832</v>
      </c>
      <c r="C126" s="170" t="s">
        <v>45</v>
      </c>
      <c r="D126" s="170" t="s">
        <v>840</v>
      </c>
      <c r="E126" s="170" t="s">
        <v>453</v>
      </c>
      <c r="F126" s="170" t="s">
        <v>48</v>
      </c>
      <c r="G126" s="177" t="s">
        <v>841</v>
      </c>
      <c r="H126" s="10">
        <v>44624</v>
      </c>
      <c r="I126" s="177">
        <f t="shared" si="4"/>
        <v>16</v>
      </c>
      <c r="J126" s="235">
        <v>45128</v>
      </c>
      <c r="K126" s="177" t="str">
        <f t="shared" si="3"/>
        <v>INTERMEDIO</v>
      </c>
      <c r="L126" s="235" t="s">
        <v>50</v>
      </c>
      <c r="M126" s="177" t="s">
        <v>50</v>
      </c>
      <c r="N126" s="177" t="s">
        <v>50</v>
      </c>
      <c r="O126" s="177">
        <v>0</v>
      </c>
      <c r="P126" s="177" t="s">
        <v>51</v>
      </c>
      <c r="Q126" s="177" t="s">
        <v>50</v>
      </c>
      <c r="R126" s="178" t="s">
        <v>50</v>
      </c>
      <c r="S126" s="178" t="s">
        <v>234</v>
      </c>
      <c r="T126" s="177" t="s">
        <v>235</v>
      </c>
      <c r="U126" s="177" t="s">
        <v>53</v>
      </c>
      <c r="V126" s="177" t="s">
        <v>235</v>
      </c>
      <c r="W126" s="177" t="s">
        <v>50</v>
      </c>
      <c r="X126" s="177" t="s">
        <v>151</v>
      </c>
      <c r="Y126" s="236">
        <v>0.875</v>
      </c>
      <c r="Z126" s="177" t="s">
        <v>111</v>
      </c>
      <c r="AA126" s="177" t="s">
        <v>837</v>
      </c>
      <c r="AB126" s="178"/>
      <c r="AC126" s="203"/>
      <c r="AD126" s="177" t="s">
        <v>236</v>
      </c>
      <c r="AE126" s="177" t="s">
        <v>842</v>
      </c>
      <c r="AF126" s="177">
        <v>60</v>
      </c>
      <c r="AG126" s="177" t="s">
        <v>226</v>
      </c>
      <c r="AH126" s="177" t="s">
        <v>127</v>
      </c>
      <c r="AI126" s="177" t="s">
        <v>128</v>
      </c>
      <c r="AJ126" s="178" t="s">
        <v>129</v>
      </c>
      <c r="AK126" s="179" t="s">
        <v>843</v>
      </c>
      <c r="AL126" s="243" t="s">
        <v>64</v>
      </c>
      <c r="AM126" s="178" t="s">
        <v>65</v>
      </c>
      <c r="AN126" s="178" t="s">
        <v>66</v>
      </c>
      <c r="AO126" s="178" t="s">
        <v>67</v>
      </c>
      <c r="AP126" s="178" t="s">
        <v>103</v>
      </c>
    </row>
    <row r="127" spans="1:42" ht="15" hidden="1" customHeight="1" x14ac:dyDescent="0.25">
      <c r="A127" s="170">
        <v>2023</v>
      </c>
      <c r="B127" s="170" t="s">
        <v>832</v>
      </c>
      <c r="C127" s="170" t="s">
        <v>45</v>
      </c>
      <c r="D127" s="170" t="s">
        <v>753</v>
      </c>
      <c r="E127" s="170" t="s">
        <v>754</v>
      </c>
      <c r="F127" s="170" t="s">
        <v>48</v>
      </c>
      <c r="G127" s="310" t="s">
        <v>755</v>
      </c>
      <c r="H127" s="10">
        <v>44298</v>
      </c>
      <c r="I127" s="177">
        <f t="shared" si="4"/>
        <v>27</v>
      </c>
      <c r="J127" s="235">
        <v>45129</v>
      </c>
      <c r="K127" s="177" t="str">
        <f t="shared" si="3"/>
        <v>ANTIGUO</v>
      </c>
      <c r="L127" s="235">
        <v>45129</v>
      </c>
      <c r="M127" s="177"/>
      <c r="N127" s="177" t="s">
        <v>50</v>
      </c>
      <c r="O127" s="314">
        <v>108</v>
      </c>
      <c r="P127" s="177" t="s">
        <v>88</v>
      </c>
      <c r="Q127" s="177" t="s">
        <v>50</v>
      </c>
      <c r="R127" s="178" t="s">
        <v>50</v>
      </c>
      <c r="S127" s="178" t="s">
        <v>91</v>
      </c>
      <c r="T127" s="9" t="s">
        <v>844</v>
      </c>
      <c r="U127" s="177" t="s">
        <v>53</v>
      </c>
      <c r="V127" s="9" t="s">
        <v>844</v>
      </c>
      <c r="W127" s="177" t="s">
        <v>50</v>
      </c>
      <c r="X127" s="177" t="s">
        <v>54</v>
      </c>
      <c r="Y127" s="236">
        <v>0.41666666666666669</v>
      </c>
      <c r="Z127" s="177" t="s">
        <v>95</v>
      </c>
      <c r="AA127" s="177" t="s">
        <v>837</v>
      </c>
      <c r="AB127" s="178">
        <v>15818</v>
      </c>
      <c r="AC127" s="202" t="s">
        <v>845</v>
      </c>
      <c r="AD127" s="177" t="s">
        <v>97</v>
      </c>
      <c r="AE127" s="177" t="s">
        <v>98</v>
      </c>
      <c r="AF127" s="177">
        <v>21</v>
      </c>
      <c r="AG127" s="177" t="s">
        <v>425</v>
      </c>
      <c r="AH127" s="177" t="s">
        <v>60</v>
      </c>
      <c r="AI127" s="177" t="s">
        <v>128</v>
      </c>
      <c r="AJ127" s="178" t="s">
        <v>293</v>
      </c>
      <c r="AK127" s="238" t="s">
        <v>846</v>
      </c>
      <c r="AL127" s="178" t="s">
        <v>64</v>
      </c>
      <c r="AM127" s="239" t="s">
        <v>65</v>
      </c>
      <c r="AN127" s="178" t="s">
        <v>65</v>
      </c>
      <c r="AO127" s="178" t="s">
        <v>83</v>
      </c>
      <c r="AP127" s="178" t="s">
        <v>284</v>
      </c>
    </row>
    <row r="128" spans="1:42" hidden="1" x14ac:dyDescent="0.25">
      <c r="A128" s="170">
        <v>2023</v>
      </c>
      <c r="B128" s="170" t="s">
        <v>832</v>
      </c>
      <c r="C128" s="170" t="s">
        <v>45</v>
      </c>
      <c r="D128" s="170" t="s">
        <v>847</v>
      </c>
      <c r="E128" s="170" t="s">
        <v>557</v>
      </c>
      <c r="F128" s="170" t="s">
        <v>48</v>
      </c>
      <c r="G128" s="347" t="s">
        <v>848</v>
      </c>
      <c r="H128" s="10">
        <v>44826</v>
      </c>
      <c r="I128" s="177">
        <f t="shared" si="4"/>
        <v>9</v>
      </c>
      <c r="J128" s="235">
        <v>45124</v>
      </c>
      <c r="K128" s="177" t="str">
        <f t="shared" si="3"/>
        <v>INTERMEDIO</v>
      </c>
      <c r="L128" s="235" t="s">
        <v>50</v>
      </c>
      <c r="M128" s="177" t="s">
        <v>50</v>
      </c>
      <c r="N128" s="177" t="s">
        <v>50</v>
      </c>
      <c r="O128" s="177">
        <v>0</v>
      </c>
      <c r="P128" s="177" t="s">
        <v>51</v>
      </c>
      <c r="Q128" s="177" t="s">
        <v>50</v>
      </c>
      <c r="R128" s="178" t="s">
        <v>50</v>
      </c>
      <c r="S128" s="178" t="s">
        <v>264</v>
      </c>
      <c r="T128" s="177" t="s">
        <v>264</v>
      </c>
      <c r="U128" s="177" t="s">
        <v>849</v>
      </c>
      <c r="V128" s="177" t="s">
        <v>93</v>
      </c>
      <c r="W128" s="177" t="s">
        <v>50</v>
      </c>
      <c r="X128" s="177" t="s">
        <v>176</v>
      </c>
      <c r="Y128" s="236">
        <v>0.20833333333333334</v>
      </c>
      <c r="Z128" s="177" t="s">
        <v>137</v>
      </c>
      <c r="AA128" s="177" t="s">
        <v>837</v>
      </c>
      <c r="AB128" s="178"/>
      <c r="AC128" s="203"/>
      <c r="AD128" s="177" t="s">
        <v>269</v>
      </c>
      <c r="AE128" s="177" t="s">
        <v>850</v>
      </c>
      <c r="AF128" s="177">
        <v>34</v>
      </c>
      <c r="AG128" s="177" t="s">
        <v>59</v>
      </c>
      <c r="AH128" s="177" t="s">
        <v>227</v>
      </c>
      <c r="AI128" s="177" t="s">
        <v>228</v>
      </c>
      <c r="AJ128" s="178" t="s">
        <v>229</v>
      </c>
      <c r="AK128" s="179" t="s">
        <v>851</v>
      </c>
      <c r="AL128" s="241" t="s">
        <v>64</v>
      </c>
      <c r="AM128" s="178" t="s">
        <v>65</v>
      </c>
      <c r="AN128" s="178" t="s">
        <v>66</v>
      </c>
      <c r="AO128" s="178" t="s">
        <v>67</v>
      </c>
      <c r="AP128" s="178" t="s">
        <v>103</v>
      </c>
    </row>
    <row r="129" spans="1:43" ht="15" hidden="1" customHeight="1" x14ac:dyDescent="0.2">
      <c r="A129" s="170">
        <v>2023</v>
      </c>
      <c r="B129" s="170" t="s">
        <v>832</v>
      </c>
      <c r="C129" s="170" t="s">
        <v>45</v>
      </c>
      <c r="D129" s="170" t="s">
        <v>852</v>
      </c>
      <c r="E129" s="170" t="s">
        <v>853</v>
      </c>
      <c r="F129" s="170" t="s">
        <v>48</v>
      </c>
      <c r="G129" s="177" t="s">
        <v>854</v>
      </c>
      <c r="H129" s="289">
        <v>45117</v>
      </c>
      <c r="I129" s="177">
        <f t="shared" si="4"/>
        <v>0</v>
      </c>
      <c r="J129" s="235">
        <v>45134</v>
      </c>
      <c r="K129" s="177" t="str">
        <f t="shared" si="3"/>
        <v>NUEVO</v>
      </c>
      <c r="L129" s="235">
        <v>45134</v>
      </c>
      <c r="M129" s="235">
        <v>45134</v>
      </c>
      <c r="N129" s="177" t="s">
        <v>50</v>
      </c>
      <c r="O129" s="177">
        <v>0</v>
      </c>
      <c r="P129" s="177" t="s">
        <v>51</v>
      </c>
      <c r="Q129" s="177" t="s">
        <v>50</v>
      </c>
      <c r="R129" s="178" t="s">
        <v>50</v>
      </c>
      <c r="S129" s="178" t="s">
        <v>234</v>
      </c>
      <c r="T129" s="163" t="s">
        <v>235</v>
      </c>
      <c r="U129" s="177" t="s">
        <v>53</v>
      </c>
      <c r="V129" s="177" t="s">
        <v>235</v>
      </c>
      <c r="W129" s="177" t="s">
        <v>267</v>
      </c>
      <c r="X129" s="177" t="s">
        <v>54</v>
      </c>
      <c r="Y129" s="236">
        <v>0.47916666666666669</v>
      </c>
      <c r="Z129" s="177" t="s">
        <v>76</v>
      </c>
      <c r="AA129" s="177" t="s">
        <v>855</v>
      </c>
      <c r="AB129" s="178">
        <v>15826</v>
      </c>
      <c r="AC129" s="202" t="s">
        <v>856</v>
      </c>
      <c r="AD129" s="177" t="s">
        <v>236</v>
      </c>
      <c r="AE129" s="177" t="s">
        <v>276</v>
      </c>
      <c r="AF129" s="177">
        <v>25</v>
      </c>
      <c r="AG129" s="177" t="s">
        <v>79</v>
      </c>
      <c r="AH129" s="177" t="s">
        <v>450</v>
      </c>
      <c r="AI129" s="177" t="s">
        <v>167</v>
      </c>
      <c r="AJ129" s="178" t="s">
        <v>81</v>
      </c>
      <c r="AK129" s="179" t="s">
        <v>857</v>
      </c>
      <c r="AL129" s="178" t="s">
        <v>118</v>
      </c>
      <c r="AM129" s="178" t="s">
        <v>65</v>
      </c>
      <c r="AN129" s="178" t="s">
        <v>65</v>
      </c>
      <c r="AO129" s="178" t="s">
        <v>83</v>
      </c>
      <c r="AP129" s="178" t="s">
        <v>250</v>
      </c>
    </row>
    <row r="130" spans="1:43" hidden="1" x14ac:dyDescent="0.25">
      <c r="A130" s="170">
        <v>2023</v>
      </c>
      <c r="B130" s="170" t="s">
        <v>832</v>
      </c>
      <c r="C130" s="170" t="s">
        <v>45</v>
      </c>
      <c r="D130" s="170" t="s">
        <v>858</v>
      </c>
      <c r="E130" s="376" t="s">
        <v>539</v>
      </c>
      <c r="F130" s="170" t="s">
        <v>48</v>
      </c>
      <c r="G130" s="177" t="s">
        <v>859</v>
      </c>
      <c r="H130" s="10">
        <v>43984</v>
      </c>
      <c r="I130" s="177">
        <f t="shared" si="4"/>
        <v>36</v>
      </c>
      <c r="J130" s="235">
        <v>45107</v>
      </c>
      <c r="K130" s="177" t="str">
        <f t="shared" si="3"/>
        <v>ANTIGUO</v>
      </c>
      <c r="L130" s="10">
        <v>45110</v>
      </c>
      <c r="M130" s="10">
        <v>45112</v>
      </c>
      <c r="N130" s="177" t="s">
        <v>50</v>
      </c>
      <c r="O130" s="314">
        <v>3</v>
      </c>
      <c r="P130" s="177" t="s">
        <v>88</v>
      </c>
      <c r="Q130" s="177" t="s">
        <v>50</v>
      </c>
      <c r="R130" s="178" t="s">
        <v>50</v>
      </c>
      <c r="S130" s="178" t="s">
        <v>73</v>
      </c>
      <c r="T130" s="177" t="s">
        <v>74</v>
      </c>
      <c r="U130" s="177" t="s">
        <v>53</v>
      </c>
      <c r="V130" s="177" t="s">
        <v>74</v>
      </c>
      <c r="W130" s="177" t="s">
        <v>50</v>
      </c>
      <c r="X130" s="177" t="s">
        <v>54</v>
      </c>
      <c r="Y130" s="236">
        <v>0.6875</v>
      </c>
      <c r="Z130" s="177" t="s">
        <v>111</v>
      </c>
      <c r="AA130" s="177" t="s">
        <v>782</v>
      </c>
      <c r="AB130" s="178">
        <v>15785</v>
      </c>
      <c r="AC130" s="202" t="s">
        <v>860</v>
      </c>
      <c r="AD130" s="177" t="s">
        <v>77</v>
      </c>
      <c r="AE130" s="177" t="s">
        <v>861</v>
      </c>
      <c r="AF130" s="177">
        <v>28</v>
      </c>
      <c r="AG130" s="177" t="s">
        <v>61</v>
      </c>
      <c r="AH130" s="177" t="s">
        <v>166</v>
      </c>
      <c r="AI130" s="177" t="s">
        <v>80</v>
      </c>
      <c r="AJ130" s="178" t="s">
        <v>129</v>
      </c>
      <c r="AK130" s="245" t="s">
        <v>862</v>
      </c>
      <c r="AL130" s="237" t="s">
        <v>64</v>
      </c>
      <c r="AM130" s="178" t="s">
        <v>66</v>
      </c>
      <c r="AN130" s="172" t="s">
        <v>65</v>
      </c>
      <c r="AO130" s="178" t="s">
        <v>67</v>
      </c>
      <c r="AP130" s="178" t="s">
        <v>284</v>
      </c>
    </row>
    <row r="131" spans="1:43" ht="15" customHeight="1" x14ac:dyDescent="0.25">
      <c r="A131" s="170">
        <v>2023</v>
      </c>
      <c r="B131" s="170" t="s">
        <v>832</v>
      </c>
      <c r="C131" s="170" t="s">
        <v>45</v>
      </c>
      <c r="D131" s="170" t="s">
        <v>863</v>
      </c>
      <c r="E131" s="170" t="s">
        <v>864</v>
      </c>
      <c r="F131" s="170" t="s">
        <v>48</v>
      </c>
      <c r="G131" s="177" t="s">
        <v>865</v>
      </c>
      <c r="H131" s="10">
        <v>45005</v>
      </c>
      <c r="I131" s="177">
        <f t="shared" si="4"/>
        <v>3</v>
      </c>
      <c r="J131" s="235">
        <v>45118</v>
      </c>
      <c r="K131" s="177" t="str">
        <f t="shared" si="3"/>
        <v>NUEVO</v>
      </c>
      <c r="L131" s="235">
        <v>45119</v>
      </c>
      <c r="M131" s="235">
        <v>45121</v>
      </c>
      <c r="N131" s="177" t="s">
        <v>50</v>
      </c>
      <c r="O131" s="314">
        <v>3</v>
      </c>
      <c r="P131" s="177" t="s">
        <v>88</v>
      </c>
      <c r="Q131" s="177" t="s">
        <v>50</v>
      </c>
      <c r="R131" s="178" t="s">
        <v>50</v>
      </c>
      <c r="S131" s="178" t="s">
        <v>160</v>
      </c>
      <c r="T131" s="177" t="s">
        <v>191</v>
      </c>
      <c r="U131" s="177" t="s">
        <v>53</v>
      </c>
      <c r="V131" s="177" t="s">
        <v>866</v>
      </c>
      <c r="W131" s="177" t="s">
        <v>50</v>
      </c>
      <c r="X131" s="177" t="s">
        <v>151</v>
      </c>
      <c r="Y131" s="236">
        <v>0.83333333333333337</v>
      </c>
      <c r="Z131" s="177" t="s">
        <v>125</v>
      </c>
      <c r="AA131" s="177" t="s">
        <v>867</v>
      </c>
      <c r="AB131" s="178">
        <v>15798</v>
      </c>
      <c r="AC131" s="202" t="s">
        <v>868</v>
      </c>
      <c r="AD131" s="177" t="s">
        <v>164</v>
      </c>
      <c r="AE131" s="177" t="s">
        <v>215</v>
      </c>
      <c r="AF131" s="177">
        <v>21</v>
      </c>
      <c r="AG131" s="177" t="s">
        <v>142</v>
      </c>
      <c r="AH131" s="177" t="s">
        <v>166</v>
      </c>
      <c r="AI131" s="177" t="s">
        <v>80</v>
      </c>
      <c r="AJ131" s="178" t="s">
        <v>81</v>
      </c>
      <c r="AK131" s="238" t="s">
        <v>869</v>
      </c>
      <c r="AL131" s="177" t="s">
        <v>118</v>
      </c>
      <c r="AM131" s="239" t="s">
        <v>65</v>
      </c>
      <c r="AN131" s="172" t="s">
        <v>65</v>
      </c>
      <c r="AO131" s="178" t="s">
        <v>83</v>
      </c>
      <c r="AP131" s="178" t="s">
        <v>250</v>
      </c>
    </row>
    <row r="132" spans="1:43" ht="15" hidden="1" customHeight="1" x14ac:dyDescent="0.25">
      <c r="A132" s="170">
        <v>2023</v>
      </c>
      <c r="B132" s="170" t="s">
        <v>832</v>
      </c>
      <c r="C132" s="170" t="s">
        <v>45</v>
      </c>
      <c r="D132" s="170" t="s">
        <v>870</v>
      </c>
      <c r="E132" s="170" t="s">
        <v>428</v>
      </c>
      <c r="F132" s="170" t="s">
        <v>71</v>
      </c>
      <c r="G132" s="177" t="s">
        <v>871</v>
      </c>
      <c r="H132" s="10">
        <v>41465</v>
      </c>
      <c r="I132" s="177">
        <f t="shared" si="4"/>
        <v>120</v>
      </c>
      <c r="J132" s="235">
        <v>45135</v>
      </c>
      <c r="K132" s="177" t="str">
        <f t="shared" si="3"/>
        <v>ANTIGUO</v>
      </c>
      <c r="L132" s="177" t="s">
        <v>50</v>
      </c>
      <c r="M132" s="177" t="s">
        <v>50</v>
      </c>
      <c r="N132" s="177" t="s">
        <v>50</v>
      </c>
      <c r="O132" s="177">
        <v>0</v>
      </c>
      <c r="P132" s="177" t="s">
        <v>51</v>
      </c>
      <c r="Q132" s="177" t="s">
        <v>50</v>
      </c>
      <c r="R132" s="178" t="s">
        <v>50</v>
      </c>
      <c r="S132" s="178" t="s">
        <v>234</v>
      </c>
      <c r="T132" s="177" t="s">
        <v>265</v>
      </c>
      <c r="U132" s="177" t="s">
        <v>53</v>
      </c>
      <c r="V132" s="177" t="s">
        <v>265</v>
      </c>
      <c r="W132" s="177" t="s">
        <v>50</v>
      </c>
      <c r="X132" s="177" t="s">
        <v>151</v>
      </c>
      <c r="Y132" s="236">
        <v>0.90277777777777779</v>
      </c>
      <c r="Z132" s="177" t="s">
        <v>111</v>
      </c>
      <c r="AA132" s="177" t="s">
        <v>855</v>
      </c>
      <c r="AB132" s="178"/>
      <c r="AC132" s="203"/>
      <c r="AD132" s="177" t="s">
        <v>236</v>
      </c>
      <c r="AE132" s="177" t="s">
        <v>237</v>
      </c>
      <c r="AF132" s="177">
        <v>47</v>
      </c>
      <c r="AG132" s="177" t="s">
        <v>475</v>
      </c>
      <c r="AH132" s="177" t="s">
        <v>450</v>
      </c>
      <c r="AI132" s="177" t="s">
        <v>61</v>
      </c>
      <c r="AJ132" s="178" t="s">
        <v>62</v>
      </c>
      <c r="AK132" s="238" t="s">
        <v>872</v>
      </c>
      <c r="AL132" s="178" t="s">
        <v>64</v>
      </c>
      <c r="AM132" s="239" t="s">
        <v>65</v>
      </c>
      <c r="AN132" s="178" t="s">
        <v>66</v>
      </c>
      <c r="AO132" s="178" t="s">
        <v>67</v>
      </c>
      <c r="AP132" s="178" t="s">
        <v>240</v>
      </c>
    </row>
    <row r="133" spans="1:43" ht="15" hidden="1" customHeight="1" x14ac:dyDescent="0.25">
      <c r="A133" s="170">
        <v>2023</v>
      </c>
      <c r="B133" s="170" t="s">
        <v>832</v>
      </c>
      <c r="C133" s="170" t="s">
        <v>45</v>
      </c>
      <c r="D133" s="170" t="s">
        <v>873</v>
      </c>
      <c r="E133" s="170" t="s">
        <v>874</v>
      </c>
      <c r="F133" s="260" t="s">
        <v>71</v>
      </c>
      <c r="G133" s="243" t="s">
        <v>875</v>
      </c>
      <c r="H133" s="10">
        <v>42709</v>
      </c>
      <c r="I133" s="177">
        <f t="shared" si="4"/>
        <v>79</v>
      </c>
      <c r="J133" s="235">
        <v>45133</v>
      </c>
      <c r="K133" s="177" t="str">
        <f t="shared" si="3"/>
        <v>ANTIGUO</v>
      </c>
      <c r="L133" s="235" t="s">
        <v>50</v>
      </c>
      <c r="M133" s="177" t="s">
        <v>50</v>
      </c>
      <c r="N133" s="177" t="s">
        <v>50</v>
      </c>
      <c r="O133" s="177">
        <v>0</v>
      </c>
      <c r="P133" s="177" t="s">
        <v>51</v>
      </c>
      <c r="Q133" s="177" t="s">
        <v>50</v>
      </c>
      <c r="R133" s="178" t="s">
        <v>50</v>
      </c>
      <c r="S133" s="178" t="s">
        <v>173</v>
      </c>
      <c r="T133" s="9" t="s">
        <v>664</v>
      </c>
      <c r="U133" s="177" t="s">
        <v>53</v>
      </c>
      <c r="V133" s="177" t="s">
        <v>876</v>
      </c>
      <c r="W133" s="177" t="s">
        <v>877</v>
      </c>
      <c r="X133" s="177" t="s">
        <v>176</v>
      </c>
      <c r="Y133" s="236">
        <v>0</v>
      </c>
      <c r="Z133" s="177" t="s">
        <v>55</v>
      </c>
      <c r="AA133" s="177" t="s">
        <v>855</v>
      </c>
      <c r="AB133" s="178"/>
      <c r="AC133" s="203"/>
      <c r="AD133" s="177" t="s">
        <v>178</v>
      </c>
      <c r="AE133" s="177" t="s">
        <v>179</v>
      </c>
      <c r="AF133" s="177">
        <v>38</v>
      </c>
      <c r="AG133" s="177" t="s">
        <v>700</v>
      </c>
      <c r="AH133" s="177" t="s">
        <v>143</v>
      </c>
      <c r="AI133" s="177" t="s">
        <v>80</v>
      </c>
      <c r="AJ133" s="178" t="s">
        <v>129</v>
      </c>
      <c r="AK133" s="238" t="s">
        <v>878</v>
      </c>
      <c r="AL133" s="178" t="s">
        <v>64</v>
      </c>
      <c r="AM133" s="239" t="s">
        <v>65</v>
      </c>
      <c r="AN133" s="178" t="s">
        <v>66</v>
      </c>
      <c r="AO133" s="178" t="s">
        <v>67</v>
      </c>
      <c r="AP133" s="178" t="s">
        <v>103</v>
      </c>
    </row>
    <row r="134" spans="1:43" ht="15" hidden="1" customHeight="1" x14ac:dyDescent="0.25">
      <c r="A134" s="170">
        <v>2023</v>
      </c>
      <c r="B134" s="170" t="s">
        <v>832</v>
      </c>
      <c r="C134" s="170" t="s">
        <v>45</v>
      </c>
      <c r="D134" s="170" t="s">
        <v>879</v>
      </c>
      <c r="E134" s="170" t="s">
        <v>347</v>
      </c>
      <c r="F134" s="170" t="s">
        <v>71</v>
      </c>
      <c r="G134" s="177" t="s">
        <v>880</v>
      </c>
      <c r="H134" s="10">
        <v>45012</v>
      </c>
      <c r="I134" s="177">
        <f t="shared" si="4"/>
        <v>3</v>
      </c>
      <c r="J134" s="235">
        <v>45112</v>
      </c>
      <c r="K134" s="177" t="str">
        <f t="shared" si="3"/>
        <v>NUEVO</v>
      </c>
      <c r="L134" s="10">
        <v>45113</v>
      </c>
      <c r="M134" s="235">
        <v>45113</v>
      </c>
      <c r="N134" s="177" t="s">
        <v>50</v>
      </c>
      <c r="O134" s="177">
        <v>0</v>
      </c>
      <c r="P134" s="177" t="s">
        <v>51</v>
      </c>
      <c r="Q134" s="177" t="s">
        <v>50</v>
      </c>
      <c r="R134" s="178" t="s">
        <v>50</v>
      </c>
      <c r="S134" s="242" t="s">
        <v>134</v>
      </c>
      <c r="T134" s="9" t="s">
        <v>729</v>
      </c>
      <c r="U134" s="177" t="s">
        <v>53</v>
      </c>
      <c r="V134" s="177" t="s">
        <v>881</v>
      </c>
      <c r="W134" s="177" t="s">
        <v>50</v>
      </c>
      <c r="X134" s="177" t="s">
        <v>54</v>
      </c>
      <c r="Y134" s="236">
        <v>0.38194444444444442</v>
      </c>
      <c r="Z134" s="177" t="s">
        <v>55</v>
      </c>
      <c r="AA134" s="177" t="s">
        <v>882</v>
      </c>
      <c r="AB134" s="178">
        <v>15793</v>
      </c>
      <c r="AC134" s="202" t="s">
        <v>883</v>
      </c>
      <c r="AD134" s="177" t="s">
        <v>140</v>
      </c>
      <c r="AE134" s="177" t="s">
        <v>510</v>
      </c>
      <c r="AF134" s="177">
        <v>18</v>
      </c>
      <c r="AG134" s="177" t="s">
        <v>475</v>
      </c>
      <c r="AH134" s="177" t="s">
        <v>450</v>
      </c>
      <c r="AI134" s="177" t="s">
        <v>80</v>
      </c>
      <c r="AJ134" s="178" t="s">
        <v>129</v>
      </c>
      <c r="AK134" s="179" t="s">
        <v>884</v>
      </c>
      <c r="AL134" s="242" t="s">
        <v>64</v>
      </c>
      <c r="AM134" s="178" t="s">
        <v>885</v>
      </c>
      <c r="AN134" s="172" t="s">
        <v>65</v>
      </c>
      <c r="AO134" s="178" t="s">
        <v>67</v>
      </c>
      <c r="AP134" s="178" t="s">
        <v>284</v>
      </c>
    </row>
    <row r="135" spans="1:43" hidden="1" x14ac:dyDescent="0.25">
      <c r="A135" s="170">
        <v>2023</v>
      </c>
      <c r="B135" s="170" t="s">
        <v>832</v>
      </c>
      <c r="C135" s="170" t="s">
        <v>45</v>
      </c>
      <c r="D135" s="170" t="s">
        <v>886</v>
      </c>
      <c r="E135" s="170" t="s">
        <v>887</v>
      </c>
      <c r="F135" s="170" t="s">
        <v>48</v>
      </c>
      <c r="G135" s="9" t="s">
        <v>888</v>
      </c>
      <c r="H135" s="302">
        <v>43899</v>
      </c>
      <c r="I135" s="177">
        <f t="shared" si="4"/>
        <v>40</v>
      </c>
      <c r="J135" s="235">
        <v>45117</v>
      </c>
      <c r="K135" s="177" t="str">
        <f t="shared" ref="K135:K198" si="5">IF(I135&lt;=6,"NUEVO",IF(I135&lt;=18,"INTERMEDIO","ANTIGUO"))</f>
        <v>ANTIGUO</v>
      </c>
      <c r="L135" s="235">
        <v>45117</v>
      </c>
      <c r="M135" s="235">
        <v>45117</v>
      </c>
      <c r="N135" s="177" t="s">
        <v>50</v>
      </c>
      <c r="O135" s="177">
        <v>0</v>
      </c>
      <c r="P135" s="177" t="s">
        <v>51</v>
      </c>
      <c r="Q135" s="177" t="s">
        <v>50</v>
      </c>
      <c r="R135" s="178" t="s">
        <v>50</v>
      </c>
      <c r="S135" s="178" t="s">
        <v>234</v>
      </c>
      <c r="T135" s="177" t="s">
        <v>889</v>
      </c>
      <c r="U135" s="177" t="s">
        <v>53</v>
      </c>
      <c r="V135" s="177" t="s">
        <v>890</v>
      </c>
      <c r="W135" s="177" t="s">
        <v>50</v>
      </c>
      <c r="X135" s="177" t="s">
        <v>54</v>
      </c>
      <c r="Y135" s="236">
        <v>0.64583333333333337</v>
      </c>
      <c r="Z135" s="177" t="s">
        <v>137</v>
      </c>
      <c r="AA135" s="177" t="s">
        <v>867</v>
      </c>
      <c r="AB135" s="178">
        <v>15796</v>
      </c>
      <c r="AC135" s="202" t="s">
        <v>891</v>
      </c>
      <c r="AD135" s="177" t="s">
        <v>236</v>
      </c>
      <c r="AE135" s="177" t="s">
        <v>237</v>
      </c>
      <c r="AF135" s="177">
        <v>32</v>
      </c>
      <c r="AG135" s="177" t="s">
        <v>277</v>
      </c>
      <c r="AH135" s="177" t="s">
        <v>153</v>
      </c>
      <c r="AI135" s="177" t="s">
        <v>128</v>
      </c>
      <c r="AJ135" s="178" t="s">
        <v>116</v>
      </c>
      <c r="AK135" s="179" t="s">
        <v>892</v>
      </c>
      <c r="AL135" s="177" t="s">
        <v>64</v>
      </c>
      <c r="AM135" s="178" t="s">
        <v>65</v>
      </c>
      <c r="AN135" s="250" t="s">
        <v>65</v>
      </c>
      <c r="AO135" s="178" t="s">
        <v>83</v>
      </c>
      <c r="AP135" s="178" t="s">
        <v>284</v>
      </c>
    </row>
    <row r="136" spans="1:43" hidden="1" x14ac:dyDescent="0.25">
      <c r="A136" s="170">
        <v>2023</v>
      </c>
      <c r="B136" s="170" t="s">
        <v>832</v>
      </c>
      <c r="C136" s="170" t="s">
        <v>45</v>
      </c>
      <c r="D136" s="170" t="s">
        <v>893</v>
      </c>
      <c r="E136" s="170" t="s">
        <v>894</v>
      </c>
      <c r="F136" s="170" t="s">
        <v>71</v>
      </c>
      <c r="G136" s="177" t="s">
        <v>895</v>
      </c>
      <c r="H136" s="10">
        <v>44096</v>
      </c>
      <c r="I136" s="177">
        <f t="shared" si="4"/>
        <v>33</v>
      </c>
      <c r="J136" s="235">
        <v>45110</v>
      </c>
      <c r="K136" s="177" t="str">
        <f t="shared" si="5"/>
        <v>ANTIGUO</v>
      </c>
      <c r="L136" s="235" t="s">
        <v>50</v>
      </c>
      <c r="M136" s="9" t="s">
        <v>50</v>
      </c>
      <c r="N136" s="177" t="s">
        <v>50</v>
      </c>
      <c r="O136" s="177">
        <v>0</v>
      </c>
      <c r="P136" s="177" t="s">
        <v>51</v>
      </c>
      <c r="Q136" s="177" t="s">
        <v>50</v>
      </c>
      <c r="R136" s="178" t="s">
        <v>50</v>
      </c>
      <c r="S136" s="178" t="s">
        <v>173</v>
      </c>
      <c r="T136" s="177" t="s">
        <v>389</v>
      </c>
      <c r="U136" s="177" t="s">
        <v>53</v>
      </c>
      <c r="V136" s="177" t="s">
        <v>803</v>
      </c>
      <c r="W136" s="177" t="s">
        <v>50</v>
      </c>
      <c r="X136" s="177" t="s">
        <v>151</v>
      </c>
      <c r="Y136" s="236">
        <v>0.82291666666666663</v>
      </c>
      <c r="Z136" s="177" t="s">
        <v>137</v>
      </c>
      <c r="AA136" s="177" t="s">
        <v>882</v>
      </c>
      <c r="AB136" s="178"/>
      <c r="AC136" s="203"/>
      <c r="AD136" s="177" t="s">
        <v>390</v>
      </c>
      <c r="AE136" s="177" t="s">
        <v>896</v>
      </c>
      <c r="AF136" s="177">
        <v>54</v>
      </c>
      <c r="AG136" s="177" t="s">
        <v>59</v>
      </c>
      <c r="AH136" s="177" t="s">
        <v>450</v>
      </c>
      <c r="AI136" s="177" t="s">
        <v>61</v>
      </c>
      <c r="AJ136" s="178" t="s">
        <v>62</v>
      </c>
      <c r="AK136" s="179" t="s">
        <v>897</v>
      </c>
      <c r="AL136" s="177" t="s">
        <v>64</v>
      </c>
      <c r="AM136" s="178" t="s">
        <v>65</v>
      </c>
      <c r="AN136" s="250" t="s">
        <v>66</v>
      </c>
      <c r="AO136" s="178" t="s">
        <v>67</v>
      </c>
      <c r="AP136" s="178" t="s">
        <v>250</v>
      </c>
    </row>
    <row r="137" spans="1:43" ht="15" hidden="1" customHeight="1" x14ac:dyDescent="0.2">
      <c r="A137" s="170">
        <v>2023</v>
      </c>
      <c r="B137" s="170" t="s">
        <v>832</v>
      </c>
      <c r="C137" s="170" t="s">
        <v>45</v>
      </c>
      <c r="D137" s="170" t="s">
        <v>811</v>
      </c>
      <c r="E137" s="170" t="s">
        <v>812</v>
      </c>
      <c r="F137" s="170" t="s">
        <v>71</v>
      </c>
      <c r="G137" s="177" t="s">
        <v>813</v>
      </c>
      <c r="H137" s="289">
        <v>44697</v>
      </c>
      <c r="I137" s="177">
        <f t="shared" si="4"/>
        <v>13</v>
      </c>
      <c r="J137" s="235">
        <v>45110</v>
      </c>
      <c r="K137" s="177" t="str">
        <f t="shared" si="5"/>
        <v>INTERMEDIO</v>
      </c>
      <c r="L137" s="235" t="s">
        <v>50</v>
      </c>
      <c r="M137" s="235" t="s">
        <v>50</v>
      </c>
      <c r="N137" s="177" t="s">
        <v>50</v>
      </c>
      <c r="O137" s="177">
        <v>0</v>
      </c>
      <c r="P137" s="177" t="s">
        <v>51</v>
      </c>
      <c r="Q137" s="177" t="s">
        <v>50</v>
      </c>
      <c r="R137" s="178" t="s">
        <v>50</v>
      </c>
      <c r="S137" s="178" t="s">
        <v>173</v>
      </c>
      <c r="T137" s="177" t="s">
        <v>664</v>
      </c>
      <c r="U137" s="177" t="s">
        <v>53</v>
      </c>
      <c r="V137" s="177" t="s">
        <v>898</v>
      </c>
      <c r="W137" s="177" t="s">
        <v>50</v>
      </c>
      <c r="X137" s="177" t="s">
        <v>176</v>
      </c>
      <c r="Y137" s="236">
        <v>0.125</v>
      </c>
      <c r="Z137" s="177" t="s">
        <v>137</v>
      </c>
      <c r="AA137" s="177" t="s">
        <v>882</v>
      </c>
      <c r="AB137" s="178"/>
      <c r="AC137" s="203"/>
      <c r="AD137" s="177" t="s">
        <v>178</v>
      </c>
      <c r="AE137" s="177" t="s">
        <v>179</v>
      </c>
      <c r="AF137" s="177">
        <v>25</v>
      </c>
      <c r="AG137" s="177" t="s">
        <v>115</v>
      </c>
      <c r="AH137" s="177" t="s">
        <v>166</v>
      </c>
      <c r="AI137" s="177" t="s">
        <v>80</v>
      </c>
      <c r="AJ137" s="178" t="s">
        <v>180</v>
      </c>
      <c r="AK137" s="179" t="s">
        <v>899</v>
      </c>
      <c r="AL137" s="243" t="s">
        <v>118</v>
      </c>
      <c r="AM137" s="178" t="s">
        <v>65</v>
      </c>
      <c r="AN137" s="250" t="s">
        <v>66</v>
      </c>
      <c r="AO137" s="178" t="s">
        <v>83</v>
      </c>
      <c r="AP137" s="178" t="s">
        <v>103</v>
      </c>
    </row>
    <row r="138" spans="1:43" ht="15" hidden="1" customHeight="1" x14ac:dyDescent="0.25">
      <c r="A138" s="170">
        <v>2023</v>
      </c>
      <c r="B138" s="170" t="s">
        <v>832</v>
      </c>
      <c r="C138" s="170" t="s">
        <v>45</v>
      </c>
      <c r="D138" s="170" t="s">
        <v>900</v>
      </c>
      <c r="E138" s="170" t="s">
        <v>453</v>
      </c>
      <c r="F138" s="170" t="s">
        <v>48</v>
      </c>
      <c r="G138" s="177" t="s">
        <v>901</v>
      </c>
      <c r="H138" s="302">
        <v>44096</v>
      </c>
      <c r="I138" s="177">
        <f t="shared" si="4"/>
        <v>33</v>
      </c>
      <c r="J138" s="235">
        <v>45124</v>
      </c>
      <c r="K138" s="177" t="str">
        <f t="shared" si="5"/>
        <v>ANTIGUO</v>
      </c>
      <c r="L138" s="235" t="s">
        <v>50</v>
      </c>
      <c r="M138" s="177" t="s">
        <v>50</v>
      </c>
      <c r="N138" s="177" t="s">
        <v>50</v>
      </c>
      <c r="O138" s="177">
        <v>0</v>
      </c>
      <c r="P138" s="177" t="s">
        <v>51</v>
      </c>
      <c r="Q138" s="177" t="s">
        <v>50</v>
      </c>
      <c r="R138" s="178" t="s">
        <v>50</v>
      </c>
      <c r="S138" s="178" t="s">
        <v>173</v>
      </c>
      <c r="T138" s="6" t="s">
        <v>389</v>
      </c>
      <c r="U138" s="177" t="s">
        <v>53</v>
      </c>
      <c r="V138" s="177" t="s">
        <v>902</v>
      </c>
      <c r="W138" s="177" t="s">
        <v>50</v>
      </c>
      <c r="X138" s="177" t="s">
        <v>54</v>
      </c>
      <c r="Y138" s="236">
        <v>0.36458333333333331</v>
      </c>
      <c r="Z138" s="177" t="s">
        <v>137</v>
      </c>
      <c r="AA138" s="177" t="s">
        <v>837</v>
      </c>
      <c r="AB138" s="178"/>
      <c r="AC138" s="203"/>
      <c r="AD138" s="177" t="s">
        <v>178</v>
      </c>
      <c r="AE138" s="177" t="s">
        <v>903</v>
      </c>
      <c r="AF138" s="177">
        <v>55</v>
      </c>
      <c r="AG138" s="177" t="s">
        <v>61</v>
      </c>
      <c r="AH138" s="177" t="s">
        <v>60</v>
      </c>
      <c r="AI138" s="177" t="s">
        <v>302</v>
      </c>
      <c r="AJ138" s="178" t="s">
        <v>329</v>
      </c>
      <c r="AK138" s="238" t="s">
        <v>904</v>
      </c>
      <c r="AL138" s="177" t="s">
        <v>64</v>
      </c>
      <c r="AM138" s="239" t="s">
        <v>66</v>
      </c>
      <c r="AN138" s="250" t="s">
        <v>66</v>
      </c>
      <c r="AO138" s="178" t="s">
        <v>67</v>
      </c>
      <c r="AP138" s="178" t="s">
        <v>103</v>
      </c>
    </row>
    <row r="139" spans="1:43" ht="15" hidden="1" customHeight="1" x14ac:dyDescent="0.25">
      <c r="A139" s="170">
        <v>2023</v>
      </c>
      <c r="B139" s="170" t="s">
        <v>832</v>
      </c>
      <c r="C139" s="170" t="s">
        <v>45</v>
      </c>
      <c r="D139" s="170" t="s">
        <v>905</v>
      </c>
      <c r="E139" s="170" t="s">
        <v>906</v>
      </c>
      <c r="F139" s="170" t="s">
        <v>48</v>
      </c>
      <c r="G139" s="177" t="s">
        <v>907</v>
      </c>
      <c r="H139" s="10">
        <v>44627</v>
      </c>
      <c r="I139" s="177">
        <f t="shared" si="4"/>
        <v>16</v>
      </c>
      <c r="J139" s="235">
        <v>45134</v>
      </c>
      <c r="K139" s="177" t="str">
        <f t="shared" si="5"/>
        <v>INTERMEDIO</v>
      </c>
      <c r="L139" s="235" t="s">
        <v>50</v>
      </c>
      <c r="M139" s="177" t="s">
        <v>50</v>
      </c>
      <c r="N139" s="177" t="s">
        <v>50</v>
      </c>
      <c r="O139" s="177">
        <v>0</v>
      </c>
      <c r="P139" s="177" t="s">
        <v>51</v>
      </c>
      <c r="Q139" s="177" t="s">
        <v>50</v>
      </c>
      <c r="R139" s="178" t="s">
        <v>50</v>
      </c>
      <c r="S139" s="178" t="s">
        <v>160</v>
      </c>
      <c r="T139" s="177" t="s">
        <v>191</v>
      </c>
      <c r="U139" s="177" t="s">
        <v>53</v>
      </c>
      <c r="V139" s="177" t="s">
        <v>908</v>
      </c>
      <c r="W139" s="177" t="s">
        <v>50</v>
      </c>
      <c r="X139" s="177" t="s">
        <v>151</v>
      </c>
      <c r="Y139" s="236">
        <v>0.60763888888888895</v>
      </c>
      <c r="Z139" s="177" t="s">
        <v>76</v>
      </c>
      <c r="AA139" s="177" t="s">
        <v>855</v>
      </c>
      <c r="AB139" s="178"/>
      <c r="AC139" s="203"/>
      <c r="AD139" s="177" t="s">
        <v>164</v>
      </c>
      <c r="AE139" s="177" t="s">
        <v>215</v>
      </c>
      <c r="AF139" s="177">
        <v>41</v>
      </c>
      <c r="AG139" s="177" t="s">
        <v>79</v>
      </c>
      <c r="AH139" s="177" t="s">
        <v>450</v>
      </c>
      <c r="AI139" s="177" t="s">
        <v>80</v>
      </c>
      <c r="AJ139" s="178" t="s">
        <v>180</v>
      </c>
      <c r="AK139" s="238" t="s">
        <v>909</v>
      </c>
      <c r="AL139" s="178" t="s">
        <v>118</v>
      </c>
      <c r="AM139" s="239" t="s">
        <v>66</v>
      </c>
      <c r="AN139" s="250" t="s">
        <v>66</v>
      </c>
      <c r="AO139" s="178" t="s">
        <v>67</v>
      </c>
      <c r="AP139" s="178" t="s">
        <v>250</v>
      </c>
    </row>
    <row r="140" spans="1:43" hidden="1" x14ac:dyDescent="0.25">
      <c r="A140" s="170">
        <v>2023</v>
      </c>
      <c r="B140" s="170" t="s">
        <v>832</v>
      </c>
      <c r="C140" s="170" t="s">
        <v>45</v>
      </c>
      <c r="D140" s="170" t="s">
        <v>910</v>
      </c>
      <c r="E140" s="170" t="s">
        <v>911</v>
      </c>
      <c r="F140" s="170" t="s">
        <v>48</v>
      </c>
      <c r="G140" s="177" t="s">
        <v>912</v>
      </c>
      <c r="H140" s="10">
        <v>44440</v>
      </c>
      <c r="I140" s="177">
        <f t="shared" si="4"/>
        <v>22</v>
      </c>
      <c r="J140" s="235">
        <v>45111</v>
      </c>
      <c r="K140" s="177" t="str">
        <f t="shared" si="5"/>
        <v>ANTIGUO</v>
      </c>
      <c r="L140" s="235" t="s">
        <v>50</v>
      </c>
      <c r="M140" s="177" t="s">
        <v>50</v>
      </c>
      <c r="N140" s="177" t="s">
        <v>50</v>
      </c>
      <c r="O140" s="177">
        <v>0</v>
      </c>
      <c r="P140" s="177" t="s">
        <v>51</v>
      </c>
      <c r="Q140" s="177" t="s">
        <v>50</v>
      </c>
      <c r="R140" s="178" t="s">
        <v>50</v>
      </c>
      <c r="S140" s="178" t="s">
        <v>73</v>
      </c>
      <c r="T140" s="177" t="s">
        <v>74</v>
      </c>
      <c r="U140" s="177" t="s">
        <v>53</v>
      </c>
      <c r="V140" s="177" t="s">
        <v>74</v>
      </c>
      <c r="W140" s="177" t="s">
        <v>50</v>
      </c>
      <c r="X140" s="177" t="s">
        <v>54</v>
      </c>
      <c r="Y140" s="236">
        <v>0.51388888888888895</v>
      </c>
      <c r="Z140" s="177" t="s">
        <v>125</v>
      </c>
      <c r="AA140" s="177" t="s">
        <v>882</v>
      </c>
      <c r="AB140" s="178"/>
      <c r="AC140" s="203"/>
      <c r="AD140" s="177" t="s">
        <v>77</v>
      </c>
      <c r="AE140" s="177" t="s">
        <v>78</v>
      </c>
      <c r="AF140" s="177">
        <v>43</v>
      </c>
      <c r="AG140" s="177" t="s">
        <v>475</v>
      </c>
      <c r="AH140" s="177" t="s">
        <v>127</v>
      </c>
      <c r="AI140" s="177" t="s">
        <v>128</v>
      </c>
      <c r="AJ140" s="178" t="s">
        <v>129</v>
      </c>
      <c r="AK140" s="238" t="s">
        <v>913</v>
      </c>
      <c r="AL140" s="348" t="s">
        <v>64</v>
      </c>
      <c r="AM140" s="239" t="s">
        <v>65</v>
      </c>
      <c r="AN140" s="250" t="s">
        <v>66</v>
      </c>
      <c r="AO140" s="178" t="s">
        <v>83</v>
      </c>
      <c r="AP140" s="178" t="s">
        <v>240</v>
      </c>
    </row>
    <row r="141" spans="1:43" ht="15" hidden="1" customHeight="1" x14ac:dyDescent="0.25">
      <c r="A141" s="170">
        <v>2023</v>
      </c>
      <c r="B141" s="170" t="s">
        <v>832</v>
      </c>
      <c r="C141" s="170" t="s">
        <v>45</v>
      </c>
      <c r="D141" s="170" t="s">
        <v>914</v>
      </c>
      <c r="E141" s="170" t="s">
        <v>221</v>
      </c>
      <c r="F141" s="170" t="s">
        <v>48</v>
      </c>
      <c r="G141" s="9" t="s">
        <v>915</v>
      </c>
      <c r="H141" s="10">
        <v>44754</v>
      </c>
      <c r="I141" s="177">
        <f t="shared" si="4"/>
        <v>12</v>
      </c>
      <c r="J141" s="235">
        <v>45126</v>
      </c>
      <c r="K141" s="177" t="str">
        <f t="shared" si="5"/>
        <v>INTERMEDIO</v>
      </c>
      <c r="L141" s="235">
        <v>45126</v>
      </c>
      <c r="M141" s="235">
        <v>45128</v>
      </c>
      <c r="N141" s="177" t="s">
        <v>50</v>
      </c>
      <c r="O141" s="314">
        <v>3</v>
      </c>
      <c r="P141" s="177" t="s">
        <v>88</v>
      </c>
      <c r="Q141" s="177" t="s">
        <v>50</v>
      </c>
      <c r="R141" s="178" t="s">
        <v>50</v>
      </c>
      <c r="S141" s="178" t="s">
        <v>160</v>
      </c>
      <c r="T141" s="177" t="s">
        <v>191</v>
      </c>
      <c r="U141" s="177" t="s">
        <v>53</v>
      </c>
      <c r="V141" s="177" t="s">
        <v>916</v>
      </c>
      <c r="W141" s="177" t="s">
        <v>267</v>
      </c>
      <c r="X141" s="177" t="s">
        <v>54</v>
      </c>
      <c r="Y141" s="236">
        <v>0.39583333333333331</v>
      </c>
      <c r="Z141" s="177" t="s">
        <v>55</v>
      </c>
      <c r="AA141" s="177" t="s">
        <v>837</v>
      </c>
      <c r="AB141" s="178">
        <v>15808</v>
      </c>
      <c r="AC141" s="202" t="s">
        <v>917</v>
      </c>
      <c r="AD141" s="177" t="s">
        <v>164</v>
      </c>
      <c r="AE141" s="177" t="s">
        <v>215</v>
      </c>
      <c r="AF141" s="177">
        <v>40</v>
      </c>
      <c r="AG141" s="177" t="s">
        <v>271</v>
      </c>
      <c r="AH141" s="177" t="s">
        <v>153</v>
      </c>
      <c r="AI141" s="177" t="s">
        <v>80</v>
      </c>
      <c r="AJ141" s="178" t="s">
        <v>129</v>
      </c>
      <c r="AK141" s="179" t="s">
        <v>918</v>
      </c>
      <c r="AL141" s="237" t="s">
        <v>118</v>
      </c>
      <c r="AM141" s="178" t="s">
        <v>65</v>
      </c>
      <c r="AN141" s="250" t="s">
        <v>65</v>
      </c>
      <c r="AO141" s="178" t="s">
        <v>83</v>
      </c>
      <c r="AP141" s="178" t="s">
        <v>250</v>
      </c>
    </row>
    <row r="142" spans="1:43" x14ac:dyDescent="0.25">
      <c r="A142" s="177">
        <v>2023</v>
      </c>
      <c r="B142" s="177" t="s">
        <v>919</v>
      </c>
      <c r="C142" s="177" t="s">
        <v>45</v>
      </c>
      <c r="D142" s="177" t="s">
        <v>920</v>
      </c>
      <c r="E142" s="177" t="s">
        <v>921</v>
      </c>
      <c r="F142" s="177" t="s">
        <v>71</v>
      </c>
      <c r="G142" s="177" t="s">
        <v>922</v>
      </c>
      <c r="H142" s="10">
        <v>42275</v>
      </c>
      <c r="I142" s="177">
        <f t="shared" si="4"/>
        <v>94</v>
      </c>
      <c r="J142" s="235">
        <v>45149</v>
      </c>
      <c r="K142" s="177" t="str">
        <f t="shared" si="5"/>
        <v>ANTIGUO</v>
      </c>
      <c r="L142" s="235">
        <v>45149</v>
      </c>
      <c r="M142" s="235">
        <v>45149</v>
      </c>
      <c r="N142" s="177" t="s">
        <v>50</v>
      </c>
      <c r="O142" s="177">
        <v>0</v>
      </c>
      <c r="P142" s="177" t="s">
        <v>51</v>
      </c>
      <c r="Q142" s="177" t="s">
        <v>50</v>
      </c>
      <c r="R142" s="178" t="s">
        <v>50</v>
      </c>
      <c r="S142" s="178" t="s">
        <v>160</v>
      </c>
      <c r="T142" s="177" t="s">
        <v>191</v>
      </c>
      <c r="U142" s="177" t="s">
        <v>53</v>
      </c>
      <c r="V142" s="177" t="s">
        <v>923</v>
      </c>
      <c r="W142" s="177" t="s">
        <v>923</v>
      </c>
      <c r="X142" s="177" t="s">
        <v>54</v>
      </c>
      <c r="Y142" s="236">
        <v>930</v>
      </c>
      <c r="Z142" s="177" t="s">
        <v>111</v>
      </c>
      <c r="AA142" s="177" t="s">
        <v>924</v>
      </c>
      <c r="AB142" s="178">
        <v>15857</v>
      </c>
      <c r="AC142" s="202" t="s">
        <v>925</v>
      </c>
      <c r="AD142" s="177" t="s">
        <v>164</v>
      </c>
      <c r="AE142" s="177" t="s">
        <v>578</v>
      </c>
      <c r="AF142" s="177">
        <v>35</v>
      </c>
      <c r="AG142" s="177" t="s">
        <v>99</v>
      </c>
      <c r="AH142" s="177" t="s">
        <v>60</v>
      </c>
      <c r="AI142" s="177" t="s">
        <v>128</v>
      </c>
      <c r="AJ142" s="178" t="s">
        <v>293</v>
      </c>
      <c r="AK142" s="238" t="s">
        <v>926</v>
      </c>
      <c r="AL142" s="178" t="s">
        <v>118</v>
      </c>
      <c r="AM142" s="239" t="s">
        <v>927</v>
      </c>
      <c r="AN142" s="250" t="s">
        <v>65</v>
      </c>
      <c r="AO142" s="178" t="s">
        <v>83</v>
      </c>
      <c r="AP142" s="178" t="s">
        <v>284</v>
      </c>
    </row>
    <row r="143" spans="1:43" s="29" customFormat="1" hidden="1" x14ac:dyDescent="0.25">
      <c r="A143" s="177">
        <v>2023</v>
      </c>
      <c r="B143" s="177" t="s">
        <v>919</v>
      </c>
      <c r="C143" s="177" t="s">
        <v>45</v>
      </c>
      <c r="D143" s="177" t="s">
        <v>928</v>
      </c>
      <c r="E143" s="177" t="s">
        <v>929</v>
      </c>
      <c r="F143" s="177" t="s">
        <v>71</v>
      </c>
      <c r="G143" s="243" t="s">
        <v>930</v>
      </c>
      <c r="H143" s="10">
        <v>41493</v>
      </c>
      <c r="I143" s="177">
        <f t="shared" si="4"/>
        <v>120</v>
      </c>
      <c r="J143" s="235">
        <v>45156</v>
      </c>
      <c r="K143" s="177" t="str">
        <f t="shared" si="5"/>
        <v>ANTIGUO</v>
      </c>
      <c r="L143" s="177" t="s">
        <v>50</v>
      </c>
      <c r="M143" s="177" t="s">
        <v>50</v>
      </c>
      <c r="N143" s="177" t="s">
        <v>50</v>
      </c>
      <c r="O143" s="177">
        <v>0</v>
      </c>
      <c r="P143" s="177" t="s">
        <v>51</v>
      </c>
      <c r="Q143" s="177" t="s">
        <v>50</v>
      </c>
      <c r="R143" s="178" t="s">
        <v>50</v>
      </c>
      <c r="S143" s="178" t="s">
        <v>160</v>
      </c>
      <c r="T143" s="177" t="s">
        <v>161</v>
      </c>
      <c r="U143" s="177" t="s">
        <v>53</v>
      </c>
      <c r="V143" s="177" t="s">
        <v>160</v>
      </c>
      <c r="W143" s="177" t="s">
        <v>50</v>
      </c>
      <c r="X143" s="177" t="s">
        <v>54</v>
      </c>
      <c r="Y143" s="236">
        <v>0.48958333333333331</v>
      </c>
      <c r="Z143" s="177" t="s">
        <v>111</v>
      </c>
      <c r="AA143" s="177" t="s">
        <v>931</v>
      </c>
      <c r="AB143" s="178"/>
      <c r="AC143" s="203"/>
      <c r="AD143" s="177" t="s">
        <v>164</v>
      </c>
      <c r="AE143" s="177" t="s">
        <v>485</v>
      </c>
      <c r="AF143" s="177">
        <v>43</v>
      </c>
      <c r="AG143" s="177" t="s">
        <v>216</v>
      </c>
      <c r="AH143" s="177" t="s">
        <v>60</v>
      </c>
      <c r="AI143" s="177" t="s">
        <v>100</v>
      </c>
      <c r="AJ143" s="178" t="s">
        <v>129</v>
      </c>
      <c r="AK143" s="238" t="s">
        <v>932</v>
      </c>
      <c r="AL143" s="252" t="s">
        <v>64</v>
      </c>
      <c r="AM143" s="239" t="s">
        <v>65</v>
      </c>
      <c r="AN143" s="250" t="s">
        <v>66</v>
      </c>
      <c r="AO143" s="178" t="s">
        <v>218</v>
      </c>
      <c r="AP143" s="178" t="s">
        <v>103</v>
      </c>
      <c r="AQ143" s="165"/>
    </row>
    <row r="144" spans="1:43" ht="15" hidden="1" customHeight="1" x14ac:dyDescent="0.25">
      <c r="A144" s="178">
        <v>2023</v>
      </c>
      <c r="B144" s="178" t="s">
        <v>919</v>
      </c>
      <c r="C144" s="178" t="s">
        <v>45</v>
      </c>
      <c r="D144" s="177" t="s">
        <v>933</v>
      </c>
      <c r="E144" s="177" t="s">
        <v>286</v>
      </c>
      <c r="F144" s="177" t="s">
        <v>48</v>
      </c>
      <c r="G144" s="177" t="s">
        <v>934</v>
      </c>
      <c r="H144" s="10">
        <v>43234</v>
      </c>
      <c r="I144" s="177">
        <f t="shared" si="4"/>
        <v>63</v>
      </c>
      <c r="J144" s="235">
        <v>45162</v>
      </c>
      <c r="K144" s="177" t="str">
        <f t="shared" si="5"/>
        <v>ANTIGUO</v>
      </c>
      <c r="L144" s="177" t="s">
        <v>50</v>
      </c>
      <c r="M144" s="177" t="s">
        <v>50</v>
      </c>
      <c r="N144" s="177" t="s">
        <v>50</v>
      </c>
      <c r="O144" s="177">
        <v>0</v>
      </c>
      <c r="P144" s="177" t="s">
        <v>51</v>
      </c>
      <c r="Q144" s="177" t="s">
        <v>50</v>
      </c>
      <c r="R144" s="178" t="s">
        <v>50</v>
      </c>
      <c r="S144" s="177" t="s">
        <v>160</v>
      </c>
      <c r="T144" s="177" t="s">
        <v>161</v>
      </c>
      <c r="U144" s="177" t="s">
        <v>53</v>
      </c>
      <c r="V144" s="177" t="s">
        <v>499</v>
      </c>
      <c r="W144" s="177" t="s">
        <v>267</v>
      </c>
      <c r="X144" s="177" t="s">
        <v>151</v>
      </c>
      <c r="Y144" s="236">
        <v>0.96875</v>
      </c>
      <c r="Z144" s="177" t="s">
        <v>76</v>
      </c>
      <c r="AA144" s="177" t="s">
        <v>935</v>
      </c>
      <c r="AB144" s="178"/>
      <c r="AC144" s="203"/>
      <c r="AD144" s="177" t="s">
        <v>164</v>
      </c>
      <c r="AE144" s="177" t="s">
        <v>485</v>
      </c>
      <c r="AF144" s="177">
        <v>36</v>
      </c>
      <c r="AG144" s="177" t="s">
        <v>271</v>
      </c>
      <c r="AH144" s="177" t="s">
        <v>60</v>
      </c>
      <c r="AI144" s="177" t="s">
        <v>80</v>
      </c>
      <c r="AJ144" s="177" t="s">
        <v>154</v>
      </c>
      <c r="AK144" s="238" t="s">
        <v>936</v>
      </c>
      <c r="AL144" s="178" t="s">
        <v>64</v>
      </c>
      <c r="AM144" s="239" t="s">
        <v>65</v>
      </c>
      <c r="AN144" s="250" t="s">
        <v>66</v>
      </c>
      <c r="AO144" s="178" t="s">
        <v>83</v>
      </c>
      <c r="AP144" s="178" t="s">
        <v>250</v>
      </c>
    </row>
    <row r="145" spans="1:43" ht="15" hidden="1" customHeight="1" x14ac:dyDescent="0.25">
      <c r="A145" s="177">
        <v>2023</v>
      </c>
      <c r="B145" s="177" t="s">
        <v>919</v>
      </c>
      <c r="C145" s="177" t="s">
        <v>45</v>
      </c>
      <c r="D145" s="177" t="s">
        <v>775</v>
      </c>
      <c r="E145" s="177" t="s">
        <v>937</v>
      </c>
      <c r="F145" s="177" t="s">
        <v>71</v>
      </c>
      <c r="G145" s="177" t="s">
        <v>777</v>
      </c>
      <c r="H145" s="10">
        <v>43906</v>
      </c>
      <c r="I145" s="177">
        <f t="shared" si="4"/>
        <v>41</v>
      </c>
      <c r="J145" s="235">
        <v>45163</v>
      </c>
      <c r="K145" s="177" t="str">
        <f t="shared" si="5"/>
        <v>ANTIGUO</v>
      </c>
      <c r="L145" s="177" t="s">
        <v>50</v>
      </c>
      <c r="M145" s="177" t="s">
        <v>50</v>
      </c>
      <c r="N145" s="177" t="s">
        <v>50</v>
      </c>
      <c r="O145" s="177">
        <v>0</v>
      </c>
      <c r="P145" s="177" t="s">
        <v>51</v>
      </c>
      <c r="Q145" s="177" t="s">
        <v>50</v>
      </c>
      <c r="R145" s="178" t="s">
        <v>50</v>
      </c>
      <c r="S145" s="177" t="s">
        <v>160</v>
      </c>
      <c r="T145" s="177" t="s">
        <v>191</v>
      </c>
      <c r="U145" s="177" t="s">
        <v>53</v>
      </c>
      <c r="V145" s="177" t="s">
        <v>938</v>
      </c>
      <c r="W145" s="177" t="s">
        <v>50</v>
      </c>
      <c r="X145" s="177" t="s">
        <v>54</v>
      </c>
      <c r="Y145" s="236">
        <v>0.44791666666666669</v>
      </c>
      <c r="Z145" s="177" t="s">
        <v>111</v>
      </c>
      <c r="AA145" s="178" t="s">
        <v>935</v>
      </c>
      <c r="AB145" s="178"/>
      <c r="AC145" s="203"/>
      <c r="AD145" s="177" t="s">
        <v>164</v>
      </c>
      <c r="AE145" s="177" t="s">
        <v>578</v>
      </c>
      <c r="AF145" s="177">
        <v>32</v>
      </c>
      <c r="AG145" s="177" t="s">
        <v>79</v>
      </c>
      <c r="AH145" s="177" t="s">
        <v>166</v>
      </c>
      <c r="AI145" s="177" t="s">
        <v>80</v>
      </c>
      <c r="AJ145" s="177" t="s">
        <v>81</v>
      </c>
      <c r="AK145" s="238" t="s">
        <v>939</v>
      </c>
      <c r="AL145" s="178" t="s">
        <v>64</v>
      </c>
      <c r="AM145" s="239" t="s">
        <v>65</v>
      </c>
      <c r="AN145" s="250" t="s">
        <v>66</v>
      </c>
      <c r="AO145" s="178" t="s">
        <v>83</v>
      </c>
      <c r="AP145" s="178" t="s">
        <v>240</v>
      </c>
    </row>
    <row r="146" spans="1:43" ht="15" hidden="1" customHeight="1" x14ac:dyDescent="0.25">
      <c r="A146" s="170">
        <v>2023</v>
      </c>
      <c r="B146" s="170" t="s">
        <v>919</v>
      </c>
      <c r="C146" s="170" t="s">
        <v>45</v>
      </c>
      <c r="D146" s="170" t="s">
        <v>940</v>
      </c>
      <c r="E146" s="170" t="s">
        <v>941</v>
      </c>
      <c r="F146" s="170" t="s">
        <v>71</v>
      </c>
      <c r="G146" s="177" t="s">
        <v>942</v>
      </c>
      <c r="H146" s="10">
        <v>44599</v>
      </c>
      <c r="I146" s="177">
        <f t="shared" si="4"/>
        <v>17</v>
      </c>
      <c r="J146" s="235">
        <v>45139</v>
      </c>
      <c r="K146" s="177" t="str">
        <f t="shared" si="5"/>
        <v>INTERMEDIO</v>
      </c>
      <c r="L146" s="235" t="s">
        <v>50</v>
      </c>
      <c r="M146" s="177" t="s">
        <v>50</v>
      </c>
      <c r="N146" s="177" t="s">
        <v>50</v>
      </c>
      <c r="O146" s="177">
        <v>0</v>
      </c>
      <c r="P146" s="177" t="s">
        <v>51</v>
      </c>
      <c r="Q146" s="177" t="s">
        <v>50</v>
      </c>
      <c r="R146" s="178" t="s">
        <v>50</v>
      </c>
      <c r="S146" s="178" t="s">
        <v>134</v>
      </c>
      <c r="T146" s="177" t="s">
        <v>729</v>
      </c>
      <c r="U146" s="177" t="s">
        <v>53</v>
      </c>
      <c r="V146" s="177" t="s">
        <v>943</v>
      </c>
      <c r="W146" s="177" t="s">
        <v>50</v>
      </c>
      <c r="X146" s="177" t="s">
        <v>151</v>
      </c>
      <c r="Y146" s="236">
        <v>0.67013888888888884</v>
      </c>
      <c r="Z146" s="177" t="s">
        <v>125</v>
      </c>
      <c r="AA146" s="177" t="s">
        <v>944</v>
      </c>
      <c r="AB146" s="178"/>
      <c r="AC146" s="203"/>
      <c r="AD146" s="177" t="s">
        <v>140</v>
      </c>
      <c r="AE146" s="177" t="s">
        <v>344</v>
      </c>
      <c r="AF146" s="177">
        <v>36</v>
      </c>
      <c r="AG146" s="177" t="s">
        <v>142</v>
      </c>
      <c r="AH146" s="177" t="s">
        <v>256</v>
      </c>
      <c r="AI146" s="177" t="s">
        <v>61</v>
      </c>
      <c r="AJ146" s="178" t="s">
        <v>61</v>
      </c>
      <c r="AK146" s="179" t="s">
        <v>945</v>
      </c>
      <c r="AL146" s="178" t="s">
        <v>118</v>
      </c>
      <c r="AM146" s="178" t="s">
        <v>65</v>
      </c>
      <c r="AN146" s="250" t="s">
        <v>66</v>
      </c>
      <c r="AO146" s="178" t="s">
        <v>67</v>
      </c>
      <c r="AP146" s="178" t="s">
        <v>240</v>
      </c>
      <c r="AQ146" s="29"/>
    </row>
    <row r="147" spans="1:43" hidden="1" x14ac:dyDescent="0.25">
      <c r="A147" s="177">
        <v>2023</v>
      </c>
      <c r="B147" s="177" t="s">
        <v>919</v>
      </c>
      <c r="C147" s="177" t="s">
        <v>45</v>
      </c>
      <c r="D147" s="177" t="s">
        <v>946</v>
      </c>
      <c r="E147" s="177" t="s">
        <v>947</v>
      </c>
      <c r="F147" s="177" t="s">
        <v>71</v>
      </c>
      <c r="G147" s="177" t="s">
        <v>948</v>
      </c>
      <c r="H147" s="10">
        <v>45078</v>
      </c>
      <c r="I147" s="177">
        <f t="shared" si="4"/>
        <v>2</v>
      </c>
      <c r="J147" s="235">
        <v>45167</v>
      </c>
      <c r="K147" s="177" t="str">
        <f t="shared" si="5"/>
        <v>NUEVO</v>
      </c>
      <c r="L147" s="235" t="s">
        <v>50</v>
      </c>
      <c r="M147" s="235" t="s">
        <v>50</v>
      </c>
      <c r="N147" s="177" t="s">
        <v>50</v>
      </c>
      <c r="O147" s="177">
        <v>0</v>
      </c>
      <c r="P147" s="177" t="s">
        <v>51</v>
      </c>
      <c r="Q147" s="177" t="s">
        <v>89</v>
      </c>
      <c r="R147" s="178" t="s">
        <v>721</v>
      </c>
      <c r="S147" s="177" t="s">
        <v>73</v>
      </c>
      <c r="T147" s="177" t="s">
        <v>74</v>
      </c>
      <c r="U147" s="177" t="s">
        <v>53</v>
      </c>
      <c r="V147" s="177" t="s">
        <v>949</v>
      </c>
      <c r="W147" s="177" t="s">
        <v>950</v>
      </c>
      <c r="X147" s="177" t="s">
        <v>951</v>
      </c>
      <c r="Y147" s="236">
        <v>0.75694444444444453</v>
      </c>
      <c r="Z147" s="177" t="s">
        <v>125</v>
      </c>
      <c r="AA147" s="178" t="s">
        <v>952</v>
      </c>
      <c r="AB147" s="178"/>
      <c r="AC147" s="203"/>
      <c r="AD147" s="177" t="s">
        <v>236</v>
      </c>
      <c r="AE147" s="177" t="s">
        <v>323</v>
      </c>
      <c r="AF147" s="177">
        <v>57</v>
      </c>
      <c r="AG147" s="177" t="s">
        <v>99</v>
      </c>
      <c r="AH147" s="177" t="s">
        <v>60</v>
      </c>
      <c r="AI147" s="177" t="s">
        <v>302</v>
      </c>
      <c r="AJ147" s="177" t="s">
        <v>329</v>
      </c>
      <c r="AK147" s="179" t="s">
        <v>953</v>
      </c>
      <c r="AL147" s="178" t="s">
        <v>64</v>
      </c>
      <c r="AM147" s="178" t="s">
        <v>65</v>
      </c>
      <c r="AN147" s="250" t="s">
        <v>66</v>
      </c>
      <c r="AO147" s="178" t="s">
        <v>954</v>
      </c>
      <c r="AP147" s="178" t="s">
        <v>240</v>
      </c>
    </row>
    <row r="148" spans="1:43" ht="13.5" hidden="1" customHeight="1" x14ac:dyDescent="0.25">
      <c r="A148" s="177">
        <v>2023</v>
      </c>
      <c r="B148" s="177" t="s">
        <v>919</v>
      </c>
      <c r="C148" s="177" t="s">
        <v>45</v>
      </c>
      <c r="D148" s="177" t="s">
        <v>955</v>
      </c>
      <c r="E148" s="177" t="s">
        <v>754</v>
      </c>
      <c r="F148" s="177" t="s">
        <v>48</v>
      </c>
      <c r="G148" s="9" t="s">
        <v>956</v>
      </c>
      <c r="H148" s="10">
        <v>45124</v>
      </c>
      <c r="I148" s="177">
        <f t="shared" si="4"/>
        <v>1</v>
      </c>
      <c r="J148" s="235">
        <v>45168</v>
      </c>
      <c r="K148" s="177" t="str">
        <f t="shared" si="5"/>
        <v>NUEVO</v>
      </c>
      <c r="L148" s="177" t="s">
        <v>50</v>
      </c>
      <c r="M148" s="177" t="s">
        <v>50</v>
      </c>
      <c r="N148" s="177" t="s">
        <v>50</v>
      </c>
      <c r="O148" s="177">
        <v>0</v>
      </c>
      <c r="P148" s="177" t="s">
        <v>51</v>
      </c>
      <c r="Q148" s="177" t="s">
        <v>50</v>
      </c>
      <c r="R148" s="178" t="s">
        <v>50</v>
      </c>
      <c r="S148" s="177" t="s">
        <v>160</v>
      </c>
      <c r="T148" s="177" t="s">
        <v>191</v>
      </c>
      <c r="U148" s="177" t="s">
        <v>53</v>
      </c>
      <c r="V148" s="177" t="s">
        <v>957</v>
      </c>
      <c r="W148" s="177" t="s">
        <v>50</v>
      </c>
      <c r="X148" s="177" t="s">
        <v>151</v>
      </c>
      <c r="Y148" s="236">
        <v>0.78125</v>
      </c>
      <c r="Z148" s="177" t="s">
        <v>55</v>
      </c>
      <c r="AA148" s="178" t="s">
        <v>952</v>
      </c>
      <c r="AB148" s="178"/>
      <c r="AC148" s="203"/>
      <c r="AD148" s="177" t="s">
        <v>164</v>
      </c>
      <c r="AE148" s="177" t="s">
        <v>958</v>
      </c>
      <c r="AF148" s="177">
        <v>26</v>
      </c>
      <c r="AG148" s="177" t="s">
        <v>79</v>
      </c>
      <c r="AH148" s="177" t="s">
        <v>60</v>
      </c>
      <c r="AI148" s="177" t="s">
        <v>80</v>
      </c>
      <c r="AJ148" s="177" t="s">
        <v>81</v>
      </c>
      <c r="AK148" s="179" t="s">
        <v>959</v>
      </c>
      <c r="AL148" s="178" t="s">
        <v>64</v>
      </c>
      <c r="AM148" s="178" t="s">
        <v>66</v>
      </c>
      <c r="AN148" s="178" t="s">
        <v>66</v>
      </c>
      <c r="AO148" s="178" t="s">
        <v>67</v>
      </c>
      <c r="AP148" s="178" t="s">
        <v>103</v>
      </c>
    </row>
    <row r="149" spans="1:43" ht="15" hidden="1" customHeight="1" x14ac:dyDescent="0.25">
      <c r="A149" s="177">
        <v>2023</v>
      </c>
      <c r="B149" s="177" t="s">
        <v>919</v>
      </c>
      <c r="C149" s="177" t="s">
        <v>45</v>
      </c>
      <c r="D149" s="177" t="s">
        <v>960</v>
      </c>
      <c r="E149" s="170" t="s">
        <v>478</v>
      </c>
      <c r="F149" s="177" t="s">
        <v>48</v>
      </c>
      <c r="G149" s="177" t="s">
        <v>961</v>
      </c>
      <c r="H149" s="10">
        <v>36386</v>
      </c>
      <c r="I149" s="177">
        <f t="shared" si="4"/>
        <v>287</v>
      </c>
      <c r="J149" s="10">
        <v>45147</v>
      </c>
      <c r="K149" s="177" t="str">
        <f t="shared" si="5"/>
        <v>ANTIGUO</v>
      </c>
      <c r="L149" s="235">
        <v>45148</v>
      </c>
      <c r="M149" s="235">
        <v>45149</v>
      </c>
      <c r="N149" s="177" t="s">
        <v>50</v>
      </c>
      <c r="O149" s="314">
        <v>1</v>
      </c>
      <c r="P149" s="177" t="s">
        <v>88</v>
      </c>
      <c r="Q149" s="177" t="s">
        <v>50</v>
      </c>
      <c r="R149" s="178" t="s">
        <v>50</v>
      </c>
      <c r="S149" s="178" t="s">
        <v>134</v>
      </c>
      <c r="T149" s="177" t="s">
        <v>729</v>
      </c>
      <c r="U149" s="9" t="s">
        <v>541</v>
      </c>
      <c r="V149" s="177" t="s">
        <v>962</v>
      </c>
      <c r="W149" s="177" t="s">
        <v>50</v>
      </c>
      <c r="X149" s="177" t="s">
        <v>54</v>
      </c>
      <c r="Y149" s="236">
        <v>0.43055555555555558</v>
      </c>
      <c r="Z149" s="177" t="s">
        <v>55</v>
      </c>
      <c r="AA149" s="177" t="s">
        <v>924</v>
      </c>
      <c r="AB149" s="178">
        <v>15854</v>
      </c>
      <c r="AC149" s="202" t="s">
        <v>963</v>
      </c>
      <c r="AD149" s="177" t="s">
        <v>140</v>
      </c>
      <c r="AE149" s="177" t="s">
        <v>344</v>
      </c>
      <c r="AF149" s="177">
        <v>57</v>
      </c>
      <c r="AG149" s="177" t="s">
        <v>79</v>
      </c>
      <c r="AH149" s="177" t="s">
        <v>143</v>
      </c>
      <c r="AI149" s="177" t="s">
        <v>80</v>
      </c>
      <c r="AJ149" s="178" t="s">
        <v>81</v>
      </c>
      <c r="AK149" s="179" t="s">
        <v>964</v>
      </c>
      <c r="AL149" s="178" t="s">
        <v>118</v>
      </c>
      <c r="AM149" s="178" t="s">
        <v>65</v>
      </c>
      <c r="AN149" s="172" t="s">
        <v>65</v>
      </c>
      <c r="AO149" s="178" t="s">
        <v>67</v>
      </c>
      <c r="AP149" s="178" t="s">
        <v>240</v>
      </c>
    </row>
    <row r="150" spans="1:43" ht="15" hidden="1" customHeight="1" x14ac:dyDescent="0.25">
      <c r="A150" s="177">
        <v>2023</v>
      </c>
      <c r="B150" s="177" t="s">
        <v>919</v>
      </c>
      <c r="C150" s="177" t="s">
        <v>45</v>
      </c>
      <c r="D150" s="177" t="s">
        <v>965</v>
      </c>
      <c r="E150" s="177" t="s">
        <v>966</v>
      </c>
      <c r="F150" s="177" t="s">
        <v>48</v>
      </c>
      <c r="G150" s="177" t="s">
        <v>967</v>
      </c>
      <c r="H150" s="10">
        <v>44655</v>
      </c>
      <c r="I150" s="177">
        <f t="shared" si="4"/>
        <v>16</v>
      </c>
      <c r="J150" s="235">
        <v>45159</v>
      </c>
      <c r="K150" s="177" t="str">
        <f t="shared" si="5"/>
        <v>INTERMEDIO</v>
      </c>
      <c r="L150" s="177" t="s">
        <v>50</v>
      </c>
      <c r="M150" s="177" t="s">
        <v>50</v>
      </c>
      <c r="N150" s="177" t="s">
        <v>50</v>
      </c>
      <c r="O150" s="177">
        <v>0</v>
      </c>
      <c r="P150" s="177" t="s">
        <v>51</v>
      </c>
      <c r="Q150" s="177" t="s">
        <v>50</v>
      </c>
      <c r="R150" s="178" t="s">
        <v>50</v>
      </c>
      <c r="S150" s="178" t="s">
        <v>160</v>
      </c>
      <c r="T150" s="177" t="s">
        <v>161</v>
      </c>
      <c r="U150" s="9" t="s">
        <v>350</v>
      </c>
      <c r="V150" s="177" t="s">
        <v>255</v>
      </c>
      <c r="W150" s="177" t="s">
        <v>50</v>
      </c>
      <c r="X150" s="177" t="s">
        <v>54</v>
      </c>
      <c r="Y150" s="236">
        <v>0.44444444444444442</v>
      </c>
      <c r="Z150" s="177" t="s">
        <v>137</v>
      </c>
      <c r="AA150" s="177" t="s">
        <v>935</v>
      </c>
      <c r="AB150" s="178"/>
      <c r="AC150" s="203"/>
      <c r="AD150" s="177" t="s">
        <v>164</v>
      </c>
      <c r="AE150" s="177" t="s">
        <v>165</v>
      </c>
      <c r="AF150" s="177">
        <v>28</v>
      </c>
      <c r="AG150" s="177" t="s">
        <v>142</v>
      </c>
      <c r="AH150" s="177" t="s">
        <v>60</v>
      </c>
      <c r="AI150" s="177" t="s">
        <v>80</v>
      </c>
      <c r="AJ150" s="178" t="s">
        <v>81</v>
      </c>
      <c r="AK150" s="179" t="s">
        <v>968</v>
      </c>
      <c r="AL150" s="178" t="s">
        <v>118</v>
      </c>
      <c r="AM150" s="178" t="s">
        <v>65</v>
      </c>
      <c r="AN150" s="178" t="s">
        <v>66</v>
      </c>
      <c r="AO150" s="178" t="s">
        <v>67</v>
      </c>
      <c r="AP150" s="178" t="s">
        <v>240</v>
      </c>
    </row>
    <row r="151" spans="1:43" ht="15" hidden="1" customHeight="1" x14ac:dyDescent="0.25">
      <c r="A151" s="170">
        <v>2023</v>
      </c>
      <c r="B151" s="170" t="s">
        <v>919</v>
      </c>
      <c r="C151" s="170" t="s">
        <v>45</v>
      </c>
      <c r="D151" s="170" t="s">
        <v>969</v>
      </c>
      <c r="E151" s="376" t="s">
        <v>970</v>
      </c>
      <c r="F151" s="170" t="s">
        <v>48</v>
      </c>
      <c r="G151" s="177" t="s">
        <v>971</v>
      </c>
      <c r="H151" s="10">
        <v>43745</v>
      </c>
      <c r="I151" s="177">
        <f t="shared" si="4"/>
        <v>45</v>
      </c>
      <c r="J151" s="235">
        <v>45139</v>
      </c>
      <c r="K151" s="177" t="str">
        <f t="shared" si="5"/>
        <v>ANTIGUO</v>
      </c>
      <c r="L151" s="235">
        <v>45139</v>
      </c>
      <c r="M151" s="177" t="s">
        <v>50</v>
      </c>
      <c r="N151" s="177" t="s">
        <v>50</v>
      </c>
      <c r="O151" s="177">
        <v>0</v>
      </c>
      <c r="P151" s="177" t="s">
        <v>51</v>
      </c>
      <c r="Q151" s="177" t="s">
        <v>50</v>
      </c>
      <c r="R151" s="178" t="s">
        <v>50</v>
      </c>
      <c r="S151" s="178" t="s">
        <v>73</v>
      </c>
      <c r="T151" s="177" t="s">
        <v>972</v>
      </c>
      <c r="U151" s="177" t="s">
        <v>53</v>
      </c>
      <c r="V151" s="177" t="s">
        <v>973</v>
      </c>
      <c r="W151" s="177" t="s">
        <v>50</v>
      </c>
      <c r="X151" s="177" t="s">
        <v>176</v>
      </c>
      <c r="Y151" s="236">
        <v>4.1666666666666664E-2</v>
      </c>
      <c r="Z151" s="177" t="s">
        <v>125</v>
      </c>
      <c r="AA151" s="177" t="s">
        <v>944</v>
      </c>
      <c r="AB151" s="178">
        <v>15833</v>
      </c>
      <c r="AC151" s="202" t="s">
        <v>974</v>
      </c>
      <c r="AD151" s="177" t="s">
        <v>236</v>
      </c>
      <c r="AE151" s="177" t="s">
        <v>323</v>
      </c>
      <c r="AF151" s="177">
        <v>24</v>
      </c>
      <c r="AG151" s="177" t="s">
        <v>301</v>
      </c>
      <c r="AH151" s="177" t="s">
        <v>227</v>
      </c>
      <c r="AI151" s="177" t="s">
        <v>228</v>
      </c>
      <c r="AJ151" s="178" t="s">
        <v>229</v>
      </c>
      <c r="AK151" s="179" t="s">
        <v>975</v>
      </c>
      <c r="AL151" s="178" t="s">
        <v>64</v>
      </c>
      <c r="AM151" s="178" t="s">
        <v>65</v>
      </c>
      <c r="AN151" s="178" t="s">
        <v>65</v>
      </c>
      <c r="AO151" s="178" t="s">
        <v>67</v>
      </c>
      <c r="AP151" s="178" t="s">
        <v>752</v>
      </c>
    </row>
    <row r="152" spans="1:43" ht="15" hidden="1" customHeight="1" x14ac:dyDescent="0.25">
      <c r="A152" s="177">
        <v>2023</v>
      </c>
      <c r="B152" s="177" t="s">
        <v>919</v>
      </c>
      <c r="C152" s="177" t="s">
        <v>45</v>
      </c>
      <c r="D152" s="177" t="s">
        <v>976</v>
      </c>
      <c r="E152" s="170" t="s">
        <v>471</v>
      </c>
      <c r="F152" s="177" t="s">
        <v>48</v>
      </c>
      <c r="G152" s="177" t="s">
        <v>977</v>
      </c>
      <c r="H152" s="10">
        <v>39295</v>
      </c>
      <c r="I152" s="177">
        <f t="shared" si="4"/>
        <v>192</v>
      </c>
      <c r="J152" s="10">
        <v>45147</v>
      </c>
      <c r="K152" s="177" t="str">
        <f t="shared" si="5"/>
        <v>ANTIGUO</v>
      </c>
      <c r="L152" s="235">
        <v>45148</v>
      </c>
      <c r="M152" s="235">
        <v>45152</v>
      </c>
      <c r="N152" s="177" t="s">
        <v>50</v>
      </c>
      <c r="O152" s="314">
        <v>5</v>
      </c>
      <c r="P152" s="177" t="s">
        <v>88</v>
      </c>
      <c r="Q152" s="177" t="s">
        <v>50</v>
      </c>
      <c r="R152" s="178" t="s">
        <v>50</v>
      </c>
      <c r="S152" s="178" t="s">
        <v>173</v>
      </c>
      <c r="T152" s="177" t="s">
        <v>764</v>
      </c>
      <c r="U152" s="177" t="s">
        <v>53</v>
      </c>
      <c r="V152" s="177" t="s">
        <v>978</v>
      </c>
      <c r="W152" s="177" t="s">
        <v>50</v>
      </c>
      <c r="X152" s="177" t="s">
        <v>54</v>
      </c>
      <c r="Y152" s="236">
        <v>0.23958333333333334</v>
      </c>
      <c r="Z152" s="177" t="s">
        <v>55</v>
      </c>
      <c r="AA152" s="177" t="s">
        <v>924</v>
      </c>
      <c r="AB152" s="178">
        <v>15853</v>
      </c>
      <c r="AC152" s="202" t="s">
        <v>979</v>
      </c>
      <c r="AD152" s="177" t="s">
        <v>178</v>
      </c>
      <c r="AE152" s="177" t="s">
        <v>980</v>
      </c>
      <c r="AF152" s="177">
        <v>70</v>
      </c>
      <c r="AG152" s="177" t="s">
        <v>115</v>
      </c>
      <c r="AH152" s="177" t="s">
        <v>60</v>
      </c>
      <c r="AI152" s="177" t="s">
        <v>128</v>
      </c>
      <c r="AJ152" s="178" t="s">
        <v>154</v>
      </c>
      <c r="AK152" s="179" t="s">
        <v>981</v>
      </c>
      <c r="AL152" s="178" t="s">
        <v>118</v>
      </c>
      <c r="AM152" s="178" t="s">
        <v>66</v>
      </c>
      <c r="AN152" s="178" t="s">
        <v>65</v>
      </c>
      <c r="AO152" s="178" t="s">
        <v>67</v>
      </c>
      <c r="AP152" s="178" t="s">
        <v>240</v>
      </c>
    </row>
    <row r="153" spans="1:43" hidden="1" x14ac:dyDescent="0.25">
      <c r="A153" s="170">
        <v>2023</v>
      </c>
      <c r="B153" s="170" t="s">
        <v>919</v>
      </c>
      <c r="C153" s="170" t="s">
        <v>45</v>
      </c>
      <c r="D153" s="170" t="s">
        <v>982</v>
      </c>
      <c r="E153" s="170" t="s">
        <v>458</v>
      </c>
      <c r="F153" s="170" t="s">
        <v>48</v>
      </c>
      <c r="G153" s="177" t="s">
        <v>983</v>
      </c>
      <c r="H153" s="10">
        <v>44998</v>
      </c>
      <c r="I153" s="177">
        <f t="shared" si="4"/>
        <v>4</v>
      </c>
      <c r="J153" s="235">
        <v>45140</v>
      </c>
      <c r="K153" s="177" t="str">
        <f t="shared" si="5"/>
        <v>NUEVO</v>
      </c>
      <c r="L153" s="235" t="s">
        <v>50</v>
      </c>
      <c r="M153" s="177" t="s">
        <v>50</v>
      </c>
      <c r="N153" s="177" t="s">
        <v>50</v>
      </c>
      <c r="O153" s="177">
        <v>0</v>
      </c>
      <c r="P153" s="177" t="s">
        <v>51</v>
      </c>
      <c r="Q153" s="177" t="s">
        <v>89</v>
      </c>
      <c r="R153" s="178" t="s">
        <v>721</v>
      </c>
      <c r="S153" s="178" t="s">
        <v>264</v>
      </c>
      <c r="T153" s="177" t="s">
        <v>264</v>
      </c>
      <c r="U153" s="177" t="s">
        <v>849</v>
      </c>
      <c r="V153" s="177" t="s">
        <v>984</v>
      </c>
      <c r="W153" s="177" t="s">
        <v>50</v>
      </c>
      <c r="X153" s="177" t="s">
        <v>151</v>
      </c>
      <c r="Y153" s="236">
        <v>0.77083333333333337</v>
      </c>
      <c r="Z153" s="177" t="s">
        <v>55</v>
      </c>
      <c r="AA153" s="177" t="s">
        <v>944</v>
      </c>
      <c r="AB153" s="178"/>
      <c r="AC153" s="203"/>
      <c r="AD153" s="177" t="s">
        <v>269</v>
      </c>
      <c r="AE153" s="177" t="s">
        <v>405</v>
      </c>
      <c r="AF153" s="177">
        <v>28</v>
      </c>
      <c r="AG153" s="177" t="s">
        <v>301</v>
      </c>
      <c r="AH153" s="177" t="s">
        <v>166</v>
      </c>
      <c r="AI153" s="177" t="s">
        <v>302</v>
      </c>
      <c r="AJ153" s="178" t="s">
        <v>413</v>
      </c>
      <c r="AK153" s="179" t="s">
        <v>985</v>
      </c>
      <c r="AL153" s="178" t="s">
        <v>64</v>
      </c>
      <c r="AM153" s="178" t="s">
        <v>65</v>
      </c>
      <c r="AN153" s="178" t="s">
        <v>66</v>
      </c>
      <c r="AO153" s="178" t="s">
        <v>67</v>
      </c>
      <c r="AP153" s="178" t="s">
        <v>103</v>
      </c>
    </row>
    <row r="154" spans="1:43" ht="15" hidden="1" customHeight="1" x14ac:dyDescent="0.25">
      <c r="A154" s="178">
        <v>2023</v>
      </c>
      <c r="B154" s="178" t="s">
        <v>919</v>
      </c>
      <c r="C154" s="178" t="s">
        <v>45</v>
      </c>
      <c r="D154" s="178" t="s">
        <v>986</v>
      </c>
      <c r="E154" s="178" t="s">
        <v>261</v>
      </c>
      <c r="F154" s="178" t="s">
        <v>48</v>
      </c>
      <c r="G154" s="178" t="s">
        <v>987</v>
      </c>
      <c r="H154" s="10">
        <v>45096</v>
      </c>
      <c r="I154" s="177">
        <f t="shared" ref="I154:I217" si="6">DATEDIF(H154,J154,"m")</f>
        <v>2</v>
      </c>
      <c r="J154" s="251">
        <v>45159</v>
      </c>
      <c r="K154" s="177" t="str">
        <f t="shared" si="5"/>
        <v>NUEVO</v>
      </c>
      <c r="L154" s="178" t="s">
        <v>50</v>
      </c>
      <c r="M154" s="178" t="s">
        <v>50</v>
      </c>
      <c r="N154" s="178" t="s">
        <v>50</v>
      </c>
      <c r="O154" s="178">
        <v>0</v>
      </c>
      <c r="P154" s="178" t="s">
        <v>51</v>
      </c>
      <c r="Q154" s="178" t="s">
        <v>50</v>
      </c>
      <c r="R154" s="178" t="s">
        <v>50</v>
      </c>
      <c r="S154" s="178" t="s">
        <v>234</v>
      </c>
      <c r="T154" s="178" t="s">
        <v>265</v>
      </c>
      <c r="U154" s="9" t="s">
        <v>53</v>
      </c>
      <c r="V154" s="178" t="s">
        <v>235</v>
      </c>
      <c r="W154" s="178" t="s">
        <v>50</v>
      </c>
      <c r="X154" s="178" t="s">
        <v>54</v>
      </c>
      <c r="Y154" s="253">
        <v>0.52777777777777779</v>
      </c>
      <c r="Z154" s="178" t="s">
        <v>137</v>
      </c>
      <c r="AA154" s="178" t="s">
        <v>935</v>
      </c>
      <c r="AB154" s="178"/>
      <c r="AC154" s="203"/>
      <c r="AD154" s="178" t="s">
        <v>236</v>
      </c>
      <c r="AE154" s="178" t="s">
        <v>773</v>
      </c>
      <c r="AF154" s="178">
        <v>29</v>
      </c>
      <c r="AG154" s="177" t="s">
        <v>216</v>
      </c>
      <c r="AH154" s="177" t="s">
        <v>153</v>
      </c>
      <c r="AI154" s="177" t="s">
        <v>80</v>
      </c>
      <c r="AJ154" s="178" t="s">
        <v>129</v>
      </c>
      <c r="AK154" s="254" t="s">
        <v>988</v>
      </c>
      <c r="AL154" s="178" t="s">
        <v>64</v>
      </c>
      <c r="AM154" s="178" t="s">
        <v>65</v>
      </c>
      <c r="AN154" s="178" t="s">
        <v>66</v>
      </c>
      <c r="AO154" s="178" t="s">
        <v>67</v>
      </c>
      <c r="AP154" s="178" t="s">
        <v>240</v>
      </c>
    </row>
    <row r="155" spans="1:43" hidden="1" x14ac:dyDescent="0.25">
      <c r="A155" s="178">
        <v>2023</v>
      </c>
      <c r="B155" s="178" t="s">
        <v>919</v>
      </c>
      <c r="C155" s="178" t="s">
        <v>45</v>
      </c>
      <c r="D155" s="177" t="s">
        <v>989</v>
      </c>
      <c r="E155" s="177" t="s">
        <v>471</v>
      </c>
      <c r="F155" s="177" t="s">
        <v>48</v>
      </c>
      <c r="G155" s="177" t="s">
        <v>990</v>
      </c>
      <c r="H155" s="10">
        <v>44869</v>
      </c>
      <c r="I155" s="177">
        <f t="shared" si="6"/>
        <v>9</v>
      </c>
      <c r="J155" s="235">
        <v>45160</v>
      </c>
      <c r="K155" s="177" t="str">
        <f t="shared" si="5"/>
        <v>INTERMEDIO</v>
      </c>
      <c r="L155" s="177" t="s">
        <v>50</v>
      </c>
      <c r="M155" s="177" t="s">
        <v>50</v>
      </c>
      <c r="N155" s="177" t="s">
        <v>50</v>
      </c>
      <c r="O155" s="177">
        <v>0</v>
      </c>
      <c r="P155" s="177" t="s">
        <v>51</v>
      </c>
      <c r="Q155" s="177" t="s">
        <v>50</v>
      </c>
      <c r="R155" s="178" t="s">
        <v>50</v>
      </c>
      <c r="S155" s="178" t="s">
        <v>91</v>
      </c>
      <c r="T155" s="9" t="s">
        <v>991</v>
      </c>
      <c r="U155" s="9" t="s">
        <v>53</v>
      </c>
      <c r="V155" s="177" t="s">
        <v>123</v>
      </c>
      <c r="W155" s="177" t="s">
        <v>50</v>
      </c>
      <c r="X155" s="177" t="s">
        <v>151</v>
      </c>
      <c r="Y155" s="236">
        <v>0.71527777777777779</v>
      </c>
      <c r="Z155" s="177" t="s">
        <v>125</v>
      </c>
      <c r="AA155" s="177" t="s">
        <v>992</v>
      </c>
      <c r="AB155" s="178"/>
      <c r="AC155" s="203"/>
      <c r="AD155" s="177" t="s">
        <v>97</v>
      </c>
      <c r="AE155" s="177" t="s">
        <v>759</v>
      </c>
      <c r="AF155" s="177">
        <v>59</v>
      </c>
      <c r="AG155" s="177" t="s">
        <v>226</v>
      </c>
      <c r="AH155" s="177" t="s">
        <v>227</v>
      </c>
      <c r="AI155" s="177" t="s">
        <v>228</v>
      </c>
      <c r="AJ155" s="178" t="s">
        <v>229</v>
      </c>
      <c r="AK155" s="179" t="s">
        <v>993</v>
      </c>
      <c r="AL155" s="178" t="s">
        <v>64</v>
      </c>
      <c r="AM155" s="178" t="s">
        <v>65</v>
      </c>
      <c r="AN155" s="178" t="s">
        <v>66</v>
      </c>
      <c r="AO155" s="178" t="s">
        <v>83</v>
      </c>
      <c r="AP155" s="178" t="s">
        <v>103</v>
      </c>
    </row>
    <row r="156" spans="1:43" ht="15" hidden="1" customHeight="1" x14ac:dyDescent="0.25">
      <c r="A156" s="177">
        <v>2023</v>
      </c>
      <c r="B156" s="177" t="s">
        <v>919</v>
      </c>
      <c r="C156" s="177" t="s">
        <v>45</v>
      </c>
      <c r="D156" s="177" t="s">
        <v>994</v>
      </c>
      <c r="E156" s="177" t="s">
        <v>995</v>
      </c>
      <c r="F156" s="177" t="s">
        <v>48</v>
      </c>
      <c r="G156" s="177" t="s">
        <v>996</v>
      </c>
      <c r="H156" s="10">
        <v>45117</v>
      </c>
      <c r="I156" s="177">
        <f t="shared" si="6"/>
        <v>0</v>
      </c>
      <c r="J156" s="235">
        <v>45145</v>
      </c>
      <c r="K156" s="177" t="str">
        <f t="shared" si="5"/>
        <v>NUEVO</v>
      </c>
      <c r="L156" s="235" t="s">
        <v>50</v>
      </c>
      <c r="M156" s="177" t="s">
        <v>50</v>
      </c>
      <c r="N156" s="177" t="s">
        <v>50</v>
      </c>
      <c r="O156" s="177">
        <v>0</v>
      </c>
      <c r="P156" s="177" t="s">
        <v>51</v>
      </c>
      <c r="Q156" s="177" t="s">
        <v>50</v>
      </c>
      <c r="R156" s="178" t="s">
        <v>50</v>
      </c>
      <c r="S156" s="178" t="s">
        <v>160</v>
      </c>
      <c r="T156" s="177" t="s">
        <v>712</v>
      </c>
      <c r="U156" s="177" t="s">
        <v>53</v>
      </c>
      <c r="V156" s="177" t="s">
        <v>997</v>
      </c>
      <c r="W156" s="177" t="s">
        <v>50</v>
      </c>
      <c r="X156" s="177" t="s">
        <v>151</v>
      </c>
      <c r="Y156" s="236">
        <v>0.79166666666666663</v>
      </c>
      <c r="Z156" s="177" t="s">
        <v>137</v>
      </c>
      <c r="AA156" s="177" t="s">
        <v>924</v>
      </c>
      <c r="AB156" s="178"/>
      <c r="AC156" s="203"/>
      <c r="AD156" s="177" t="s">
        <v>164</v>
      </c>
      <c r="AE156" s="177" t="s">
        <v>485</v>
      </c>
      <c r="AF156" s="177">
        <v>27</v>
      </c>
      <c r="AG156" s="177" t="s">
        <v>226</v>
      </c>
      <c r="AH156" s="177" t="s">
        <v>256</v>
      </c>
      <c r="AI156" s="177" t="s">
        <v>61</v>
      </c>
      <c r="AJ156" s="178" t="s">
        <v>62</v>
      </c>
      <c r="AK156" s="179" t="s">
        <v>998</v>
      </c>
      <c r="AL156" s="178" t="s">
        <v>64</v>
      </c>
      <c r="AM156" s="178" t="s">
        <v>65</v>
      </c>
      <c r="AN156" s="178" t="s">
        <v>66</v>
      </c>
      <c r="AO156" s="178" t="s">
        <v>83</v>
      </c>
      <c r="AP156" s="178" t="s">
        <v>240</v>
      </c>
    </row>
    <row r="157" spans="1:43" hidden="1" x14ac:dyDescent="0.25">
      <c r="A157" s="177">
        <v>2023</v>
      </c>
      <c r="B157" s="177" t="s">
        <v>919</v>
      </c>
      <c r="C157" s="177" t="s">
        <v>45</v>
      </c>
      <c r="D157" s="177" t="s">
        <v>999</v>
      </c>
      <c r="E157" s="177" t="s">
        <v>86</v>
      </c>
      <c r="F157" s="177" t="s">
        <v>48</v>
      </c>
      <c r="G157" s="177" t="s">
        <v>1000</v>
      </c>
      <c r="H157" s="10">
        <v>40291</v>
      </c>
      <c r="I157" s="177">
        <f t="shared" si="6"/>
        <v>160</v>
      </c>
      <c r="J157" s="235">
        <v>45168</v>
      </c>
      <c r="K157" s="177" t="str">
        <f t="shared" si="5"/>
        <v>ANTIGUO</v>
      </c>
      <c r="L157" s="235">
        <v>45168</v>
      </c>
      <c r="M157" s="235">
        <v>45169</v>
      </c>
      <c r="N157" s="177" t="s">
        <v>50</v>
      </c>
      <c r="O157" s="314">
        <v>13</v>
      </c>
      <c r="P157" s="177" t="s">
        <v>88</v>
      </c>
      <c r="Q157" s="177" t="s">
        <v>50</v>
      </c>
      <c r="R157" s="178" t="s">
        <v>50</v>
      </c>
      <c r="S157" s="177" t="s">
        <v>160</v>
      </c>
      <c r="T157" s="177" t="s">
        <v>191</v>
      </c>
      <c r="U157" s="177" t="s">
        <v>53</v>
      </c>
      <c r="V157" s="177" t="s">
        <v>1001</v>
      </c>
      <c r="W157" s="177" t="s">
        <v>50</v>
      </c>
      <c r="X157" s="177" t="s">
        <v>54</v>
      </c>
      <c r="Y157" s="236">
        <v>0.25</v>
      </c>
      <c r="Z157" s="177" t="s">
        <v>55</v>
      </c>
      <c r="AA157" s="178" t="s">
        <v>952</v>
      </c>
      <c r="AB157" s="178">
        <v>15892</v>
      </c>
      <c r="AC157" s="203" t="s">
        <v>1002</v>
      </c>
      <c r="AD157" s="177" t="s">
        <v>164</v>
      </c>
      <c r="AE157" s="177" t="s">
        <v>215</v>
      </c>
      <c r="AF157" s="177">
        <v>31</v>
      </c>
      <c r="AG157" s="177" t="s">
        <v>649</v>
      </c>
      <c r="AH157" s="177" t="s">
        <v>153</v>
      </c>
      <c r="AI157" s="177" t="s">
        <v>167</v>
      </c>
      <c r="AJ157" s="177" t="s">
        <v>180</v>
      </c>
      <c r="AK157" s="179" t="s">
        <v>1003</v>
      </c>
      <c r="AL157" s="178" t="s">
        <v>64</v>
      </c>
      <c r="AM157" s="178" t="s">
        <v>66</v>
      </c>
      <c r="AN157" s="178" t="s">
        <v>65</v>
      </c>
      <c r="AO157" s="178" t="s">
        <v>83</v>
      </c>
      <c r="AP157" s="178" t="s">
        <v>103</v>
      </c>
    </row>
    <row r="158" spans="1:43" ht="15" hidden="1" customHeight="1" x14ac:dyDescent="0.25">
      <c r="A158" s="177">
        <v>2023</v>
      </c>
      <c r="B158" s="177" t="s">
        <v>919</v>
      </c>
      <c r="C158" s="177" t="s">
        <v>45</v>
      </c>
      <c r="D158" s="177" t="s">
        <v>1004</v>
      </c>
      <c r="E158" s="177" t="s">
        <v>1005</v>
      </c>
      <c r="F158" s="177" t="s">
        <v>71</v>
      </c>
      <c r="G158" s="177" t="s">
        <v>1006</v>
      </c>
      <c r="H158" s="10">
        <v>43647</v>
      </c>
      <c r="I158" s="177">
        <f t="shared" si="6"/>
        <v>49</v>
      </c>
      <c r="J158" s="235">
        <v>45167</v>
      </c>
      <c r="K158" s="177" t="str">
        <f t="shared" si="5"/>
        <v>ANTIGUO</v>
      </c>
      <c r="L158" s="177" t="s">
        <v>50</v>
      </c>
      <c r="M158" s="177" t="s">
        <v>50</v>
      </c>
      <c r="N158" s="177" t="s">
        <v>50</v>
      </c>
      <c r="O158" s="177">
        <v>0</v>
      </c>
      <c r="P158" s="177" t="s">
        <v>51</v>
      </c>
      <c r="Q158" s="177" t="s">
        <v>50</v>
      </c>
      <c r="R158" s="178" t="s">
        <v>50</v>
      </c>
      <c r="S158" s="177" t="s">
        <v>480</v>
      </c>
      <c r="T158" s="177" t="s">
        <v>1007</v>
      </c>
      <c r="U158" s="177" t="s">
        <v>1008</v>
      </c>
      <c r="V158" s="177" t="s">
        <v>1009</v>
      </c>
      <c r="W158" s="177" t="s">
        <v>50</v>
      </c>
      <c r="X158" s="177" t="s">
        <v>1010</v>
      </c>
      <c r="Y158" s="236">
        <v>0.23611111111111113</v>
      </c>
      <c r="Z158" s="177" t="s">
        <v>125</v>
      </c>
      <c r="AA158" s="178" t="s">
        <v>952</v>
      </c>
      <c r="AB158" s="178"/>
      <c r="AC158" s="203"/>
      <c r="AD158" s="177" t="s">
        <v>1011</v>
      </c>
      <c r="AE158" s="177" t="s">
        <v>1012</v>
      </c>
      <c r="AF158" s="177">
        <v>40</v>
      </c>
      <c r="AG158" s="177" t="s">
        <v>226</v>
      </c>
      <c r="AH158" s="177" t="s">
        <v>227</v>
      </c>
      <c r="AI158" s="177" t="s">
        <v>228</v>
      </c>
      <c r="AJ158" s="177" t="s">
        <v>229</v>
      </c>
      <c r="AK158" s="179" t="s">
        <v>1013</v>
      </c>
      <c r="AL158" s="178" t="s">
        <v>64</v>
      </c>
      <c r="AM158" s="178" t="s">
        <v>65</v>
      </c>
      <c r="AN158" s="178" t="s">
        <v>66</v>
      </c>
      <c r="AO158" s="178" t="s">
        <v>83</v>
      </c>
      <c r="AP158" s="178" t="s">
        <v>240</v>
      </c>
    </row>
    <row r="159" spans="1:43" ht="15" hidden="1" customHeight="1" x14ac:dyDescent="0.25">
      <c r="A159" s="177">
        <v>2023</v>
      </c>
      <c r="B159" s="177" t="s">
        <v>919</v>
      </c>
      <c r="C159" s="177" t="s">
        <v>45</v>
      </c>
      <c r="D159" s="177" t="s">
        <v>1014</v>
      </c>
      <c r="E159" s="177" t="s">
        <v>363</v>
      </c>
      <c r="F159" s="177" t="s">
        <v>48</v>
      </c>
      <c r="G159" s="177" t="s">
        <v>1015</v>
      </c>
      <c r="H159" s="301">
        <v>38243</v>
      </c>
      <c r="I159" s="177">
        <f t="shared" si="6"/>
        <v>226</v>
      </c>
      <c r="J159" s="235">
        <v>45128</v>
      </c>
      <c r="K159" s="177" t="str">
        <f t="shared" si="5"/>
        <v>ANTIGUO</v>
      </c>
      <c r="L159" s="235">
        <v>45159</v>
      </c>
      <c r="M159" s="235">
        <v>45159</v>
      </c>
      <c r="N159" s="177" t="s">
        <v>50</v>
      </c>
      <c r="O159" s="177">
        <v>0</v>
      </c>
      <c r="P159" s="177" t="s">
        <v>51</v>
      </c>
      <c r="Q159" s="177" t="s">
        <v>50</v>
      </c>
      <c r="R159" s="178" t="s">
        <v>50</v>
      </c>
      <c r="S159" s="178" t="s">
        <v>264</v>
      </c>
      <c r="T159" s="177" t="s">
        <v>1016</v>
      </c>
      <c r="U159" s="9" t="s">
        <v>1017</v>
      </c>
      <c r="V159" s="177" t="s">
        <v>1018</v>
      </c>
      <c r="W159" s="177" t="s">
        <v>50</v>
      </c>
      <c r="X159" s="177" t="s">
        <v>54</v>
      </c>
      <c r="Y159" s="236">
        <v>0.79166666666666663</v>
      </c>
      <c r="Z159" s="177" t="s">
        <v>111</v>
      </c>
      <c r="AA159" s="177" t="s">
        <v>837</v>
      </c>
      <c r="AB159" s="178">
        <v>15878</v>
      </c>
      <c r="AC159" s="203" t="s">
        <v>1019</v>
      </c>
      <c r="AD159" s="177" t="s">
        <v>269</v>
      </c>
      <c r="AE159" s="177" t="s">
        <v>269</v>
      </c>
      <c r="AF159" s="177">
        <v>37</v>
      </c>
      <c r="AG159" s="177" t="s">
        <v>79</v>
      </c>
      <c r="AH159" s="177" t="s">
        <v>450</v>
      </c>
      <c r="AI159" s="177" t="s">
        <v>80</v>
      </c>
      <c r="AJ159" s="178" t="s">
        <v>81</v>
      </c>
      <c r="AK159" s="179" t="s">
        <v>1020</v>
      </c>
      <c r="AL159" s="178" t="s">
        <v>118</v>
      </c>
      <c r="AM159" s="178" t="s">
        <v>65</v>
      </c>
      <c r="AN159" s="178" t="s">
        <v>65</v>
      </c>
      <c r="AO159" s="178" t="s">
        <v>67</v>
      </c>
      <c r="AP159" s="178" t="s">
        <v>50</v>
      </c>
    </row>
    <row r="160" spans="1:43" hidden="1" x14ac:dyDescent="0.25">
      <c r="A160" s="177">
        <v>2023</v>
      </c>
      <c r="B160" s="177" t="s">
        <v>919</v>
      </c>
      <c r="C160" s="177" t="s">
        <v>45</v>
      </c>
      <c r="D160" s="177" t="s">
        <v>910</v>
      </c>
      <c r="E160" s="177" t="s">
        <v>734</v>
      </c>
      <c r="F160" s="177" t="s">
        <v>48</v>
      </c>
      <c r="G160" s="310" t="s">
        <v>912</v>
      </c>
      <c r="H160" s="10">
        <v>44440</v>
      </c>
      <c r="I160" s="324">
        <f t="shared" si="6"/>
        <v>23</v>
      </c>
      <c r="J160" s="235">
        <v>45159</v>
      </c>
      <c r="K160" s="177" t="str">
        <f t="shared" si="5"/>
        <v>ANTIGUO</v>
      </c>
      <c r="L160" s="235" t="s">
        <v>50</v>
      </c>
      <c r="M160" s="177" t="s">
        <v>50</v>
      </c>
      <c r="N160" s="177" t="s">
        <v>50</v>
      </c>
      <c r="O160" s="177">
        <v>0</v>
      </c>
      <c r="P160" s="177" t="s">
        <v>51</v>
      </c>
      <c r="Q160" s="177" t="s">
        <v>50</v>
      </c>
      <c r="R160" s="178" t="s">
        <v>50</v>
      </c>
      <c r="S160" s="178" t="s">
        <v>73</v>
      </c>
      <c r="T160" s="177" t="s">
        <v>1021</v>
      </c>
      <c r="U160" s="177" t="s">
        <v>53</v>
      </c>
      <c r="V160" s="177" t="s">
        <v>1022</v>
      </c>
      <c r="W160" s="177" t="s">
        <v>50</v>
      </c>
      <c r="X160" s="177" t="s">
        <v>151</v>
      </c>
      <c r="Y160" s="236">
        <v>0.76736111111111116</v>
      </c>
      <c r="Z160" s="177" t="s">
        <v>137</v>
      </c>
      <c r="AA160" s="177" t="s">
        <v>935</v>
      </c>
      <c r="AB160" s="178"/>
      <c r="AC160" s="203"/>
      <c r="AD160" s="177" t="s">
        <v>236</v>
      </c>
      <c r="AE160" s="177" t="s">
        <v>78</v>
      </c>
      <c r="AF160" s="177">
        <v>43</v>
      </c>
      <c r="AG160" s="177" t="s">
        <v>115</v>
      </c>
      <c r="AH160" s="177" t="s">
        <v>127</v>
      </c>
      <c r="AI160" s="177" t="s">
        <v>128</v>
      </c>
      <c r="AJ160" s="178" t="s">
        <v>154</v>
      </c>
      <c r="AK160" s="179" t="s">
        <v>1023</v>
      </c>
      <c r="AL160" s="178" t="s">
        <v>64</v>
      </c>
      <c r="AM160" s="178" t="s">
        <v>65</v>
      </c>
      <c r="AN160" s="178" t="s">
        <v>66</v>
      </c>
      <c r="AO160" s="178" t="s">
        <v>83</v>
      </c>
      <c r="AP160" s="178" t="s">
        <v>240</v>
      </c>
    </row>
    <row r="161" spans="1:43" ht="15" hidden="1" customHeight="1" x14ac:dyDescent="0.25">
      <c r="A161" s="178">
        <v>2023</v>
      </c>
      <c r="B161" s="178" t="s">
        <v>919</v>
      </c>
      <c r="C161" s="178" t="s">
        <v>45</v>
      </c>
      <c r="D161" s="177" t="s">
        <v>1024</v>
      </c>
      <c r="E161" s="177" t="s">
        <v>1025</v>
      </c>
      <c r="F161" s="177" t="s">
        <v>48</v>
      </c>
      <c r="G161" s="310" t="s">
        <v>1026</v>
      </c>
      <c r="H161" s="10">
        <v>43031</v>
      </c>
      <c r="I161" s="324">
        <f t="shared" si="6"/>
        <v>69</v>
      </c>
      <c r="J161" s="235">
        <v>45160</v>
      </c>
      <c r="K161" s="177" t="str">
        <f t="shared" si="5"/>
        <v>ANTIGUO</v>
      </c>
      <c r="L161" s="235">
        <v>45160</v>
      </c>
      <c r="M161" s="235">
        <v>45160</v>
      </c>
      <c r="N161" s="177" t="s">
        <v>50</v>
      </c>
      <c r="O161" s="177">
        <v>0</v>
      </c>
      <c r="P161" s="177" t="s">
        <v>51</v>
      </c>
      <c r="Q161" s="177" t="s">
        <v>50</v>
      </c>
      <c r="R161" s="178" t="s">
        <v>50</v>
      </c>
      <c r="S161" s="178" t="s">
        <v>264</v>
      </c>
      <c r="T161" s="177" t="s">
        <v>1016</v>
      </c>
      <c r="U161" s="9" t="s">
        <v>310</v>
      </c>
      <c r="V161" s="177" t="s">
        <v>1027</v>
      </c>
      <c r="W161" s="177" t="s">
        <v>50</v>
      </c>
      <c r="X161" s="177" t="s">
        <v>54</v>
      </c>
      <c r="Y161" s="236">
        <v>0.57638888888888895</v>
      </c>
      <c r="Z161" s="177" t="s">
        <v>125</v>
      </c>
      <c r="AA161" s="177" t="s">
        <v>935</v>
      </c>
      <c r="AB161" s="178">
        <v>15877</v>
      </c>
      <c r="AC161" s="203" t="s">
        <v>1028</v>
      </c>
      <c r="AD161" s="177" t="s">
        <v>269</v>
      </c>
      <c r="AE161" s="177" t="s">
        <v>737</v>
      </c>
      <c r="AF161" s="177">
        <v>27</v>
      </c>
      <c r="AG161" s="177" t="s">
        <v>115</v>
      </c>
      <c r="AH161" s="177" t="s">
        <v>256</v>
      </c>
      <c r="AI161" s="177" t="s">
        <v>128</v>
      </c>
      <c r="AJ161" s="178" t="s">
        <v>293</v>
      </c>
      <c r="AK161" s="179" t="s">
        <v>1029</v>
      </c>
      <c r="AL161" s="178" t="s">
        <v>64</v>
      </c>
      <c r="AM161" s="178" t="s">
        <v>65</v>
      </c>
      <c r="AN161" s="178" t="s">
        <v>65</v>
      </c>
      <c r="AO161" s="178" t="s">
        <v>67</v>
      </c>
      <c r="AP161" s="178" t="s">
        <v>103</v>
      </c>
    </row>
    <row r="162" spans="1:43" hidden="1" x14ac:dyDescent="0.25">
      <c r="A162" s="170">
        <v>2023</v>
      </c>
      <c r="B162" s="170" t="s">
        <v>919</v>
      </c>
      <c r="C162" s="170" t="s">
        <v>45</v>
      </c>
      <c r="D162" s="39" t="s">
        <v>1030</v>
      </c>
      <c r="E162" s="170" t="s">
        <v>1031</v>
      </c>
      <c r="F162" s="170" t="s">
        <v>48</v>
      </c>
      <c r="G162" s="177" t="s">
        <v>1032</v>
      </c>
      <c r="H162" s="10">
        <v>42948</v>
      </c>
      <c r="I162" s="177">
        <f t="shared" si="6"/>
        <v>72</v>
      </c>
      <c r="J162" s="235">
        <v>45146</v>
      </c>
      <c r="K162" s="177" t="str">
        <f t="shared" si="5"/>
        <v>ANTIGUO</v>
      </c>
      <c r="L162" s="235">
        <v>45146</v>
      </c>
      <c r="M162" s="235">
        <v>45151</v>
      </c>
      <c r="N162" s="235">
        <v>45152</v>
      </c>
      <c r="O162" s="314">
        <v>11</v>
      </c>
      <c r="P162" s="177" t="s">
        <v>88</v>
      </c>
      <c r="Q162" s="177" t="s">
        <v>89</v>
      </c>
      <c r="R162" s="178" t="s">
        <v>90</v>
      </c>
      <c r="S162" s="178" t="s">
        <v>264</v>
      </c>
      <c r="T162" s="177" t="s">
        <v>1016</v>
      </c>
      <c r="U162" s="177" t="s">
        <v>1033</v>
      </c>
      <c r="V162" s="177" t="s">
        <v>447</v>
      </c>
      <c r="W162" s="177" t="s">
        <v>50</v>
      </c>
      <c r="X162" s="177" t="s">
        <v>54</v>
      </c>
      <c r="Y162" s="236">
        <v>0.61458333333333337</v>
      </c>
      <c r="Z162" s="177" t="s">
        <v>125</v>
      </c>
      <c r="AA162" s="177" t="s">
        <v>924</v>
      </c>
      <c r="AB162" s="29">
        <v>15847</v>
      </c>
      <c r="AC162" s="202" t="s">
        <v>1034</v>
      </c>
      <c r="AD162" s="177" t="s">
        <v>269</v>
      </c>
      <c r="AE162" s="177" t="s">
        <v>270</v>
      </c>
      <c r="AF162" s="177">
        <v>35</v>
      </c>
      <c r="AG162" s="177" t="s">
        <v>99</v>
      </c>
      <c r="AH162" s="177" t="s">
        <v>60</v>
      </c>
      <c r="AI162" s="177" t="s">
        <v>100</v>
      </c>
      <c r="AJ162" s="178" t="s">
        <v>101</v>
      </c>
      <c r="AK162" s="179" t="s">
        <v>1035</v>
      </c>
      <c r="AL162" s="178" t="s">
        <v>64</v>
      </c>
      <c r="AM162" s="178" t="s">
        <v>65</v>
      </c>
      <c r="AN162" s="178" t="s">
        <v>65</v>
      </c>
      <c r="AO162" s="178" t="s">
        <v>67</v>
      </c>
      <c r="AP162" s="178" t="s">
        <v>250</v>
      </c>
    </row>
    <row r="163" spans="1:43" ht="15" hidden="1" customHeight="1" x14ac:dyDescent="0.25">
      <c r="A163" s="178">
        <v>2023</v>
      </c>
      <c r="B163" s="178" t="s">
        <v>919</v>
      </c>
      <c r="C163" s="178" t="s">
        <v>45</v>
      </c>
      <c r="D163" s="178" t="s">
        <v>1036</v>
      </c>
      <c r="E163" s="178" t="s">
        <v>1037</v>
      </c>
      <c r="F163" s="178" t="s">
        <v>48</v>
      </c>
      <c r="G163" s="178" t="s">
        <v>1038</v>
      </c>
      <c r="H163" s="10">
        <v>45078</v>
      </c>
      <c r="I163" s="177">
        <f t="shared" si="6"/>
        <v>2</v>
      </c>
      <c r="J163" s="251">
        <v>45161</v>
      </c>
      <c r="K163" s="177" t="str">
        <f t="shared" si="5"/>
        <v>NUEVO</v>
      </c>
      <c r="L163" s="235" t="s">
        <v>50</v>
      </c>
      <c r="M163" s="178" t="s">
        <v>50</v>
      </c>
      <c r="N163" s="178" t="s">
        <v>50</v>
      </c>
      <c r="O163" s="178">
        <v>0</v>
      </c>
      <c r="P163" s="178" t="s">
        <v>51</v>
      </c>
      <c r="Q163" s="178" t="s">
        <v>50</v>
      </c>
      <c r="R163" s="178" t="s">
        <v>50</v>
      </c>
      <c r="S163" s="178" t="s">
        <v>73</v>
      </c>
      <c r="T163" s="9" t="s">
        <v>802</v>
      </c>
      <c r="U163" s="9" t="s">
        <v>53</v>
      </c>
      <c r="V163" s="178" t="s">
        <v>371</v>
      </c>
      <c r="W163" s="178" t="s">
        <v>50</v>
      </c>
      <c r="X163" s="178" t="s">
        <v>951</v>
      </c>
      <c r="Y163" s="253">
        <v>0.6875</v>
      </c>
      <c r="Z163" s="178" t="s">
        <v>55</v>
      </c>
      <c r="AA163" s="178" t="s">
        <v>935</v>
      </c>
      <c r="AB163" s="178"/>
      <c r="AC163" s="203"/>
      <c r="AD163" s="178" t="s">
        <v>236</v>
      </c>
      <c r="AE163" s="178" t="s">
        <v>861</v>
      </c>
      <c r="AF163" s="178">
        <v>45</v>
      </c>
      <c r="AG163" s="177" t="s">
        <v>700</v>
      </c>
      <c r="AH163" s="177" t="s">
        <v>60</v>
      </c>
      <c r="AI163" s="177" t="s">
        <v>167</v>
      </c>
      <c r="AJ163" s="178" t="s">
        <v>154</v>
      </c>
      <c r="AK163" s="254" t="s">
        <v>1039</v>
      </c>
      <c r="AL163" s="178" t="s">
        <v>64</v>
      </c>
      <c r="AM163" s="178" t="s">
        <v>65</v>
      </c>
      <c r="AN163" s="178" t="s">
        <v>66</v>
      </c>
      <c r="AO163" s="178" t="s">
        <v>83</v>
      </c>
      <c r="AP163" s="178" t="s">
        <v>284</v>
      </c>
      <c r="AQ163" s="255"/>
    </row>
    <row r="164" spans="1:43" ht="15" hidden="1" customHeight="1" x14ac:dyDescent="0.25">
      <c r="A164" s="177">
        <v>2023</v>
      </c>
      <c r="B164" s="177" t="s">
        <v>919</v>
      </c>
      <c r="C164" s="177" t="s">
        <v>45</v>
      </c>
      <c r="D164" s="177" t="s">
        <v>1040</v>
      </c>
      <c r="E164" s="177" t="s">
        <v>1041</v>
      </c>
      <c r="F164" s="177" t="s">
        <v>48</v>
      </c>
      <c r="G164" s="177" t="s">
        <v>1042</v>
      </c>
      <c r="H164" s="10">
        <v>43640</v>
      </c>
      <c r="I164" s="177">
        <f t="shared" si="6"/>
        <v>49</v>
      </c>
      <c r="J164" s="235">
        <v>45152</v>
      </c>
      <c r="K164" s="177" t="str">
        <f t="shared" si="5"/>
        <v>ANTIGUO</v>
      </c>
      <c r="L164" s="235" t="s">
        <v>50</v>
      </c>
      <c r="M164" s="177" t="s">
        <v>50</v>
      </c>
      <c r="N164" s="177" t="s">
        <v>50</v>
      </c>
      <c r="O164" s="177">
        <v>0</v>
      </c>
      <c r="P164" s="177" t="s">
        <v>51</v>
      </c>
      <c r="Q164" s="177" t="s">
        <v>50</v>
      </c>
      <c r="R164" s="178" t="s">
        <v>50</v>
      </c>
      <c r="S164" s="178" t="s">
        <v>234</v>
      </c>
      <c r="T164" s="9" t="s">
        <v>1043</v>
      </c>
      <c r="U164" s="177" t="s">
        <v>53</v>
      </c>
      <c r="V164" s="177" t="s">
        <v>1044</v>
      </c>
      <c r="W164" s="177" t="s">
        <v>50</v>
      </c>
      <c r="X164" s="177" t="s">
        <v>151</v>
      </c>
      <c r="Y164" s="236">
        <v>0.875</v>
      </c>
      <c r="Z164" s="177" t="s">
        <v>137</v>
      </c>
      <c r="AA164" s="177" t="s">
        <v>931</v>
      </c>
      <c r="AB164" s="178"/>
      <c r="AC164" s="203"/>
      <c r="AD164" s="177" t="s">
        <v>236</v>
      </c>
      <c r="AE164" s="177" t="s">
        <v>773</v>
      </c>
      <c r="AF164" s="177">
        <v>60</v>
      </c>
      <c r="AG164" s="177" t="s">
        <v>59</v>
      </c>
      <c r="AH164" s="177" t="s">
        <v>166</v>
      </c>
      <c r="AI164" s="177" t="s">
        <v>128</v>
      </c>
      <c r="AJ164" s="178" t="s">
        <v>129</v>
      </c>
      <c r="AK164" s="179" t="s">
        <v>1045</v>
      </c>
      <c r="AL164" s="178" t="s">
        <v>64</v>
      </c>
      <c r="AM164" s="178" t="s">
        <v>65</v>
      </c>
      <c r="AN164" s="178" t="s">
        <v>66</v>
      </c>
      <c r="AO164" s="178" t="s">
        <v>218</v>
      </c>
      <c r="AP164" s="178" t="s">
        <v>250</v>
      </c>
    </row>
    <row r="165" spans="1:43" ht="15" hidden="1" customHeight="1" x14ac:dyDescent="0.2">
      <c r="A165" s="177">
        <v>2023</v>
      </c>
      <c r="B165" s="177" t="s">
        <v>919</v>
      </c>
      <c r="C165" s="177" t="s">
        <v>45</v>
      </c>
      <c r="D165" s="177" t="s">
        <v>1046</v>
      </c>
      <c r="E165" s="177" t="s">
        <v>1047</v>
      </c>
      <c r="F165" s="177" t="s">
        <v>71</v>
      </c>
      <c r="G165" s="177" t="s">
        <v>1048</v>
      </c>
      <c r="H165" s="304">
        <v>45139</v>
      </c>
      <c r="I165" s="177">
        <f t="shared" si="6"/>
        <v>0</v>
      </c>
      <c r="J165" s="235">
        <v>45159</v>
      </c>
      <c r="K165" s="177" t="str">
        <f t="shared" si="5"/>
        <v>NUEVO</v>
      </c>
      <c r="L165" s="178" t="s">
        <v>50</v>
      </c>
      <c r="M165" s="178" t="s">
        <v>50</v>
      </c>
      <c r="N165" s="178" t="s">
        <v>50</v>
      </c>
      <c r="O165" s="177">
        <v>0</v>
      </c>
      <c r="P165" s="177" t="s">
        <v>51</v>
      </c>
      <c r="Q165" s="177" t="s">
        <v>50</v>
      </c>
      <c r="R165" s="178" t="s">
        <v>50</v>
      </c>
      <c r="S165" s="178" t="s">
        <v>73</v>
      </c>
      <c r="T165" s="177" t="s">
        <v>74</v>
      </c>
      <c r="U165" s="177" t="s">
        <v>53</v>
      </c>
      <c r="V165" s="177" t="s">
        <v>74</v>
      </c>
      <c r="W165" s="177" t="s">
        <v>50</v>
      </c>
      <c r="X165" s="177" t="s">
        <v>54</v>
      </c>
      <c r="Y165" s="236">
        <v>0.53472222222222221</v>
      </c>
      <c r="Z165" s="177" t="s">
        <v>137</v>
      </c>
      <c r="AA165" s="177" t="s">
        <v>935</v>
      </c>
      <c r="AB165" s="178"/>
      <c r="AC165" s="203"/>
      <c r="AD165" s="177" t="s">
        <v>236</v>
      </c>
      <c r="AE165" s="177" t="s">
        <v>861</v>
      </c>
      <c r="AF165" s="177">
        <v>23</v>
      </c>
      <c r="AG165" s="177" t="s">
        <v>226</v>
      </c>
      <c r="AH165" s="177" t="s">
        <v>60</v>
      </c>
      <c r="AI165" s="177" t="s">
        <v>80</v>
      </c>
      <c r="AJ165" s="178" t="s">
        <v>129</v>
      </c>
      <c r="AK165" s="179" t="s">
        <v>1049</v>
      </c>
      <c r="AL165" s="178" t="s">
        <v>118</v>
      </c>
      <c r="AM165" s="178" t="s">
        <v>65</v>
      </c>
      <c r="AN165" s="178" t="s">
        <v>66</v>
      </c>
      <c r="AO165" s="178" t="s">
        <v>67</v>
      </c>
      <c r="AP165" s="178" t="s">
        <v>240</v>
      </c>
    </row>
    <row r="166" spans="1:43" s="255" customFormat="1" ht="15" hidden="1" customHeight="1" x14ac:dyDescent="0.25">
      <c r="A166" s="170">
        <v>2023</v>
      </c>
      <c r="B166" s="170" t="s">
        <v>919</v>
      </c>
      <c r="C166" s="170" t="s">
        <v>45</v>
      </c>
      <c r="D166" s="170" t="s">
        <v>1050</v>
      </c>
      <c r="E166" s="170" t="s">
        <v>519</v>
      </c>
      <c r="F166" s="170" t="s">
        <v>48</v>
      </c>
      <c r="G166" s="177" t="s">
        <v>1051</v>
      </c>
      <c r="H166" s="10">
        <v>43389</v>
      </c>
      <c r="I166" s="177">
        <f t="shared" si="6"/>
        <v>57</v>
      </c>
      <c r="J166" s="235">
        <v>45142</v>
      </c>
      <c r="K166" s="177" t="str">
        <f t="shared" si="5"/>
        <v>ANTIGUO</v>
      </c>
      <c r="L166" s="235">
        <v>45142</v>
      </c>
      <c r="M166" s="235">
        <v>45142</v>
      </c>
      <c r="N166" s="235" t="s">
        <v>50</v>
      </c>
      <c r="O166" s="177">
        <v>0</v>
      </c>
      <c r="P166" s="177" t="s">
        <v>51</v>
      </c>
      <c r="Q166" s="177" t="s">
        <v>50</v>
      </c>
      <c r="R166" s="178" t="s">
        <v>50</v>
      </c>
      <c r="S166" s="178" t="s">
        <v>173</v>
      </c>
      <c r="T166" s="9" t="s">
        <v>389</v>
      </c>
      <c r="U166" s="6" t="s">
        <v>1052</v>
      </c>
      <c r="V166" s="177" t="s">
        <v>1053</v>
      </c>
      <c r="W166" s="177" t="s">
        <v>50</v>
      </c>
      <c r="X166" s="177" t="s">
        <v>151</v>
      </c>
      <c r="Y166" s="236">
        <v>0.57291666666666663</v>
      </c>
      <c r="Z166" s="177" t="s">
        <v>111</v>
      </c>
      <c r="AA166" s="177" t="s">
        <v>944</v>
      </c>
      <c r="AB166" s="178">
        <v>15840</v>
      </c>
      <c r="AC166" s="202" t="s">
        <v>1054</v>
      </c>
      <c r="AD166" s="177" t="s">
        <v>178</v>
      </c>
      <c r="AE166" s="177" t="s">
        <v>1055</v>
      </c>
      <c r="AF166" s="177">
        <v>52</v>
      </c>
      <c r="AG166" s="177" t="s">
        <v>383</v>
      </c>
      <c r="AH166" s="177" t="s">
        <v>143</v>
      </c>
      <c r="AI166" s="177" t="s">
        <v>61</v>
      </c>
      <c r="AJ166" s="178" t="s">
        <v>384</v>
      </c>
      <c r="AK166" s="179" t="s">
        <v>1056</v>
      </c>
      <c r="AL166" s="178" t="s">
        <v>118</v>
      </c>
      <c r="AM166" s="178" t="s">
        <v>65</v>
      </c>
      <c r="AN166" s="178" t="s">
        <v>65</v>
      </c>
      <c r="AO166" s="178" t="s">
        <v>83</v>
      </c>
      <c r="AP166" s="178" t="s">
        <v>250</v>
      </c>
      <c r="AQ166" s="165"/>
    </row>
    <row r="167" spans="1:43" x14ac:dyDescent="0.25">
      <c r="A167" s="177">
        <v>2023</v>
      </c>
      <c r="B167" s="177" t="s">
        <v>919</v>
      </c>
      <c r="C167" s="177" t="s">
        <v>45</v>
      </c>
      <c r="D167" s="177" t="s">
        <v>556</v>
      </c>
      <c r="E167" s="177" t="s">
        <v>557</v>
      </c>
      <c r="F167" s="177" t="s">
        <v>48</v>
      </c>
      <c r="G167" s="177" t="s">
        <v>558</v>
      </c>
      <c r="H167" s="289">
        <v>44312</v>
      </c>
      <c r="I167" s="177">
        <f t="shared" si="6"/>
        <v>28</v>
      </c>
      <c r="J167" s="235">
        <v>45173</v>
      </c>
      <c r="K167" s="177" t="str">
        <f t="shared" si="5"/>
        <v>ANTIGUO</v>
      </c>
      <c r="L167" s="177" t="s">
        <v>50</v>
      </c>
      <c r="M167" s="177" t="s">
        <v>50</v>
      </c>
      <c r="N167" s="177" t="s">
        <v>50</v>
      </c>
      <c r="O167" s="177">
        <v>0</v>
      </c>
      <c r="P167" s="177" t="s">
        <v>51</v>
      </c>
      <c r="Q167" s="177" t="s">
        <v>50</v>
      </c>
      <c r="R167" s="178" t="s">
        <v>50</v>
      </c>
      <c r="S167" s="177" t="s">
        <v>160</v>
      </c>
      <c r="T167" s="177" t="s">
        <v>191</v>
      </c>
      <c r="U167" s="1" t="s">
        <v>742</v>
      </c>
      <c r="V167" s="177" t="s">
        <v>1057</v>
      </c>
      <c r="W167" s="177" t="s">
        <v>1057</v>
      </c>
      <c r="X167" s="177" t="s">
        <v>151</v>
      </c>
      <c r="Y167" s="236">
        <v>0.9145833333333333</v>
      </c>
      <c r="Z167" s="177" t="s">
        <v>137</v>
      </c>
      <c r="AA167" s="178" t="s">
        <v>1058</v>
      </c>
      <c r="AB167" s="178"/>
      <c r="AC167" s="203"/>
      <c r="AD167" s="177" t="s">
        <v>164</v>
      </c>
      <c r="AE167" s="177" t="s">
        <v>215</v>
      </c>
      <c r="AF167" s="177">
        <v>25</v>
      </c>
      <c r="AG167" s="177" t="s">
        <v>99</v>
      </c>
      <c r="AH167" s="177" t="s">
        <v>153</v>
      </c>
      <c r="AI167" s="177" t="s">
        <v>61</v>
      </c>
      <c r="AJ167" s="177" t="s">
        <v>293</v>
      </c>
      <c r="AK167" s="179" t="s">
        <v>1059</v>
      </c>
      <c r="AL167" s="178" t="s">
        <v>64</v>
      </c>
      <c r="AM167" s="178" t="s">
        <v>65</v>
      </c>
      <c r="AN167" s="178" t="s">
        <v>66</v>
      </c>
      <c r="AO167" s="178" t="s">
        <v>83</v>
      </c>
      <c r="AP167" s="178" t="s">
        <v>240</v>
      </c>
      <c r="AQ167" s="29"/>
    </row>
    <row r="168" spans="1:43" ht="15" hidden="1" customHeight="1" x14ac:dyDescent="0.25">
      <c r="A168" s="170">
        <v>2023</v>
      </c>
      <c r="B168" s="170" t="s">
        <v>919</v>
      </c>
      <c r="C168" s="170" t="s">
        <v>45</v>
      </c>
      <c r="D168" s="170" t="s">
        <v>1060</v>
      </c>
      <c r="E168" s="170" t="s">
        <v>636</v>
      </c>
      <c r="F168" s="170" t="s">
        <v>48</v>
      </c>
      <c r="G168" s="177" t="s">
        <v>1061</v>
      </c>
      <c r="H168" s="10">
        <v>43675</v>
      </c>
      <c r="I168" s="177">
        <f t="shared" si="6"/>
        <v>48</v>
      </c>
      <c r="J168" s="235">
        <v>45145</v>
      </c>
      <c r="K168" s="177" t="str">
        <f t="shared" si="5"/>
        <v>ANTIGUO</v>
      </c>
      <c r="L168" s="177" t="s">
        <v>50</v>
      </c>
      <c r="M168" s="177" t="s">
        <v>50</v>
      </c>
      <c r="N168" s="177" t="s">
        <v>50</v>
      </c>
      <c r="O168" s="177">
        <v>0</v>
      </c>
      <c r="P168" s="177" t="s">
        <v>51</v>
      </c>
      <c r="Q168" s="177" t="s">
        <v>50</v>
      </c>
      <c r="R168" s="178" t="s">
        <v>50</v>
      </c>
      <c r="S168" s="178" t="s">
        <v>234</v>
      </c>
      <c r="T168" s="9" t="s">
        <v>1062</v>
      </c>
      <c r="U168" s="177" t="s">
        <v>1063</v>
      </c>
      <c r="V168" s="177" t="s">
        <v>1064</v>
      </c>
      <c r="W168" s="177" t="s">
        <v>50</v>
      </c>
      <c r="X168" s="177" t="s">
        <v>54</v>
      </c>
      <c r="Y168" s="236">
        <v>0.51041666666666663</v>
      </c>
      <c r="Z168" s="177" t="s">
        <v>137</v>
      </c>
      <c r="AA168" s="177" t="s">
        <v>924</v>
      </c>
      <c r="AB168" s="178"/>
      <c r="AC168" s="203"/>
      <c r="AD168" s="177" t="s">
        <v>236</v>
      </c>
      <c r="AE168" s="177" t="s">
        <v>276</v>
      </c>
      <c r="AF168" s="177">
        <v>46</v>
      </c>
      <c r="AG168" s="177" t="s">
        <v>271</v>
      </c>
      <c r="AH168" s="177" t="s">
        <v>127</v>
      </c>
      <c r="AI168" s="177" t="s">
        <v>128</v>
      </c>
      <c r="AJ168" s="178" t="s">
        <v>154</v>
      </c>
      <c r="AK168" s="179" t="s">
        <v>1065</v>
      </c>
      <c r="AL168" s="178" t="s">
        <v>64</v>
      </c>
      <c r="AM168" s="178" t="s">
        <v>65</v>
      </c>
      <c r="AN168" s="178" t="s">
        <v>66</v>
      </c>
      <c r="AO168" s="178" t="s">
        <v>83</v>
      </c>
      <c r="AP168" s="178" t="s">
        <v>284</v>
      </c>
    </row>
    <row r="169" spans="1:43" ht="15" hidden="1" customHeight="1" x14ac:dyDescent="0.25">
      <c r="A169" s="177">
        <v>2023</v>
      </c>
      <c r="B169" s="177" t="s">
        <v>919</v>
      </c>
      <c r="C169" s="177" t="s">
        <v>45</v>
      </c>
      <c r="D169" s="177" t="s">
        <v>1066</v>
      </c>
      <c r="E169" s="177" t="s">
        <v>1067</v>
      </c>
      <c r="F169" s="177" t="s">
        <v>48</v>
      </c>
      <c r="G169" s="177" t="s">
        <v>1068</v>
      </c>
      <c r="H169" s="10">
        <v>44503</v>
      </c>
      <c r="I169" s="177">
        <f t="shared" si="6"/>
        <v>21</v>
      </c>
      <c r="J169" s="235">
        <v>45148</v>
      </c>
      <c r="K169" s="177" t="str">
        <f t="shared" si="5"/>
        <v>ANTIGUO</v>
      </c>
      <c r="L169" s="177" t="s">
        <v>50</v>
      </c>
      <c r="M169" s="177" t="s">
        <v>50</v>
      </c>
      <c r="N169" s="177" t="s">
        <v>50</v>
      </c>
      <c r="O169" s="177">
        <v>0</v>
      </c>
      <c r="P169" s="177" t="s">
        <v>51</v>
      </c>
      <c r="Q169" s="177" t="s">
        <v>50</v>
      </c>
      <c r="R169" s="178" t="s">
        <v>50</v>
      </c>
      <c r="S169" s="178" t="s">
        <v>160</v>
      </c>
      <c r="T169" s="177" t="s">
        <v>191</v>
      </c>
      <c r="U169" s="177" t="s">
        <v>53</v>
      </c>
      <c r="V169" s="177" t="s">
        <v>765</v>
      </c>
      <c r="W169" s="177" t="s">
        <v>267</v>
      </c>
      <c r="X169" s="177" t="s">
        <v>151</v>
      </c>
      <c r="Y169" s="236">
        <v>0.69791666666666663</v>
      </c>
      <c r="Z169" s="177" t="s">
        <v>76</v>
      </c>
      <c r="AA169" s="177" t="s">
        <v>924</v>
      </c>
      <c r="AB169" s="178"/>
      <c r="AC169" s="203"/>
      <c r="AD169" s="177" t="s">
        <v>164</v>
      </c>
      <c r="AE169" s="177" t="s">
        <v>215</v>
      </c>
      <c r="AF169" s="177">
        <v>37</v>
      </c>
      <c r="AG169" s="177" t="s">
        <v>271</v>
      </c>
      <c r="AH169" s="177" t="s">
        <v>60</v>
      </c>
      <c r="AI169" s="177" t="s">
        <v>80</v>
      </c>
      <c r="AJ169" s="178" t="s">
        <v>129</v>
      </c>
      <c r="AK169" s="179" t="s">
        <v>1069</v>
      </c>
      <c r="AL169" s="178" t="s">
        <v>64</v>
      </c>
      <c r="AM169" s="178" t="s">
        <v>65</v>
      </c>
      <c r="AN169" s="178" t="s">
        <v>66</v>
      </c>
      <c r="AO169" s="178" t="s">
        <v>83</v>
      </c>
      <c r="AP169" s="178" t="s">
        <v>250</v>
      </c>
    </row>
    <row r="170" spans="1:43" hidden="1" x14ac:dyDescent="0.25">
      <c r="A170" s="177">
        <v>2023</v>
      </c>
      <c r="B170" s="177" t="s">
        <v>919</v>
      </c>
      <c r="C170" s="177" t="s">
        <v>45</v>
      </c>
      <c r="D170" s="177" t="s">
        <v>1070</v>
      </c>
      <c r="E170" s="177" t="s">
        <v>86</v>
      </c>
      <c r="F170" s="177" t="s">
        <v>48</v>
      </c>
      <c r="G170" s="177" t="s">
        <v>1071</v>
      </c>
      <c r="H170" s="10">
        <v>39457</v>
      </c>
      <c r="I170" s="177">
        <f t="shared" si="6"/>
        <v>187</v>
      </c>
      <c r="J170" s="235">
        <v>45161</v>
      </c>
      <c r="K170" s="177" t="str">
        <f t="shared" si="5"/>
        <v>ANTIGUO</v>
      </c>
      <c r="L170" s="235" t="s">
        <v>50</v>
      </c>
      <c r="M170" s="177" t="s">
        <v>50</v>
      </c>
      <c r="N170" s="177" t="s">
        <v>50</v>
      </c>
      <c r="O170" s="177">
        <v>0</v>
      </c>
      <c r="P170" s="177" t="s">
        <v>51</v>
      </c>
      <c r="Q170" s="177" t="s">
        <v>50</v>
      </c>
      <c r="R170" s="178" t="s">
        <v>50</v>
      </c>
      <c r="S170" s="178" t="s">
        <v>134</v>
      </c>
      <c r="T170" s="177" t="s">
        <v>729</v>
      </c>
      <c r="U170" s="177" t="s">
        <v>53</v>
      </c>
      <c r="V170" s="177" t="s">
        <v>1072</v>
      </c>
      <c r="W170" s="177" t="s">
        <v>50</v>
      </c>
      <c r="X170" s="177" t="s">
        <v>54</v>
      </c>
      <c r="Y170" s="236">
        <v>0.52083333333333337</v>
      </c>
      <c r="Z170" s="177" t="s">
        <v>55</v>
      </c>
      <c r="AA170" s="177" t="s">
        <v>935</v>
      </c>
      <c r="AB170" s="178"/>
      <c r="AC170" s="203"/>
      <c r="AD170" s="177" t="s">
        <v>140</v>
      </c>
      <c r="AE170" s="177" t="s">
        <v>510</v>
      </c>
      <c r="AF170" s="177">
        <v>33</v>
      </c>
      <c r="AG170" s="177" t="s">
        <v>475</v>
      </c>
      <c r="AH170" s="177" t="s">
        <v>60</v>
      </c>
      <c r="AI170" s="177" t="s">
        <v>167</v>
      </c>
      <c r="AJ170" s="178" t="s">
        <v>129</v>
      </c>
      <c r="AK170" s="179" t="s">
        <v>1073</v>
      </c>
      <c r="AL170" s="178" t="s">
        <v>64</v>
      </c>
      <c r="AM170" s="178" t="s">
        <v>65</v>
      </c>
      <c r="AN170" s="178" t="s">
        <v>66</v>
      </c>
      <c r="AO170" s="178" t="s">
        <v>67</v>
      </c>
      <c r="AP170" s="178" t="s">
        <v>284</v>
      </c>
    </row>
    <row r="171" spans="1:43" hidden="1" x14ac:dyDescent="0.25">
      <c r="A171" s="177">
        <v>2023</v>
      </c>
      <c r="B171" s="177" t="s">
        <v>919</v>
      </c>
      <c r="C171" s="177" t="s">
        <v>45</v>
      </c>
      <c r="D171" s="177" t="s">
        <v>733</v>
      </c>
      <c r="E171" s="177" t="s">
        <v>1074</v>
      </c>
      <c r="F171" s="177" t="s">
        <v>48</v>
      </c>
      <c r="G171" s="177" t="s">
        <v>735</v>
      </c>
      <c r="H171" s="10">
        <v>44754</v>
      </c>
      <c r="I171" s="177">
        <f t="shared" si="6"/>
        <v>13</v>
      </c>
      <c r="J171" s="235">
        <v>45150</v>
      </c>
      <c r="K171" s="177" t="str">
        <f t="shared" si="5"/>
        <v>INTERMEDIO</v>
      </c>
      <c r="L171" s="177" t="s">
        <v>50</v>
      </c>
      <c r="M171" s="177" t="s">
        <v>50</v>
      </c>
      <c r="N171" s="177" t="s">
        <v>50</v>
      </c>
      <c r="O171" s="177">
        <v>0</v>
      </c>
      <c r="P171" s="177" t="s">
        <v>51</v>
      </c>
      <c r="Q171" s="177" t="s">
        <v>89</v>
      </c>
      <c r="R171" s="178" t="s">
        <v>1075</v>
      </c>
      <c r="S171" s="178" t="s">
        <v>264</v>
      </c>
      <c r="T171" s="177" t="s">
        <v>1016</v>
      </c>
      <c r="U171" s="177" t="s">
        <v>849</v>
      </c>
      <c r="V171" s="177" t="s">
        <v>1076</v>
      </c>
      <c r="W171" s="177" t="s">
        <v>50</v>
      </c>
      <c r="X171" s="177" t="s">
        <v>151</v>
      </c>
      <c r="Y171" s="236">
        <v>0.90277777777777779</v>
      </c>
      <c r="Z171" s="177" t="s">
        <v>95</v>
      </c>
      <c r="AA171" s="177" t="s">
        <v>924</v>
      </c>
      <c r="AB171" s="178"/>
      <c r="AC171" s="203"/>
      <c r="AD171" s="177" t="s">
        <v>269</v>
      </c>
      <c r="AE171" s="177" t="s">
        <v>737</v>
      </c>
      <c r="AF171" s="177">
        <v>31</v>
      </c>
      <c r="AG171" s="177" t="s">
        <v>1077</v>
      </c>
      <c r="AH171" s="177" t="s">
        <v>450</v>
      </c>
      <c r="AI171" s="177" t="s">
        <v>61</v>
      </c>
      <c r="AJ171" s="178" t="s">
        <v>1078</v>
      </c>
      <c r="AK171" s="179" t="s">
        <v>1079</v>
      </c>
      <c r="AL171" s="178" t="s">
        <v>64</v>
      </c>
      <c r="AM171" s="178" t="s">
        <v>65</v>
      </c>
      <c r="AN171" s="178" t="s">
        <v>66</v>
      </c>
      <c r="AO171" s="178" t="s">
        <v>67</v>
      </c>
      <c r="AP171" s="178" t="s">
        <v>250</v>
      </c>
    </row>
    <row r="172" spans="1:43" hidden="1" x14ac:dyDescent="0.25">
      <c r="A172" s="178">
        <v>2023</v>
      </c>
      <c r="B172" s="178" t="s">
        <v>919</v>
      </c>
      <c r="C172" s="178" t="s">
        <v>45</v>
      </c>
      <c r="D172" s="177" t="s">
        <v>1080</v>
      </c>
      <c r="E172" s="177" t="s">
        <v>1081</v>
      </c>
      <c r="F172" s="177" t="s">
        <v>48</v>
      </c>
      <c r="G172" s="177" t="s">
        <v>1082</v>
      </c>
      <c r="H172" s="10">
        <v>44876</v>
      </c>
      <c r="I172" s="177">
        <f t="shared" si="6"/>
        <v>9</v>
      </c>
      <c r="J172" s="235">
        <v>45159</v>
      </c>
      <c r="K172" s="177" t="str">
        <f t="shared" si="5"/>
        <v>INTERMEDIO</v>
      </c>
      <c r="L172" s="177" t="s">
        <v>50</v>
      </c>
      <c r="M172" s="177" t="s">
        <v>50</v>
      </c>
      <c r="N172" s="177" t="s">
        <v>50</v>
      </c>
      <c r="O172" s="177">
        <v>0</v>
      </c>
      <c r="P172" s="177" t="s">
        <v>51</v>
      </c>
      <c r="Q172" s="177" t="s">
        <v>50</v>
      </c>
      <c r="R172" s="178" t="s">
        <v>50</v>
      </c>
      <c r="S172" s="178" t="s">
        <v>91</v>
      </c>
      <c r="T172" s="177" t="s">
        <v>123</v>
      </c>
      <c r="U172" s="9" t="s">
        <v>53</v>
      </c>
      <c r="V172" s="177" t="s">
        <v>1083</v>
      </c>
      <c r="W172" s="177" t="s">
        <v>50</v>
      </c>
      <c r="X172" s="177" t="s">
        <v>151</v>
      </c>
      <c r="Y172" s="236">
        <v>0.72916666666666663</v>
      </c>
      <c r="Z172" s="177" t="s">
        <v>137</v>
      </c>
      <c r="AA172" s="177" t="s">
        <v>935</v>
      </c>
      <c r="AB172" s="178"/>
      <c r="AC172" s="203"/>
      <c r="AD172" s="177" t="s">
        <v>97</v>
      </c>
      <c r="AE172" s="177" t="s">
        <v>98</v>
      </c>
      <c r="AF172" s="177">
        <v>22</v>
      </c>
      <c r="AG172" s="177" t="s">
        <v>79</v>
      </c>
      <c r="AH172" s="177" t="s">
        <v>60</v>
      </c>
      <c r="AI172" s="177" t="s">
        <v>167</v>
      </c>
      <c r="AJ172" s="178" t="s">
        <v>129</v>
      </c>
      <c r="AK172" s="179" t="s">
        <v>1084</v>
      </c>
      <c r="AL172" s="178" t="s">
        <v>64</v>
      </c>
      <c r="AM172" s="178" t="s">
        <v>65</v>
      </c>
      <c r="AN172" s="178" t="s">
        <v>66</v>
      </c>
      <c r="AO172" s="178" t="s">
        <v>83</v>
      </c>
      <c r="AP172" s="178" t="s">
        <v>240</v>
      </c>
    </row>
    <row r="173" spans="1:43" s="29" customFormat="1" ht="15" hidden="1" customHeight="1" x14ac:dyDescent="0.25">
      <c r="A173" s="177">
        <v>2023</v>
      </c>
      <c r="B173" s="177" t="s">
        <v>919</v>
      </c>
      <c r="C173" s="177" t="s">
        <v>45</v>
      </c>
      <c r="D173" s="177" t="s">
        <v>1085</v>
      </c>
      <c r="E173" s="177" t="s">
        <v>1086</v>
      </c>
      <c r="F173" s="177" t="s">
        <v>71</v>
      </c>
      <c r="G173" s="177" t="s">
        <v>1087</v>
      </c>
      <c r="H173" s="10">
        <v>42720</v>
      </c>
      <c r="I173" s="177">
        <f t="shared" si="6"/>
        <v>80</v>
      </c>
      <c r="J173" s="235">
        <v>45155</v>
      </c>
      <c r="K173" s="177" t="str">
        <f t="shared" si="5"/>
        <v>ANTIGUO</v>
      </c>
      <c r="L173" s="235">
        <v>45155</v>
      </c>
      <c r="M173" s="235">
        <v>45155</v>
      </c>
      <c r="N173" s="235">
        <v>45161</v>
      </c>
      <c r="O173" s="314">
        <v>3</v>
      </c>
      <c r="P173" s="177" t="s">
        <v>88</v>
      </c>
      <c r="Q173" s="177" t="s">
        <v>89</v>
      </c>
      <c r="R173" s="178" t="s">
        <v>721</v>
      </c>
      <c r="S173" s="178" t="s">
        <v>234</v>
      </c>
      <c r="T173" s="9" t="s">
        <v>1088</v>
      </c>
      <c r="U173" s="6" t="s">
        <v>53</v>
      </c>
      <c r="V173" s="177" t="s">
        <v>265</v>
      </c>
      <c r="W173" s="177" t="s">
        <v>1089</v>
      </c>
      <c r="X173" s="177" t="s">
        <v>54</v>
      </c>
      <c r="Y173" s="236">
        <v>0.51388888888888895</v>
      </c>
      <c r="Z173" s="177" t="s">
        <v>76</v>
      </c>
      <c r="AA173" s="177" t="s">
        <v>931</v>
      </c>
      <c r="AB173" s="178">
        <v>15872</v>
      </c>
      <c r="AC173" s="203" t="s">
        <v>1090</v>
      </c>
      <c r="AD173" s="177" t="s">
        <v>236</v>
      </c>
      <c r="AE173" s="177" t="s">
        <v>276</v>
      </c>
      <c r="AF173" s="177">
        <v>48</v>
      </c>
      <c r="AG173" s="177" t="s">
        <v>99</v>
      </c>
      <c r="AH173" s="177" t="s">
        <v>450</v>
      </c>
      <c r="AI173" s="177" t="s">
        <v>302</v>
      </c>
      <c r="AJ173" s="178" t="s">
        <v>329</v>
      </c>
      <c r="AK173" s="179" t="s">
        <v>1091</v>
      </c>
      <c r="AL173" s="178" t="s">
        <v>64</v>
      </c>
      <c r="AM173" s="178" t="s">
        <v>65</v>
      </c>
      <c r="AN173" s="178" t="s">
        <v>65</v>
      </c>
      <c r="AO173" s="178" t="s">
        <v>83</v>
      </c>
      <c r="AP173" s="178" t="s">
        <v>250</v>
      </c>
      <c r="AQ173" s="165"/>
    </row>
    <row r="174" spans="1:43" hidden="1" x14ac:dyDescent="0.25">
      <c r="A174" s="177">
        <v>2023</v>
      </c>
      <c r="B174" s="177" t="s">
        <v>1092</v>
      </c>
      <c r="C174" s="177" t="s">
        <v>45</v>
      </c>
      <c r="D174" s="177" t="s">
        <v>1093</v>
      </c>
      <c r="E174" s="314" t="s">
        <v>1094</v>
      </c>
      <c r="F174" s="177" t="s">
        <v>71</v>
      </c>
      <c r="G174" s="9" t="s">
        <v>1095</v>
      </c>
      <c r="H174" s="10">
        <v>43808</v>
      </c>
      <c r="I174" s="177">
        <f t="shared" si="6"/>
        <v>45</v>
      </c>
      <c r="J174" s="235">
        <v>45181</v>
      </c>
      <c r="K174" s="177" t="str">
        <f t="shared" si="5"/>
        <v>ANTIGUO</v>
      </c>
      <c r="L174" s="235">
        <v>45182</v>
      </c>
      <c r="M174" s="235">
        <v>45182</v>
      </c>
      <c r="N174" s="177" t="s">
        <v>50</v>
      </c>
      <c r="O174" s="177">
        <v>0</v>
      </c>
      <c r="P174" s="177" t="s">
        <v>51</v>
      </c>
      <c r="Q174" s="177" t="s">
        <v>50</v>
      </c>
      <c r="R174" s="178" t="s">
        <v>50</v>
      </c>
      <c r="S174" s="177" t="s">
        <v>173</v>
      </c>
      <c r="T174" s="9" t="s">
        <v>389</v>
      </c>
      <c r="U174" s="177" t="s">
        <v>53</v>
      </c>
      <c r="V174" s="177" t="s">
        <v>605</v>
      </c>
      <c r="W174" s="177" t="s">
        <v>50</v>
      </c>
      <c r="X174" s="177" t="s">
        <v>151</v>
      </c>
      <c r="Y174" s="236">
        <v>0.72222222222222221</v>
      </c>
      <c r="Z174" s="177" t="s">
        <v>125</v>
      </c>
      <c r="AA174" s="178" t="s">
        <v>1096</v>
      </c>
      <c r="AB174" s="178">
        <v>15917</v>
      </c>
      <c r="AC174" s="359" t="s">
        <v>1097</v>
      </c>
      <c r="AD174" s="177" t="s">
        <v>178</v>
      </c>
      <c r="AE174" s="177" t="s">
        <v>903</v>
      </c>
      <c r="AF174" s="177">
        <v>58</v>
      </c>
      <c r="AG174" s="177" t="s">
        <v>79</v>
      </c>
      <c r="AH174" s="177" t="s">
        <v>256</v>
      </c>
      <c r="AI174" s="177" t="s">
        <v>80</v>
      </c>
      <c r="AJ174" s="177" t="s">
        <v>81</v>
      </c>
      <c r="AK174" s="257" t="s">
        <v>1098</v>
      </c>
      <c r="AL174" s="178" t="s">
        <v>118</v>
      </c>
      <c r="AM174" s="178" t="s">
        <v>65</v>
      </c>
      <c r="AN174" s="178" t="s">
        <v>65</v>
      </c>
      <c r="AO174" s="178" t="s">
        <v>67</v>
      </c>
      <c r="AP174" s="178" t="s">
        <v>284</v>
      </c>
    </row>
    <row r="175" spans="1:43" s="255" customFormat="1" hidden="1" x14ac:dyDescent="0.25">
      <c r="A175" s="177">
        <v>2023</v>
      </c>
      <c r="B175" s="177" t="s">
        <v>1092</v>
      </c>
      <c r="C175" s="177" t="s">
        <v>45</v>
      </c>
      <c r="D175" s="177" t="s">
        <v>847</v>
      </c>
      <c r="E175" s="177" t="s">
        <v>557</v>
      </c>
      <c r="F175" s="170" t="s">
        <v>48</v>
      </c>
      <c r="G175" s="9" t="s">
        <v>848</v>
      </c>
      <c r="H175" s="10">
        <v>44826</v>
      </c>
      <c r="I175" s="177">
        <f t="shared" si="6"/>
        <v>11</v>
      </c>
      <c r="J175" s="235">
        <v>45180</v>
      </c>
      <c r="K175" s="177" t="str">
        <f t="shared" si="5"/>
        <v>INTERMEDIO</v>
      </c>
      <c r="L175" s="177" t="s">
        <v>50</v>
      </c>
      <c r="M175" s="177" t="s">
        <v>50</v>
      </c>
      <c r="N175" s="177" t="s">
        <v>50</v>
      </c>
      <c r="O175" s="177">
        <v>0</v>
      </c>
      <c r="P175" s="177" t="s">
        <v>51</v>
      </c>
      <c r="Q175" s="177" t="s">
        <v>50</v>
      </c>
      <c r="R175" s="178" t="s">
        <v>50</v>
      </c>
      <c r="S175" s="178" t="s">
        <v>264</v>
      </c>
      <c r="T175" s="177" t="s">
        <v>264</v>
      </c>
      <c r="U175" s="177" t="s">
        <v>849</v>
      </c>
      <c r="V175" s="177" t="s">
        <v>1099</v>
      </c>
      <c r="W175" s="177" t="s">
        <v>50</v>
      </c>
      <c r="X175" s="177" t="s">
        <v>54</v>
      </c>
      <c r="Y175" s="236">
        <v>0.61458333333333337</v>
      </c>
      <c r="Z175" s="177" t="s">
        <v>137</v>
      </c>
      <c r="AA175" s="177" t="s">
        <v>1096</v>
      </c>
      <c r="AB175" s="178"/>
      <c r="AC175" s="203"/>
      <c r="AD175" s="177" t="s">
        <v>269</v>
      </c>
      <c r="AE175" s="177" t="s">
        <v>850</v>
      </c>
      <c r="AF175" s="177">
        <v>34</v>
      </c>
      <c r="AG175" s="177" t="s">
        <v>79</v>
      </c>
      <c r="AH175" s="177" t="s">
        <v>166</v>
      </c>
      <c r="AI175" s="177" t="s">
        <v>61</v>
      </c>
      <c r="AJ175" s="177" t="s">
        <v>61</v>
      </c>
      <c r="AK175" s="179" t="s">
        <v>1100</v>
      </c>
      <c r="AL175" s="178" t="s">
        <v>118</v>
      </c>
      <c r="AM175" s="178" t="s">
        <v>65</v>
      </c>
      <c r="AN175" s="178" t="s">
        <v>66</v>
      </c>
      <c r="AO175" s="178" t="s">
        <v>83</v>
      </c>
      <c r="AP175" s="178" t="s">
        <v>103</v>
      </c>
      <c r="AQ175" s="165"/>
    </row>
    <row r="176" spans="1:43" ht="15" hidden="1" customHeight="1" x14ac:dyDescent="0.25">
      <c r="A176" s="177">
        <v>2023</v>
      </c>
      <c r="B176" s="177" t="s">
        <v>1092</v>
      </c>
      <c r="C176" s="177" t="s">
        <v>45</v>
      </c>
      <c r="D176" s="177" t="s">
        <v>1101</v>
      </c>
      <c r="E176" s="177" t="s">
        <v>1102</v>
      </c>
      <c r="F176" s="177" t="s">
        <v>48</v>
      </c>
      <c r="G176" s="9" t="s">
        <v>1103</v>
      </c>
      <c r="H176" s="10">
        <v>45110</v>
      </c>
      <c r="I176" s="177">
        <f t="shared" si="6"/>
        <v>2</v>
      </c>
      <c r="J176" s="235">
        <v>45183</v>
      </c>
      <c r="K176" s="177" t="str">
        <f t="shared" si="5"/>
        <v>NUEVO</v>
      </c>
      <c r="L176" s="177" t="s">
        <v>50</v>
      </c>
      <c r="M176" s="177" t="s">
        <v>50</v>
      </c>
      <c r="N176" s="177" t="s">
        <v>50</v>
      </c>
      <c r="O176" s="177">
        <v>0</v>
      </c>
      <c r="P176" s="177" t="s">
        <v>51</v>
      </c>
      <c r="Q176" s="177" t="s">
        <v>50</v>
      </c>
      <c r="R176" s="178" t="s">
        <v>50</v>
      </c>
      <c r="S176" s="177" t="s">
        <v>134</v>
      </c>
      <c r="T176" s="163" t="s">
        <v>729</v>
      </c>
      <c r="U176" s="177" t="s">
        <v>53</v>
      </c>
      <c r="V176" s="177" t="s">
        <v>1104</v>
      </c>
      <c r="W176" s="177" t="s">
        <v>50</v>
      </c>
      <c r="X176" s="177" t="s">
        <v>151</v>
      </c>
      <c r="Y176" s="236">
        <v>0.625</v>
      </c>
      <c r="Z176" s="177" t="s">
        <v>76</v>
      </c>
      <c r="AA176" s="178" t="s">
        <v>1096</v>
      </c>
      <c r="AB176" s="178"/>
      <c r="AC176" s="203"/>
      <c r="AD176" s="177" t="s">
        <v>140</v>
      </c>
      <c r="AE176" s="177" t="s">
        <v>344</v>
      </c>
      <c r="AF176" s="177">
        <v>43</v>
      </c>
      <c r="AG176" s="177" t="s">
        <v>475</v>
      </c>
      <c r="AH176" s="177" t="s">
        <v>256</v>
      </c>
      <c r="AI176" s="177" t="s">
        <v>61</v>
      </c>
      <c r="AJ176" s="177" t="s">
        <v>62</v>
      </c>
      <c r="AK176" s="179" t="s">
        <v>1105</v>
      </c>
      <c r="AL176" s="178" t="s">
        <v>64</v>
      </c>
      <c r="AM176" s="178" t="s">
        <v>65</v>
      </c>
      <c r="AN176" s="178" t="s">
        <v>66</v>
      </c>
      <c r="AO176" s="178" t="s">
        <v>67</v>
      </c>
      <c r="AP176" s="178" t="s">
        <v>240</v>
      </c>
    </row>
    <row r="177" spans="1:43" hidden="1" x14ac:dyDescent="0.25">
      <c r="A177" s="177">
        <v>2023</v>
      </c>
      <c r="B177" s="177" t="s">
        <v>1092</v>
      </c>
      <c r="C177" s="177" t="s">
        <v>45</v>
      </c>
      <c r="D177" s="177" t="s">
        <v>1106</v>
      </c>
      <c r="E177" s="177" t="s">
        <v>363</v>
      </c>
      <c r="F177" s="177" t="s">
        <v>48</v>
      </c>
      <c r="G177" s="9" t="s">
        <v>1107</v>
      </c>
      <c r="H177" s="10">
        <v>44595</v>
      </c>
      <c r="I177" s="177">
        <f t="shared" si="6"/>
        <v>19</v>
      </c>
      <c r="J177" s="235">
        <v>45181</v>
      </c>
      <c r="K177" s="177" t="str">
        <f t="shared" si="5"/>
        <v>ANTIGUO</v>
      </c>
      <c r="L177" s="177" t="s">
        <v>50</v>
      </c>
      <c r="M177" s="177" t="s">
        <v>50</v>
      </c>
      <c r="N177" s="177" t="s">
        <v>50</v>
      </c>
      <c r="O177" s="177">
        <v>0</v>
      </c>
      <c r="P177" s="177" t="s">
        <v>51</v>
      </c>
      <c r="Q177" s="177" t="s">
        <v>50</v>
      </c>
      <c r="R177" s="178" t="s">
        <v>50</v>
      </c>
      <c r="S177" s="177" t="s">
        <v>134</v>
      </c>
      <c r="T177" s="177" t="s">
        <v>729</v>
      </c>
      <c r="U177" s="177" t="s">
        <v>1063</v>
      </c>
      <c r="V177" s="177" t="s">
        <v>1108</v>
      </c>
      <c r="W177" s="177" t="s">
        <v>50</v>
      </c>
      <c r="X177" s="177" t="s">
        <v>54</v>
      </c>
      <c r="Y177" s="236">
        <v>0.27083333333333331</v>
      </c>
      <c r="Z177" s="177" t="s">
        <v>125</v>
      </c>
      <c r="AA177" s="178" t="s">
        <v>1096</v>
      </c>
      <c r="AB177" s="178"/>
      <c r="AC177" s="203"/>
      <c r="AD177" s="177" t="s">
        <v>140</v>
      </c>
      <c r="AE177" s="177" t="s">
        <v>510</v>
      </c>
      <c r="AF177" s="177">
        <v>22</v>
      </c>
      <c r="AG177" s="177" t="s">
        <v>115</v>
      </c>
      <c r="AH177" s="177" t="s">
        <v>60</v>
      </c>
      <c r="AI177" s="177" t="s">
        <v>80</v>
      </c>
      <c r="AJ177" s="177" t="s">
        <v>154</v>
      </c>
      <c r="AK177" s="179" t="s">
        <v>1109</v>
      </c>
      <c r="AL177" s="178" t="s">
        <v>64</v>
      </c>
      <c r="AM177" s="178" t="s">
        <v>65</v>
      </c>
      <c r="AN177" s="178" t="s">
        <v>66</v>
      </c>
      <c r="AO177" s="178" t="s">
        <v>83</v>
      </c>
      <c r="AP177" s="178" t="s">
        <v>284</v>
      </c>
      <c r="AQ177" s="255"/>
    </row>
    <row r="178" spans="1:43" ht="15" hidden="1" customHeight="1" x14ac:dyDescent="0.25">
      <c r="A178" s="177">
        <v>2023</v>
      </c>
      <c r="B178" s="177" t="s">
        <v>1092</v>
      </c>
      <c r="C178" s="177" t="s">
        <v>45</v>
      </c>
      <c r="D178" s="177" t="s">
        <v>1110</v>
      </c>
      <c r="E178" s="177" t="s">
        <v>308</v>
      </c>
      <c r="F178" s="177" t="s">
        <v>48</v>
      </c>
      <c r="G178" s="9" t="s">
        <v>1111</v>
      </c>
      <c r="H178" s="10">
        <v>45173</v>
      </c>
      <c r="I178" s="177">
        <f t="shared" si="6"/>
        <v>0</v>
      </c>
      <c r="J178" s="235">
        <v>45184</v>
      </c>
      <c r="K178" s="177" t="str">
        <f t="shared" si="5"/>
        <v>NUEVO</v>
      </c>
      <c r="L178" s="177" t="s">
        <v>50</v>
      </c>
      <c r="M178" s="177" t="s">
        <v>50</v>
      </c>
      <c r="N178" s="177" t="s">
        <v>50</v>
      </c>
      <c r="O178" s="177">
        <v>0</v>
      </c>
      <c r="P178" s="177" t="s">
        <v>51</v>
      </c>
      <c r="Q178" s="177" t="s">
        <v>50</v>
      </c>
      <c r="R178" s="178" t="s">
        <v>50</v>
      </c>
      <c r="S178" s="177" t="s">
        <v>234</v>
      </c>
      <c r="T178" s="177" t="s">
        <v>235</v>
      </c>
      <c r="U178" s="177" t="s">
        <v>53</v>
      </c>
      <c r="V178" s="177" t="s">
        <v>499</v>
      </c>
      <c r="W178" s="177" t="s">
        <v>267</v>
      </c>
      <c r="X178" s="177" t="s">
        <v>151</v>
      </c>
      <c r="Y178" s="236">
        <v>0.60416666666666663</v>
      </c>
      <c r="Z178" s="177" t="s">
        <v>111</v>
      </c>
      <c r="AA178" s="178" t="s">
        <v>1096</v>
      </c>
      <c r="AB178" s="178"/>
      <c r="AC178" s="203"/>
      <c r="AD178" s="177" t="s">
        <v>236</v>
      </c>
      <c r="AE178" s="177" t="s">
        <v>276</v>
      </c>
      <c r="AF178" s="177">
        <v>33</v>
      </c>
      <c r="AG178" s="177" t="s">
        <v>271</v>
      </c>
      <c r="AH178" s="177" t="s">
        <v>166</v>
      </c>
      <c r="AI178" s="177" t="s">
        <v>80</v>
      </c>
      <c r="AJ178" s="177" t="s">
        <v>154</v>
      </c>
      <c r="AK178" s="179" t="s">
        <v>1112</v>
      </c>
      <c r="AL178" s="178" t="s">
        <v>64</v>
      </c>
      <c r="AM178" s="178" t="s">
        <v>65</v>
      </c>
      <c r="AN178" s="178" t="s">
        <v>66</v>
      </c>
      <c r="AO178" s="178" t="s">
        <v>67</v>
      </c>
      <c r="AP178" s="178" t="s">
        <v>103</v>
      </c>
    </row>
    <row r="179" spans="1:43" ht="15" hidden="1" customHeight="1" x14ac:dyDescent="0.25">
      <c r="A179" s="177">
        <v>2023</v>
      </c>
      <c r="B179" s="177" t="s">
        <v>1092</v>
      </c>
      <c r="C179" s="177" t="s">
        <v>45</v>
      </c>
      <c r="D179" s="177" t="s">
        <v>879</v>
      </c>
      <c r="E179" s="177" t="s">
        <v>347</v>
      </c>
      <c r="F179" s="177" t="s">
        <v>71</v>
      </c>
      <c r="G179" s="9" t="s">
        <v>880</v>
      </c>
      <c r="H179" s="10">
        <v>45012</v>
      </c>
      <c r="I179" s="177">
        <f t="shared" si="6"/>
        <v>5</v>
      </c>
      <c r="J179" s="235">
        <v>45190</v>
      </c>
      <c r="K179" s="177" t="str">
        <f t="shared" si="5"/>
        <v>NUEVO</v>
      </c>
      <c r="L179" s="177" t="s">
        <v>50</v>
      </c>
      <c r="M179" s="177" t="s">
        <v>50</v>
      </c>
      <c r="N179" s="177" t="s">
        <v>50</v>
      </c>
      <c r="O179" s="177">
        <v>0</v>
      </c>
      <c r="P179" s="177" t="s">
        <v>51</v>
      </c>
      <c r="Q179" s="177" t="s">
        <v>50</v>
      </c>
      <c r="R179" s="178" t="s">
        <v>50</v>
      </c>
      <c r="S179" s="177" t="s">
        <v>134</v>
      </c>
      <c r="T179" s="177" t="s">
        <v>729</v>
      </c>
      <c r="U179" s="177" t="s">
        <v>53</v>
      </c>
      <c r="V179" s="177" t="s">
        <v>1104</v>
      </c>
      <c r="W179" s="177" t="s">
        <v>267</v>
      </c>
      <c r="X179" s="177" t="s">
        <v>151</v>
      </c>
      <c r="Y179" s="236">
        <v>0.62152777777777779</v>
      </c>
      <c r="Z179" s="177" t="s">
        <v>76</v>
      </c>
      <c r="AA179" s="178" t="s">
        <v>1113</v>
      </c>
      <c r="AB179" s="178"/>
      <c r="AC179" s="203"/>
      <c r="AD179" s="177" t="s">
        <v>140</v>
      </c>
      <c r="AE179" s="177" t="s">
        <v>510</v>
      </c>
      <c r="AF179" s="177">
        <v>18</v>
      </c>
      <c r="AG179" s="177" t="s">
        <v>271</v>
      </c>
      <c r="AH179" s="177" t="s">
        <v>695</v>
      </c>
      <c r="AI179" s="177" t="s">
        <v>80</v>
      </c>
      <c r="AJ179" s="177" t="s">
        <v>154</v>
      </c>
      <c r="AK179" s="179" t="s">
        <v>1114</v>
      </c>
      <c r="AL179" s="178" t="s">
        <v>64</v>
      </c>
      <c r="AM179" s="178" t="s">
        <v>65</v>
      </c>
      <c r="AN179" s="178" t="s">
        <v>66</v>
      </c>
      <c r="AO179" s="178" t="s">
        <v>83</v>
      </c>
      <c r="AP179" s="178" t="s">
        <v>250</v>
      </c>
    </row>
    <row r="180" spans="1:43" ht="15" hidden="1" customHeight="1" x14ac:dyDescent="0.25">
      <c r="A180" s="177">
        <v>2023</v>
      </c>
      <c r="B180" s="177" t="s">
        <v>1092</v>
      </c>
      <c r="C180" s="177" t="s">
        <v>45</v>
      </c>
      <c r="D180" s="177" t="s">
        <v>1115</v>
      </c>
      <c r="E180" s="177" t="s">
        <v>603</v>
      </c>
      <c r="F180" s="177" t="s">
        <v>71</v>
      </c>
      <c r="G180" s="9" t="s">
        <v>1116</v>
      </c>
      <c r="H180" s="10">
        <v>44348</v>
      </c>
      <c r="I180" s="177">
        <f t="shared" si="6"/>
        <v>27</v>
      </c>
      <c r="J180" s="235">
        <v>45190</v>
      </c>
      <c r="K180" s="177" t="str">
        <f t="shared" si="5"/>
        <v>ANTIGUO</v>
      </c>
      <c r="L180" s="177" t="s">
        <v>50</v>
      </c>
      <c r="M180" s="177" t="s">
        <v>50</v>
      </c>
      <c r="N180" s="177" t="s">
        <v>50</v>
      </c>
      <c r="O180" s="177">
        <v>0</v>
      </c>
      <c r="P180" s="177" t="s">
        <v>51</v>
      </c>
      <c r="Q180" s="177" t="s">
        <v>50</v>
      </c>
      <c r="R180" s="178" t="s">
        <v>50</v>
      </c>
      <c r="S180" s="177" t="s">
        <v>160</v>
      </c>
      <c r="T180" s="177" t="s">
        <v>191</v>
      </c>
      <c r="U180" s="177" t="s">
        <v>53</v>
      </c>
      <c r="V180" s="177" t="s">
        <v>1117</v>
      </c>
      <c r="W180" s="177" t="s">
        <v>50</v>
      </c>
      <c r="X180" s="177" t="s">
        <v>151</v>
      </c>
      <c r="Y180" s="236">
        <v>0.62152777777777779</v>
      </c>
      <c r="Z180" s="177" t="s">
        <v>76</v>
      </c>
      <c r="AA180" s="178" t="s">
        <v>1113</v>
      </c>
      <c r="AB180" s="178"/>
      <c r="AC180" s="203"/>
      <c r="AD180" s="177" t="s">
        <v>164</v>
      </c>
      <c r="AE180" s="177" t="s">
        <v>215</v>
      </c>
      <c r="AF180" s="177">
        <v>55</v>
      </c>
      <c r="AG180" s="177" t="s">
        <v>79</v>
      </c>
      <c r="AH180" s="177" t="s">
        <v>143</v>
      </c>
      <c r="AI180" s="177" t="s">
        <v>80</v>
      </c>
      <c r="AJ180" s="177" t="s">
        <v>81</v>
      </c>
      <c r="AK180" s="179" t="s">
        <v>1118</v>
      </c>
      <c r="AL180" s="178" t="s">
        <v>118</v>
      </c>
      <c r="AM180" s="178" t="s">
        <v>66</v>
      </c>
      <c r="AN180" s="178" t="s">
        <v>66</v>
      </c>
      <c r="AO180" s="178" t="s">
        <v>83</v>
      </c>
      <c r="AP180" s="178" t="s">
        <v>250</v>
      </c>
    </row>
    <row r="181" spans="1:43" ht="15" hidden="1" customHeight="1" x14ac:dyDescent="0.25">
      <c r="A181" s="177">
        <v>2023</v>
      </c>
      <c r="B181" s="177" t="s">
        <v>1092</v>
      </c>
      <c r="C181" s="177" t="s">
        <v>45</v>
      </c>
      <c r="D181" s="177" t="s">
        <v>879</v>
      </c>
      <c r="E181" s="177" t="s">
        <v>347</v>
      </c>
      <c r="F181" s="177" t="s">
        <v>71</v>
      </c>
      <c r="G181" s="9" t="s">
        <v>880</v>
      </c>
      <c r="H181" s="10">
        <v>45012</v>
      </c>
      <c r="I181" s="177">
        <f t="shared" si="6"/>
        <v>5</v>
      </c>
      <c r="J181" s="235">
        <v>45190</v>
      </c>
      <c r="K181" s="177" t="str">
        <f t="shared" si="5"/>
        <v>NUEVO</v>
      </c>
      <c r="L181" s="177" t="s">
        <v>50</v>
      </c>
      <c r="M181" s="177" t="s">
        <v>50</v>
      </c>
      <c r="N181" s="177" t="s">
        <v>50</v>
      </c>
      <c r="O181" s="177">
        <v>0</v>
      </c>
      <c r="P181" s="177" t="s">
        <v>51</v>
      </c>
      <c r="Q181" s="177" t="s">
        <v>50</v>
      </c>
      <c r="R181" s="178" t="s">
        <v>50</v>
      </c>
      <c r="S181" s="177" t="s">
        <v>134</v>
      </c>
      <c r="T181" s="177" t="s">
        <v>729</v>
      </c>
      <c r="U181" s="177" t="s">
        <v>53</v>
      </c>
      <c r="V181" s="177" t="s">
        <v>1104</v>
      </c>
      <c r="W181" s="177" t="s">
        <v>50</v>
      </c>
      <c r="X181" s="177" t="s">
        <v>151</v>
      </c>
      <c r="Y181" s="236">
        <v>0.86458333333333337</v>
      </c>
      <c r="Z181" s="177" t="s">
        <v>76</v>
      </c>
      <c r="AA181" s="178" t="s">
        <v>1113</v>
      </c>
      <c r="AB181" s="178"/>
      <c r="AC181" s="203"/>
      <c r="AD181" s="177" t="s">
        <v>140</v>
      </c>
      <c r="AE181" s="177" t="s">
        <v>510</v>
      </c>
      <c r="AF181" s="177">
        <v>18</v>
      </c>
      <c r="AG181" s="177" t="s">
        <v>475</v>
      </c>
      <c r="AH181" s="163" t="s">
        <v>642</v>
      </c>
      <c r="AI181" s="177" t="s">
        <v>80</v>
      </c>
      <c r="AJ181" s="177" t="s">
        <v>129</v>
      </c>
      <c r="AK181" s="179" t="s">
        <v>1119</v>
      </c>
      <c r="AL181" s="178" t="s">
        <v>64</v>
      </c>
      <c r="AM181" s="178" t="s">
        <v>65</v>
      </c>
      <c r="AN181" s="178" t="s">
        <v>66</v>
      </c>
      <c r="AO181" s="178" t="s">
        <v>83</v>
      </c>
      <c r="AP181" s="178" t="s">
        <v>250</v>
      </c>
    </row>
    <row r="182" spans="1:43" ht="15" hidden="1" customHeight="1" x14ac:dyDescent="0.25">
      <c r="A182" s="177">
        <v>2023</v>
      </c>
      <c r="B182" s="177" t="s">
        <v>1092</v>
      </c>
      <c r="C182" s="177" t="s">
        <v>45</v>
      </c>
      <c r="D182" s="177" t="s">
        <v>1120</v>
      </c>
      <c r="E182" s="177" t="s">
        <v>286</v>
      </c>
      <c r="F182" s="177" t="s">
        <v>48</v>
      </c>
      <c r="G182" s="9" t="s">
        <v>1121</v>
      </c>
      <c r="H182" s="10">
        <v>43801</v>
      </c>
      <c r="I182" s="177">
        <f t="shared" si="6"/>
        <v>45</v>
      </c>
      <c r="J182" s="235">
        <v>45191</v>
      </c>
      <c r="K182" s="177" t="str">
        <f t="shared" si="5"/>
        <v>ANTIGUO</v>
      </c>
      <c r="L182" s="235" t="s">
        <v>50</v>
      </c>
      <c r="M182" s="177" t="s">
        <v>50</v>
      </c>
      <c r="N182" s="177" t="s">
        <v>50</v>
      </c>
      <c r="O182" s="177">
        <v>0</v>
      </c>
      <c r="P182" s="177" t="s">
        <v>51</v>
      </c>
      <c r="Q182" s="177" t="s">
        <v>50</v>
      </c>
      <c r="R182" s="178" t="s">
        <v>50</v>
      </c>
      <c r="S182" s="177" t="s">
        <v>91</v>
      </c>
      <c r="T182" s="177" t="s">
        <v>123</v>
      </c>
      <c r="U182" s="177" t="s">
        <v>53</v>
      </c>
      <c r="V182" s="177" t="s">
        <v>123</v>
      </c>
      <c r="W182" s="177" t="s">
        <v>50</v>
      </c>
      <c r="X182" s="177" t="s">
        <v>151</v>
      </c>
      <c r="Y182" s="236">
        <v>0.64583333333333337</v>
      </c>
      <c r="Z182" s="177" t="s">
        <v>111</v>
      </c>
      <c r="AA182" s="178" t="s">
        <v>1122</v>
      </c>
      <c r="AB182" s="178"/>
      <c r="AC182" s="203"/>
      <c r="AD182" s="177" t="s">
        <v>97</v>
      </c>
      <c r="AE182" s="177" t="s">
        <v>1123</v>
      </c>
      <c r="AF182" s="177">
        <v>31</v>
      </c>
      <c r="AG182" s="177" t="s">
        <v>425</v>
      </c>
      <c r="AH182" s="177" t="s">
        <v>60</v>
      </c>
      <c r="AI182" s="177" t="s">
        <v>128</v>
      </c>
      <c r="AJ182" s="177" t="s">
        <v>293</v>
      </c>
      <c r="AK182" s="179" t="s">
        <v>1124</v>
      </c>
      <c r="AL182" s="178" t="s">
        <v>64</v>
      </c>
      <c r="AM182" s="178" t="s">
        <v>65</v>
      </c>
      <c r="AN182" s="178" t="s">
        <v>66</v>
      </c>
      <c r="AO182" s="178" t="s">
        <v>83</v>
      </c>
      <c r="AP182" s="178" t="s">
        <v>240</v>
      </c>
    </row>
    <row r="183" spans="1:43" ht="15" hidden="1" customHeight="1" x14ac:dyDescent="0.25">
      <c r="A183" s="177">
        <v>2023</v>
      </c>
      <c r="B183" s="177" t="s">
        <v>1092</v>
      </c>
      <c r="C183" s="177" t="s">
        <v>45</v>
      </c>
      <c r="D183" s="177" t="s">
        <v>1125</v>
      </c>
      <c r="E183" s="177" t="s">
        <v>1126</v>
      </c>
      <c r="F183" s="177" t="s">
        <v>48</v>
      </c>
      <c r="G183" s="9" t="s">
        <v>1127</v>
      </c>
      <c r="H183" s="10">
        <v>44872</v>
      </c>
      <c r="I183" s="177">
        <f t="shared" si="6"/>
        <v>10</v>
      </c>
      <c r="J183" s="235">
        <v>45192</v>
      </c>
      <c r="K183" s="177" t="str">
        <f t="shared" si="5"/>
        <v>INTERMEDIO</v>
      </c>
      <c r="L183" s="177" t="s">
        <v>50</v>
      </c>
      <c r="M183" s="177" t="s">
        <v>50</v>
      </c>
      <c r="N183" s="177" t="s">
        <v>50</v>
      </c>
      <c r="O183" s="177">
        <v>0</v>
      </c>
      <c r="P183" s="177" t="s">
        <v>51</v>
      </c>
      <c r="Q183" s="177" t="s">
        <v>50</v>
      </c>
      <c r="R183" s="178" t="s">
        <v>50</v>
      </c>
      <c r="S183" s="177" t="s">
        <v>173</v>
      </c>
      <c r="T183" s="6" t="s">
        <v>664</v>
      </c>
      <c r="U183" s="177" t="s">
        <v>53</v>
      </c>
      <c r="V183" s="177" t="s">
        <v>1128</v>
      </c>
      <c r="W183" s="177" t="s">
        <v>50</v>
      </c>
      <c r="X183" s="177" t="s">
        <v>176</v>
      </c>
      <c r="Y183" s="236">
        <v>0.10694444444444444</v>
      </c>
      <c r="Z183" s="177" t="s">
        <v>95</v>
      </c>
      <c r="AA183" s="178" t="s">
        <v>1122</v>
      </c>
      <c r="AB183" s="178"/>
      <c r="AC183" s="203"/>
      <c r="AD183" s="177" t="s">
        <v>178</v>
      </c>
      <c r="AE183" s="177" t="s">
        <v>179</v>
      </c>
      <c r="AF183" s="177">
        <v>46</v>
      </c>
      <c r="AG183" s="177" t="s">
        <v>61</v>
      </c>
      <c r="AH183" s="177" t="s">
        <v>60</v>
      </c>
      <c r="AI183" s="177" t="s">
        <v>128</v>
      </c>
      <c r="AJ183" s="177" t="s">
        <v>61</v>
      </c>
      <c r="AK183" s="258" t="s">
        <v>1129</v>
      </c>
      <c r="AL183" s="178" t="s">
        <v>64</v>
      </c>
      <c r="AM183" s="178" t="s">
        <v>65</v>
      </c>
      <c r="AN183" s="178" t="s">
        <v>66</v>
      </c>
      <c r="AO183" s="178" t="s">
        <v>67</v>
      </c>
      <c r="AP183" s="178" t="s">
        <v>240</v>
      </c>
    </row>
    <row r="184" spans="1:43" ht="15" hidden="1" customHeight="1" x14ac:dyDescent="0.25">
      <c r="A184" s="177">
        <v>2023</v>
      </c>
      <c r="B184" s="177" t="s">
        <v>1092</v>
      </c>
      <c r="C184" s="177" t="s">
        <v>45</v>
      </c>
      <c r="D184" s="177" t="s">
        <v>1130</v>
      </c>
      <c r="E184" s="177" t="s">
        <v>381</v>
      </c>
      <c r="F184" s="177" t="s">
        <v>71</v>
      </c>
      <c r="G184" s="9" t="s">
        <v>1131</v>
      </c>
      <c r="H184" s="10">
        <v>44319</v>
      </c>
      <c r="I184" s="177">
        <f t="shared" si="6"/>
        <v>28</v>
      </c>
      <c r="J184" s="235">
        <v>45192</v>
      </c>
      <c r="K184" s="177" t="str">
        <f t="shared" si="5"/>
        <v>ANTIGUO</v>
      </c>
      <c r="L184" s="177" t="s">
        <v>50</v>
      </c>
      <c r="M184" s="177" t="s">
        <v>50</v>
      </c>
      <c r="N184" s="177" t="s">
        <v>50</v>
      </c>
      <c r="O184" s="177">
        <v>0</v>
      </c>
      <c r="P184" s="177" t="s">
        <v>51</v>
      </c>
      <c r="Q184" s="177" t="s">
        <v>50</v>
      </c>
      <c r="R184" s="178" t="s">
        <v>50</v>
      </c>
      <c r="S184" s="177" t="s">
        <v>160</v>
      </c>
      <c r="T184" s="177" t="s">
        <v>161</v>
      </c>
      <c r="U184" s="177" t="s">
        <v>53</v>
      </c>
      <c r="V184" s="177" t="s">
        <v>1132</v>
      </c>
      <c r="W184" s="177" t="s">
        <v>50</v>
      </c>
      <c r="X184" s="177" t="s">
        <v>54</v>
      </c>
      <c r="Y184" s="236">
        <v>0.61458333333333337</v>
      </c>
      <c r="Z184" s="177" t="s">
        <v>95</v>
      </c>
      <c r="AA184" s="178" t="s">
        <v>1122</v>
      </c>
      <c r="AB184" s="178"/>
      <c r="AC184" s="203"/>
      <c r="AD184" s="177" t="s">
        <v>164</v>
      </c>
      <c r="AE184" s="177" t="s">
        <v>165</v>
      </c>
      <c r="AF184" s="177">
        <v>42</v>
      </c>
      <c r="AG184" s="177" t="s">
        <v>115</v>
      </c>
      <c r="AH184" s="177" t="s">
        <v>642</v>
      </c>
      <c r="AI184" s="177" t="s">
        <v>80</v>
      </c>
      <c r="AJ184" s="177" t="s">
        <v>129</v>
      </c>
      <c r="AK184" s="179" t="s">
        <v>1133</v>
      </c>
      <c r="AL184" s="178" t="s">
        <v>118</v>
      </c>
      <c r="AM184" s="178" t="s">
        <v>65</v>
      </c>
      <c r="AN184" s="178" t="s">
        <v>66</v>
      </c>
      <c r="AO184" s="178" t="s">
        <v>67</v>
      </c>
      <c r="AP184" s="178" t="s">
        <v>284</v>
      </c>
    </row>
    <row r="185" spans="1:43" hidden="1" x14ac:dyDescent="0.25">
      <c r="A185" s="177">
        <v>2023</v>
      </c>
      <c r="B185" s="177" t="s">
        <v>1092</v>
      </c>
      <c r="C185" s="177" t="s">
        <v>45</v>
      </c>
      <c r="D185" s="177" t="s">
        <v>1134</v>
      </c>
      <c r="E185" s="376" t="s">
        <v>1074</v>
      </c>
      <c r="F185" s="177" t="s">
        <v>48</v>
      </c>
      <c r="G185" s="9" t="s">
        <v>1135</v>
      </c>
      <c r="H185" s="10">
        <v>43998</v>
      </c>
      <c r="I185" s="177">
        <f t="shared" si="6"/>
        <v>39</v>
      </c>
      <c r="J185" s="235">
        <v>45194</v>
      </c>
      <c r="K185" s="177" t="str">
        <f t="shared" si="5"/>
        <v>ANTIGUO</v>
      </c>
      <c r="L185" s="235">
        <v>45194</v>
      </c>
      <c r="M185" s="235">
        <v>45194</v>
      </c>
      <c r="N185" s="177" t="s">
        <v>50</v>
      </c>
      <c r="O185" s="177">
        <v>0</v>
      </c>
      <c r="P185" s="177" t="s">
        <v>51</v>
      </c>
      <c r="Q185" s="177" t="s">
        <v>50</v>
      </c>
      <c r="R185" s="178" t="s">
        <v>50</v>
      </c>
      <c r="S185" s="177" t="s">
        <v>73</v>
      </c>
      <c r="T185" s="6" t="s">
        <v>1136</v>
      </c>
      <c r="U185" s="177" t="s">
        <v>53</v>
      </c>
      <c r="V185" s="177" t="s">
        <v>395</v>
      </c>
      <c r="W185" s="177" t="s">
        <v>50</v>
      </c>
      <c r="X185" s="177" t="s">
        <v>54</v>
      </c>
      <c r="Y185" s="236">
        <v>0.5625</v>
      </c>
      <c r="Z185" s="177" t="s">
        <v>137</v>
      </c>
      <c r="AA185" s="177" t="s">
        <v>1122</v>
      </c>
      <c r="AB185" s="178">
        <v>15930</v>
      </c>
      <c r="AC185" s="359" t="s">
        <v>1137</v>
      </c>
      <c r="AD185" s="177" t="s">
        <v>236</v>
      </c>
      <c r="AE185" s="177" t="s">
        <v>378</v>
      </c>
      <c r="AF185" s="177">
        <v>23</v>
      </c>
      <c r="AG185" s="177" t="s">
        <v>1138</v>
      </c>
      <c r="AH185" s="177" t="s">
        <v>60</v>
      </c>
      <c r="AI185" s="177" t="s">
        <v>128</v>
      </c>
      <c r="AJ185" s="177" t="s">
        <v>293</v>
      </c>
      <c r="AK185" s="179" t="s">
        <v>1139</v>
      </c>
      <c r="AL185" s="178" t="s">
        <v>64</v>
      </c>
      <c r="AM185" s="178" t="s">
        <v>65</v>
      </c>
      <c r="AN185" s="178" t="s">
        <v>65</v>
      </c>
      <c r="AO185" s="178" t="s">
        <v>83</v>
      </c>
      <c r="AP185" s="178" t="s">
        <v>250</v>
      </c>
    </row>
    <row r="186" spans="1:43" hidden="1" x14ac:dyDescent="0.25">
      <c r="A186" s="177">
        <v>2023</v>
      </c>
      <c r="B186" s="177" t="s">
        <v>1092</v>
      </c>
      <c r="C186" s="177" t="s">
        <v>45</v>
      </c>
      <c r="D186" s="177" t="s">
        <v>726</v>
      </c>
      <c r="E186" s="177" t="s">
        <v>727</v>
      </c>
      <c r="F186" s="177" t="s">
        <v>71</v>
      </c>
      <c r="G186" s="9" t="s">
        <v>728</v>
      </c>
      <c r="H186" s="304">
        <v>45005</v>
      </c>
      <c r="I186" s="177">
        <f t="shared" si="6"/>
        <v>6</v>
      </c>
      <c r="J186" s="235">
        <v>45195</v>
      </c>
      <c r="K186" s="177" t="str">
        <f t="shared" si="5"/>
        <v>NUEVO</v>
      </c>
      <c r="L186" s="177" t="s">
        <v>50</v>
      </c>
      <c r="M186" s="177" t="s">
        <v>50</v>
      </c>
      <c r="N186" s="177" t="s">
        <v>50</v>
      </c>
      <c r="O186" s="177">
        <v>0</v>
      </c>
      <c r="P186" s="177" t="s">
        <v>51</v>
      </c>
      <c r="Q186" s="177" t="s">
        <v>50</v>
      </c>
      <c r="R186" s="178" t="s">
        <v>50</v>
      </c>
      <c r="S186" s="177" t="s">
        <v>134</v>
      </c>
      <c r="T186" s="177" t="s">
        <v>1140</v>
      </c>
      <c r="U186" s="177" t="s">
        <v>53</v>
      </c>
      <c r="V186" s="177" t="s">
        <v>1104</v>
      </c>
      <c r="W186" s="177" t="s">
        <v>50</v>
      </c>
      <c r="X186" s="177" t="s">
        <v>54</v>
      </c>
      <c r="Y186" s="236">
        <v>0.40625</v>
      </c>
      <c r="Z186" s="177" t="s">
        <v>95</v>
      </c>
      <c r="AA186" s="177" t="s">
        <v>1122</v>
      </c>
      <c r="AB186" s="178"/>
      <c r="AC186" s="203"/>
      <c r="AD186" s="177" t="s">
        <v>140</v>
      </c>
      <c r="AE186" s="177" t="s">
        <v>510</v>
      </c>
      <c r="AF186" s="177">
        <v>24</v>
      </c>
      <c r="AG186" s="177" t="s">
        <v>59</v>
      </c>
      <c r="AH186" s="177" t="s">
        <v>227</v>
      </c>
      <c r="AI186" s="177" t="s">
        <v>228</v>
      </c>
      <c r="AJ186" s="177" t="s">
        <v>229</v>
      </c>
      <c r="AK186" s="179" t="s">
        <v>1141</v>
      </c>
      <c r="AL186" s="178" t="s">
        <v>64</v>
      </c>
      <c r="AM186" s="178" t="s">
        <v>65</v>
      </c>
      <c r="AN186" s="178" t="s">
        <v>66</v>
      </c>
      <c r="AO186" s="178" t="s">
        <v>83</v>
      </c>
      <c r="AP186" s="178" t="s">
        <v>240</v>
      </c>
    </row>
    <row r="187" spans="1:43" hidden="1" x14ac:dyDescent="0.25">
      <c r="A187" s="177">
        <v>2023</v>
      </c>
      <c r="B187" s="177" t="s">
        <v>1142</v>
      </c>
      <c r="C187" s="177" t="s">
        <v>45</v>
      </c>
      <c r="D187" s="177" t="s">
        <v>1143</v>
      </c>
      <c r="E187" s="314" t="s">
        <v>1081</v>
      </c>
      <c r="F187" s="177" t="s">
        <v>48</v>
      </c>
      <c r="G187" s="9" t="s">
        <v>1144</v>
      </c>
      <c r="H187" s="10">
        <v>45166</v>
      </c>
      <c r="I187" s="177">
        <f t="shared" si="6"/>
        <v>1</v>
      </c>
      <c r="J187" s="235">
        <v>45201</v>
      </c>
      <c r="K187" s="177" t="str">
        <f t="shared" si="5"/>
        <v>NUEVO</v>
      </c>
      <c r="L187" s="235">
        <v>45201</v>
      </c>
      <c r="M187" s="235">
        <v>45206</v>
      </c>
      <c r="N187" s="177" t="s">
        <v>50</v>
      </c>
      <c r="O187" s="314">
        <v>6</v>
      </c>
      <c r="P187" s="177" t="s">
        <v>88</v>
      </c>
      <c r="Q187" s="177" t="s">
        <v>89</v>
      </c>
      <c r="R187" s="178" t="s">
        <v>90</v>
      </c>
      <c r="S187" s="177" t="s">
        <v>91</v>
      </c>
      <c r="T187" s="177" t="s">
        <v>821</v>
      </c>
      <c r="U187" s="177" t="s">
        <v>53</v>
      </c>
      <c r="V187" s="177" t="s">
        <v>123</v>
      </c>
      <c r="W187" s="177" t="s">
        <v>1145</v>
      </c>
      <c r="X187" s="177" t="s">
        <v>54</v>
      </c>
      <c r="Y187" s="236">
        <v>0.46875</v>
      </c>
      <c r="Z187" s="177" t="s">
        <v>137</v>
      </c>
      <c r="AA187" s="177" t="s">
        <v>1146</v>
      </c>
      <c r="AB187" s="178">
        <v>15945</v>
      </c>
      <c r="AC187" s="203" t="s">
        <v>1147</v>
      </c>
      <c r="AD187" s="177" t="s">
        <v>97</v>
      </c>
      <c r="AE187" s="177" t="s">
        <v>225</v>
      </c>
      <c r="AF187" s="177">
        <v>20</v>
      </c>
      <c r="AG187" s="177" t="s">
        <v>99</v>
      </c>
      <c r="AH187" s="177" t="s">
        <v>60</v>
      </c>
      <c r="AI187" s="177" t="s">
        <v>100</v>
      </c>
      <c r="AJ187" s="177" t="s">
        <v>101</v>
      </c>
      <c r="AK187" s="179" t="s">
        <v>1148</v>
      </c>
      <c r="AL187" s="178" t="s">
        <v>118</v>
      </c>
      <c r="AM187" s="178" t="s">
        <v>65</v>
      </c>
      <c r="AN187" s="178" t="s">
        <v>65</v>
      </c>
      <c r="AO187" s="178" t="s">
        <v>67</v>
      </c>
      <c r="AP187" s="178" t="s">
        <v>84</v>
      </c>
    </row>
    <row r="188" spans="1:43" hidden="1" x14ac:dyDescent="0.25">
      <c r="A188" s="177">
        <v>2023</v>
      </c>
      <c r="B188" s="177" t="s">
        <v>1142</v>
      </c>
      <c r="C188" s="177" t="s">
        <v>45</v>
      </c>
      <c r="D188" s="177" t="s">
        <v>726</v>
      </c>
      <c r="E188" s="177" t="s">
        <v>727</v>
      </c>
      <c r="F188" s="177" t="s">
        <v>71</v>
      </c>
      <c r="G188" s="9" t="s">
        <v>728</v>
      </c>
      <c r="H188" s="304">
        <v>45005</v>
      </c>
      <c r="I188" s="177">
        <f t="shared" si="6"/>
        <v>6</v>
      </c>
      <c r="J188" s="235">
        <v>45201</v>
      </c>
      <c r="K188" s="177" t="str">
        <f t="shared" si="5"/>
        <v>NUEVO</v>
      </c>
      <c r="L188" s="177" t="s">
        <v>50</v>
      </c>
      <c r="M188" s="177" t="s">
        <v>50</v>
      </c>
      <c r="N188" s="177" t="s">
        <v>50</v>
      </c>
      <c r="O188" s="177">
        <v>0</v>
      </c>
      <c r="P188" s="177" t="s">
        <v>51</v>
      </c>
      <c r="Q188" s="177" t="s">
        <v>50</v>
      </c>
      <c r="R188" s="178" t="s">
        <v>50</v>
      </c>
      <c r="S188" s="177" t="s">
        <v>134</v>
      </c>
      <c r="T188" s="177" t="s">
        <v>1140</v>
      </c>
      <c r="U188" s="177" t="s">
        <v>53</v>
      </c>
      <c r="V188" s="177" t="s">
        <v>1104</v>
      </c>
      <c r="W188" s="177" t="s">
        <v>50</v>
      </c>
      <c r="X188" s="177" t="s">
        <v>151</v>
      </c>
      <c r="Y188" s="236">
        <v>0.88888888888888884</v>
      </c>
      <c r="Z188" s="177" t="s">
        <v>137</v>
      </c>
      <c r="AA188" s="177" t="s">
        <v>1146</v>
      </c>
      <c r="AB188" s="178"/>
      <c r="AC188" s="203"/>
      <c r="AD188" s="177" t="s">
        <v>140</v>
      </c>
      <c r="AE188" s="177" t="s">
        <v>510</v>
      </c>
      <c r="AF188" s="177">
        <v>24</v>
      </c>
      <c r="AG188" s="177" t="s">
        <v>142</v>
      </c>
      <c r="AH188" s="177" t="s">
        <v>166</v>
      </c>
      <c r="AI188" s="177" t="s">
        <v>80</v>
      </c>
      <c r="AJ188" s="177" t="s">
        <v>81</v>
      </c>
      <c r="AK188" s="164" t="s">
        <v>1149</v>
      </c>
      <c r="AL188" s="178" t="s">
        <v>118</v>
      </c>
      <c r="AM188" s="178" t="s">
        <v>65</v>
      </c>
      <c r="AN188" s="178" t="s">
        <v>66</v>
      </c>
      <c r="AO188" s="178" t="s">
        <v>83</v>
      </c>
      <c r="AP188" s="178" t="s">
        <v>103</v>
      </c>
    </row>
    <row r="189" spans="1:43" hidden="1" x14ac:dyDescent="0.25">
      <c r="A189" s="177">
        <v>2023</v>
      </c>
      <c r="B189" s="177" t="s">
        <v>1142</v>
      </c>
      <c r="C189" s="177" t="s">
        <v>45</v>
      </c>
      <c r="D189" s="177" t="s">
        <v>879</v>
      </c>
      <c r="E189" s="177" t="s">
        <v>347</v>
      </c>
      <c r="F189" s="177" t="s">
        <v>71</v>
      </c>
      <c r="G189" s="9" t="s">
        <v>880</v>
      </c>
      <c r="H189" s="302">
        <v>45012</v>
      </c>
      <c r="I189" s="177">
        <f t="shared" si="6"/>
        <v>6</v>
      </c>
      <c r="J189" s="235">
        <v>45216</v>
      </c>
      <c r="K189" s="177" t="str">
        <f t="shared" si="5"/>
        <v>NUEVO</v>
      </c>
      <c r="L189" s="235">
        <v>45217</v>
      </c>
      <c r="M189" s="235">
        <v>45217</v>
      </c>
      <c r="N189" s="177" t="s">
        <v>50</v>
      </c>
      <c r="O189" s="177">
        <v>0</v>
      </c>
      <c r="P189" s="177" t="s">
        <v>51</v>
      </c>
      <c r="Q189" s="177" t="s">
        <v>50</v>
      </c>
      <c r="R189" s="178" t="s">
        <v>50</v>
      </c>
      <c r="S189" s="177" t="s">
        <v>134</v>
      </c>
      <c r="T189" s="177" t="s">
        <v>1140</v>
      </c>
      <c r="U189" s="177" t="s">
        <v>53</v>
      </c>
      <c r="V189" s="177" t="s">
        <v>1104</v>
      </c>
      <c r="W189" s="177" t="s">
        <v>50</v>
      </c>
      <c r="X189" s="177" t="s">
        <v>151</v>
      </c>
      <c r="Y189" s="236">
        <v>0.91319444444444453</v>
      </c>
      <c r="Z189" s="177" t="s">
        <v>125</v>
      </c>
      <c r="AA189" s="177" t="s">
        <v>1150</v>
      </c>
      <c r="AB189" s="178">
        <v>15970</v>
      </c>
      <c r="AC189" s="203" t="s">
        <v>1151</v>
      </c>
      <c r="AD189" s="177" t="s">
        <v>140</v>
      </c>
      <c r="AE189" s="177" t="s">
        <v>510</v>
      </c>
      <c r="AF189" s="177">
        <v>18</v>
      </c>
      <c r="AG189" s="177" t="s">
        <v>475</v>
      </c>
      <c r="AH189" s="177" t="s">
        <v>642</v>
      </c>
      <c r="AI189" s="177" t="s">
        <v>80</v>
      </c>
      <c r="AJ189" s="177" t="s">
        <v>129</v>
      </c>
      <c r="AK189" s="179" t="s">
        <v>1152</v>
      </c>
      <c r="AL189" s="178" t="s">
        <v>64</v>
      </c>
      <c r="AM189" s="178" t="s">
        <v>65</v>
      </c>
      <c r="AN189" s="172" t="s">
        <v>65</v>
      </c>
      <c r="AO189" s="178" t="s">
        <v>83</v>
      </c>
      <c r="AP189" s="178" t="s">
        <v>240</v>
      </c>
    </row>
    <row r="190" spans="1:43" hidden="1" x14ac:dyDescent="0.25">
      <c r="A190" s="177">
        <v>2023</v>
      </c>
      <c r="B190" s="177" t="s">
        <v>1142</v>
      </c>
      <c r="C190" s="177" t="s">
        <v>45</v>
      </c>
      <c r="D190" s="177" t="s">
        <v>1066</v>
      </c>
      <c r="E190" s="177" t="s">
        <v>1067</v>
      </c>
      <c r="F190" s="177" t="s">
        <v>48</v>
      </c>
      <c r="G190" s="177" t="s">
        <v>1068</v>
      </c>
      <c r="H190" s="10">
        <v>44503</v>
      </c>
      <c r="I190" s="177">
        <f t="shared" si="6"/>
        <v>23</v>
      </c>
      <c r="J190" s="235">
        <v>45218</v>
      </c>
      <c r="K190" s="177" t="str">
        <f t="shared" si="5"/>
        <v>ANTIGUO</v>
      </c>
      <c r="L190" s="177" t="s">
        <v>50</v>
      </c>
      <c r="M190" s="177" t="s">
        <v>50</v>
      </c>
      <c r="N190" s="177" t="s">
        <v>50</v>
      </c>
      <c r="O190" s="177">
        <v>0</v>
      </c>
      <c r="P190" s="177" t="s">
        <v>51</v>
      </c>
      <c r="Q190" s="177" t="s">
        <v>50</v>
      </c>
      <c r="R190" s="178" t="s">
        <v>50</v>
      </c>
      <c r="S190" s="177" t="s">
        <v>160</v>
      </c>
      <c r="T190" s="177" t="s">
        <v>191</v>
      </c>
      <c r="U190" s="177" t="s">
        <v>53</v>
      </c>
      <c r="V190" s="177" t="s">
        <v>1153</v>
      </c>
      <c r="W190" s="177" t="s">
        <v>50</v>
      </c>
      <c r="X190" s="177" t="s">
        <v>151</v>
      </c>
      <c r="Y190" s="236">
        <v>0.83333333333333337</v>
      </c>
      <c r="Z190" s="177" t="s">
        <v>76</v>
      </c>
      <c r="AA190" s="177" t="s">
        <v>1150</v>
      </c>
      <c r="AB190" s="178"/>
      <c r="AC190" s="203"/>
      <c r="AD190" s="177" t="s">
        <v>164</v>
      </c>
      <c r="AE190" s="177" t="s">
        <v>215</v>
      </c>
      <c r="AF190" s="177">
        <v>37</v>
      </c>
      <c r="AG190" s="177" t="s">
        <v>700</v>
      </c>
      <c r="AH190" s="177" t="s">
        <v>166</v>
      </c>
      <c r="AI190" s="177" t="s">
        <v>80</v>
      </c>
      <c r="AJ190" s="177" t="s">
        <v>129</v>
      </c>
      <c r="AK190" s="179" t="s">
        <v>1154</v>
      </c>
      <c r="AL190" s="178" t="s">
        <v>64</v>
      </c>
      <c r="AM190" s="178" t="s">
        <v>65</v>
      </c>
      <c r="AN190" s="178" t="s">
        <v>66</v>
      </c>
      <c r="AO190" s="178" t="s">
        <v>83</v>
      </c>
      <c r="AP190" s="178" t="s">
        <v>284</v>
      </c>
    </row>
    <row r="191" spans="1:43" ht="15" hidden="1" customHeight="1" x14ac:dyDescent="0.25">
      <c r="A191" s="177">
        <v>2023</v>
      </c>
      <c r="B191" s="177" t="s">
        <v>1142</v>
      </c>
      <c r="C191" s="177" t="s">
        <v>45</v>
      </c>
      <c r="D191" s="177" t="s">
        <v>847</v>
      </c>
      <c r="E191" s="177" t="s">
        <v>557</v>
      </c>
      <c r="F191" s="177" t="s">
        <v>48</v>
      </c>
      <c r="G191" s="9" t="s">
        <v>848</v>
      </c>
      <c r="H191" s="10">
        <v>44826</v>
      </c>
      <c r="I191" s="177">
        <f t="shared" si="6"/>
        <v>13</v>
      </c>
      <c r="J191" s="235">
        <v>45221</v>
      </c>
      <c r="K191" s="177" t="str">
        <f t="shared" si="5"/>
        <v>INTERMEDIO</v>
      </c>
      <c r="L191" s="177" t="s">
        <v>50</v>
      </c>
      <c r="M191" s="177" t="s">
        <v>50</v>
      </c>
      <c r="N191" s="177" t="s">
        <v>50</v>
      </c>
      <c r="O191" s="177">
        <v>0</v>
      </c>
      <c r="P191" s="177" t="s">
        <v>51</v>
      </c>
      <c r="Q191" s="177" t="s">
        <v>50</v>
      </c>
      <c r="R191" s="178" t="s">
        <v>50</v>
      </c>
      <c r="S191" s="177" t="s">
        <v>264</v>
      </c>
      <c r="T191" s="177" t="s">
        <v>264</v>
      </c>
      <c r="U191" s="177" t="s">
        <v>849</v>
      </c>
      <c r="V191" s="177" t="s">
        <v>1027</v>
      </c>
      <c r="W191" s="177" t="s">
        <v>50</v>
      </c>
      <c r="X191" s="177" t="s">
        <v>54</v>
      </c>
      <c r="Y191" s="236">
        <v>0.5</v>
      </c>
      <c r="Z191" s="177" t="s">
        <v>404</v>
      </c>
      <c r="AA191" s="177" t="s">
        <v>1150</v>
      </c>
      <c r="AB191" s="178"/>
      <c r="AC191" s="203"/>
      <c r="AD191" s="177" t="s">
        <v>269</v>
      </c>
      <c r="AE191" s="177" t="s">
        <v>737</v>
      </c>
      <c r="AF191" s="177">
        <v>34</v>
      </c>
      <c r="AG191" s="177" t="s">
        <v>99</v>
      </c>
      <c r="AH191" s="177" t="s">
        <v>60</v>
      </c>
      <c r="AI191" s="177" t="s">
        <v>167</v>
      </c>
      <c r="AJ191" s="177" t="s">
        <v>129</v>
      </c>
      <c r="AK191" s="179" t="s">
        <v>1155</v>
      </c>
      <c r="AL191" s="178" t="s">
        <v>64</v>
      </c>
      <c r="AM191" s="178" t="s">
        <v>65</v>
      </c>
      <c r="AN191" s="178" t="s">
        <v>66</v>
      </c>
      <c r="AO191" s="178" t="s">
        <v>83</v>
      </c>
      <c r="AP191" s="178" t="s">
        <v>1156</v>
      </c>
    </row>
    <row r="192" spans="1:43" hidden="1" x14ac:dyDescent="0.25">
      <c r="A192" s="177">
        <v>2023</v>
      </c>
      <c r="B192" s="177" t="s">
        <v>1142</v>
      </c>
      <c r="C192" s="177" t="s">
        <v>45</v>
      </c>
      <c r="D192" s="177" t="s">
        <v>726</v>
      </c>
      <c r="E192" s="177" t="s">
        <v>1157</v>
      </c>
      <c r="F192" s="177" t="s">
        <v>71</v>
      </c>
      <c r="G192" s="9" t="s">
        <v>728</v>
      </c>
      <c r="H192" s="10">
        <v>45005</v>
      </c>
      <c r="I192" s="177">
        <f t="shared" si="6"/>
        <v>7</v>
      </c>
      <c r="J192" s="235">
        <v>45222</v>
      </c>
      <c r="K192" s="177" t="str">
        <f t="shared" si="5"/>
        <v>INTERMEDIO</v>
      </c>
      <c r="L192" s="177" t="s">
        <v>50</v>
      </c>
      <c r="M192" s="177" t="s">
        <v>50</v>
      </c>
      <c r="N192" s="177" t="s">
        <v>50</v>
      </c>
      <c r="O192" s="177">
        <v>0</v>
      </c>
      <c r="P192" s="177" t="s">
        <v>51</v>
      </c>
      <c r="Q192" s="177" t="s">
        <v>50</v>
      </c>
      <c r="R192" s="178" t="s">
        <v>50</v>
      </c>
      <c r="S192" s="177" t="s">
        <v>134</v>
      </c>
      <c r="T192" s="177" t="s">
        <v>729</v>
      </c>
      <c r="U192" s="177" t="s">
        <v>53</v>
      </c>
      <c r="V192" s="177" t="s">
        <v>1104</v>
      </c>
      <c r="W192" s="177" t="s">
        <v>267</v>
      </c>
      <c r="X192" s="177" t="s">
        <v>54</v>
      </c>
      <c r="Y192" s="236">
        <v>0.52777777777777779</v>
      </c>
      <c r="Z192" s="177" t="s">
        <v>137</v>
      </c>
      <c r="AA192" s="177" t="s">
        <v>1158</v>
      </c>
      <c r="AB192" s="178"/>
      <c r="AC192" s="203"/>
      <c r="AD192" s="177" t="s">
        <v>140</v>
      </c>
      <c r="AE192" s="177" t="s">
        <v>510</v>
      </c>
      <c r="AF192" s="177">
        <v>24</v>
      </c>
      <c r="AG192" s="177" t="s">
        <v>271</v>
      </c>
      <c r="AH192" s="177" t="s">
        <v>153</v>
      </c>
      <c r="AI192" s="177" t="s">
        <v>80</v>
      </c>
      <c r="AJ192" s="177" t="s">
        <v>129</v>
      </c>
      <c r="AK192" s="179" t="s">
        <v>1159</v>
      </c>
      <c r="AL192" s="178" t="s">
        <v>64</v>
      </c>
      <c r="AM192" s="178" t="s">
        <v>65</v>
      </c>
      <c r="AN192" s="178" t="s">
        <v>66</v>
      </c>
      <c r="AO192" s="178" t="s">
        <v>83</v>
      </c>
      <c r="AP192" s="178" t="s">
        <v>250</v>
      </c>
    </row>
    <row r="193" spans="1:42" hidden="1" x14ac:dyDescent="0.25">
      <c r="A193" s="177">
        <v>2023</v>
      </c>
      <c r="B193" s="177" t="s">
        <v>1142</v>
      </c>
      <c r="C193" s="177" t="s">
        <v>45</v>
      </c>
      <c r="D193" s="177" t="s">
        <v>1160</v>
      </c>
      <c r="E193" s="177" t="s">
        <v>471</v>
      </c>
      <c r="F193" s="177" t="s">
        <v>48</v>
      </c>
      <c r="G193" s="9" t="s">
        <v>1161</v>
      </c>
      <c r="H193" s="10">
        <v>44998</v>
      </c>
      <c r="I193" s="177">
        <f t="shared" si="6"/>
        <v>7</v>
      </c>
      <c r="J193" s="235">
        <v>45224</v>
      </c>
      <c r="K193" s="177" t="str">
        <f t="shared" si="5"/>
        <v>INTERMEDIO</v>
      </c>
      <c r="L193" s="235">
        <v>45224</v>
      </c>
      <c r="M193" s="235">
        <v>45224</v>
      </c>
      <c r="N193" s="177" t="s">
        <v>50</v>
      </c>
      <c r="O193" s="177">
        <v>0</v>
      </c>
      <c r="P193" s="177" t="s">
        <v>51</v>
      </c>
      <c r="Q193" s="177" t="s">
        <v>89</v>
      </c>
      <c r="R193" s="178" t="s">
        <v>721</v>
      </c>
      <c r="S193" s="177" t="s">
        <v>173</v>
      </c>
      <c r="T193" s="6" t="s">
        <v>1162</v>
      </c>
      <c r="U193" s="177" t="s">
        <v>53</v>
      </c>
      <c r="V193" s="177" t="s">
        <v>192</v>
      </c>
      <c r="W193" s="177" t="s">
        <v>50</v>
      </c>
      <c r="X193" s="177" t="s">
        <v>176</v>
      </c>
      <c r="Y193" s="236">
        <v>4.1666666666666664E-2</v>
      </c>
      <c r="Z193" s="177" t="s">
        <v>55</v>
      </c>
      <c r="AA193" s="177" t="s">
        <v>1158</v>
      </c>
      <c r="AB193" s="178">
        <v>15990</v>
      </c>
      <c r="AC193" s="359" t="s">
        <v>1163</v>
      </c>
      <c r="AD193" s="177" t="s">
        <v>390</v>
      </c>
      <c r="AE193" s="177" t="s">
        <v>202</v>
      </c>
      <c r="AF193" s="177">
        <v>33</v>
      </c>
      <c r="AG193" s="177" t="s">
        <v>301</v>
      </c>
      <c r="AH193" s="177" t="s">
        <v>642</v>
      </c>
      <c r="AI193" s="177" t="s">
        <v>302</v>
      </c>
      <c r="AJ193" s="177" t="s">
        <v>413</v>
      </c>
      <c r="AK193" s="179" t="s">
        <v>1164</v>
      </c>
      <c r="AL193" s="178" t="s">
        <v>64</v>
      </c>
      <c r="AM193" s="178" t="s">
        <v>65</v>
      </c>
      <c r="AN193" s="178" t="s">
        <v>65</v>
      </c>
      <c r="AO193" s="178" t="s">
        <v>67</v>
      </c>
      <c r="AP193" s="178" t="s">
        <v>250</v>
      </c>
    </row>
    <row r="194" spans="1:42" hidden="1" x14ac:dyDescent="0.25">
      <c r="A194" s="177">
        <v>2023</v>
      </c>
      <c r="B194" s="177" t="s">
        <v>1142</v>
      </c>
      <c r="C194" s="177" t="s">
        <v>45</v>
      </c>
      <c r="D194" s="177" t="s">
        <v>1165</v>
      </c>
      <c r="E194" s="177" t="s">
        <v>1166</v>
      </c>
      <c r="F194" s="177" t="s">
        <v>48</v>
      </c>
      <c r="G194" s="9" t="s">
        <v>1167</v>
      </c>
      <c r="H194" s="10">
        <v>45029</v>
      </c>
      <c r="I194" s="177">
        <f t="shared" si="6"/>
        <v>6</v>
      </c>
      <c r="J194" s="235">
        <v>45224</v>
      </c>
      <c r="K194" s="177" t="str">
        <f t="shared" si="5"/>
        <v>NUEVO</v>
      </c>
      <c r="L194" s="235" t="s">
        <v>50</v>
      </c>
      <c r="M194" s="177" t="s">
        <v>50</v>
      </c>
      <c r="N194" s="177" t="s">
        <v>50</v>
      </c>
      <c r="O194" s="177">
        <v>0</v>
      </c>
      <c r="P194" s="177" t="s">
        <v>51</v>
      </c>
      <c r="Q194" s="177" t="s">
        <v>50</v>
      </c>
      <c r="R194" s="178" t="s">
        <v>50</v>
      </c>
      <c r="S194" s="177" t="s">
        <v>160</v>
      </c>
      <c r="T194" s="177" t="s">
        <v>712</v>
      </c>
      <c r="U194" s="177" t="s">
        <v>53</v>
      </c>
      <c r="V194" s="177" t="s">
        <v>161</v>
      </c>
      <c r="W194" s="177" t="s">
        <v>50</v>
      </c>
      <c r="X194" s="177" t="s">
        <v>54</v>
      </c>
      <c r="Y194" s="236">
        <v>0.5625</v>
      </c>
      <c r="Z194" s="177" t="s">
        <v>55</v>
      </c>
      <c r="AA194" s="177" t="s">
        <v>1168</v>
      </c>
      <c r="AB194" s="178"/>
      <c r="AC194" s="203"/>
      <c r="AD194" s="177" t="s">
        <v>164</v>
      </c>
      <c r="AE194" s="177" t="s">
        <v>485</v>
      </c>
      <c r="AF194" s="177">
        <v>26</v>
      </c>
      <c r="AG194" s="177" t="s">
        <v>226</v>
      </c>
      <c r="AH194" s="177" t="s">
        <v>227</v>
      </c>
      <c r="AI194" s="177" t="s">
        <v>228</v>
      </c>
      <c r="AJ194" s="177" t="s">
        <v>229</v>
      </c>
      <c r="AK194" s="1" t="s">
        <v>1169</v>
      </c>
      <c r="AL194" s="178" t="s">
        <v>118</v>
      </c>
      <c r="AM194" s="178" t="s">
        <v>65</v>
      </c>
      <c r="AN194" s="178" t="s">
        <v>66</v>
      </c>
      <c r="AO194" s="178" t="s">
        <v>67</v>
      </c>
      <c r="AP194" s="178" t="s">
        <v>284</v>
      </c>
    </row>
    <row r="195" spans="1:42" ht="15" hidden="1" customHeight="1" x14ac:dyDescent="0.25">
      <c r="A195" s="177">
        <v>2023</v>
      </c>
      <c r="B195" s="177" t="s">
        <v>1142</v>
      </c>
      <c r="C195" s="177" t="s">
        <v>45</v>
      </c>
      <c r="D195" s="177" t="s">
        <v>1170</v>
      </c>
      <c r="E195" s="177" t="s">
        <v>793</v>
      </c>
      <c r="F195" s="177" t="s">
        <v>48</v>
      </c>
      <c r="G195" s="9" t="s">
        <v>1171</v>
      </c>
      <c r="H195" s="10">
        <v>44139</v>
      </c>
      <c r="I195" s="177">
        <f t="shared" si="6"/>
        <v>35</v>
      </c>
      <c r="J195" s="235">
        <v>45215</v>
      </c>
      <c r="K195" s="177" t="str">
        <f t="shared" si="5"/>
        <v>ANTIGUO</v>
      </c>
      <c r="L195" s="177" t="s">
        <v>50</v>
      </c>
      <c r="M195" s="177" t="s">
        <v>50</v>
      </c>
      <c r="N195" s="177" t="s">
        <v>50</v>
      </c>
      <c r="O195" s="177">
        <v>0</v>
      </c>
      <c r="P195" s="177" t="s">
        <v>51</v>
      </c>
      <c r="Q195" s="177" t="s">
        <v>50</v>
      </c>
      <c r="R195" s="178" t="s">
        <v>50</v>
      </c>
      <c r="S195" s="177" t="s">
        <v>134</v>
      </c>
      <c r="T195" s="177" t="s">
        <v>729</v>
      </c>
      <c r="U195" s="177" t="s">
        <v>742</v>
      </c>
      <c r="V195" s="177" t="s">
        <v>890</v>
      </c>
      <c r="W195" s="177" t="s">
        <v>50</v>
      </c>
      <c r="X195" s="177" t="s">
        <v>54</v>
      </c>
      <c r="Y195" s="236">
        <v>0.46875</v>
      </c>
      <c r="Z195" s="177" t="s">
        <v>76</v>
      </c>
      <c r="AA195" s="177" t="s">
        <v>1158</v>
      </c>
      <c r="AB195" s="178"/>
      <c r="AC195" s="203"/>
      <c r="AD195" s="177" t="s">
        <v>140</v>
      </c>
      <c r="AE195" s="177" t="s">
        <v>510</v>
      </c>
      <c r="AF195" s="177">
        <v>28</v>
      </c>
      <c r="AG195" s="177" t="s">
        <v>79</v>
      </c>
      <c r="AH195" s="177" t="s">
        <v>256</v>
      </c>
      <c r="AI195" s="177" t="s">
        <v>80</v>
      </c>
      <c r="AJ195" s="177" t="s">
        <v>81</v>
      </c>
      <c r="AK195" s="1" t="s">
        <v>1172</v>
      </c>
      <c r="AL195" s="178" t="s">
        <v>1173</v>
      </c>
      <c r="AM195" s="178" t="s">
        <v>65</v>
      </c>
      <c r="AN195" s="178" t="s">
        <v>66</v>
      </c>
      <c r="AO195" s="178" t="s">
        <v>67</v>
      </c>
      <c r="AP195" s="178" t="s">
        <v>250</v>
      </c>
    </row>
    <row r="196" spans="1:42" ht="15" hidden="1" customHeight="1" x14ac:dyDescent="0.25">
      <c r="A196" s="177">
        <v>2023</v>
      </c>
      <c r="B196" s="177" t="s">
        <v>1142</v>
      </c>
      <c r="C196" s="177" t="s">
        <v>45</v>
      </c>
      <c r="D196" s="177" t="s">
        <v>1174</v>
      </c>
      <c r="E196" s="177" t="s">
        <v>679</v>
      </c>
      <c r="F196" s="177" t="s">
        <v>48</v>
      </c>
      <c r="G196" s="9" t="s">
        <v>1175</v>
      </c>
      <c r="H196" s="10">
        <v>45194</v>
      </c>
      <c r="I196" s="177">
        <f t="shared" si="6"/>
        <v>1</v>
      </c>
      <c r="J196" s="235">
        <v>45229</v>
      </c>
      <c r="K196" s="177" t="str">
        <f t="shared" si="5"/>
        <v>NUEVO</v>
      </c>
      <c r="L196" s="177" t="s">
        <v>50</v>
      </c>
      <c r="M196" s="177" t="s">
        <v>50</v>
      </c>
      <c r="N196" s="177" t="s">
        <v>50</v>
      </c>
      <c r="O196" s="177">
        <v>0</v>
      </c>
      <c r="P196" s="177" t="s">
        <v>51</v>
      </c>
      <c r="Q196" s="177" t="s">
        <v>50</v>
      </c>
      <c r="R196" s="178" t="s">
        <v>50</v>
      </c>
      <c r="S196" s="177" t="s">
        <v>234</v>
      </c>
      <c r="T196" s="6" t="s">
        <v>1062</v>
      </c>
      <c r="U196" s="177" t="s">
        <v>53</v>
      </c>
      <c r="V196" s="177" t="s">
        <v>265</v>
      </c>
      <c r="W196" s="177" t="s">
        <v>50</v>
      </c>
      <c r="X196" s="177" t="s">
        <v>54</v>
      </c>
      <c r="Y196" s="236">
        <v>0.34375</v>
      </c>
      <c r="Z196" s="177" t="s">
        <v>137</v>
      </c>
      <c r="AA196" s="177" t="s">
        <v>1176</v>
      </c>
      <c r="AB196" s="178"/>
      <c r="AC196" s="203"/>
      <c r="AD196" s="177" t="s">
        <v>236</v>
      </c>
      <c r="AE196" s="177" t="s">
        <v>773</v>
      </c>
      <c r="AF196" s="177">
        <v>35</v>
      </c>
      <c r="AG196" s="177" t="s">
        <v>59</v>
      </c>
      <c r="AH196" s="177" t="s">
        <v>153</v>
      </c>
      <c r="AI196" s="177" t="s">
        <v>80</v>
      </c>
      <c r="AJ196" s="177" t="s">
        <v>129</v>
      </c>
      <c r="AK196" s="179" t="s">
        <v>1177</v>
      </c>
      <c r="AL196" s="178" t="s">
        <v>64</v>
      </c>
      <c r="AM196" s="178" t="s">
        <v>65</v>
      </c>
      <c r="AN196" s="178" t="s">
        <v>66</v>
      </c>
      <c r="AO196" s="178" t="s">
        <v>67</v>
      </c>
      <c r="AP196" s="178" t="s">
        <v>1178</v>
      </c>
    </row>
    <row r="197" spans="1:42" hidden="1" x14ac:dyDescent="0.25">
      <c r="A197" s="177">
        <v>2023</v>
      </c>
      <c r="B197" s="177" t="s">
        <v>1142</v>
      </c>
      <c r="C197" s="177" t="s">
        <v>45</v>
      </c>
      <c r="D197" s="177" t="s">
        <v>1179</v>
      </c>
      <c r="E197" s="177" t="s">
        <v>1180</v>
      </c>
      <c r="F197" s="177" t="s">
        <v>48</v>
      </c>
      <c r="G197" s="9" t="s">
        <v>1181</v>
      </c>
      <c r="H197" s="10">
        <v>43936</v>
      </c>
      <c r="I197" s="177">
        <f t="shared" si="6"/>
        <v>42</v>
      </c>
      <c r="J197" s="235">
        <v>45229</v>
      </c>
      <c r="K197" s="177" t="str">
        <f t="shared" si="5"/>
        <v>ANTIGUO</v>
      </c>
      <c r="L197" s="177" t="s">
        <v>50</v>
      </c>
      <c r="M197" s="177" t="s">
        <v>50</v>
      </c>
      <c r="N197" s="177" t="s">
        <v>50</v>
      </c>
      <c r="O197" s="177">
        <v>0</v>
      </c>
      <c r="P197" s="177" t="s">
        <v>51</v>
      </c>
      <c r="Q197" s="177" t="s">
        <v>50</v>
      </c>
      <c r="R197" s="178" t="s">
        <v>50</v>
      </c>
      <c r="S197" s="177" t="s">
        <v>73</v>
      </c>
      <c r="T197" s="177" t="s">
        <v>1136</v>
      </c>
      <c r="U197" s="177" t="s">
        <v>53</v>
      </c>
      <c r="V197" s="177" t="s">
        <v>619</v>
      </c>
      <c r="W197" s="177" t="s">
        <v>50</v>
      </c>
      <c r="X197" s="177" t="s">
        <v>151</v>
      </c>
      <c r="Y197" s="236">
        <v>0.65625</v>
      </c>
      <c r="Z197" s="177" t="s">
        <v>137</v>
      </c>
      <c r="AA197" s="177" t="s">
        <v>1176</v>
      </c>
      <c r="AB197" s="178"/>
      <c r="AC197" s="203"/>
      <c r="AD197" s="177" t="s">
        <v>236</v>
      </c>
      <c r="AE197" s="177" t="s">
        <v>378</v>
      </c>
      <c r="AF197" s="177">
        <v>41</v>
      </c>
      <c r="AG197" s="177" t="s">
        <v>99</v>
      </c>
      <c r="AH197" s="177" t="s">
        <v>256</v>
      </c>
      <c r="AI197" s="177" t="s">
        <v>61</v>
      </c>
      <c r="AJ197" s="177" t="s">
        <v>62</v>
      </c>
      <c r="AK197" s="179" t="s">
        <v>1182</v>
      </c>
      <c r="AL197" s="178" t="s">
        <v>64</v>
      </c>
      <c r="AM197" s="178" t="s">
        <v>65</v>
      </c>
      <c r="AN197" s="178" t="s">
        <v>66</v>
      </c>
      <c r="AO197" s="178" t="s">
        <v>67</v>
      </c>
      <c r="AP197" s="178" t="s">
        <v>1178</v>
      </c>
    </row>
    <row r="198" spans="1:42" ht="15" hidden="1" customHeight="1" x14ac:dyDescent="0.25">
      <c r="A198" s="177">
        <v>2023</v>
      </c>
      <c r="B198" s="177" t="s">
        <v>1183</v>
      </c>
      <c r="C198" s="177" t="s">
        <v>45</v>
      </c>
      <c r="D198" s="177" t="s">
        <v>463</v>
      </c>
      <c r="E198" s="177" t="s">
        <v>464</v>
      </c>
      <c r="F198" s="177" t="s">
        <v>48</v>
      </c>
      <c r="G198" s="177" t="s">
        <v>465</v>
      </c>
      <c r="H198" s="10">
        <v>44774</v>
      </c>
      <c r="I198" s="177">
        <f t="shared" si="6"/>
        <v>15</v>
      </c>
      <c r="J198" s="235">
        <v>45232</v>
      </c>
      <c r="K198" s="177" t="str">
        <f t="shared" si="5"/>
        <v>INTERMEDIO</v>
      </c>
      <c r="L198" s="235" t="s">
        <v>50</v>
      </c>
      <c r="M198" s="177" t="s">
        <v>50</v>
      </c>
      <c r="N198" s="177" t="s">
        <v>50</v>
      </c>
      <c r="O198" s="177">
        <v>0</v>
      </c>
      <c r="P198" s="177" t="s">
        <v>51</v>
      </c>
      <c r="Q198" s="177" t="s">
        <v>50</v>
      </c>
      <c r="R198" s="178" t="s">
        <v>50</v>
      </c>
      <c r="S198" s="177" t="s">
        <v>134</v>
      </c>
      <c r="T198" s="177" t="s">
        <v>729</v>
      </c>
      <c r="U198" s="177" t="s">
        <v>53</v>
      </c>
      <c r="V198" s="177" t="s">
        <v>1104</v>
      </c>
      <c r="W198" s="177" t="s">
        <v>267</v>
      </c>
      <c r="X198" s="177" t="s">
        <v>151</v>
      </c>
      <c r="Y198" s="236">
        <v>0.66319444444444442</v>
      </c>
      <c r="Z198" s="177" t="s">
        <v>76</v>
      </c>
      <c r="AA198" s="177" t="s">
        <v>1176</v>
      </c>
      <c r="AB198" s="178"/>
      <c r="AC198" s="203"/>
      <c r="AD198" s="177" t="s">
        <v>140</v>
      </c>
      <c r="AE198" s="177" t="s">
        <v>510</v>
      </c>
      <c r="AF198" s="177">
        <v>20</v>
      </c>
      <c r="AG198" s="177" t="s">
        <v>59</v>
      </c>
      <c r="AH198" s="177" t="s">
        <v>153</v>
      </c>
      <c r="AI198" s="177" t="s">
        <v>80</v>
      </c>
      <c r="AJ198" s="177" t="s">
        <v>129</v>
      </c>
      <c r="AK198" s="1" t="s">
        <v>1184</v>
      </c>
      <c r="AL198" s="178" t="s">
        <v>64</v>
      </c>
      <c r="AM198" s="178" t="s">
        <v>65</v>
      </c>
      <c r="AN198" s="178" t="s">
        <v>66</v>
      </c>
      <c r="AO198" s="178" t="s">
        <v>83</v>
      </c>
      <c r="AP198" s="178" t="s">
        <v>1178</v>
      </c>
    </row>
    <row r="199" spans="1:42" hidden="1" x14ac:dyDescent="0.25">
      <c r="A199" s="177">
        <v>2023</v>
      </c>
      <c r="B199" s="177" t="s">
        <v>1183</v>
      </c>
      <c r="C199" s="177" t="s">
        <v>45</v>
      </c>
      <c r="D199" s="177" t="s">
        <v>1185</v>
      </c>
      <c r="E199" s="177" t="s">
        <v>966</v>
      </c>
      <c r="F199" s="177" t="s">
        <v>48</v>
      </c>
      <c r="G199" s="177" t="s">
        <v>1186</v>
      </c>
      <c r="H199" s="10">
        <v>44397</v>
      </c>
      <c r="I199" s="177">
        <f t="shared" si="6"/>
        <v>27</v>
      </c>
      <c r="J199" s="235">
        <v>45232</v>
      </c>
      <c r="K199" s="177" t="str">
        <f t="shared" ref="K199:K263" si="7">IF(I199&lt;=6,"NUEVO",IF(I199&lt;=18,"INTERMEDIO","ANTIGUO"))</f>
        <v>ANTIGUO</v>
      </c>
      <c r="L199" s="235" t="s">
        <v>50</v>
      </c>
      <c r="M199" s="177" t="s">
        <v>50</v>
      </c>
      <c r="N199" s="177" t="s">
        <v>50</v>
      </c>
      <c r="O199" s="177">
        <v>0</v>
      </c>
      <c r="P199" s="177" t="s">
        <v>51</v>
      </c>
      <c r="Q199" s="177" t="s">
        <v>50</v>
      </c>
      <c r="R199" s="178" t="s">
        <v>50</v>
      </c>
      <c r="S199" s="177" t="s">
        <v>91</v>
      </c>
      <c r="T199" s="177" t="s">
        <v>600</v>
      </c>
      <c r="U199" s="177" t="s">
        <v>53</v>
      </c>
      <c r="V199" s="177" t="s">
        <v>1187</v>
      </c>
      <c r="W199" s="177" t="s">
        <v>50</v>
      </c>
      <c r="X199" s="177" t="s">
        <v>151</v>
      </c>
      <c r="Y199" s="236">
        <v>0.73958333333333337</v>
      </c>
      <c r="Z199" s="177" t="s">
        <v>76</v>
      </c>
      <c r="AA199" s="177" t="s">
        <v>1176</v>
      </c>
      <c r="AB199" s="178"/>
      <c r="AC199" s="203"/>
      <c r="AD199" s="177" t="s">
        <v>97</v>
      </c>
      <c r="AE199" s="177" t="s">
        <v>1123</v>
      </c>
      <c r="AF199" s="177">
        <v>27</v>
      </c>
      <c r="AG199" s="177" t="s">
        <v>115</v>
      </c>
      <c r="AH199" s="177" t="s">
        <v>166</v>
      </c>
      <c r="AI199" s="177" t="s">
        <v>80</v>
      </c>
      <c r="AJ199" s="177" t="s">
        <v>81</v>
      </c>
      <c r="AK199" s="179" t="s">
        <v>1188</v>
      </c>
      <c r="AL199" s="178" t="s">
        <v>118</v>
      </c>
      <c r="AM199" s="178" t="s">
        <v>65</v>
      </c>
      <c r="AN199" s="178" t="s">
        <v>66</v>
      </c>
      <c r="AO199" s="178" t="s">
        <v>83</v>
      </c>
      <c r="AP199" s="178" t="s">
        <v>1178</v>
      </c>
    </row>
    <row r="200" spans="1:42" ht="15" hidden="1" customHeight="1" x14ac:dyDescent="0.25">
      <c r="A200" s="177">
        <v>2023</v>
      </c>
      <c r="B200" s="177" t="s">
        <v>1183</v>
      </c>
      <c r="C200" s="177" t="s">
        <v>45</v>
      </c>
      <c r="D200" s="177" t="s">
        <v>1189</v>
      </c>
      <c r="E200" s="177" t="s">
        <v>1190</v>
      </c>
      <c r="F200" s="177" t="s">
        <v>48</v>
      </c>
      <c r="G200" s="177" t="s">
        <v>1191</v>
      </c>
      <c r="H200" s="10">
        <v>44869</v>
      </c>
      <c r="I200" s="177">
        <f t="shared" si="6"/>
        <v>12</v>
      </c>
      <c r="J200" s="235">
        <v>45237</v>
      </c>
      <c r="K200" s="177" t="str">
        <f t="shared" si="7"/>
        <v>INTERMEDIO</v>
      </c>
      <c r="L200" s="177" t="s">
        <v>50</v>
      </c>
      <c r="M200" s="177" t="s">
        <v>50</v>
      </c>
      <c r="N200" s="177" t="s">
        <v>50</v>
      </c>
      <c r="O200" s="177">
        <v>0</v>
      </c>
      <c r="P200" s="177" t="s">
        <v>51</v>
      </c>
      <c r="Q200" s="177" t="s">
        <v>50</v>
      </c>
      <c r="R200" s="178" t="s">
        <v>50</v>
      </c>
      <c r="S200" s="177" t="s">
        <v>73</v>
      </c>
      <c r="T200" s="177" t="s">
        <v>1136</v>
      </c>
      <c r="U200" s="177" t="s">
        <v>53</v>
      </c>
      <c r="V200" s="177" t="s">
        <v>1192</v>
      </c>
      <c r="W200" s="177" t="s">
        <v>50</v>
      </c>
      <c r="X200" s="177" t="s">
        <v>54</v>
      </c>
      <c r="Y200" s="236">
        <v>0.43402777777777773</v>
      </c>
      <c r="Z200" s="177" t="s">
        <v>125</v>
      </c>
      <c r="AA200" s="177" t="s">
        <v>1193</v>
      </c>
      <c r="AB200" s="178"/>
      <c r="AC200" s="203"/>
      <c r="AD200" s="177" t="s">
        <v>236</v>
      </c>
      <c r="AE200" s="177" t="s">
        <v>378</v>
      </c>
      <c r="AF200" s="177">
        <v>23</v>
      </c>
      <c r="AG200" s="177" t="s">
        <v>115</v>
      </c>
      <c r="AH200" s="177" t="s">
        <v>60</v>
      </c>
      <c r="AI200" s="177" t="s">
        <v>80</v>
      </c>
      <c r="AJ200" s="177" t="s">
        <v>154</v>
      </c>
      <c r="AK200" s="179" t="s">
        <v>1194</v>
      </c>
      <c r="AL200" s="178" t="s">
        <v>64</v>
      </c>
      <c r="AM200" s="178" t="s">
        <v>65</v>
      </c>
      <c r="AN200" s="178" t="s">
        <v>66</v>
      </c>
      <c r="AO200" s="178" t="s">
        <v>83</v>
      </c>
      <c r="AP200" s="178" t="s">
        <v>284</v>
      </c>
    </row>
    <row r="201" spans="1:42" ht="15" hidden="1" customHeight="1" x14ac:dyDescent="0.25">
      <c r="A201" s="177">
        <v>2023</v>
      </c>
      <c r="B201" s="177" t="s">
        <v>1183</v>
      </c>
      <c r="C201" s="177" t="s">
        <v>45</v>
      </c>
      <c r="D201" s="177" t="s">
        <v>1195</v>
      </c>
      <c r="E201" s="177" t="s">
        <v>1196</v>
      </c>
      <c r="F201" s="177" t="s">
        <v>48</v>
      </c>
      <c r="G201" s="177" t="s">
        <v>1197</v>
      </c>
      <c r="H201" s="10">
        <v>43906</v>
      </c>
      <c r="I201" s="177">
        <f t="shared" si="6"/>
        <v>43</v>
      </c>
      <c r="J201" s="235">
        <v>45237</v>
      </c>
      <c r="K201" s="177" t="str">
        <f t="shared" si="7"/>
        <v>ANTIGUO</v>
      </c>
      <c r="L201" s="177" t="s">
        <v>50</v>
      </c>
      <c r="M201" s="177" t="s">
        <v>50</v>
      </c>
      <c r="N201" s="177" t="s">
        <v>50</v>
      </c>
      <c r="O201" s="177">
        <v>0</v>
      </c>
      <c r="P201" s="177" t="s">
        <v>51</v>
      </c>
      <c r="Q201" s="177" t="s">
        <v>50</v>
      </c>
      <c r="R201" s="178" t="s">
        <v>50</v>
      </c>
      <c r="S201" s="177" t="s">
        <v>264</v>
      </c>
      <c r="T201" s="177" t="s">
        <v>1016</v>
      </c>
      <c r="U201" s="177" t="s">
        <v>266</v>
      </c>
      <c r="V201" s="177" t="s">
        <v>255</v>
      </c>
      <c r="W201" s="177" t="s">
        <v>50</v>
      </c>
      <c r="X201" s="177" t="s">
        <v>54</v>
      </c>
      <c r="Y201" s="236">
        <v>0.60416666666666663</v>
      </c>
      <c r="Z201" s="177" t="s">
        <v>125</v>
      </c>
      <c r="AA201" s="177" t="s">
        <v>1193</v>
      </c>
      <c r="AB201" s="178"/>
      <c r="AC201" s="203"/>
      <c r="AD201" s="177" t="s">
        <v>269</v>
      </c>
      <c r="AE201" s="177" t="s">
        <v>1198</v>
      </c>
      <c r="AF201" s="177">
        <v>24</v>
      </c>
      <c r="AG201" s="177" t="s">
        <v>99</v>
      </c>
      <c r="AH201" s="177" t="s">
        <v>450</v>
      </c>
      <c r="AI201" s="177" t="s">
        <v>80</v>
      </c>
      <c r="AJ201" s="177" t="s">
        <v>129</v>
      </c>
      <c r="AK201" s="179" t="s">
        <v>1199</v>
      </c>
      <c r="AL201" s="178" t="s">
        <v>64</v>
      </c>
      <c r="AM201" s="178" t="s">
        <v>65</v>
      </c>
      <c r="AN201" s="178" t="s">
        <v>66</v>
      </c>
      <c r="AO201" s="178" t="s">
        <v>83</v>
      </c>
      <c r="AP201" s="178" t="s">
        <v>284</v>
      </c>
    </row>
    <row r="202" spans="1:42" s="233" customFormat="1" hidden="1" x14ac:dyDescent="0.25">
      <c r="A202" s="170">
        <v>2023</v>
      </c>
      <c r="B202" s="170" t="s">
        <v>1183</v>
      </c>
      <c r="C202" s="170" t="s">
        <v>45</v>
      </c>
      <c r="D202" s="170" t="s">
        <v>1200</v>
      </c>
      <c r="E202" s="170" t="s">
        <v>1201</v>
      </c>
      <c r="F202" s="170" t="s">
        <v>48</v>
      </c>
      <c r="G202" s="9" t="s">
        <v>1202</v>
      </c>
      <c r="H202" s="304">
        <v>45054</v>
      </c>
      <c r="I202" s="177">
        <f t="shared" si="6"/>
        <v>6</v>
      </c>
      <c r="J202" s="171">
        <v>45239</v>
      </c>
      <c r="K202" s="177" t="str">
        <f t="shared" si="7"/>
        <v>NUEVO</v>
      </c>
      <c r="L202" s="171">
        <v>45240</v>
      </c>
      <c r="M202" s="171">
        <v>45240</v>
      </c>
      <c r="N202" s="170" t="s">
        <v>50</v>
      </c>
      <c r="O202" s="170">
        <v>0</v>
      </c>
      <c r="P202" s="170" t="s">
        <v>51</v>
      </c>
      <c r="Q202" s="170" t="s">
        <v>89</v>
      </c>
      <c r="R202" s="172" t="s">
        <v>263</v>
      </c>
      <c r="S202" s="170" t="s">
        <v>234</v>
      </c>
      <c r="T202" s="170" t="s">
        <v>265</v>
      </c>
      <c r="U202" s="170" t="s">
        <v>53</v>
      </c>
      <c r="V202" s="170" t="s">
        <v>1203</v>
      </c>
      <c r="W202" s="170" t="s">
        <v>267</v>
      </c>
      <c r="X202" s="170" t="s">
        <v>151</v>
      </c>
      <c r="Y202" s="173">
        <v>0.93055555555555547</v>
      </c>
      <c r="Z202" s="170" t="s">
        <v>76</v>
      </c>
      <c r="AA202" s="170" t="s">
        <v>1193</v>
      </c>
      <c r="AB202" s="172">
        <v>16010</v>
      </c>
      <c r="AC202" s="352" t="s">
        <v>1204</v>
      </c>
      <c r="AD202" s="170" t="s">
        <v>236</v>
      </c>
      <c r="AE202" s="170" t="s">
        <v>773</v>
      </c>
      <c r="AF202" s="170">
        <v>56</v>
      </c>
      <c r="AG202" s="170" t="s">
        <v>271</v>
      </c>
      <c r="AH202" s="170" t="s">
        <v>166</v>
      </c>
      <c r="AI202" s="170" t="s">
        <v>80</v>
      </c>
      <c r="AJ202" s="170" t="s">
        <v>129</v>
      </c>
      <c r="AK202" s="174" t="s">
        <v>1693</v>
      </c>
      <c r="AL202" s="172" t="s">
        <v>118</v>
      </c>
      <c r="AM202" s="172" t="s">
        <v>65</v>
      </c>
      <c r="AN202" s="172" t="s">
        <v>65</v>
      </c>
      <c r="AO202" s="172" t="s">
        <v>83</v>
      </c>
      <c r="AP202" s="172" t="s">
        <v>250</v>
      </c>
    </row>
    <row r="203" spans="1:42" s="175" customFormat="1" hidden="1" x14ac:dyDescent="0.25">
      <c r="A203" s="170">
        <v>2023</v>
      </c>
      <c r="B203" s="170" t="s">
        <v>1183</v>
      </c>
      <c r="C203" s="170" t="s">
        <v>45</v>
      </c>
      <c r="D203" s="170" t="s">
        <v>1205</v>
      </c>
      <c r="E203" s="170" t="s">
        <v>1206</v>
      </c>
      <c r="F203" s="170" t="s">
        <v>48</v>
      </c>
      <c r="G203" s="9" t="s">
        <v>1207</v>
      </c>
      <c r="H203" s="304">
        <v>37793</v>
      </c>
      <c r="I203" s="177">
        <f t="shared" si="6"/>
        <v>244</v>
      </c>
      <c r="J203" s="171">
        <v>45240</v>
      </c>
      <c r="K203" s="170" t="str">
        <f t="shared" si="7"/>
        <v>ANTIGUO</v>
      </c>
      <c r="L203" s="170" t="s">
        <v>50</v>
      </c>
      <c r="M203" s="170" t="s">
        <v>50</v>
      </c>
      <c r="N203" s="170" t="s">
        <v>50</v>
      </c>
      <c r="O203" s="170">
        <v>0</v>
      </c>
      <c r="P203" s="170" t="s">
        <v>51</v>
      </c>
      <c r="Q203" s="170" t="s">
        <v>50</v>
      </c>
      <c r="R203" s="172" t="s">
        <v>50</v>
      </c>
      <c r="S203" s="170" t="s">
        <v>73</v>
      </c>
      <c r="T203" s="6" t="s">
        <v>1136</v>
      </c>
      <c r="U203" s="170" t="s">
        <v>53</v>
      </c>
      <c r="V203" s="170" t="s">
        <v>1208</v>
      </c>
      <c r="W203" s="170" t="s">
        <v>50</v>
      </c>
      <c r="X203" s="170" t="s">
        <v>54</v>
      </c>
      <c r="Y203" s="173">
        <v>0.22569444444444445</v>
      </c>
      <c r="Z203" s="170" t="s">
        <v>111</v>
      </c>
      <c r="AA203" s="170" t="s">
        <v>1193</v>
      </c>
      <c r="AB203" s="172"/>
      <c r="AC203" s="202"/>
      <c r="AD203" s="170" t="s">
        <v>236</v>
      </c>
      <c r="AE203" s="170" t="s">
        <v>78</v>
      </c>
      <c r="AF203" s="170">
        <v>50</v>
      </c>
      <c r="AG203" s="170" t="s">
        <v>271</v>
      </c>
      <c r="AH203" s="170" t="s">
        <v>166</v>
      </c>
      <c r="AI203" s="170" t="s">
        <v>61</v>
      </c>
      <c r="AJ203" s="170" t="s">
        <v>62</v>
      </c>
      <c r="AK203" s="174" t="s">
        <v>1209</v>
      </c>
      <c r="AL203" s="172" t="s">
        <v>64</v>
      </c>
      <c r="AM203" s="172" t="s">
        <v>65</v>
      </c>
      <c r="AN203" s="172" t="s">
        <v>66</v>
      </c>
      <c r="AO203" s="172" t="s">
        <v>83</v>
      </c>
      <c r="AP203" s="172" t="s">
        <v>103</v>
      </c>
    </row>
    <row r="204" spans="1:42" s="175" customFormat="1" hidden="1" x14ac:dyDescent="0.25">
      <c r="A204" s="170">
        <v>2023</v>
      </c>
      <c r="B204" s="170" t="s">
        <v>1183</v>
      </c>
      <c r="C204" s="170" t="s">
        <v>45</v>
      </c>
      <c r="D204" s="170" t="s">
        <v>1692</v>
      </c>
      <c r="E204" s="170" t="s">
        <v>1210</v>
      </c>
      <c r="F204" s="170" t="s">
        <v>48</v>
      </c>
      <c r="G204" s="170" t="s">
        <v>1211</v>
      </c>
      <c r="H204" s="290">
        <v>44572</v>
      </c>
      <c r="I204" s="177">
        <f t="shared" si="6"/>
        <v>22</v>
      </c>
      <c r="J204" s="171">
        <v>45241</v>
      </c>
      <c r="K204" s="170" t="str">
        <f t="shared" si="7"/>
        <v>ANTIGUO</v>
      </c>
      <c r="L204" s="235">
        <v>45241</v>
      </c>
      <c r="M204" s="177"/>
      <c r="N204" s="177" t="s">
        <v>50</v>
      </c>
      <c r="O204" s="314">
        <v>2</v>
      </c>
      <c r="P204" s="177" t="s">
        <v>88</v>
      </c>
      <c r="Q204" s="170" t="s">
        <v>50</v>
      </c>
      <c r="R204" s="172" t="s">
        <v>50</v>
      </c>
      <c r="S204" s="170" t="s">
        <v>173</v>
      </c>
      <c r="T204" s="170" t="s">
        <v>389</v>
      </c>
      <c r="U204" s="170" t="s">
        <v>1212</v>
      </c>
      <c r="V204" s="170" t="s">
        <v>1213</v>
      </c>
      <c r="W204" s="170" t="s">
        <v>50</v>
      </c>
      <c r="X204" s="170" t="s">
        <v>176</v>
      </c>
      <c r="Y204" s="173">
        <v>0</v>
      </c>
      <c r="Z204" s="170" t="s">
        <v>95</v>
      </c>
      <c r="AA204" s="170" t="s">
        <v>1193</v>
      </c>
      <c r="AB204" s="172">
        <v>16011</v>
      </c>
      <c r="AC204" s="359" t="s">
        <v>1214</v>
      </c>
      <c r="AD204" s="170" t="s">
        <v>178</v>
      </c>
      <c r="AE204" s="170" t="s">
        <v>202</v>
      </c>
      <c r="AF204" s="170">
        <v>39</v>
      </c>
      <c r="AG204" s="170" t="s">
        <v>59</v>
      </c>
      <c r="AH204" s="170" t="s">
        <v>60</v>
      </c>
      <c r="AI204" s="170" t="s">
        <v>128</v>
      </c>
      <c r="AJ204" s="170" t="s">
        <v>129</v>
      </c>
      <c r="AK204" s="174" t="s">
        <v>1215</v>
      </c>
      <c r="AL204" s="172" t="s">
        <v>258</v>
      </c>
      <c r="AM204" s="172" t="s">
        <v>65</v>
      </c>
      <c r="AN204" s="172" t="s">
        <v>65</v>
      </c>
      <c r="AO204" s="172" t="s">
        <v>83</v>
      </c>
      <c r="AP204" s="172" t="s">
        <v>103</v>
      </c>
    </row>
    <row r="205" spans="1:42" s="365" customFormat="1" ht="30" hidden="1" x14ac:dyDescent="0.25">
      <c r="A205" s="361">
        <v>2023</v>
      </c>
      <c r="B205" s="361" t="s">
        <v>1183</v>
      </c>
      <c r="C205" s="361" t="s">
        <v>45</v>
      </c>
      <c r="D205" s="361" t="s">
        <v>367</v>
      </c>
      <c r="E205" s="361" t="s">
        <v>368</v>
      </c>
      <c r="F205" s="361" t="s">
        <v>71</v>
      </c>
      <c r="G205" s="361" t="s">
        <v>369</v>
      </c>
      <c r="H205" s="362">
        <v>43850</v>
      </c>
      <c r="I205" s="37">
        <f t="shared" si="6"/>
        <v>45</v>
      </c>
      <c r="J205" s="362">
        <v>45241</v>
      </c>
      <c r="K205" s="361" t="str">
        <f t="shared" si="7"/>
        <v>ANTIGUO</v>
      </c>
      <c r="L205" s="361" t="s">
        <v>50</v>
      </c>
      <c r="M205" s="361" t="s">
        <v>50</v>
      </c>
      <c r="N205" s="361" t="s">
        <v>50</v>
      </c>
      <c r="O205" s="361">
        <v>0</v>
      </c>
      <c r="P205" s="361" t="s">
        <v>51</v>
      </c>
      <c r="Q205" s="361" t="s">
        <v>50</v>
      </c>
      <c r="R205" s="361" t="s">
        <v>50</v>
      </c>
      <c r="S205" s="361" t="s">
        <v>160</v>
      </c>
      <c r="T205" s="361" t="s">
        <v>191</v>
      </c>
      <c r="U205" s="361" t="s">
        <v>53</v>
      </c>
      <c r="V205" s="361" t="s">
        <v>1216</v>
      </c>
      <c r="W205" s="361" t="s">
        <v>50</v>
      </c>
      <c r="X205" s="361" t="s">
        <v>54</v>
      </c>
      <c r="Y205" s="363">
        <v>0.33333333333333331</v>
      </c>
      <c r="Z205" s="361" t="s">
        <v>95</v>
      </c>
      <c r="AA205" s="361" t="s">
        <v>1193</v>
      </c>
      <c r="AB205" s="361"/>
      <c r="AC205" s="355"/>
      <c r="AD205" s="361" t="s">
        <v>164</v>
      </c>
      <c r="AE205" s="361" t="s">
        <v>215</v>
      </c>
      <c r="AF205" s="361">
        <v>36</v>
      </c>
      <c r="AG205" s="361" t="s">
        <v>216</v>
      </c>
      <c r="AH205" s="361" t="s">
        <v>450</v>
      </c>
      <c r="AI205" s="361" t="s">
        <v>80</v>
      </c>
      <c r="AJ205" s="361" t="s">
        <v>129</v>
      </c>
      <c r="AK205" s="364" t="s">
        <v>1217</v>
      </c>
      <c r="AL205" s="361" t="s">
        <v>64</v>
      </c>
      <c r="AM205" s="361" t="s">
        <v>65</v>
      </c>
      <c r="AN205" s="361" t="s">
        <v>66</v>
      </c>
      <c r="AO205" s="361" t="s">
        <v>83</v>
      </c>
      <c r="AP205" s="361" t="s">
        <v>103</v>
      </c>
    </row>
    <row r="206" spans="1:42" s="175" customFormat="1" hidden="1" x14ac:dyDescent="0.25">
      <c r="A206" s="170">
        <v>2023</v>
      </c>
      <c r="B206" s="170" t="s">
        <v>1183</v>
      </c>
      <c r="C206" s="170" t="s">
        <v>45</v>
      </c>
      <c r="D206" s="170" t="s">
        <v>1218</v>
      </c>
      <c r="E206" s="170" t="s">
        <v>1219</v>
      </c>
      <c r="F206" s="170" t="s">
        <v>71</v>
      </c>
      <c r="G206" s="170" t="s">
        <v>1220</v>
      </c>
      <c r="H206" s="10">
        <v>45124</v>
      </c>
      <c r="I206" s="178">
        <f t="shared" si="6"/>
        <v>3</v>
      </c>
      <c r="J206" s="171">
        <v>45245</v>
      </c>
      <c r="K206" s="172" t="str">
        <f t="shared" si="7"/>
        <v>NUEVO</v>
      </c>
      <c r="L206" s="170" t="s">
        <v>50</v>
      </c>
      <c r="M206" s="170" t="s">
        <v>50</v>
      </c>
      <c r="N206" s="170" t="s">
        <v>50</v>
      </c>
      <c r="O206" s="170">
        <v>0</v>
      </c>
      <c r="P206" s="170" t="s">
        <v>51</v>
      </c>
      <c r="Q206" s="170" t="s">
        <v>50</v>
      </c>
      <c r="R206" s="172" t="s">
        <v>50</v>
      </c>
      <c r="S206" s="170" t="s">
        <v>160</v>
      </c>
      <c r="T206" s="180" t="s">
        <v>191</v>
      </c>
      <c r="U206" s="170" t="s">
        <v>53</v>
      </c>
      <c r="V206" s="170" t="s">
        <v>1221</v>
      </c>
      <c r="W206" s="170" t="s">
        <v>50</v>
      </c>
      <c r="X206" s="170" t="s">
        <v>151</v>
      </c>
      <c r="Y206" s="173">
        <v>0.83680555555555547</v>
      </c>
      <c r="Z206" s="170" t="s">
        <v>55</v>
      </c>
      <c r="AA206" s="170" t="s">
        <v>1222</v>
      </c>
      <c r="AB206" s="172"/>
      <c r="AC206" s="202"/>
      <c r="AD206" s="170" t="s">
        <v>164</v>
      </c>
      <c r="AE206" s="170" t="s">
        <v>215</v>
      </c>
      <c r="AF206" s="170">
        <v>56</v>
      </c>
      <c r="AG206" s="170" t="s">
        <v>79</v>
      </c>
      <c r="AH206" s="170" t="s">
        <v>143</v>
      </c>
      <c r="AI206" s="170" t="s">
        <v>80</v>
      </c>
      <c r="AJ206" s="170" t="s">
        <v>81</v>
      </c>
      <c r="AK206" s="234" t="s">
        <v>1223</v>
      </c>
      <c r="AL206" s="172" t="s">
        <v>118</v>
      </c>
      <c r="AM206" s="172" t="s">
        <v>65</v>
      </c>
      <c r="AN206" s="172" t="s">
        <v>66</v>
      </c>
      <c r="AO206" s="172" t="s">
        <v>83</v>
      </c>
      <c r="AP206" s="172" t="s">
        <v>103</v>
      </c>
    </row>
    <row r="207" spans="1:42" s="175" customFormat="1" hidden="1" x14ac:dyDescent="0.25">
      <c r="A207" s="170">
        <v>2023</v>
      </c>
      <c r="B207" s="170" t="s">
        <v>1183</v>
      </c>
      <c r="C207" s="170" t="s">
        <v>45</v>
      </c>
      <c r="D207" s="170" t="s">
        <v>1224</v>
      </c>
      <c r="E207" s="170" t="s">
        <v>1225</v>
      </c>
      <c r="F207" s="170" t="s">
        <v>71</v>
      </c>
      <c r="G207" s="170" t="s">
        <v>1226</v>
      </c>
      <c r="H207" s="10">
        <v>45124</v>
      </c>
      <c r="I207" s="178">
        <f t="shared" si="6"/>
        <v>3</v>
      </c>
      <c r="J207" s="171">
        <v>45245</v>
      </c>
      <c r="K207" s="172" t="str">
        <f t="shared" si="7"/>
        <v>NUEVO</v>
      </c>
      <c r="L207" s="170" t="s">
        <v>50</v>
      </c>
      <c r="M207" s="170" t="s">
        <v>50</v>
      </c>
      <c r="N207" s="170" t="s">
        <v>50</v>
      </c>
      <c r="O207" s="170">
        <v>0</v>
      </c>
      <c r="P207" s="170" t="s">
        <v>51</v>
      </c>
      <c r="Q207" s="170" t="s">
        <v>50</v>
      </c>
      <c r="R207" s="172" t="s">
        <v>50</v>
      </c>
      <c r="S207" s="170" t="s">
        <v>73</v>
      </c>
      <c r="T207" s="170" t="s">
        <v>74</v>
      </c>
      <c r="U207" s="170" t="s">
        <v>53</v>
      </c>
      <c r="V207" s="170" t="s">
        <v>1227</v>
      </c>
      <c r="W207" s="170" t="s">
        <v>50</v>
      </c>
      <c r="X207" s="170" t="s">
        <v>1228</v>
      </c>
      <c r="Y207" s="173">
        <v>0.70833333333333337</v>
      </c>
      <c r="Z207" s="170" t="s">
        <v>55</v>
      </c>
      <c r="AA207" s="170" t="s">
        <v>1222</v>
      </c>
      <c r="AB207" s="172"/>
      <c r="AC207" s="202"/>
      <c r="AD207" s="170" t="s">
        <v>1229</v>
      </c>
      <c r="AE207" s="170" t="s">
        <v>78</v>
      </c>
      <c r="AF207" s="170">
        <v>33</v>
      </c>
      <c r="AG207" s="170" t="s">
        <v>99</v>
      </c>
      <c r="AH207" s="170" t="s">
        <v>60</v>
      </c>
      <c r="AI207" s="170" t="s">
        <v>100</v>
      </c>
      <c r="AJ207" s="170" t="s">
        <v>61</v>
      </c>
      <c r="AK207" s="174" t="s">
        <v>1230</v>
      </c>
      <c r="AL207" s="172" t="s">
        <v>64</v>
      </c>
      <c r="AM207" s="172" t="s">
        <v>65</v>
      </c>
      <c r="AN207" s="172" t="s">
        <v>66</v>
      </c>
      <c r="AO207" s="172" t="s">
        <v>83</v>
      </c>
      <c r="AP207" s="172" t="s">
        <v>103</v>
      </c>
    </row>
    <row r="208" spans="1:42" s="175" customFormat="1" hidden="1" x14ac:dyDescent="0.25">
      <c r="A208" s="170">
        <v>2023</v>
      </c>
      <c r="B208" s="170" t="s">
        <v>1183</v>
      </c>
      <c r="C208" s="170" t="s">
        <v>45</v>
      </c>
      <c r="D208" s="170" t="s">
        <v>1231</v>
      </c>
      <c r="E208" s="170" t="s">
        <v>1232</v>
      </c>
      <c r="F208" s="170" t="s">
        <v>71</v>
      </c>
      <c r="G208" s="170" t="s">
        <v>1233</v>
      </c>
      <c r="H208" s="10">
        <v>41408</v>
      </c>
      <c r="I208" s="178">
        <f t="shared" si="6"/>
        <v>126</v>
      </c>
      <c r="J208" s="171">
        <v>45246</v>
      </c>
      <c r="K208" s="172" t="str">
        <f t="shared" si="7"/>
        <v>ANTIGUO</v>
      </c>
      <c r="L208" s="170" t="s">
        <v>50</v>
      </c>
      <c r="M208" s="170" t="s">
        <v>50</v>
      </c>
      <c r="N208" s="170" t="s">
        <v>50</v>
      </c>
      <c r="O208" s="170">
        <v>0</v>
      </c>
      <c r="P208" s="170" t="s">
        <v>51</v>
      </c>
      <c r="Q208" s="170" t="s">
        <v>50</v>
      </c>
      <c r="R208" s="172" t="s">
        <v>50</v>
      </c>
      <c r="S208" s="170" t="s">
        <v>73</v>
      </c>
      <c r="T208" s="170" t="s">
        <v>74</v>
      </c>
      <c r="U208" s="170" t="s">
        <v>53</v>
      </c>
      <c r="V208" s="170" t="s">
        <v>74</v>
      </c>
      <c r="W208" s="170" t="s">
        <v>50</v>
      </c>
      <c r="X208" s="170" t="s">
        <v>54</v>
      </c>
      <c r="Y208" s="173">
        <v>0.35416666666666669</v>
      </c>
      <c r="Z208" s="170" t="s">
        <v>76</v>
      </c>
      <c r="AA208" s="170" t="s">
        <v>1222</v>
      </c>
      <c r="AB208" s="172"/>
      <c r="AC208" s="202"/>
      <c r="AD208" s="170" t="s">
        <v>1229</v>
      </c>
      <c r="AE208" s="170" t="s">
        <v>323</v>
      </c>
      <c r="AF208" s="170">
        <v>34</v>
      </c>
      <c r="AG208" s="170" t="s">
        <v>226</v>
      </c>
      <c r="AH208" s="170" t="s">
        <v>227</v>
      </c>
      <c r="AI208" s="170" t="s">
        <v>80</v>
      </c>
      <c r="AJ208" s="170" t="s">
        <v>129</v>
      </c>
      <c r="AK208" s="174" t="s">
        <v>1234</v>
      </c>
      <c r="AL208" s="172" t="s">
        <v>118</v>
      </c>
      <c r="AM208" s="172" t="s">
        <v>65</v>
      </c>
      <c r="AN208" s="172" t="s">
        <v>66</v>
      </c>
      <c r="AO208" s="172" t="s">
        <v>67</v>
      </c>
      <c r="AP208" s="172" t="s">
        <v>250</v>
      </c>
    </row>
    <row r="209" spans="1:42" s="175" customFormat="1" hidden="1" x14ac:dyDescent="0.25">
      <c r="A209" s="170">
        <v>2023</v>
      </c>
      <c r="B209" s="170" t="s">
        <v>1183</v>
      </c>
      <c r="C209" s="170" t="s">
        <v>45</v>
      </c>
      <c r="D209" s="170" t="s">
        <v>1235</v>
      </c>
      <c r="E209" s="170" t="s">
        <v>1236</v>
      </c>
      <c r="F209" s="170" t="s">
        <v>48</v>
      </c>
      <c r="G209" s="170" t="s">
        <v>1237</v>
      </c>
      <c r="H209" s="10">
        <v>0</v>
      </c>
      <c r="I209" s="178">
        <f t="shared" si="6"/>
        <v>1486</v>
      </c>
      <c r="J209" s="171">
        <v>45247</v>
      </c>
      <c r="K209" s="172" t="str">
        <f t="shared" si="7"/>
        <v>ANTIGUO</v>
      </c>
      <c r="L209" s="170" t="s">
        <v>50</v>
      </c>
      <c r="M209" s="170" t="s">
        <v>50</v>
      </c>
      <c r="N209" s="170" t="s">
        <v>50</v>
      </c>
      <c r="O209" s="170">
        <v>0</v>
      </c>
      <c r="P209" s="170" t="s">
        <v>51</v>
      </c>
      <c r="Q209" s="170" t="s">
        <v>50</v>
      </c>
      <c r="R209" s="172" t="s">
        <v>50</v>
      </c>
      <c r="S209" s="170" t="s">
        <v>173</v>
      </c>
      <c r="T209" s="170" t="s">
        <v>186</v>
      </c>
      <c r="U209" s="170" t="s">
        <v>53</v>
      </c>
      <c r="V209" s="170" t="s">
        <v>1238</v>
      </c>
      <c r="W209" s="170" t="s">
        <v>50</v>
      </c>
      <c r="X209" s="170" t="s">
        <v>176</v>
      </c>
      <c r="Y209" s="173">
        <v>0.10416666666666667</v>
      </c>
      <c r="Z209" s="170" t="s">
        <v>111</v>
      </c>
      <c r="AA209" s="170" t="s">
        <v>1222</v>
      </c>
      <c r="AB209" s="172"/>
      <c r="AC209" s="202"/>
      <c r="AD209" s="170" t="s">
        <v>390</v>
      </c>
      <c r="AE209" s="170" t="s">
        <v>179</v>
      </c>
      <c r="AF209" s="170">
        <v>24</v>
      </c>
      <c r="AG209" s="170" t="s">
        <v>99</v>
      </c>
      <c r="AH209" s="170" t="s">
        <v>450</v>
      </c>
      <c r="AI209" s="170" t="s">
        <v>80</v>
      </c>
      <c r="AJ209" s="170" t="s">
        <v>154</v>
      </c>
      <c r="AK209" s="174" t="s">
        <v>1239</v>
      </c>
      <c r="AL209" s="172" t="s">
        <v>118</v>
      </c>
      <c r="AM209" s="172" t="s">
        <v>65</v>
      </c>
      <c r="AN209" s="172" t="s">
        <v>66</v>
      </c>
      <c r="AO209" s="172" t="s">
        <v>83</v>
      </c>
      <c r="AP209" s="178" t="s">
        <v>284</v>
      </c>
    </row>
    <row r="210" spans="1:42" s="175" customFormat="1" hidden="1" x14ac:dyDescent="0.25">
      <c r="A210" s="170">
        <v>2023</v>
      </c>
      <c r="B210" s="170" t="s">
        <v>1183</v>
      </c>
      <c r="C210" s="170" t="s">
        <v>45</v>
      </c>
      <c r="D210" s="170" t="s">
        <v>1623</v>
      </c>
      <c r="E210" s="170" t="s">
        <v>1624</v>
      </c>
      <c r="F210" s="170" t="s">
        <v>48</v>
      </c>
      <c r="G210" s="170" t="s">
        <v>1625</v>
      </c>
      <c r="H210" s="10">
        <v>44676</v>
      </c>
      <c r="I210" s="178">
        <f t="shared" si="6"/>
        <v>18</v>
      </c>
      <c r="J210" s="171">
        <v>45250</v>
      </c>
      <c r="K210" s="172" t="str">
        <f t="shared" si="7"/>
        <v>INTERMEDIO</v>
      </c>
      <c r="L210" s="170" t="s">
        <v>50</v>
      </c>
      <c r="M210" s="170" t="s">
        <v>50</v>
      </c>
      <c r="N210" s="170" t="s">
        <v>50</v>
      </c>
      <c r="O210" s="170">
        <v>0</v>
      </c>
      <c r="P210" s="170" t="s">
        <v>51</v>
      </c>
      <c r="Q210" s="170" t="s">
        <v>50</v>
      </c>
      <c r="R210" s="172" t="s">
        <v>50</v>
      </c>
      <c r="S210" s="170" t="s">
        <v>264</v>
      </c>
      <c r="T210" s="170" t="s">
        <v>264</v>
      </c>
      <c r="U210" s="6" t="s">
        <v>849</v>
      </c>
      <c r="V210" s="170" t="s">
        <v>1626</v>
      </c>
      <c r="W210" s="170" t="s">
        <v>50</v>
      </c>
      <c r="X210" s="170" t="s">
        <v>54</v>
      </c>
      <c r="Y210" s="173">
        <v>0.59722222222222221</v>
      </c>
      <c r="Z210" s="170" t="s">
        <v>137</v>
      </c>
      <c r="AA210" s="170" t="s">
        <v>1627</v>
      </c>
      <c r="AB210" s="172"/>
      <c r="AC210" s="202"/>
      <c r="AD210" s="170" t="s">
        <v>269</v>
      </c>
      <c r="AE210" s="170" t="s">
        <v>737</v>
      </c>
      <c r="AF210" s="170">
        <v>23</v>
      </c>
      <c r="AG210" s="170" t="s">
        <v>99</v>
      </c>
      <c r="AH210" s="170" t="s">
        <v>60</v>
      </c>
      <c r="AI210" s="170" t="s">
        <v>80</v>
      </c>
      <c r="AJ210" s="170" t="s">
        <v>154</v>
      </c>
      <c r="AK210" s="174" t="s">
        <v>1628</v>
      </c>
      <c r="AL210" s="172" t="s">
        <v>64</v>
      </c>
      <c r="AM210" s="172" t="s">
        <v>65</v>
      </c>
      <c r="AN210" s="172" t="s">
        <v>66</v>
      </c>
      <c r="AO210" s="172" t="s">
        <v>67</v>
      </c>
      <c r="AP210" s="172" t="s">
        <v>250</v>
      </c>
    </row>
    <row r="211" spans="1:42" s="175" customFormat="1" hidden="1" x14ac:dyDescent="0.25">
      <c r="A211" s="170">
        <v>2023</v>
      </c>
      <c r="B211" s="170" t="s">
        <v>1183</v>
      </c>
      <c r="C211" s="170" t="s">
        <v>45</v>
      </c>
      <c r="D211" s="170" t="s">
        <v>1631</v>
      </c>
      <c r="E211" s="170" t="s">
        <v>471</v>
      </c>
      <c r="F211" s="170" t="s">
        <v>48</v>
      </c>
      <c r="G211" s="170" t="s">
        <v>1632</v>
      </c>
      <c r="H211" s="10">
        <v>36008</v>
      </c>
      <c r="I211" s="177">
        <f t="shared" si="6"/>
        <v>303</v>
      </c>
      <c r="J211" s="171">
        <v>45251</v>
      </c>
      <c r="K211" s="170" t="str">
        <f t="shared" si="7"/>
        <v>ANTIGUO</v>
      </c>
      <c r="L211" s="170" t="s">
        <v>50</v>
      </c>
      <c r="M211" s="170" t="s">
        <v>50</v>
      </c>
      <c r="N211" s="170" t="s">
        <v>50</v>
      </c>
      <c r="O211" s="170">
        <v>0</v>
      </c>
      <c r="P211" s="170" t="s">
        <v>51</v>
      </c>
      <c r="Q211" s="170" t="s">
        <v>50</v>
      </c>
      <c r="R211" s="172" t="s">
        <v>50</v>
      </c>
      <c r="S211" s="170" t="s">
        <v>234</v>
      </c>
      <c r="T211" s="170" t="s">
        <v>1633</v>
      </c>
      <c r="U211" s="170" t="s">
        <v>53</v>
      </c>
      <c r="V211" s="170" t="s">
        <v>1634</v>
      </c>
      <c r="W211" s="170" t="s">
        <v>50</v>
      </c>
      <c r="X211" s="170" t="s">
        <v>151</v>
      </c>
      <c r="Y211" s="173">
        <v>0.63888888888888895</v>
      </c>
      <c r="Z211" s="170" t="s">
        <v>125</v>
      </c>
      <c r="AA211" s="170" t="s">
        <v>1627</v>
      </c>
      <c r="AB211" s="172"/>
      <c r="AC211" s="202"/>
      <c r="AD211" s="170" t="s">
        <v>236</v>
      </c>
      <c r="AE211" s="170" t="s">
        <v>276</v>
      </c>
      <c r="AF211" s="170">
        <v>61</v>
      </c>
      <c r="AG211" s="170" t="s">
        <v>700</v>
      </c>
      <c r="AH211" s="170" t="s">
        <v>127</v>
      </c>
      <c r="AI211" s="170" t="s">
        <v>80</v>
      </c>
      <c r="AJ211" s="170" t="s">
        <v>129</v>
      </c>
      <c r="AK211" s="174" t="s">
        <v>1635</v>
      </c>
      <c r="AL211" s="172" t="s">
        <v>118</v>
      </c>
      <c r="AM211" s="172" t="s">
        <v>65</v>
      </c>
      <c r="AN211" s="172" t="s">
        <v>66</v>
      </c>
      <c r="AO211" s="172" t="s">
        <v>67</v>
      </c>
      <c r="AP211" s="172" t="s">
        <v>240</v>
      </c>
    </row>
    <row r="212" spans="1:42" s="175" customFormat="1" hidden="1" x14ac:dyDescent="0.25">
      <c r="A212" s="170">
        <v>2023</v>
      </c>
      <c r="B212" s="170" t="s">
        <v>1183</v>
      </c>
      <c r="C212" s="170" t="s">
        <v>45</v>
      </c>
      <c r="D212" s="170" t="s">
        <v>477</v>
      </c>
      <c r="E212" s="170" t="s">
        <v>478</v>
      </c>
      <c r="F212" s="170" t="s">
        <v>48</v>
      </c>
      <c r="G212" s="170" t="s">
        <v>1636</v>
      </c>
      <c r="H212" s="10">
        <v>44348</v>
      </c>
      <c r="I212" s="177">
        <f t="shared" si="6"/>
        <v>29</v>
      </c>
      <c r="J212" s="171">
        <v>45251</v>
      </c>
      <c r="K212" s="170" t="str">
        <f t="shared" si="7"/>
        <v>ANTIGUO</v>
      </c>
      <c r="L212" s="170" t="s">
        <v>50</v>
      </c>
      <c r="M212" s="170" t="s">
        <v>50</v>
      </c>
      <c r="N212" s="170" t="s">
        <v>50</v>
      </c>
      <c r="O212" s="170">
        <v>0</v>
      </c>
      <c r="P212" s="170" t="s">
        <v>51</v>
      </c>
      <c r="Q212" s="170" t="s">
        <v>50</v>
      </c>
      <c r="R212" s="172" t="s">
        <v>50</v>
      </c>
      <c r="S212" s="170" t="s">
        <v>73</v>
      </c>
      <c r="T212" s="170" t="s">
        <v>473</v>
      </c>
      <c r="U212" s="170" t="s">
        <v>53</v>
      </c>
      <c r="V212" s="170" t="s">
        <v>1637</v>
      </c>
      <c r="W212" s="170" t="s">
        <v>50</v>
      </c>
      <c r="X212" s="170" t="s">
        <v>151</v>
      </c>
      <c r="Y212" s="173">
        <v>0.79166666666666663</v>
      </c>
      <c r="Z212" s="170" t="s">
        <v>125</v>
      </c>
      <c r="AA212" s="170" t="s">
        <v>1627</v>
      </c>
      <c r="AB212" s="172"/>
      <c r="AC212" s="202"/>
      <c r="AD212" s="170" t="s">
        <v>1229</v>
      </c>
      <c r="AE212" s="170" t="s">
        <v>861</v>
      </c>
      <c r="AF212" s="170">
        <v>42</v>
      </c>
      <c r="AG212" s="170" t="s">
        <v>700</v>
      </c>
      <c r="AH212" s="170" t="s">
        <v>166</v>
      </c>
      <c r="AI212" s="170" t="s">
        <v>80</v>
      </c>
      <c r="AJ212" s="170" t="s">
        <v>129</v>
      </c>
      <c r="AK212" s="174" t="s">
        <v>1638</v>
      </c>
      <c r="AL212" s="172" t="s">
        <v>118</v>
      </c>
      <c r="AM212" s="172" t="s">
        <v>65</v>
      </c>
      <c r="AN212" s="172" t="s">
        <v>66</v>
      </c>
      <c r="AO212" s="172" t="s">
        <v>67</v>
      </c>
      <c r="AP212" s="172" t="s">
        <v>250</v>
      </c>
    </row>
    <row r="213" spans="1:42" s="175" customFormat="1" hidden="1" x14ac:dyDescent="0.25">
      <c r="A213" s="170">
        <v>2023</v>
      </c>
      <c r="B213" s="170" t="s">
        <v>1183</v>
      </c>
      <c r="C213" s="170" t="s">
        <v>45</v>
      </c>
      <c r="D213" s="170" t="s">
        <v>534</v>
      </c>
      <c r="E213" s="170" t="s">
        <v>86</v>
      </c>
      <c r="F213" s="170" t="s">
        <v>48</v>
      </c>
      <c r="G213" s="170" t="s">
        <v>535</v>
      </c>
      <c r="H213" s="10">
        <v>44879</v>
      </c>
      <c r="I213" s="177">
        <f t="shared" si="6"/>
        <v>12</v>
      </c>
      <c r="J213" s="171">
        <v>45252</v>
      </c>
      <c r="K213" s="170" t="str">
        <f t="shared" si="7"/>
        <v>INTERMEDIO</v>
      </c>
      <c r="L213" s="171">
        <v>45253</v>
      </c>
      <c r="M213" s="170"/>
      <c r="N213" s="171">
        <v>45253</v>
      </c>
      <c r="O213" s="314">
        <v>8</v>
      </c>
      <c r="P213" s="170" t="s">
        <v>88</v>
      </c>
      <c r="Q213" s="170" t="s">
        <v>89</v>
      </c>
      <c r="R213" s="172" t="s">
        <v>263</v>
      </c>
      <c r="S213" s="170" t="s">
        <v>160</v>
      </c>
      <c r="T213" s="170" t="s">
        <v>712</v>
      </c>
      <c r="U213" s="170" t="s">
        <v>53</v>
      </c>
      <c r="V213" s="170" t="s">
        <v>765</v>
      </c>
      <c r="W213" s="170" t="s">
        <v>267</v>
      </c>
      <c r="X213" s="170" t="s">
        <v>151</v>
      </c>
      <c r="Y213" s="173">
        <v>0.83680555555555547</v>
      </c>
      <c r="Z213" s="170" t="s">
        <v>55</v>
      </c>
      <c r="AA213" s="170" t="s">
        <v>1627</v>
      </c>
      <c r="AB213" s="172">
        <v>16033</v>
      </c>
      <c r="AC213" s="352" t="s">
        <v>1641</v>
      </c>
      <c r="AD213" s="170" t="s">
        <v>164</v>
      </c>
      <c r="AE213" s="170" t="s">
        <v>165</v>
      </c>
      <c r="AF213" s="170">
        <v>25</v>
      </c>
      <c r="AG213" s="170" t="s">
        <v>271</v>
      </c>
      <c r="AH213" s="170" t="s">
        <v>153</v>
      </c>
      <c r="AI213" s="170" t="s">
        <v>80</v>
      </c>
      <c r="AJ213" s="170" t="s">
        <v>129</v>
      </c>
      <c r="AK213" s="174" t="s">
        <v>1639</v>
      </c>
      <c r="AL213" s="172" t="s">
        <v>118</v>
      </c>
      <c r="AM213" s="172" t="s">
        <v>65</v>
      </c>
      <c r="AN213" s="172" t="s">
        <v>65</v>
      </c>
      <c r="AO213" s="172" t="s">
        <v>67</v>
      </c>
      <c r="AP213" s="172" t="s">
        <v>240</v>
      </c>
    </row>
    <row r="214" spans="1:42" s="175" customFormat="1" hidden="1" x14ac:dyDescent="0.25">
      <c r="A214" s="170">
        <v>2023</v>
      </c>
      <c r="B214" s="170" t="s">
        <v>1183</v>
      </c>
      <c r="C214" s="170" t="s">
        <v>45</v>
      </c>
      <c r="D214" s="170" t="s">
        <v>1642</v>
      </c>
      <c r="E214" s="170" t="s">
        <v>719</v>
      </c>
      <c r="F214" s="170" t="s">
        <v>48</v>
      </c>
      <c r="G214" s="170" t="s">
        <v>1643</v>
      </c>
      <c r="H214" s="302">
        <v>45159</v>
      </c>
      <c r="I214" s="177">
        <f t="shared" si="6"/>
        <v>3</v>
      </c>
      <c r="J214" s="171">
        <v>45253</v>
      </c>
      <c r="K214" s="170" t="str">
        <f t="shared" si="7"/>
        <v>NUEVO</v>
      </c>
      <c r="L214" s="170" t="s">
        <v>50</v>
      </c>
      <c r="M214" s="170" t="s">
        <v>50</v>
      </c>
      <c r="N214" s="170" t="s">
        <v>50</v>
      </c>
      <c r="O214" s="170">
        <v>0</v>
      </c>
      <c r="P214" s="170" t="s">
        <v>51</v>
      </c>
      <c r="Q214" s="170" t="s">
        <v>50</v>
      </c>
      <c r="R214" s="172" t="s">
        <v>50</v>
      </c>
      <c r="S214" s="170" t="s">
        <v>134</v>
      </c>
      <c r="T214" s="170" t="s">
        <v>729</v>
      </c>
      <c r="U214" s="170" t="s">
        <v>53</v>
      </c>
      <c r="V214" s="170" t="s">
        <v>1644</v>
      </c>
      <c r="W214" s="170" t="s">
        <v>50</v>
      </c>
      <c r="X214" s="170" t="s">
        <v>151</v>
      </c>
      <c r="Y214" s="173">
        <v>0.69791666666666663</v>
      </c>
      <c r="Z214" s="170" t="s">
        <v>76</v>
      </c>
      <c r="AA214" s="170" t="s">
        <v>1627</v>
      </c>
      <c r="AB214" s="172"/>
      <c r="AC214" s="202"/>
      <c r="AD214" s="170" t="s">
        <v>140</v>
      </c>
      <c r="AE214" s="170"/>
      <c r="AF214" s="170">
        <v>35</v>
      </c>
      <c r="AG214" s="170" t="s">
        <v>115</v>
      </c>
      <c r="AH214" s="170" t="s">
        <v>166</v>
      </c>
      <c r="AI214" s="170" t="s">
        <v>80</v>
      </c>
      <c r="AJ214" s="170" t="s">
        <v>129</v>
      </c>
      <c r="AK214" s="174" t="s">
        <v>1645</v>
      </c>
      <c r="AL214" s="172" t="s">
        <v>118</v>
      </c>
      <c r="AM214" s="172" t="s">
        <v>65</v>
      </c>
      <c r="AN214" s="172" t="s">
        <v>66</v>
      </c>
      <c r="AO214" s="172" t="s">
        <v>67</v>
      </c>
      <c r="AP214" s="178" t="s">
        <v>284</v>
      </c>
    </row>
    <row r="215" spans="1:42" s="175" customFormat="1" hidden="1" x14ac:dyDescent="0.2">
      <c r="A215" s="170">
        <v>2023</v>
      </c>
      <c r="B215" s="170" t="s">
        <v>1183</v>
      </c>
      <c r="C215" s="170" t="s">
        <v>45</v>
      </c>
      <c r="D215" s="170" t="s">
        <v>1646</v>
      </c>
      <c r="E215" s="170" t="s">
        <v>1647</v>
      </c>
      <c r="F215" s="170" t="s">
        <v>48</v>
      </c>
      <c r="G215" s="170" t="s">
        <v>1648</v>
      </c>
      <c r="H215" s="290">
        <v>45236</v>
      </c>
      <c r="I215" s="177">
        <f t="shared" si="6"/>
        <v>0</v>
      </c>
      <c r="J215" s="171">
        <v>45253</v>
      </c>
      <c r="K215" s="170" t="str">
        <f t="shared" si="7"/>
        <v>NUEVO</v>
      </c>
      <c r="L215" s="170" t="s">
        <v>50</v>
      </c>
      <c r="M215" s="170" t="s">
        <v>50</v>
      </c>
      <c r="N215" s="170" t="s">
        <v>50</v>
      </c>
      <c r="O215" s="170">
        <v>0</v>
      </c>
      <c r="P215" s="170" t="s">
        <v>51</v>
      </c>
      <c r="Q215" s="170" t="s">
        <v>50</v>
      </c>
      <c r="R215" s="172" t="s">
        <v>50</v>
      </c>
      <c r="S215" s="170" t="s">
        <v>234</v>
      </c>
      <c r="T215" s="170" t="s">
        <v>1649</v>
      </c>
      <c r="U215" s="354" t="s">
        <v>53</v>
      </c>
      <c r="V215" s="170" t="s">
        <v>235</v>
      </c>
      <c r="W215" s="170" t="s">
        <v>50</v>
      </c>
      <c r="X215" s="170" t="s">
        <v>151</v>
      </c>
      <c r="Y215" s="173">
        <v>0.80555555555555547</v>
      </c>
      <c r="Z215" s="170" t="s">
        <v>76</v>
      </c>
      <c r="AA215" s="170" t="s">
        <v>1627</v>
      </c>
      <c r="AB215" s="172"/>
      <c r="AC215" s="202"/>
      <c r="AD215" s="170" t="s">
        <v>236</v>
      </c>
      <c r="AE215" s="170" t="s">
        <v>276</v>
      </c>
      <c r="AF215" s="170"/>
      <c r="AG215" s="170" t="s">
        <v>79</v>
      </c>
      <c r="AH215" s="170" t="s">
        <v>153</v>
      </c>
      <c r="AI215" s="170" t="s">
        <v>80</v>
      </c>
      <c r="AJ215" s="170" t="s">
        <v>81</v>
      </c>
      <c r="AK215" s="174" t="s">
        <v>1783</v>
      </c>
      <c r="AL215" s="172" t="s">
        <v>118</v>
      </c>
      <c r="AM215" s="172" t="s">
        <v>65</v>
      </c>
      <c r="AN215" s="172" t="s">
        <v>66</v>
      </c>
      <c r="AO215" s="172" t="s">
        <v>67</v>
      </c>
      <c r="AP215" s="172" t="s">
        <v>103</v>
      </c>
    </row>
    <row r="216" spans="1:42" s="175" customFormat="1" ht="15" hidden="1" customHeight="1" x14ac:dyDescent="0.25">
      <c r="A216" s="170">
        <v>2023</v>
      </c>
      <c r="B216" s="170" t="s">
        <v>1183</v>
      </c>
      <c r="C216" s="170" t="s">
        <v>45</v>
      </c>
      <c r="D216" s="170" t="s">
        <v>260</v>
      </c>
      <c r="E216" s="170" t="s">
        <v>609</v>
      </c>
      <c r="F216" s="170" t="s">
        <v>48</v>
      </c>
      <c r="G216" s="170" t="s">
        <v>262</v>
      </c>
      <c r="H216" s="10">
        <v>45201</v>
      </c>
      <c r="I216" s="177">
        <f t="shared" si="6"/>
        <v>1</v>
      </c>
      <c r="J216" s="171">
        <v>45254</v>
      </c>
      <c r="K216" s="170" t="str">
        <f t="shared" si="7"/>
        <v>NUEVO</v>
      </c>
      <c r="L216" s="170" t="s">
        <v>50</v>
      </c>
      <c r="M216" s="170" t="s">
        <v>50</v>
      </c>
      <c r="N216" s="170" t="s">
        <v>50</v>
      </c>
      <c r="O216" s="170">
        <v>0</v>
      </c>
      <c r="P216" s="170" t="s">
        <v>51</v>
      </c>
      <c r="Q216" s="170" t="s">
        <v>50</v>
      </c>
      <c r="R216" s="172" t="s">
        <v>50</v>
      </c>
      <c r="S216" s="170" t="s">
        <v>264</v>
      </c>
      <c r="T216" s="170" t="s">
        <v>1016</v>
      </c>
      <c r="U216" s="354" t="s">
        <v>266</v>
      </c>
      <c r="V216" s="170" t="s">
        <v>1650</v>
      </c>
      <c r="W216" s="170" t="s">
        <v>50</v>
      </c>
      <c r="X216" s="170" t="s">
        <v>176</v>
      </c>
      <c r="Y216" s="173">
        <v>2.0833333333333332E-2</v>
      </c>
      <c r="Z216" s="170" t="s">
        <v>111</v>
      </c>
      <c r="AA216" s="170" t="s">
        <v>1627</v>
      </c>
      <c r="AB216" s="172"/>
      <c r="AC216" s="202"/>
      <c r="AD216" s="170" t="s">
        <v>269</v>
      </c>
      <c r="AE216" s="170" t="s">
        <v>850</v>
      </c>
      <c r="AF216" s="170">
        <v>28</v>
      </c>
      <c r="AG216" s="170" t="s">
        <v>99</v>
      </c>
      <c r="AH216" s="170" t="s">
        <v>60</v>
      </c>
      <c r="AI216" s="170" t="s">
        <v>80</v>
      </c>
      <c r="AJ216" s="170" t="s">
        <v>129</v>
      </c>
      <c r="AK216" s="174" t="s">
        <v>1651</v>
      </c>
      <c r="AL216" s="172" t="s">
        <v>64</v>
      </c>
      <c r="AM216" s="172" t="s">
        <v>65</v>
      </c>
      <c r="AN216" s="172" t="s">
        <v>66</v>
      </c>
      <c r="AO216" s="172" t="s">
        <v>67</v>
      </c>
      <c r="AP216" s="172" t="s">
        <v>103</v>
      </c>
    </row>
    <row r="217" spans="1:42" s="175" customFormat="1" hidden="1" x14ac:dyDescent="0.25">
      <c r="A217" s="170">
        <v>2023</v>
      </c>
      <c r="B217" s="170" t="s">
        <v>1183</v>
      </c>
      <c r="C217" s="170" t="s">
        <v>45</v>
      </c>
      <c r="D217" s="170" t="s">
        <v>1652</v>
      </c>
      <c r="E217" s="170" t="s">
        <v>594</v>
      </c>
      <c r="F217" s="170" t="s">
        <v>48</v>
      </c>
      <c r="G217" s="177" t="s">
        <v>1653</v>
      </c>
      <c r="H217" s="10">
        <v>45139</v>
      </c>
      <c r="I217" s="177">
        <f t="shared" si="6"/>
        <v>3</v>
      </c>
      <c r="J217" s="171">
        <v>45254</v>
      </c>
      <c r="K217" s="170" t="str">
        <f t="shared" si="7"/>
        <v>NUEVO</v>
      </c>
      <c r="L217" s="170" t="s">
        <v>50</v>
      </c>
      <c r="M217" s="170" t="s">
        <v>50</v>
      </c>
      <c r="N217" s="170" t="s">
        <v>50</v>
      </c>
      <c r="O217" s="170">
        <v>0</v>
      </c>
      <c r="P217" s="170" t="s">
        <v>51</v>
      </c>
      <c r="Q217" s="170" t="s">
        <v>50</v>
      </c>
      <c r="R217" s="172" t="s">
        <v>50</v>
      </c>
      <c r="S217" s="170" t="s">
        <v>173</v>
      </c>
      <c r="T217" s="9" t="s">
        <v>1654</v>
      </c>
      <c r="U217" s="354" t="s">
        <v>53</v>
      </c>
      <c r="V217" s="170" t="s">
        <v>1655</v>
      </c>
      <c r="W217" s="170" t="s">
        <v>50</v>
      </c>
      <c r="X217" s="170" t="s">
        <v>151</v>
      </c>
      <c r="Y217" s="173">
        <v>0.71875</v>
      </c>
      <c r="Z217" s="170" t="s">
        <v>111</v>
      </c>
      <c r="AA217" s="170" t="s">
        <v>1627</v>
      </c>
      <c r="AB217" s="172"/>
      <c r="AC217" s="202"/>
      <c r="AD217" s="170" t="s">
        <v>178</v>
      </c>
      <c r="AE217" s="170" t="s">
        <v>1656</v>
      </c>
      <c r="AF217" s="170">
        <v>22</v>
      </c>
      <c r="AG217" s="170" t="s">
        <v>277</v>
      </c>
      <c r="AH217" s="170" t="s">
        <v>60</v>
      </c>
      <c r="AI217" s="170" t="s">
        <v>80</v>
      </c>
      <c r="AJ217" s="170" t="s">
        <v>129</v>
      </c>
      <c r="AK217" s="174" t="s">
        <v>1657</v>
      </c>
      <c r="AL217" s="172" t="s">
        <v>118</v>
      </c>
      <c r="AM217" s="172" t="s">
        <v>65</v>
      </c>
      <c r="AN217" s="172" t="s">
        <v>66</v>
      </c>
      <c r="AO217" s="172" t="s">
        <v>1658</v>
      </c>
      <c r="AP217" s="178" t="s">
        <v>284</v>
      </c>
    </row>
    <row r="218" spans="1:42" s="175" customFormat="1" hidden="1" x14ac:dyDescent="0.25">
      <c r="A218" s="170">
        <v>2023</v>
      </c>
      <c r="B218" s="170" t="s">
        <v>1183</v>
      </c>
      <c r="C218" s="170" t="s">
        <v>45</v>
      </c>
      <c r="D218" s="170" t="s">
        <v>1659</v>
      </c>
      <c r="E218" s="170" t="s">
        <v>1660</v>
      </c>
      <c r="F218" s="170" t="s">
        <v>48</v>
      </c>
      <c r="G218" s="170" t="s">
        <v>1661</v>
      </c>
      <c r="H218" s="10">
        <v>44579</v>
      </c>
      <c r="I218" s="177">
        <f t="shared" ref="I218:I282" si="8">DATEDIF(H218,J218,"m")</f>
        <v>22</v>
      </c>
      <c r="J218" s="171">
        <v>45255</v>
      </c>
      <c r="K218" s="170" t="str">
        <f t="shared" si="7"/>
        <v>ANTIGUO</v>
      </c>
      <c r="L218" s="170" t="s">
        <v>50</v>
      </c>
      <c r="M218" s="170" t="s">
        <v>50</v>
      </c>
      <c r="N218" s="170" t="s">
        <v>50</v>
      </c>
      <c r="O218" s="170">
        <v>0</v>
      </c>
      <c r="P218" s="170" t="s">
        <v>51</v>
      </c>
      <c r="Q218" s="170" t="s">
        <v>50</v>
      </c>
      <c r="R218" s="172" t="s">
        <v>50</v>
      </c>
      <c r="S218" s="170" t="s">
        <v>91</v>
      </c>
      <c r="T218" s="9" t="s">
        <v>756</v>
      </c>
      <c r="U218" s="354" t="s">
        <v>53</v>
      </c>
      <c r="V218" s="170" t="s">
        <v>93</v>
      </c>
      <c r="W218" s="170" t="s">
        <v>50</v>
      </c>
      <c r="X218" s="170" t="s">
        <v>54</v>
      </c>
      <c r="Y218" s="173">
        <v>0.4548611111111111</v>
      </c>
      <c r="Z218" s="170" t="s">
        <v>95</v>
      </c>
      <c r="AA218" s="170" t="s">
        <v>1627</v>
      </c>
      <c r="AB218" s="172"/>
      <c r="AC218" s="202"/>
      <c r="AD218" s="170" t="s">
        <v>97</v>
      </c>
      <c r="AE218" s="170" t="s">
        <v>98</v>
      </c>
      <c r="AF218" s="170">
        <v>22</v>
      </c>
      <c r="AG218" s="170" t="s">
        <v>700</v>
      </c>
      <c r="AH218" s="170" t="s">
        <v>127</v>
      </c>
      <c r="AI218" s="170" t="s">
        <v>80</v>
      </c>
      <c r="AJ218" s="170" t="s">
        <v>129</v>
      </c>
      <c r="AK218" s="174" t="s">
        <v>1663</v>
      </c>
      <c r="AL218" s="172" t="s">
        <v>64</v>
      </c>
      <c r="AM218" s="172" t="s">
        <v>65</v>
      </c>
      <c r="AN218" s="172" t="s">
        <v>1662</v>
      </c>
      <c r="AO218" s="172" t="s">
        <v>83</v>
      </c>
      <c r="AP218" s="172" t="s">
        <v>240</v>
      </c>
    </row>
    <row r="219" spans="1:42" s="175" customFormat="1" hidden="1" x14ac:dyDescent="0.25">
      <c r="A219" s="170">
        <v>2023</v>
      </c>
      <c r="B219" s="170" t="s">
        <v>1183</v>
      </c>
      <c r="C219" s="170" t="s">
        <v>45</v>
      </c>
      <c r="D219" s="170" t="s">
        <v>1673</v>
      </c>
      <c r="E219" s="170" t="s">
        <v>453</v>
      </c>
      <c r="F219" s="170" t="s">
        <v>48</v>
      </c>
      <c r="G219" s="170" t="s">
        <v>1674</v>
      </c>
      <c r="H219" s="10">
        <v>43607</v>
      </c>
      <c r="I219" s="177">
        <f t="shared" si="8"/>
        <v>54</v>
      </c>
      <c r="J219" s="171">
        <v>45258</v>
      </c>
      <c r="K219" s="170" t="str">
        <f t="shared" si="7"/>
        <v>ANTIGUO</v>
      </c>
      <c r="L219" s="171">
        <v>45258</v>
      </c>
      <c r="M219" s="170"/>
      <c r="N219" s="171">
        <v>45258</v>
      </c>
      <c r="O219" s="314">
        <v>8</v>
      </c>
      <c r="P219" s="170" t="s">
        <v>88</v>
      </c>
      <c r="Q219" s="170" t="s">
        <v>50</v>
      </c>
      <c r="R219" s="172" t="s">
        <v>50</v>
      </c>
      <c r="S219" s="170" t="s">
        <v>173</v>
      </c>
      <c r="T219" s="9" t="s">
        <v>664</v>
      </c>
      <c r="U219" s="354" t="s">
        <v>53</v>
      </c>
      <c r="V219" s="170" t="s">
        <v>288</v>
      </c>
      <c r="W219" s="170" t="s">
        <v>50</v>
      </c>
      <c r="X219" s="170" t="s">
        <v>176</v>
      </c>
      <c r="Y219" s="173">
        <v>0.15972222222222224</v>
      </c>
      <c r="Z219" s="170" t="s">
        <v>125</v>
      </c>
      <c r="AA219" s="170" t="s">
        <v>1675</v>
      </c>
      <c r="AB219" s="172">
        <v>16037</v>
      </c>
      <c r="AC219" s="352" t="s">
        <v>1691</v>
      </c>
      <c r="AD219" s="170" t="s">
        <v>390</v>
      </c>
      <c r="AE219" s="170" t="s">
        <v>179</v>
      </c>
      <c r="AF219" s="170">
        <v>57</v>
      </c>
      <c r="AG219" s="170" t="s">
        <v>115</v>
      </c>
      <c r="AH219" s="170" t="s">
        <v>60</v>
      </c>
      <c r="AI219" s="170" t="s">
        <v>80</v>
      </c>
      <c r="AJ219" s="170" t="s">
        <v>129</v>
      </c>
      <c r="AK219" s="174" t="s">
        <v>1676</v>
      </c>
      <c r="AL219" s="172" t="s">
        <v>64</v>
      </c>
      <c r="AM219" s="172" t="s">
        <v>65</v>
      </c>
      <c r="AN219" s="172" t="s">
        <v>65</v>
      </c>
      <c r="AO219" s="172" t="s">
        <v>67</v>
      </c>
      <c r="AP219" s="172" t="s">
        <v>103</v>
      </c>
    </row>
    <row r="220" spans="1:42" s="175" customFormat="1" ht="15" hidden="1" customHeight="1" x14ac:dyDescent="0.25">
      <c r="A220" s="170">
        <v>2023</v>
      </c>
      <c r="B220" s="170" t="s">
        <v>1183</v>
      </c>
      <c r="C220" s="170" t="s">
        <v>45</v>
      </c>
      <c r="D220" s="170" t="s">
        <v>1677</v>
      </c>
      <c r="E220" s="170" t="s">
        <v>1478</v>
      </c>
      <c r="F220" s="170" t="s">
        <v>48</v>
      </c>
      <c r="G220" s="170" t="s">
        <v>1678</v>
      </c>
      <c r="H220" s="10">
        <v>43633</v>
      </c>
      <c r="I220" s="177">
        <f t="shared" si="8"/>
        <v>53</v>
      </c>
      <c r="J220" s="171">
        <v>45258</v>
      </c>
      <c r="K220" s="170" t="str">
        <f t="shared" si="7"/>
        <v>ANTIGUO</v>
      </c>
      <c r="L220" s="170" t="s">
        <v>50</v>
      </c>
      <c r="M220" s="170" t="s">
        <v>50</v>
      </c>
      <c r="N220" s="170" t="s">
        <v>50</v>
      </c>
      <c r="O220" s="170">
        <v>0</v>
      </c>
      <c r="P220" s="170" t="s">
        <v>51</v>
      </c>
      <c r="Q220" s="170" t="s">
        <v>50</v>
      </c>
      <c r="R220" s="172" t="s">
        <v>50</v>
      </c>
      <c r="S220" s="170" t="s">
        <v>160</v>
      </c>
      <c r="T220" s="9" t="s">
        <v>1679</v>
      </c>
      <c r="U220" t="s">
        <v>742</v>
      </c>
      <c r="V220" s="170" t="s">
        <v>191</v>
      </c>
      <c r="W220" s="170" t="s">
        <v>50</v>
      </c>
      <c r="X220" s="170" t="s">
        <v>54</v>
      </c>
      <c r="Y220" s="173">
        <v>0.25</v>
      </c>
      <c r="Z220" s="170" t="s">
        <v>125</v>
      </c>
      <c r="AA220" s="170" t="s">
        <v>1675</v>
      </c>
      <c r="AB220" s="172"/>
      <c r="AC220" s="202"/>
      <c r="AD220" s="170" t="s">
        <v>164</v>
      </c>
      <c r="AE220" s="170" t="s">
        <v>958</v>
      </c>
      <c r="AF220" s="170">
        <v>29</v>
      </c>
      <c r="AG220" s="170" t="s">
        <v>99</v>
      </c>
      <c r="AH220" s="170" t="s">
        <v>60</v>
      </c>
      <c r="AI220" s="170" t="s">
        <v>80</v>
      </c>
      <c r="AJ220" s="170" t="s">
        <v>129</v>
      </c>
      <c r="AK220" s="174" t="s">
        <v>1680</v>
      </c>
      <c r="AL220" s="172" t="s">
        <v>64</v>
      </c>
      <c r="AM220" s="172" t="s">
        <v>65</v>
      </c>
      <c r="AN220" s="172" t="s">
        <v>66</v>
      </c>
      <c r="AO220" s="172" t="s">
        <v>67</v>
      </c>
      <c r="AP220" s="172" t="s">
        <v>250</v>
      </c>
    </row>
    <row r="221" spans="1:42" s="175" customFormat="1" hidden="1" x14ac:dyDescent="0.2">
      <c r="A221" s="170">
        <v>2023</v>
      </c>
      <c r="B221" s="170" t="s">
        <v>1183</v>
      </c>
      <c r="C221" s="170" t="s">
        <v>45</v>
      </c>
      <c r="D221" s="170" t="s">
        <v>1681</v>
      </c>
      <c r="E221" s="170" t="s">
        <v>1682</v>
      </c>
      <c r="F221" s="170" t="s">
        <v>48</v>
      </c>
      <c r="G221" s="170" t="s">
        <v>1683</v>
      </c>
      <c r="H221" s="290">
        <v>45243</v>
      </c>
      <c r="I221" s="177">
        <f t="shared" si="8"/>
        <v>0</v>
      </c>
      <c r="J221" s="171">
        <v>45258</v>
      </c>
      <c r="K221" s="170" t="str">
        <f t="shared" si="7"/>
        <v>NUEVO</v>
      </c>
      <c r="L221" s="170" t="s">
        <v>50</v>
      </c>
      <c r="M221" s="170" t="s">
        <v>50</v>
      </c>
      <c r="N221" s="170" t="s">
        <v>50</v>
      </c>
      <c r="O221" s="170">
        <v>0</v>
      </c>
      <c r="P221" s="170" t="s">
        <v>51</v>
      </c>
      <c r="Q221" s="170" t="s">
        <v>50</v>
      </c>
      <c r="R221" s="172" t="s">
        <v>50</v>
      </c>
      <c r="S221" s="170" t="s">
        <v>234</v>
      </c>
      <c r="T221" s="170" t="s">
        <v>235</v>
      </c>
      <c r="U221" s="354" t="s">
        <v>53</v>
      </c>
      <c r="V221" s="170" t="s">
        <v>1684</v>
      </c>
      <c r="W221" s="170" t="s">
        <v>50</v>
      </c>
      <c r="X221" s="170" t="s">
        <v>54</v>
      </c>
      <c r="Y221" s="173">
        <v>0.43402777777777773</v>
      </c>
      <c r="Z221" s="170" t="s">
        <v>125</v>
      </c>
      <c r="AA221" s="170" t="s">
        <v>1675</v>
      </c>
      <c r="AB221" s="172"/>
      <c r="AC221" s="202"/>
      <c r="AD221" s="170" t="s">
        <v>236</v>
      </c>
      <c r="AE221" s="170" t="s">
        <v>276</v>
      </c>
      <c r="AF221" s="170"/>
      <c r="AG221" s="170" t="s">
        <v>475</v>
      </c>
      <c r="AH221" s="170" t="s">
        <v>153</v>
      </c>
      <c r="AI221" s="170" t="s">
        <v>80</v>
      </c>
      <c r="AJ221" s="170" t="s">
        <v>129</v>
      </c>
      <c r="AK221" s="174" t="s">
        <v>1685</v>
      </c>
      <c r="AL221" s="172" t="s">
        <v>64</v>
      </c>
      <c r="AM221" s="172" t="s">
        <v>65</v>
      </c>
      <c r="AN221" s="172" t="s">
        <v>66</v>
      </c>
      <c r="AO221" s="172" t="s">
        <v>67</v>
      </c>
      <c r="AP221" s="172" t="s">
        <v>250</v>
      </c>
    </row>
    <row r="222" spans="1:42" s="175" customFormat="1" hidden="1" x14ac:dyDescent="0.25">
      <c r="A222" s="170">
        <v>2023</v>
      </c>
      <c r="B222" s="170" t="s">
        <v>1183</v>
      </c>
      <c r="C222" s="170" t="s">
        <v>45</v>
      </c>
      <c r="D222" s="170" t="s">
        <v>1218</v>
      </c>
      <c r="E222" s="170" t="s">
        <v>1219</v>
      </c>
      <c r="F222" s="170" t="s">
        <v>71</v>
      </c>
      <c r="G222" s="6" t="s">
        <v>1220</v>
      </c>
      <c r="H222" s="10">
        <v>45124</v>
      </c>
      <c r="I222" s="177">
        <f t="shared" si="8"/>
        <v>4</v>
      </c>
      <c r="J222" s="171">
        <v>45259</v>
      </c>
      <c r="K222" s="170" t="str">
        <f t="shared" si="7"/>
        <v>NUEVO</v>
      </c>
      <c r="L222" s="171">
        <v>45260</v>
      </c>
      <c r="M222" s="171">
        <v>45261</v>
      </c>
      <c r="N222" s="170" t="s">
        <v>1784</v>
      </c>
      <c r="O222" s="314">
        <v>6</v>
      </c>
      <c r="P222" s="170" t="s">
        <v>88</v>
      </c>
      <c r="Q222" s="170" t="s">
        <v>50</v>
      </c>
      <c r="R222" s="172" t="s">
        <v>50</v>
      </c>
      <c r="S222" s="170" t="s">
        <v>160</v>
      </c>
      <c r="T222" s="170" t="s">
        <v>247</v>
      </c>
      <c r="U222" s="354" t="s">
        <v>53</v>
      </c>
      <c r="V222" s="170" t="s">
        <v>371</v>
      </c>
      <c r="W222" s="170" t="s">
        <v>50</v>
      </c>
      <c r="X222" s="170" t="s">
        <v>151</v>
      </c>
      <c r="Y222" s="173">
        <v>0.77083333333333337</v>
      </c>
      <c r="Z222" s="170" t="s">
        <v>55</v>
      </c>
      <c r="AA222" s="170" t="s">
        <v>1675</v>
      </c>
      <c r="AB222" s="172">
        <v>16040</v>
      </c>
      <c r="AC222" s="352" t="s">
        <v>1690</v>
      </c>
      <c r="AD222" s="170" t="s">
        <v>164</v>
      </c>
      <c r="AE222" s="170" t="s">
        <v>1570</v>
      </c>
      <c r="AF222" s="170">
        <v>56</v>
      </c>
      <c r="AG222" s="170" t="s">
        <v>79</v>
      </c>
      <c r="AH222" s="170" t="s">
        <v>256</v>
      </c>
      <c r="AI222" s="170" t="s">
        <v>80</v>
      </c>
      <c r="AJ222" s="170" t="s">
        <v>81</v>
      </c>
      <c r="AK222" s="174" t="s">
        <v>1689</v>
      </c>
      <c r="AL222" s="172" t="s">
        <v>118</v>
      </c>
      <c r="AM222" s="172" t="s">
        <v>65</v>
      </c>
      <c r="AN222" s="172" t="s">
        <v>65</v>
      </c>
      <c r="AO222" s="172" t="s">
        <v>83</v>
      </c>
      <c r="AP222" s="172" t="s">
        <v>250</v>
      </c>
    </row>
    <row r="223" spans="1:42" s="175" customFormat="1" hidden="1" x14ac:dyDescent="0.25">
      <c r="A223" s="170">
        <v>2023</v>
      </c>
      <c r="B223" s="170" t="s">
        <v>1290</v>
      </c>
      <c r="C223" s="170" t="s">
        <v>45</v>
      </c>
      <c r="D223" s="170" t="s">
        <v>1698</v>
      </c>
      <c r="E223" s="170" t="s">
        <v>1699</v>
      </c>
      <c r="F223" s="170" t="s">
        <v>71</v>
      </c>
      <c r="G223" s="170" t="s">
        <v>1700</v>
      </c>
      <c r="H223" s="10">
        <v>42588</v>
      </c>
      <c r="I223" s="177">
        <f t="shared" si="8"/>
        <v>87</v>
      </c>
      <c r="J223" s="171">
        <v>45264</v>
      </c>
      <c r="K223" s="170" t="str">
        <f t="shared" si="7"/>
        <v>ANTIGUO</v>
      </c>
      <c r="L223" s="170" t="s">
        <v>50</v>
      </c>
      <c r="M223" s="170" t="s">
        <v>50</v>
      </c>
      <c r="N223" s="170" t="s">
        <v>50</v>
      </c>
      <c r="O223" s="170">
        <v>0</v>
      </c>
      <c r="P223" s="170" t="s">
        <v>51</v>
      </c>
      <c r="Q223" s="170" t="s">
        <v>50</v>
      </c>
      <c r="R223" s="172" t="s">
        <v>50</v>
      </c>
      <c r="S223" s="170" t="s">
        <v>73</v>
      </c>
      <c r="T223" s="170" t="s">
        <v>473</v>
      </c>
      <c r="U223" s="170" t="s">
        <v>53</v>
      </c>
      <c r="V223" s="170" t="s">
        <v>508</v>
      </c>
      <c r="W223" s="170" t="s">
        <v>50</v>
      </c>
      <c r="X223" s="170" t="s">
        <v>151</v>
      </c>
      <c r="Y223" s="173">
        <v>0.56597222222222221</v>
      </c>
      <c r="Z223" s="170" t="s">
        <v>137</v>
      </c>
      <c r="AA223" s="170" t="s">
        <v>1701</v>
      </c>
      <c r="AB223" s="172"/>
      <c r="AC223" s="202"/>
      <c r="AD223" s="170" t="s">
        <v>1229</v>
      </c>
      <c r="AE223" s="170" t="s">
        <v>323</v>
      </c>
      <c r="AF223" s="170">
        <v>29</v>
      </c>
      <c r="AG223" s="170" t="s">
        <v>79</v>
      </c>
      <c r="AH223" s="170" t="s">
        <v>450</v>
      </c>
      <c r="AI223" s="170" t="s">
        <v>80</v>
      </c>
      <c r="AJ223" s="170" t="s">
        <v>81</v>
      </c>
      <c r="AK223" s="174" t="s">
        <v>1702</v>
      </c>
      <c r="AL223" s="172" t="s">
        <v>118</v>
      </c>
      <c r="AM223" s="172" t="s">
        <v>65</v>
      </c>
      <c r="AN223" s="172" t="s">
        <v>66</v>
      </c>
      <c r="AO223" s="172" t="s">
        <v>83</v>
      </c>
      <c r="AP223" s="172" t="s">
        <v>103</v>
      </c>
    </row>
    <row r="224" spans="1:42" s="175" customFormat="1" hidden="1" x14ac:dyDescent="0.25">
      <c r="A224" s="170">
        <v>2023</v>
      </c>
      <c r="B224" s="170" t="s">
        <v>1290</v>
      </c>
      <c r="C224" s="170" t="s">
        <v>45</v>
      </c>
      <c r="D224" s="170" t="s">
        <v>1703</v>
      </c>
      <c r="E224" s="170" t="s">
        <v>1704</v>
      </c>
      <c r="F224" s="170" t="s">
        <v>71</v>
      </c>
      <c r="G224" s="170" t="s">
        <v>1705</v>
      </c>
      <c r="H224" s="10">
        <v>41493</v>
      </c>
      <c r="I224" s="177">
        <f t="shared" si="8"/>
        <v>123</v>
      </c>
      <c r="J224" s="171">
        <v>45264</v>
      </c>
      <c r="K224" s="170" t="str">
        <f t="shared" si="7"/>
        <v>ANTIGUO</v>
      </c>
      <c r="L224" s="170" t="s">
        <v>50</v>
      </c>
      <c r="M224" s="170" t="s">
        <v>50</v>
      </c>
      <c r="N224" s="171">
        <v>45265</v>
      </c>
      <c r="O224" s="314">
        <v>3</v>
      </c>
      <c r="P224" s="170" t="s">
        <v>88</v>
      </c>
      <c r="Q224" s="170" t="s">
        <v>50</v>
      </c>
      <c r="R224" s="172" t="s">
        <v>50</v>
      </c>
      <c r="S224" s="170" t="s">
        <v>160</v>
      </c>
      <c r="T224" s="170" t="s">
        <v>191</v>
      </c>
      <c r="U224" s="170" t="s">
        <v>53</v>
      </c>
      <c r="V224" s="170" t="s">
        <v>371</v>
      </c>
      <c r="W224" s="170" t="s">
        <v>50</v>
      </c>
      <c r="X224" s="170" t="s">
        <v>151</v>
      </c>
      <c r="Y224" s="173">
        <v>0.68055555555555547</v>
      </c>
      <c r="Z224" s="170" t="s">
        <v>137</v>
      </c>
      <c r="AA224" s="170" t="s">
        <v>1701</v>
      </c>
      <c r="AB224" s="172">
        <v>16043</v>
      </c>
      <c r="AC224" s="352" t="s">
        <v>1707</v>
      </c>
      <c r="AD224" s="170" t="s">
        <v>164</v>
      </c>
      <c r="AE224" s="170" t="s">
        <v>958</v>
      </c>
      <c r="AF224" s="170">
        <v>64</v>
      </c>
      <c r="AG224" s="170" t="s">
        <v>61</v>
      </c>
      <c r="AH224" s="170" t="s">
        <v>695</v>
      </c>
      <c r="AI224" s="170" t="s">
        <v>80</v>
      </c>
      <c r="AJ224" s="170" t="s">
        <v>81</v>
      </c>
      <c r="AK224" s="174" t="s">
        <v>1706</v>
      </c>
      <c r="AL224" s="172" t="s">
        <v>118</v>
      </c>
      <c r="AM224" s="172" t="s">
        <v>65</v>
      </c>
      <c r="AN224" s="172" t="s">
        <v>65</v>
      </c>
      <c r="AO224" s="172" t="s">
        <v>67</v>
      </c>
      <c r="AP224" s="172" t="s">
        <v>103</v>
      </c>
    </row>
    <row r="225" spans="1:42" s="175" customFormat="1" ht="15" hidden="1" customHeight="1" x14ac:dyDescent="0.25">
      <c r="A225" s="170">
        <v>2023</v>
      </c>
      <c r="B225" s="170" t="s">
        <v>1290</v>
      </c>
      <c r="C225" s="170" t="s">
        <v>45</v>
      </c>
      <c r="D225" s="170" t="s">
        <v>1708</v>
      </c>
      <c r="E225" s="170" t="s">
        <v>1709</v>
      </c>
      <c r="F225" s="170" t="s">
        <v>48</v>
      </c>
      <c r="G225" s="170" t="s">
        <v>1710</v>
      </c>
      <c r="H225" s="304">
        <v>45243</v>
      </c>
      <c r="I225" s="177">
        <f t="shared" si="8"/>
        <v>0</v>
      </c>
      <c r="J225" s="171">
        <v>45266</v>
      </c>
      <c r="K225" s="170" t="str">
        <f t="shared" si="7"/>
        <v>NUEVO</v>
      </c>
      <c r="L225" s="171">
        <v>45267</v>
      </c>
      <c r="M225" s="171">
        <v>45267</v>
      </c>
      <c r="N225" s="170" t="s">
        <v>50</v>
      </c>
      <c r="O225" s="170">
        <v>0</v>
      </c>
      <c r="P225" s="170" t="s">
        <v>51</v>
      </c>
      <c r="Q225" s="170" t="s">
        <v>50</v>
      </c>
      <c r="R225" s="172" t="s">
        <v>50</v>
      </c>
      <c r="S225" s="170" t="s">
        <v>234</v>
      </c>
      <c r="T225" s="170" t="s">
        <v>265</v>
      </c>
      <c r="U225" s="170" t="s">
        <v>53</v>
      </c>
      <c r="V225" s="170" t="s">
        <v>1711</v>
      </c>
      <c r="W225" s="170" t="s">
        <v>50</v>
      </c>
      <c r="X225" s="170" t="s">
        <v>54</v>
      </c>
      <c r="Y225" s="173">
        <v>0.35416666666666669</v>
      </c>
      <c r="Z225" s="170" t="s">
        <v>55</v>
      </c>
      <c r="AA225" s="170" t="s">
        <v>1701</v>
      </c>
      <c r="AB225" s="172">
        <v>16056</v>
      </c>
      <c r="AC225" s="358" t="s">
        <v>1723</v>
      </c>
      <c r="AD225" s="170" t="s">
        <v>236</v>
      </c>
      <c r="AE225" s="170" t="s">
        <v>276</v>
      </c>
      <c r="AF225" s="170">
        <v>35</v>
      </c>
      <c r="AG225" s="170" t="s">
        <v>475</v>
      </c>
      <c r="AH225" s="170" t="s">
        <v>60</v>
      </c>
      <c r="AI225" s="170" t="s">
        <v>80</v>
      </c>
      <c r="AJ225" s="170" t="s">
        <v>129</v>
      </c>
      <c r="AK225" s="174" t="s">
        <v>1712</v>
      </c>
      <c r="AL225" s="172" t="s">
        <v>64</v>
      </c>
      <c r="AM225" s="172" t="s">
        <v>65</v>
      </c>
      <c r="AN225" s="172" t="s">
        <v>65</v>
      </c>
      <c r="AO225" s="172" t="s">
        <v>67</v>
      </c>
      <c r="AP225" s="172" t="s">
        <v>250</v>
      </c>
    </row>
    <row r="226" spans="1:42" s="175" customFormat="1" ht="15" hidden="1" customHeight="1" x14ac:dyDescent="0.25">
      <c r="A226" s="170">
        <v>2023</v>
      </c>
      <c r="B226" s="170" t="s">
        <v>1290</v>
      </c>
      <c r="C226" s="170" t="s">
        <v>45</v>
      </c>
      <c r="D226" s="170" t="s">
        <v>1050</v>
      </c>
      <c r="E226" s="170" t="s">
        <v>519</v>
      </c>
      <c r="F226" s="170" t="s">
        <v>48</v>
      </c>
      <c r="G226" s="177" t="s">
        <v>1051</v>
      </c>
      <c r="H226" s="10">
        <v>43389</v>
      </c>
      <c r="I226" s="177">
        <f t="shared" si="8"/>
        <v>61</v>
      </c>
      <c r="J226" s="171">
        <v>45266</v>
      </c>
      <c r="K226" s="170" t="str">
        <f t="shared" si="7"/>
        <v>ANTIGUO</v>
      </c>
      <c r="L226" s="171">
        <v>45267</v>
      </c>
      <c r="M226" s="170"/>
      <c r="N226" s="171">
        <v>45267</v>
      </c>
      <c r="O226" s="314">
        <v>24</v>
      </c>
      <c r="P226" s="170" t="s">
        <v>88</v>
      </c>
      <c r="Q226" s="170" t="s">
        <v>50</v>
      </c>
      <c r="R226" s="172" t="s">
        <v>50</v>
      </c>
      <c r="S226" s="170" t="s">
        <v>173</v>
      </c>
      <c r="T226" s="9" t="s">
        <v>389</v>
      </c>
      <c r="U226" s="6" t="s">
        <v>1052</v>
      </c>
      <c r="V226" s="170" t="s">
        <v>1713</v>
      </c>
      <c r="W226" s="170" t="s">
        <v>50</v>
      </c>
      <c r="X226" s="170" t="s">
        <v>54</v>
      </c>
      <c r="Y226" s="173">
        <v>0.38541666666666669</v>
      </c>
      <c r="Z226" s="170" t="s">
        <v>55</v>
      </c>
      <c r="AA226" s="170" t="s">
        <v>1701</v>
      </c>
      <c r="AB226" s="172">
        <v>16057</v>
      </c>
      <c r="AC226" s="352" t="s">
        <v>1721</v>
      </c>
      <c r="AD226" s="170" t="s">
        <v>178</v>
      </c>
      <c r="AE226" s="170" t="s">
        <v>903</v>
      </c>
      <c r="AF226" s="170">
        <v>52</v>
      </c>
      <c r="AG226" s="170" t="s">
        <v>79</v>
      </c>
      <c r="AH226" s="170" t="s">
        <v>60</v>
      </c>
      <c r="AI226" s="170" t="s">
        <v>80</v>
      </c>
      <c r="AJ226" s="170" t="s">
        <v>81</v>
      </c>
      <c r="AK226" s="174" t="s">
        <v>1714</v>
      </c>
      <c r="AL226" s="172" t="s">
        <v>118</v>
      </c>
      <c r="AM226" s="172" t="s">
        <v>65</v>
      </c>
      <c r="AN226" s="172" t="s">
        <v>65</v>
      </c>
      <c r="AO226" s="172" t="s">
        <v>67</v>
      </c>
      <c r="AP226" s="172" t="s">
        <v>240</v>
      </c>
    </row>
    <row r="227" spans="1:42" s="175" customFormat="1" ht="15" hidden="1" customHeight="1" x14ac:dyDescent="0.2">
      <c r="A227" s="170">
        <v>2023</v>
      </c>
      <c r="B227" s="170" t="s">
        <v>1290</v>
      </c>
      <c r="C227" s="170" t="s">
        <v>45</v>
      </c>
      <c r="D227" s="170" t="s">
        <v>1715</v>
      </c>
      <c r="E227" s="170" t="s">
        <v>86</v>
      </c>
      <c r="F227" s="170" t="s">
        <v>48</v>
      </c>
      <c r="G227" s="170" t="s">
        <v>1716</v>
      </c>
      <c r="H227" s="304">
        <v>42278</v>
      </c>
      <c r="I227" s="177">
        <f t="shared" si="8"/>
        <v>98</v>
      </c>
      <c r="J227" s="171">
        <v>45269</v>
      </c>
      <c r="K227" s="170" t="str">
        <f t="shared" si="7"/>
        <v>ANTIGUO</v>
      </c>
      <c r="L227" s="171">
        <v>45271</v>
      </c>
      <c r="M227" s="171">
        <v>45271</v>
      </c>
      <c r="N227" s="170" t="s">
        <v>50</v>
      </c>
      <c r="O227" s="170">
        <v>0</v>
      </c>
      <c r="P227" s="170" t="s">
        <v>51</v>
      </c>
      <c r="Q227" s="170" t="s">
        <v>50</v>
      </c>
      <c r="R227" s="172" t="s">
        <v>50</v>
      </c>
      <c r="S227" s="170" t="s">
        <v>108</v>
      </c>
      <c r="T227" s="170" t="s">
        <v>108</v>
      </c>
      <c r="U227" s="37" t="s">
        <v>1717</v>
      </c>
      <c r="V227" s="170" t="s">
        <v>1718</v>
      </c>
      <c r="W227" s="170" t="s">
        <v>50</v>
      </c>
      <c r="X227" s="170" t="s">
        <v>54</v>
      </c>
      <c r="Y227" s="173">
        <v>0.33333333333333331</v>
      </c>
      <c r="Z227" s="170" t="s">
        <v>95</v>
      </c>
      <c r="AA227" s="170" t="s">
        <v>1701</v>
      </c>
      <c r="AB227" s="172">
        <v>16058</v>
      </c>
      <c r="AC227" s="355" t="s">
        <v>1722</v>
      </c>
      <c r="AD227" s="170" t="s">
        <v>1719</v>
      </c>
      <c r="AE227" s="170" t="s">
        <v>1586</v>
      </c>
      <c r="AF227" s="170">
        <v>27</v>
      </c>
      <c r="AG227" s="170" t="s">
        <v>142</v>
      </c>
      <c r="AH227" s="170" t="s">
        <v>166</v>
      </c>
      <c r="AI227" s="170" t="s">
        <v>80</v>
      </c>
      <c r="AJ227" s="170" t="s">
        <v>180</v>
      </c>
      <c r="AK227" s="174" t="s">
        <v>1720</v>
      </c>
      <c r="AL227" s="172" t="s">
        <v>118</v>
      </c>
      <c r="AM227" s="172" t="s">
        <v>65</v>
      </c>
      <c r="AN227" s="172" t="s">
        <v>65</v>
      </c>
      <c r="AO227" s="172" t="s">
        <v>83</v>
      </c>
      <c r="AP227" s="178" t="s">
        <v>284</v>
      </c>
    </row>
    <row r="228" spans="1:42" s="175" customFormat="1" x14ac:dyDescent="0.25">
      <c r="A228" s="170">
        <v>2023</v>
      </c>
      <c r="B228" s="170" t="s">
        <v>1290</v>
      </c>
      <c r="C228" s="170" t="s">
        <v>45</v>
      </c>
      <c r="D228" s="170" t="s">
        <v>1724</v>
      </c>
      <c r="E228" s="170" t="s">
        <v>86</v>
      </c>
      <c r="F228" s="170" t="s">
        <v>48</v>
      </c>
      <c r="G228" s="170" t="s">
        <v>1725</v>
      </c>
      <c r="H228" s="304">
        <v>45243</v>
      </c>
      <c r="I228" s="177">
        <f t="shared" si="8"/>
        <v>1</v>
      </c>
      <c r="J228" s="171">
        <v>45273</v>
      </c>
      <c r="K228" s="170" t="str">
        <f t="shared" si="7"/>
        <v>NUEVO</v>
      </c>
      <c r="L228" s="170" t="s">
        <v>50</v>
      </c>
      <c r="M228" s="170" t="s">
        <v>50</v>
      </c>
      <c r="N228" s="170" t="s">
        <v>50</v>
      </c>
      <c r="O228" s="170">
        <v>0</v>
      </c>
      <c r="P228" s="170" t="s">
        <v>51</v>
      </c>
      <c r="Q228" s="170" t="s">
        <v>50</v>
      </c>
      <c r="R228" s="172" t="s">
        <v>50</v>
      </c>
      <c r="S228" s="170" t="s">
        <v>160</v>
      </c>
      <c r="T228" s="170" t="s">
        <v>191</v>
      </c>
      <c r="U228" s="170" t="s">
        <v>53</v>
      </c>
      <c r="V228" s="170" t="s">
        <v>1057</v>
      </c>
      <c r="W228" s="170" t="s">
        <v>50</v>
      </c>
      <c r="X228" s="170" t="s">
        <v>151</v>
      </c>
      <c r="Y228" s="173">
        <v>0.86458333333333337</v>
      </c>
      <c r="Z228" s="170" t="s">
        <v>55</v>
      </c>
      <c r="AA228" s="170" t="s">
        <v>1726</v>
      </c>
      <c r="AB228" s="172">
        <v>16068</v>
      </c>
      <c r="AC228" s="366" t="s">
        <v>1759</v>
      </c>
      <c r="AD228" s="170" t="s">
        <v>164</v>
      </c>
      <c r="AE228" s="170" t="s">
        <v>485</v>
      </c>
      <c r="AF228" s="170">
        <v>35</v>
      </c>
      <c r="AG228" s="170" t="s">
        <v>99</v>
      </c>
      <c r="AH228" s="170" t="s">
        <v>642</v>
      </c>
      <c r="AI228" s="170" t="s">
        <v>80</v>
      </c>
      <c r="AJ228" s="170" t="s">
        <v>154</v>
      </c>
      <c r="AK228" s="174" t="s">
        <v>1727</v>
      </c>
      <c r="AL228" s="172" t="s">
        <v>118</v>
      </c>
      <c r="AM228" s="172" t="s">
        <v>65</v>
      </c>
      <c r="AN228" s="172" t="s">
        <v>65</v>
      </c>
      <c r="AO228" s="172" t="s">
        <v>83</v>
      </c>
      <c r="AP228" s="172" t="s">
        <v>103</v>
      </c>
    </row>
    <row r="229" spans="1:42" s="175" customFormat="1" hidden="1" x14ac:dyDescent="0.2">
      <c r="A229" s="170">
        <v>2023</v>
      </c>
      <c r="B229" s="170" t="s">
        <v>1290</v>
      </c>
      <c r="C229" s="170" t="s">
        <v>45</v>
      </c>
      <c r="D229" s="170" t="s">
        <v>1736</v>
      </c>
      <c r="E229" s="170" t="s">
        <v>1732</v>
      </c>
      <c r="F229" s="170" t="s">
        <v>71</v>
      </c>
      <c r="G229" s="170" t="s">
        <v>1737</v>
      </c>
      <c r="H229" s="304">
        <v>45078</v>
      </c>
      <c r="I229" s="177">
        <f t="shared" si="8"/>
        <v>6</v>
      </c>
      <c r="J229" s="171">
        <v>45275</v>
      </c>
      <c r="K229" s="170" t="str">
        <f t="shared" si="7"/>
        <v>NUEVO</v>
      </c>
      <c r="L229" s="171" t="s">
        <v>50</v>
      </c>
      <c r="M229" s="170" t="s">
        <v>50</v>
      </c>
      <c r="N229" s="170" t="s">
        <v>50</v>
      </c>
      <c r="O229" s="170">
        <v>0</v>
      </c>
      <c r="P229" s="170" t="s">
        <v>51</v>
      </c>
      <c r="Q229" s="170" t="s">
        <v>50</v>
      </c>
      <c r="R229" s="172" t="s">
        <v>50</v>
      </c>
      <c r="S229" s="170" t="s">
        <v>73</v>
      </c>
      <c r="T229" s="170" t="s">
        <v>473</v>
      </c>
      <c r="U229" s="170" t="s">
        <v>53</v>
      </c>
      <c r="V229" s="170" t="s">
        <v>473</v>
      </c>
      <c r="W229" s="170" t="s">
        <v>50</v>
      </c>
      <c r="X229" s="170" t="s">
        <v>54</v>
      </c>
      <c r="Y229" s="173">
        <v>0.55208333333333337</v>
      </c>
      <c r="Z229" s="170" t="s">
        <v>111</v>
      </c>
      <c r="AA229" s="170" t="s">
        <v>1726</v>
      </c>
      <c r="AB229" s="172"/>
      <c r="AC229" s="202"/>
      <c r="AD229" s="170" t="s">
        <v>1229</v>
      </c>
      <c r="AE229" s="170" t="s">
        <v>861</v>
      </c>
      <c r="AF229" s="170">
        <v>34</v>
      </c>
      <c r="AG229" s="170" t="s">
        <v>226</v>
      </c>
      <c r="AH229" s="170" t="s">
        <v>227</v>
      </c>
      <c r="AI229" s="170" t="s">
        <v>80</v>
      </c>
      <c r="AJ229" s="170" t="s">
        <v>129</v>
      </c>
      <c r="AK229" s="174" t="s">
        <v>1742</v>
      </c>
      <c r="AL229" s="172" t="s">
        <v>118</v>
      </c>
      <c r="AM229" s="172" t="s">
        <v>65</v>
      </c>
      <c r="AN229" s="172" t="s">
        <v>66</v>
      </c>
      <c r="AO229" s="172" t="s">
        <v>83</v>
      </c>
      <c r="AP229" s="172" t="s">
        <v>240</v>
      </c>
    </row>
    <row r="230" spans="1:42" s="175" customFormat="1" ht="15" hidden="1" customHeight="1" x14ac:dyDescent="0.2">
      <c r="A230" s="170">
        <v>2023</v>
      </c>
      <c r="B230" s="170" t="s">
        <v>1290</v>
      </c>
      <c r="C230" s="170" t="s">
        <v>45</v>
      </c>
      <c r="D230" s="170" t="s">
        <v>1734</v>
      </c>
      <c r="E230" s="170" t="s">
        <v>1733</v>
      </c>
      <c r="F230" s="170" t="s">
        <v>48</v>
      </c>
      <c r="G230" s="170" t="s">
        <v>1745</v>
      </c>
      <c r="H230" s="304">
        <v>43843</v>
      </c>
      <c r="I230" s="177">
        <f t="shared" si="8"/>
        <v>47</v>
      </c>
      <c r="J230" s="171">
        <v>45276</v>
      </c>
      <c r="K230" s="170" t="str">
        <f t="shared" si="7"/>
        <v>ANTIGUO</v>
      </c>
      <c r="L230" s="170" t="s">
        <v>50</v>
      </c>
      <c r="M230" s="170" t="s">
        <v>50</v>
      </c>
      <c r="N230" s="170" t="s">
        <v>50</v>
      </c>
      <c r="O230" s="170">
        <v>0</v>
      </c>
      <c r="P230" s="170" t="s">
        <v>51</v>
      </c>
      <c r="Q230" s="170" t="s">
        <v>50</v>
      </c>
      <c r="R230" s="172" t="s">
        <v>50</v>
      </c>
      <c r="S230" s="170" t="s">
        <v>73</v>
      </c>
      <c r="T230" s="170" t="s">
        <v>74</v>
      </c>
      <c r="U230" s="170" t="s">
        <v>53</v>
      </c>
      <c r="V230" s="170" t="s">
        <v>1746</v>
      </c>
      <c r="W230" s="170" t="s">
        <v>50</v>
      </c>
      <c r="X230" s="170" t="s">
        <v>54</v>
      </c>
      <c r="Y230" s="173">
        <v>0.3611111111111111</v>
      </c>
      <c r="Z230" s="170" t="s">
        <v>95</v>
      </c>
      <c r="AA230" s="170" t="s">
        <v>1726</v>
      </c>
      <c r="AB230" s="172"/>
      <c r="AC230" s="202"/>
      <c r="AD230" s="170" t="s">
        <v>1229</v>
      </c>
      <c r="AE230" s="170" t="s">
        <v>861</v>
      </c>
      <c r="AF230" s="170">
        <v>46</v>
      </c>
      <c r="AG230" s="170" t="s">
        <v>226</v>
      </c>
      <c r="AH230" s="170" t="s">
        <v>642</v>
      </c>
      <c r="AI230" s="170" t="s">
        <v>80</v>
      </c>
      <c r="AJ230" s="170" t="s">
        <v>129</v>
      </c>
      <c r="AK230" s="174" t="s">
        <v>1748</v>
      </c>
      <c r="AL230" s="172" t="s">
        <v>118</v>
      </c>
      <c r="AM230" s="172" t="s">
        <v>65</v>
      </c>
      <c r="AN230" s="172" t="s">
        <v>66</v>
      </c>
      <c r="AO230" s="172" t="s">
        <v>67</v>
      </c>
      <c r="AP230" s="172" t="s">
        <v>103</v>
      </c>
    </row>
    <row r="231" spans="1:42" s="175" customFormat="1" ht="15" hidden="1" customHeight="1" x14ac:dyDescent="0.25">
      <c r="A231" s="170">
        <v>2023</v>
      </c>
      <c r="B231" s="170" t="s">
        <v>1290</v>
      </c>
      <c r="C231" s="170" t="s">
        <v>45</v>
      </c>
      <c r="D231" s="170" t="s">
        <v>1115</v>
      </c>
      <c r="E231" s="170" t="s">
        <v>603</v>
      </c>
      <c r="F231" s="170" t="s">
        <v>71</v>
      </c>
      <c r="G231" s="170" t="s">
        <v>1743</v>
      </c>
      <c r="H231" s="290">
        <v>44348</v>
      </c>
      <c r="I231" s="177">
        <f t="shared" si="8"/>
        <v>30</v>
      </c>
      <c r="J231" s="171">
        <v>45278</v>
      </c>
      <c r="K231" s="170" t="str">
        <f t="shared" si="7"/>
        <v>ANTIGUO</v>
      </c>
      <c r="L231" s="171">
        <v>45279</v>
      </c>
      <c r="M231" s="170"/>
      <c r="N231" s="171">
        <v>45279</v>
      </c>
      <c r="O231" s="314">
        <v>11</v>
      </c>
      <c r="P231" s="170" t="s">
        <v>88</v>
      </c>
      <c r="Q231" s="170" t="s">
        <v>50</v>
      </c>
      <c r="R231" s="172" t="s">
        <v>50</v>
      </c>
      <c r="S231" s="170" t="s">
        <v>160</v>
      </c>
      <c r="T231" s="170" t="s">
        <v>1570</v>
      </c>
      <c r="U231" s="170" t="s">
        <v>53</v>
      </c>
      <c r="V231" s="170" t="s">
        <v>1744</v>
      </c>
      <c r="W231" s="170" t="s">
        <v>50</v>
      </c>
      <c r="X231" s="170" t="s">
        <v>54</v>
      </c>
      <c r="Y231" s="173">
        <v>0.41666666666666669</v>
      </c>
      <c r="Z231" s="170" t="s">
        <v>137</v>
      </c>
      <c r="AA231" s="170" t="s">
        <v>1740</v>
      </c>
      <c r="AB231" s="172">
        <v>16076</v>
      </c>
      <c r="AC231" s="366" t="s">
        <v>1760</v>
      </c>
      <c r="AD231" s="170" t="s">
        <v>164</v>
      </c>
      <c r="AE231" s="170" t="s">
        <v>1570</v>
      </c>
      <c r="AF231" s="170">
        <v>55</v>
      </c>
      <c r="AG231" s="170" t="s">
        <v>115</v>
      </c>
      <c r="AH231" s="170" t="s">
        <v>153</v>
      </c>
      <c r="AI231" s="170" t="s">
        <v>167</v>
      </c>
      <c r="AJ231" s="170" t="s">
        <v>180</v>
      </c>
      <c r="AK231" s="174" t="s">
        <v>1747</v>
      </c>
      <c r="AL231" s="172" t="s">
        <v>118</v>
      </c>
      <c r="AM231" s="172" t="s">
        <v>65</v>
      </c>
      <c r="AN231" s="172" t="s">
        <v>65</v>
      </c>
      <c r="AO231" s="172" t="s">
        <v>83</v>
      </c>
      <c r="AP231" s="172" t="s">
        <v>250</v>
      </c>
    </row>
    <row r="232" spans="1:42" s="175" customFormat="1" hidden="1" x14ac:dyDescent="0.25">
      <c r="A232" s="170">
        <v>2023</v>
      </c>
      <c r="B232" s="170" t="s">
        <v>1290</v>
      </c>
      <c r="C232" s="170" t="s">
        <v>45</v>
      </c>
      <c r="D232" s="170" t="s">
        <v>1735</v>
      </c>
      <c r="E232" s="170" t="s">
        <v>286</v>
      </c>
      <c r="F232" s="170" t="s">
        <v>48</v>
      </c>
      <c r="G232" s="170" t="s">
        <v>1738</v>
      </c>
      <c r="H232" s="290">
        <v>44417</v>
      </c>
      <c r="I232" s="177">
        <f t="shared" si="8"/>
        <v>28</v>
      </c>
      <c r="J232" s="171">
        <v>45279</v>
      </c>
      <c r="K232" s="170" t="str">
        <f t="shared" si="7"/>
        <v>ANTIGUO</v>
      </c>
      <c r="L232" s="171">
        <v>45279</v>
      </c>
      <c r="M232" s="170"/>
      <c r="N232" s="171">
        <v>45279</v>
      </c>
      <c r="O232" s="314">
        <v>11</v>
      </c>
      <c r="P232" s="170" t="s">
        <v>88</v>
      </c>
      <c r="Q232" s="170" t="s">
        <v>50</v>
      </c>
      <c r="R232" s="172" t="s">
        <v>50</v>
      </c>
      <c r="S232" s="170" t="s">
        <v>173</v>
      </c>
      <c r="T232" s="170" t="s">
        <v>1739</v>
      </c>
      <c r="U232" s="170" t="s">
        <v>53</v>
      </c>
      <c r="V232" s="170" t="s">
        <v>191</v>
      </c>
      <c r="W232" s="170" t="s">
        <v>50</v>
      </c>
      <c r="X232" s="170" t="s">
        <v>176</v>
      </c>
      <c r="Y232" s="173">
        <v>0.16666666666666666</v>
      </c>
      <c r="Z232" s="170" t="s">
        <v>125</v>
      </c>
      <c r="AA232" s="170" t="s">
        <v>1740</v>
      </c>
      <c r="AB232" s="172">
        <v>16077</v>
      </c>
      <c r="AC232" s="366" t="s">
        <v>1761</v>
      </c>
      <c r="AD232" s="170" t="s">
        <v>178</v>
      </c>
      <c r="AE232" s="170" t="s">
        <v>179</v>
      </c>
      <c r="AF232" s="170">
        <v>28</v>
      </c>
      <c r="AG232" s="170" t="s">
        <v>59</v>
      </c>
      <c r="AH232" s="170" t="s">
        <v>60</v>
      </c>
      <c r="AI232" s="170" t="s">
        <v>128</v>
      </c>
      <c r="AJ232" s="170" t="s">
        <v>129</v>
      </c>
      <c r="AK232" s="175" t="s">
        <v>1741</v>
      </c>
      <c r="AL232" s="172" t="s">
        <v>64</v>
      </c>
      <c r="AM232" s="172" t="s">
        <v>65</v>
      </c>
      <c r="AN232" s="172" t="s">
        <v>65</v>
      </c>
      <c r="AO232" s="172" t="s">
        <v>119</v>
      </c>
      <c r="AP232" s="172" t="s">
        <v>250</v>
      </c>
    </row>
    <row r="233" spans="1:42" s="175" customFormat="1" ht="15" hidden="1" customHeight="1" x14ac:dyDescent="0.25">
      <c r="A233" s="170">
        <v>2023</v>
      </c>
      <c r="B233" s="170" t="s">
        <v>1290</v>
      </c>
      <c r="C233" s="170" t="s">
        <v>45</v>
      </c>
      <c r="D233" s="170" t="s">
        <v>655</v>
      </c>
      <c r="E233" s="170" t="s">
        <v>656</v>
      </c>
      <c r="F233" s="170" t="s">
        <v>48</v>
      </c>
      <c r="G233" s="177" t="s">
        <v>657</v>
      </c>
      <c r="H233" s="10">
        <v>44879</v>
      </c>
      <c r="I233" s="177">
        <f t="shared" si="8"/>
        <v>13</v>
      </c>
      <c r="J233" s="171">
        <v>45280</v>
      </c>
      <c r="K233" s="170" t="str">
        <f t="shared" si="7"/>
        <v>INTERMEDIO</v>
      </c>
      <c r="L233" s="170" t="s">
        <v>50</v>
      </c>
      <c r="M233" s="170" t="s">
        <v>50</v>
      </c>
      <c r="N233" s="170" t="s">
        <v>50</v>
      </c>
      <c r="O233" s="170">
        <v>0</v>
      </c>
      <c r="P233" s="170" t="s">
        <v>51</v>
      </c>
      <c r="Q233" s="170" t="s">
        <v>50</v>
      </c>
      <c r="R233" s="172" t="s">
        <v>50</v>
      </c>
      <c r="S233" s="170" t="s">
        <v>91</v>
      </c>
      <c r="T233" s="170" t="s">
        <v>92</v>
      </c>
      <c r="U233" s="170" t="s">
        <v>53</v>
      </c>
      <c r="V233" s="170" t="s">
        <v>1749</v>
      </c>
      <c r="W233" s="170" t="s">
        <v>50</v>
      </c>
      <c r="X233" s="170" t="s">
        <v>54</v>
      </c>
      <c r="Y233" s="173">
        <v>0.23958333333333334</v>
      </c>
      <c r="Z233" s="170" t="s">
        <v>55</v>
      </c>
      <c r="AA233" s="170" t="s">
        <v>1740</v>
      </c>
      <c r="AB233" s="172"/>
      <c r="AC233" s="202"/>
      <c r="AD233" s="170" t="s">
        <v>97</v>
      </c>
      <c r="AE233" s="170" t="s">
        <v>98</v>
      </c>
      <c r="AF233" s="170">
        <v>34</v>
      </c>
      <c r="AG233" s="170" t="s">
        <v>700</v>
      </c>
      <c r="AH233" s="170" t="s">
        <v>642</v>
      </c>
      <c r="AI233" s="170" t="s">
        <v>128</v>
      </c>
      <c r="AJ233" s="170" t="s">
        <v>129</v>
      </c>
      <c r="AK233" s="174" t="s">
        <v>1750</v>
      </c>
      <c r="AL233" s="170" t="s">
        <v>64</v>
      </c>
      <c r="AM233" s="172" t="s">
        <v>66</v>
      </c>
      <c r="AN233" s="178" t="s">
        <v>66</v>
      </c>
      <c r="AO233" s="180" t="s">
        <v>83</v>
      </c>
      <c r="AP233" s="175" t="s">
        <v>103</v>
      </c>
    </row>
    <row r="234" spans="1:42" s="175" customFormat="1" hidden="1" x14ac:dyDescent="0.2">
      <c r="A234" s="170">
        <v>2023</v>
      </c>
      <c r="B234" s="170" t="s">
        <v>1290</v>
      </c>
      <c r="C234" s="170" t="s">
        <v>45</v>
      </c>
      <c r="D234" s="170" t="s">
        <v>1751</v>
      </c>
      <c r="E234" s="170" t="s">
        <v>1752</v>
      </c>
      <c r="F234" s="170" t="s">
        <v>48</v>
      </c>
      <c r="G234" s="170" t="s">
        <v>1753</v>
      </c>
      <c r="H234" s="290">
        <v>44887</v>
      </c>
      <c r="I234" s="177">
        <f t="shared" si="8"/>
        <v>12</v>
      </c>
      <c r="J234" s="171">
        <v>45280</v>
      </c>
      <c r="K234" s="170" t="str">
        <f t="shared" si="7"/>
        <v>INTERMEDIO</v>
      </c>
      <c r="L234" s="170" t="s">
        <v>50</v>
      </c>
      <c r="M234" s="170" t="s">
        <v>50</v>
      </c>
      <c r="N234" s="170" t="s">
        <v>50</v>
      </c>
      <c r="O234" s="170">
        <v>0</v>
      </c>
      <c r="P234" s="170" t="s">
        <v>51</v>
      </c>
      <c r="Q234" s="170" t="s">
        <v>50</v>
      </c>
      <c r="R234" s="172" t="s">
        <v>50</v>
      </c>
      <c r="S234" s="170" t="s">
        <v>73</v>
      </c>
      <c r="T234" s="170" t="s">
        <v>74</v>
      </c>
      <c r="U234" s="170" t="s">
        <v>53</v>
      </c>
      <c r="V234" s="170" t="s">
        <v>1754</v>
      </c>
      <c r="W234" s="170" t="s">
        <v>267</v>
      </c>
      <c r="X234" s="170" t="s">
        <v>54</v>
      </c>
      <c r="Y234" s="173">
        <v>0.42708333333333331</v>
      </c>
      <c r="Z234" s="170" t="s">
        <v>55</v>
      </c>
      <c r="AA234" s="170" t="s">
        <v>1740</v>
      </c>
      <c r="AB234" s="172"/>
      <c r="AC234" s="202"/>
      <c r="AD234" s="170" t="s">
        <v>1229</v>
      </c>
      <c r="AE234" s="170" t="s">
        <v>861</v>
      </c>
      <c r="AF234" s="170">
        <v>23</v>
      </c>
      <c r="AG234" s="170" t="s">
        <v>271</v>
      </c>
      <c r="AH234" s="170" t="s">
        <v>153</v>
      </c>
      <c r="AI234" s="170" t="s">
        <v>100</v>
      </c>
      <c r="AJ234" s="170" t="s">
        <v>154</v>
      </c>
      <c r="AK234" s="174" t="s">
        <v>1755</v>
      </c>
      <c r="AL234" s="172" t="s">
        <v>64</v>
      </c>
      <c r="AM234" s="172" t="s">
        <v>65</v>
      </c>
      <c r="AN234" s="172" t="s">
        <v>66</v>
      </c>
      <c r="AO234" s="172" t="s">
        <v>83</v>
      </c>
      <c r="AP234" s="172" t="s">
        <v>103</v>
      </c>
    </row>
    <row r="235" spans="1:42" s="175" customFormat="1" hidden="1" x14ac:dyDescent="0.25">
      <c r="A235" s="170">
        <v>2023</v>
      </c>
      <c r="B235" s="177" t="s">
        <v>1290</v>
      </c>
      <c r="C235" s="177" t="s">
        <v>45</v>
      </c>
      <c r="D235" s="177" t="s">
        <v>1767</v>
      </c>
      <c r="E235" s="177" t="s">
        <v>1768</v>
      </c>
      <c r="F235" s="177" t="s">
        <v>48</v>
      </c>
      <c r="G235" s="177" t="s">
        <v>1769</v>
      </c>
      <c r="H235" s="304">
        <v>44636</v>
      </c>
      <c r="I235" s="177">
        <f t="shared" si="8"/>
        <v>21</v>
      </c>
      <c r="J235" s="235">
        <v>45289</v>
      </c>
      <c r="K235" s="177" t="str">
        <f t="shared" si="7"/>
        <v>ANTIGUO</v>
      </c>
      <c r="L235" s="235">
        <v>45289</v>
      </c>
      <c r="M235" s="170"/>
      <c r="N235" s="171">
        <v>45289</v>
      </c>
      <c r="O235" s="314">
        <v>3</v>
      </c>
      <c r="P235" s="170" t="s">
        <v>88</v>
      </c>
      <c r="Q235" s="170" t="s">
        <v>50</v>
      </c>
      <c r="R235" s="172" t="s">
        <v>50</v>
      </c>
      <c r="S235" s="170" t="s">
        <v>73</v>
      </c>
      <c r="T235" s="170" t="s">
        <v>74</v>
      </c>
      <c r="U235" s="170" t="s">
        <v>53</v>
      </c>
      <c r="V235" s="170" t="s">
        <v>74</v>
      </c>
      <c r="W235" s="170" t="s">
        <v>50</v>
      </c>
      <c r="X235" s="170" t="s">
        <v>54</v>
      </c>
      <c r="Y235" s="173">
        <v>0.27083333333333331</v>
      </c>
      <c r="Z235" s="170" t="s">
        <v>111</v>
      </c>
      <c r="AA235" s="170" t="s">
        <v>1770</v>
      </c>
      <c r="AB235" s="172">
        <v>16088</v>
      </c>
      <c r="AC235" s="359" t="s">
        <v>1777</v>
      </c>
      <c r="AD235" s="170" t="s">
        <v>1229</v>
      </c>
      <c r="AE235" s="170" t="s">
        <v>323</v>
      </c>
      <c r="AF235" s="170">
        <v>58</v>
      </c>
      <c r="AG235" s="170" t="s">
        <v>115</v>
      </c>
      <c r="AH235" s="170" t="s">
        <v>127</v>
      </c>
      <c r="AI235" s="170" t="s">
        <v>128</v>
      </c>
      <c r="AJ235" s="170" t="s">
        <v>129</v>
      </c>
      <c r="AK235" s="174" t="s">
        <v>1771</v>
      </c>
      <c r="AL235" s="172" t="s">
        <v>118</v>
      </c>
      <c r="AM235" s="172" t="s">
        <v>65</v>
      </c>
      <c r="AN235" s="172" t="s">
        <v>65</v>
      </c>
      <c r="AO235" s="172" t="s">
        <v>83</v>
      </c>
      <c r="AP235" s="178" t="s">
        <v>284</v>
      </c>
    </row>
    <row r="236" spans="1:42" s="175" customFormat="1" hidden="1" x14ac:dyDescent="0.2">
      <c r="A236" s="170">
        <v>2023</v>
      </c>
      <c r="B236" s="170" t="s">
        <v>1290</v>
      </c>
      <c r="C236" s="170" t="s">
        <v>45</v>
      </c>
      <c r="D236" s="170" t="s">
        <v>1772</v>
      </c>
      <c r="E236" s="170" t="s">
        <v>1773</v>
      </c>
      <c r="F236" s="170" t="s">
        <v>48</v>
      </c>
      <c r="G236" s="170" t="s">
        <v>1774</v>
      </c>
      <c r="H236" s="304">
        <v>41673</v>
      </c>
      <c r="I236" s="177">
        <f t="shared" si="8"/>
        <v>118</v>
      </c>
      <c r="J236" s="171">
        <v>45289</v>
      </c>
      <c r="K236" s="170" t="str">
        <f t="shared" si="7"/>
        <v>ANTIGUO</v>
      </c>
      <c r="L236" s="170" t="s">
        <v>50</v>
      </c>
      <c r="M236" s="170" t="s">
        <v>50</v>
      </c>
      <c r="N236" s="170" t="s">
        <v>50</v>
      </c>
      <c r="O236" s="170">
        <v>0</v>
      </c>
      <c r="P236" s="170" t="s">
        <v>51</v>
      </c>
      <c r="Q236" s="170" t="s">
        <v>50</v>
      </c>
      <c r="R236" s="172" t="s">
        <v>50</v>
      </c>
      <c r="S236" s="170" t="s">
        <v>173</v>
      </c>
      <c r="T236" s="170" t="s">
        <v>389</v>
      </c>
      <c r="U236" s="170" t="s">
        <v>53</v>
      </c>
      <c r="V236" s="170" t="s">
        <v>328</v>
      </c>
      <c r="W236" s="170" t="s">
        <v>50</v>
      </c>
      <c r="X236" s="170" t="s">
        <v>54</v>
      </c>
      <c r="Y236" s="173">
        <v>0.52777777777777779</v>
      </c>
      <c r="Z236" s="170" t="s">
        <v>111</v>
      </c>
      <c r="AA236" s="170" t="s">
        <v>1770</v>
      </c>
      <c r="AB236" s="172"/>
      <c r="AC236" s="202"/>
      <c r="AD236" s="170" t="s">
        <v>178</v>
      </c>
      <c r="AE236" s="170" t="s">
        <v>1776</v>
      </c>
      <c r="AF236" s="170">
        <v>32</v>
      </c>
      <c r="AG236" s="170" t="s">
        <v>301</v>
      </c>
      <c r="AH236" s="170" t="s">
        <v>227</v>
      </c>
      <c r="AI236" s="170" t="s">
        <v>228</v>
      </c>
      <c r="AJ236" s="170" t="s">
        <v>229</v>
      </c>
      <c r="AK236" s="174" t="s">
        <v>1775</v>
      </c>
      <c r="AL236" s="172" t="s">
        <v>64</v>
      </c>
      <c r="AM236" s="172" t="s">
        <v>65</v>
      </c>
      <c r="AN236" s="172" t="s">
        <v>66</v>
      </c>
      <c r="AO236" s="172" t="s">
        <v>83</v>
      </c>
      <c r="AP236" s="178" t="s">
        <v>284</v>
      </c>
    </row>
    <row r="237" spans="1:42" s="175" customFormat="1" hidden="1" x14ac:dyDescent="0.2">
      <c r="A237" s="170">
        <v>2023</v>
      </c>
      <c r="B237" s="170" t="s">
        <v>1290</v>
      </c>
      <c r="C237" s="170" t="s">
        <v>45</v>
      </c>
      <c r="D237" s="170" t="s">
        <v>1474</v>
      </c>
      <c r="E237" s="170" t="s">
        <v>1436</v>
      </c>
      <c r="F237" s="170" t="s">
        <v>71</v>
      </c>
      <c r="G237" s="170" t="s">
        <v>1475</v>
      </c>
      <c r="H237" s="304">
        <v>41953</v>
      </c>
      <c r="I237" s="177">
        <f>DATEDIF(H237,J237,"m")</f>
        <v>109</v>
      </c>
      <c r="J237" s="171">
        <v>45289</v>
      </c>
      <c r="K237" s="170" t="str">
        <f>IF(I237&lt;=6,"NUEVO",IF(I237&lt;=18,"INTERMEDIO","ANTIGUO"))</f>
        <v>ANTIGUO</v>
      </c>
      <c r="L237" s="170" t="s">
        <v>50</v>
      </c>
      <c r="M237" s="170" t="s">
        <v>50</v>
      </c>
      <c r="N237" s="170" t="s">
        <v>50</v>
      </c>
      <c r="O237" s="170">
        <v>0</v>
      </c>
      <c r="P237" s="170" t="s">
        <v>51</v>
      </c>
      <c r="Q237" s="170" t="s">
        <v>50</v>
      </c>
      <c r="R237" s="172" t="s">
        <v>50</v>
      </c>
      <c r="S237" s="170" t="s">
        <v>160</v>
      </c>
      <c r="T237" s="170" t="s">
        <v>191</v>
      </c>
      <c r="U237" s="170" t="s">
        <v>53</v>
      </c>
      <c r="V237" s="170" t="s">
        <v>1781</v>
      </c>
      <c r="W237" s="170" t="s">
        <v>267</v>
      </c>
      <c r="X237" s="170" t="s">
        <v>151</v>
      </c>
      <c r="Y237" s="173">
        <v>0.61805555555555558</v>
      </c>
      <c r="Z237" s="170" t="s">
        <v>111</v>
      </c>
      <c r="AA237" s="170" t="s">
        <v>1770</v>
      </c>
      <c r="AB237" s="172"/>
      <c r="AC237" s="202"/>
      <c r="AD237" s="170" t="s">
        <v>164</v>
      </c>
      <c r="AE237" s="170" t="s">
        <v>1570</v>
      </c>
      <c r="AF237" s="170">
        <v>35</v>
      </c>
      <c r="AG237" s="170" t="s">
        <v>271</v>
      </c>
      <c r="AH237" s="170" t="s">
        <v>143</v>
      </c>
      <c r="AI237" s="170" t="s">
        <v>80</v>
      </c>
      <c r="AJ237" s="170" t="s">
        <v>129</v>
      </c>
      <c r="AK237" s="174" t="s">
        <v>1782</v>
      </c>
      <c r="AL237" s="172" t="s">
        <v>118</v>
      </c>
      <c r="AM237" s="172" t="s">
        <v>65</v>
      </c>
      <c r="AN237" s="172" t="s">
        <v>66</v>
      </c>
      <c r="AO237" s="172" t="s">
        <v>83</v>
      </c>
      <c r="AP237" s="178" t="s">
        <v>284</v>
      </c>
    </row>
    <row r="238" spans="1:42" s="175" customFormat="1" hidden="1" x14ac:dyDescent="0.2">
      <c r="A238" s="170">
        <v>2023</v>
      </c>
      <c r="B238" s="170" t="s">
        <v>1290</v>
      </c>
      <c r="C238" s="170" t="s">
        <v>45</v>
      </c>
      <c r="D238" s="170" t="s">
        <v>1778</v>
      </c>
      <c r="E238" s="170" t="s">
        <v>1779</v>
      </c>
      <c r="F238" s="170" t="s">
        <v>48</v>
      </c>
      <c r="G238" s="170" t="s">
        <v>1472</v>
      </c>
      <c r="H238" s="290">
        <v>44876</v>
      </c>
      <c r="I238" s="177">
        <f t="shared" si="8"/>
        <v>13</v>
      </c>
      <c r="J238" s="171">
        <v>45289</v>
      </c>
      <c r="K238" s="170" t="str">
        <f t="shared" si="7"/>
        <v>INTERMEDIO</v>
      </c>
      <c r="L238" s="170" t="s">
        <v>50</v>
      </c>
      <c r="M238" s="170" t="s">
        <v>50</v>
      </c>
      <c r="N238" s="170" t="s">
        <v>50</v>
      </c>
      <c r="O238" s="170">
        <v>0</v>
      </c>
      <c r="P238" s="170" t="s">
        <v>51</v>
      </c>
      <c r="Q238" s="170" t="s">
        <v>50</v>
      </c>
      <c r="R238" s="172" t="s">
        <v>50</v>
      </c>
      <c r="S238" s="170" t="s">
        <v>91</v>
      </c>
      <c r="T238" s="170" t="s">
        <v>123</v>
      </c>
      <c r="U238" s="170" t="s">
        <v>53</v>
      </c>
      <c r="V238" s="170" t="s">
        <v>123</v>
      </c>
      <c r="W238" s="170" t="s">
        <v>50</v>
      </c>
      <c r="X238" s="170" t="s">
        <v>151</v>
      </c>
      <c r="Y238" s="173">
        <v>0.75</v>
      </c>
      <c r="Z238" s="170" t="s">
        <v>111</v>
      </c>
      <c r="AA238" s="170" t="s">
        <v>1770</v>
      </c>
      <c r="AB238" s="172"/>
      <c r="AC238" s="202"/>
      <c r="AD238" s="170" t="s">
        <v>164</v>
      </c>
      <c r="AE238" s="170" t="s">
        <v>759</v>
      </c>
      <c r="AF238" s="170">
        <v>21</v>
      </c>
      <c r="AG238" s="170" t="s">
        <v>61</v>
      </c>
      <c r="AH238" s="170" t="s">
        <v>450</v>
      </c>
      <c r="AI238" s="170" t="s">
        <v>61</v>
      </c>
      <c r="AJ238" s="170" t="s">
        <v>62</v>
      </c>
      <c r="AK238" s="174" t="s">
        <v>1780</v>
      </c>
      <c r="AL238" s="172" t="s">
        <v>64</v>
      </c>
      <c r="AM238" s="172" t="s">
        <v>65</v>
      </c>
      <c r="AN238" s="172" t="s">
        <v>66</v>
      </c>
      <c r="AO238" s="172" t="s">
        <v>83</v>
      </c>
      <c r="AP238" s="172" t="s">
        <v>103</v>
      </c>
    </row>
    <row r="239" spans="1:42" s="175" customFormat="1" hidden="1" x14ac:dyDescent="0.2">
      <c r="A239" s="170" t="s">
        <v>1240</v>
      </c>
      <c r="B239" s="170" t="s">
        <v>1240</v>
      </c>
      <c r="C239" s="170" t="s">
        <v>1240</v>
      </c>
      <c r="D239" s="170" t="s">
        <v>1240</v>
      </c>
      <c r="E239" s="170" t="s">
        <v>1240</v>
      </c>
      <c r="F239" s="170" t="s">
        <v>1240</v>
      </c>
      <c r="G239" s="170" t="s">
        <v>1240</v>
      </c>
      <c r="H239" s="290" t="s">
        <v>1240</v>
      </c>
      <c r="I239" s="177" t="e">
        <f t="shared" si="8"/>
        <v>#VALUE!</v>
      </c>
      <c r="J239" s="171"/>
      <c r="K239" s="170" t="e">
        <f t="shared" si="7"/>
        <v>#VALUE!</v>
      </c>
      <c r="L239" s="170"/>
      <c r="M239" s="170"/>
      <c r="N239" s="170"/>
      <c r="O239" s="170"/>
      <c r="P239" s="170"/>
      <c r="Q239" s="170"/>
      <c r="R239" s="172"/>
      <c r="S239" s="170"/>
      <c r="T239" s="170"/>
      <c r="U239" s="170"/>
      <c r="V239" s="170"/>
      <c r="W239" s="170"/>
      <c r="X239" s="170"/>
      <c r="Y239" s="173"/>
      <c r="Z239" s="170"/>
      <c r="AA239" s="170"/>
      <c r="AB239" s="172"/>
      <c r="AC239" s="202"/>
      <c r="AD239" s="170"/>
      <c r="AE239" s="170"/>
      <c r="AF239" s="170"/>
      <c r="AG239" s="170"/>
      <c r="AH239" s="170"/>
      <c r="AI239" s="170"/>
      <c r="AJ239" s="170"/>
      <c r="AK239" s="174"/>
      <c r="AL239" s="172"/>
      <c r="AM239" s="172"/>
      <c r="AN239" s="172"/>
      <c r="AO239" s="172"/>
      <c r="AP239" s="172"/>
    </row>
    <row r="240" spans="1:42" s="175" customFormat="1" hidden="1" x14ac:dyDescent="0.2">
      <c r="A240" s="170" t="s">
        <v>1240</v>
      </c>
      <c r="B240" s="170" t="s">
        <v>1240</v>
      </c>
      <c r="C240" s="170" t="s">
        <v>1240</v>
      </c>
      <c r="D240" s="170" t="s">
        <v>1240</v>
      </c>
      <c r="E240" s="170" t="s">
        <v>1240</v>
      </c>
      <c r="F240" s="170" t="s">
        <v>1240</v>
      </c>
      <c r="G240" s="170" t="s">
        <v>1240</v>
      </c>
      <c r="H240" s="290" t="s">
        <v>1240</v>
      </c>
      <c r="I240" s="177" t="e">
        <f t="shared" si="8"/>
        <v>#VALUE!</v>
      </c>
      <c r="J240" s="171"/>
      <c r="K240" s="170" t="e">
        <f t="shared" si="7"/>
        <v>#VALUE!</v>
      </c>
      <c r="L240" s="170"/>
      <c r="M240" s="170"/>
      <c r="N240" s="170"/>
      <c r="O240" s="170"/>
      <c r="P240" s="170"/>
      <c r="Q240" s="170"/>
      <c r="R240" s="172"/>
      <c r="S240" s="170"/>
      <c r="T240" s="170"/>
      <c r="U240" s="170"/>
      <c r="V240" s="170"/>
      <c r="W240" s="170"/>
      <c r="X240" s="170"/>
      <c r="Y240" s="173"/>
      <c r="Z240" s="170"/>
      <c r="AA240" s="170"/>
      <c r="AB240" s="172"/>
      <c r="AC240" s="202"/>
      <c r="AD240" s="170"/>
      <c r="AE240" s="170"/>
      <c r="AF240" s="170"/>
      <c r="AG240" s="170"/>
      <c r="AH240" s="170"/>
      <c r="AI240" s="170"/>
      <c r="AJ240" s="170"/>
      <c r="AK240" s="174"/>
      <c r="AL240" s="172"/>
      <c r="AM240" s="172"/>
      <c r="AN240" s="172"/>
      <c r="AO240" s="172"/>
      <c r="AP240" s="172"/>
    </row>
    <row r="241" spans="1:42" s="175" customFormat="1" hidden="1" x14ac:dyDescent="0.2">
      <c r="A241" s="170" t="s">
        <v>1240</v>
      </c>
      <c r="B241" s="170" t="s">
        <v>1240</v>
      </c>
      <c r="C241" s="170" t="s">
        <v>1240</v>
      </c>
      <c r="D241" s="170" t="s">
        <v>1240</v>
      </c>
      <c r="E241" s="170" t="s">
        <v>1240</v>
      </c>
      <c r="F241" s="170" t="s">
        <v>1240</v>
      </c>
      <c r="G241" s="170" t="s">
        <v>1240</v>
      </c>
      <c r="H241" s="290" t="s">
        <v>1240</v>
      </c>
      <c r="I241" s="177" t="e">
        <f t="shared" si="8"/>
        <v>#VALUE!</v>
      </c>
      <c r="J241" s="171"/>
      <c r="K241" s="170" t="e">
        <f t="shared" si="7"/>
        <v>#VALUE!</v>
      </c>
      <c r="L241" s="170"/>
      <c r="M241" s="170"/>
      <c r="N241" s="170"/>
      <c r="O241" s="170"/>
      <c r="P241" s="170"/>
      <c r="Q241" s="170"/>
      <c r="R241" s="172"/>
      <c r="S241" s="170"/>
      <c r="T241" s="170"/>
      <c r="U241" s="170"/>
      <c r="V241" s="170"/>
      <c r="W241" s="170"/>
      <c r="X241" s="170"/>
      <c r="Y241" s="173"/>
      <c r="Z241" s="170"/>
      <c r="AA241" s="170"/>
      <c r="AB241" s="172"/>
      <c r="AC241" s="202"/>
      <c r="AD241" s="170"/>
      <c r="AE241" s="170"/>
      <c r="AF241" s="170"/>
      <c r="AG241" s="170"/>
      <c r="AH241" s="170"/>
      <c r="AI241" s="170"/>
      <c r="AJ241" s="170"/>
      <c r="AK241" s="174"/>
      <c r="AL241" s="172"/>
      <c r="AM241" s="172"/>
      <c r="AN241" s="172"/>
      <c r="AO241" s="172"/>
      <c r="AP241" s="172"/>
    </row>
    <row r="242" spans="1:42" s="175" customFormat="1" hidden="1" x14ac:dyDescent="0.2">
      <c r="A242" s="170" t="s">
        <v>1240</v>
      </c>
      <c r="B242" s="170" t="s">
        <v>1240</v>
      </c>
      <c r="C242" s="170" t="s">
        <v>1240</v>
      </c>
      <c r="D242" s="170" t="s">
        <v>1240</v>
      </c>
      <c r="E242" s="170" t="s">
        <v>1240</v>
      </c>
      <c r="F242" s="170" t="s">
        <v>1240</v>
      </c>
      <c r="G242" s="170" t="s">
        <v>1240</v>
      </c>
      <c r="H242" s="290" t="s">
        <v>1240</v>
      </c>
      <c r="I242" s="177" t="e">
        <f t="shared" si="8"/>
        <v>#VALUE!</v>
      </c>
      <c r="J242" s="171"/>
      <c r="K242" s="170" t="e">
        <f t="shared" si="7"/>
        <v>#VALUE!</v>
      </c>
      <c r="L242" s="170"/>
      <c r="M242" s="170"/>
      <c r="N242" s="170"/>
      <c r="O242" s="170"/>
      <c r="P242" s="170"/>
      <c r="Q242" s="170"/>
      <c r="R242" s="172"/>
      <c r="S242" s="170"/>
      <c r="T242" s="170"/>
      <c r="U242" s="170"/>
      <c r="V242" s="170"/>
      <c r="W242" s="170"/>
      <c r="X242" s="170"/>
      <c r="Y242" s="173"/>
      <c r="Z242" s="170"/>
      <c r="AA242" s="170"/>
      <c r="AB242" s="172"/>
      <c r="AC242" s="202"/>
      <c r="AD242" s="170"/>
      <c r="AE242" s="170"/>
      <c r="AF242" s="170"/>
      <c r="AG242" s="170"/>
      <c r="AH242" s="170"/>
      <c r="AI242" s="170"/>
      <c r="AJ242" s="170"/>
      <c r="AK242" s="174"/>
      <c r="AL242" s="172"/>
      <c r="AM242" s="172"/>
      <c r="AN242" s="172"/>
      <c r="AO242" s="172"/>
      <c r="AP242" s="172"/>
    </row>
    <row r="243" spans="1:42" s="175" customFormat="1" hidden="1" x14ac:dyDescent="0.2">
      <c r="A243" s="170" t="s">
        <v>1240</v>
      </c>
      <c r="B243" s="170" t="s">
        <v>1240</v>
      </c>
      <c r="C243" s="170" t="s">
        <v>1240</v>
      </c>
      <c r="D243" s="170" t="s">
        <v>1240</v>
      </c>
      <c r="E243" s="170" t="s">
        <v>1240</v>
      </c>
      <c r="F243" s="170" t="s">
        <v>1240</v>
      </c>
      <c r="G243" s="170" t="s">
        <v>1240</v>
      </c>
      <c r="H243" s="290" t="s">
        <v>1240</v>
      </c>
      <c r="I243" s="177" t="e">
        <f t="shared" si="8"/>
        <v>#VALUE!</v>
      </c>
      <c r="J243" s="171"/>
      <c r="K243" s="170" t="e">
        <f t="shared" si="7"/>
        <v>#VALUE!</v>
      </c>
      <c r="L243" s="170"/>
      <c r="M243" s="170"/>
      <c r="N243" s="170"/>
      <c r="O243" s="170"/>
      <c r="P243" s="170"/>
      <c r="Q243" s="170"/>
      <c r="R243" s="172"/>
      <c r="S243" s="170"/>
      <c r="T243" s="170"/>
      <c r="U243" s="170"/>
      <c r="V243" s="170"/>
      <c r="W243" s="170"/>
      <c r="X243" s="170"/>
      <c r="Y243" s="173"/>
      <c r="Z243" s="170"/>
      <c r="AA243" s="170"/>
      <c r="AB243" s="172"/>
      <c r="AC243" s="202"/>
      <c r="AD243" s="170"/>
      <c r="AE243" s="170"/>
      <c r="AF243" s="170"/>
      <c r="AG243" s="170"/>
      <c r="AH243" s="170"/>
      <c r="AI243" s="170"/>
      <c r="AJ243" s="170"/>
      <c r="AK243" s="174"/>
      <c r="AL243" s="172"/>
      <c r="AM243" s="172"/>
      <c r="AN243" s="172"/>
      <c r="AO243" s="172"/>
      <c r="AP243" s="172"/>
    </row>
    <row r="244" spans="1:42" s="175" customFormat="1" hidden="1" x14ac:dyDescent="0.2">
      <c r="A244" s="170" t="s">
        <v>1240</v>
      </c>
      <c r="B244" s="170" t="s">
        <v>1240</v>
      </c>
      <c r="C244" s="170" t="s">
        <v>1240</v>
      </c>
      <c r="D244" s="170" t="s">
        <v>1240</v>
      </c>
      <c r="E244" s="170" t="s">
        <v>1240</v>
      </c>
      <c r="F244" s="170" t="s">
        <v>1240</v>
      </c>
      <c r="G244" s="170" t="s">
        <v>1240</v>
      </c>
      <c r="H244" s="290" t="s">
        <v>1240</v>
      </c>
      <c r="I244" s="177" t="e">
        <f t="shared" si="8"/>
        <v>#VALUE!</v>
      </c>
      <c r="J244" s="171"/>
      <c r="K244" s="170" t="e">
        <f t="shared" si="7"/>
        <v>#VALUE!</v>
      </c>
      <c r="L244" s="170"/>
      <c r="M244" s="170"/>
      <c r="N244" s="170"/>
      <c r="O244" s="170"/>
      <c r="P244" s="170"/>
      <c r="Q244" s="170"/>
      <c r="R244" s="172"/>
      <c r="S244" s="170"/>
      <c r="T244" s="170"/>
      <c r="U244" s="170"/>
      <c r="V244" s="170"/>
      <c r="W244" s="170"/>
      <c r="X244" s="170"/>
      <c r="Y244" s="173"/>
      <c r="Z244" s="170"/>
      <c r="AA244" s="170"/>
      <c r="AB244" s="172"/>
      <c r="AC244" s="202"/>
      <c r="AD244" s="170"/>
      <c r="AE244" s="170"/>
      <c r="AF244" s="170"/>
      <c r="AG244" s="170"/>
      <c r="AH244" s="170"/>
      <c r="AI244" s="170"/>
      <c r="AJ244" s="170"/>
      <c r="AK244" s="174"/>
      <c r="AL244" s="172"/>
      <c r="AM244" s="172"/>
      <c r="AN244" s="172"/>
      <c r="AO244" s="172"/>
      <c r="AP244" s="172"/>
    </row>
    <row r="245" spans="1:42" s="175" customFormat="1" hidden="1" x14ac:dyDescent="0.2">
      <c r="A245" s="170" t="s">
        <v>1240</v>
      </c>
      <c r="B245" s="170" t="s">
        <v>1240</v>
      </c>
      <c r="C245" s="170" t="s">
        <v>1240</v>
      </c>
      <c r="D245" s="170" t="s">
        <v>1240</v>
      </c>
      <c r="E245" s="170" t="s">
        <v>1240</v>
      </c>
      <c r="F245" s="170" t="s">
        <v>1240</v>
      </c>
      <c r="G245" s="170" t="s">
        <v>1240</v>
      </c>
      <c r="H245" s="290" t="s">
        <v>1240</v>
      </c>
      <c r="I245" s="177" t="e">
        <f t="shared" si="8"/>
        <v>#VALUE!</v>
      </c>
      <c r="J245" s="171"/>
      <c r="K245" s="170" t="e">
        <f t="shared" si="7"/>
        <v>#VALUE!</v>
      </c>
      <c r="L245" s="170"/>
      <c r="M245" s="170"/>
      <c r="N245" s="170"/>
      <c r="O245" s="170"/>
      <c r="P245" s="170"/>
      <c r="Q245" s="170"/>
      <c r="R245" s="172"/>
      <c r="S245" s="170"/>
      <c r="T245" s="170"/>
      <c r="U245" s="170"/>
      <c r="V245" s="170"/>
      <c r="W245" s="170"/>
      <c r="X245" s="170"/>
      <c r="Y245" s="173"/>
      <c r="Z245" s="170"/>
      <c r="AA245" s="170"/>
      <c r="AB245" s="172"/>
      <c r="AC245" s="202"/>
      <c r="AD245" s="170"/>
      <c r="AE245" s="170"/>
      <c r="AF245" s="170"/>
      <c r="AG245" s="170"/>
      <c r="AH245" s="170"/>
      <c r="AI245" s="170"/>
      <c r="AJ245" s="170"/>
      <c r="AK245" s="174"/>
      <c r="AL245" s="172"/>
      <c r="AM245" s="172"/>
      <c r="AN245" s="172"/>
      <c r="AO245" s="172"/>
      <c r="AP245" s="172"/>
    </row>
    <row r="246" spans="1:42" s="175" customFormat="1" hidden="1" x14ac:dyDescent="0.2">
      <c r="A246" s="170" t="s">
        <v>1240</v>
      </c>
      <c r="B246" s="170" t="s">
        <v>1240</v>
      </c>
      <c r="C246" s="170" t="s">
        <v>1240</v>
      </c>
      <c r="D246" s="170" t="s">
        <v>1240</v>
      </c>
      <c r="E246" s="170" t="s">
        <v>1240</v>
      </c>
      <c r="F246" s="170" t="s">
        <v>1240</v>
      </c>
      <c r="G246" s="170" t="s">
        <v>1240</v>
      </c>
      <c r="H246" s="290" t="s">
        <v>1240</v>
      </c>
      <c r="I246" s="177" t="e">
        <f t="shared" si="8"/>
        <v>#VALUE!</v>
      </c>
      <c r="J246" s="171"/>
      <c r="K246" s="170" t="e">
        <f t="shared" si="7"/>
        <v>#VALUE!</v>
      </c>
      <c r="L246" s="170"/>
      <c r="M246" s="170"/>
      <c r="N246" s="170"/>
      <c r="O246" s="170"/>
      <c r="P246" s="170"/>
      <c r="Q246" s="170"/>
      <c r="R246" s="172"/>
      <c r="S246" s="170"/>
      <c r="T246" s="170"/>
      <c r="U246" s="170"/>
      <c r="V246" s="170"/>
      <c r="W246" s="170"/>
      <c r="X246" s="170"/>
      <c r="Y246" s="173"/>
      <c r="Z246" s="170"/>
      <c r="AA246" s="170"/>
      <c r="AB246" s="172"/>
      <c r="AC246" s="202"/>
      <c r="AD246" s="170"/>
      <c r="AE246" s="170"/>
      <c r="AF246" s="170"/>
      <c r="AG246" s="170"/>
      <c r="AH246" s="170"/>
      <c r="AI246" s="170"/>
      <c r="AJ246" s="170"/>
      <c r="AK246" s="174"/>
      <c r="AL246" s="172"/>
      <c r="AM246" s="172"/>
      <c r="AN246" s="172"/>
      <c r="AO246" s="172"/>
      <c r="AP246" s="172"/>
    </row>
    <row r="247" spans="1:42" s="175" customFormat="1" hidden="1" x14ac:dyDescent="0.2">
      <c r="A247" s="170" t="s">
        <v>1240</v>
      </c>
      <c r="B247" s="170" t="s">
        <v>1240</v>
      </c>
      <c r="C247" s="170" t="s">
        <v>1240</v>
      </c>
      <c r="D247" s="170" t="s">
        <v>1240</v>
      </c>
      <c r="E247" s="170" t="s">
        <v>1240</v>
      </c>
      <c r="F247" s="170" t="s">
        <v>1240</v>
      </c>
      <c r="G247" s="170" t="s">
        <v>1240</v>
      </c>
      <c r="H247" s="290" t="s">
        <v>1240</v>
      </c>
      <c r="I247" s="177" t="e">
        <f t="shared" si="8"/>
        <v>#VALUE!</v>
      </c>
      <c r="J247" s="171"/>
      <c r="K247" s="170" t="e">
        <f t="shared" si="7"/>
        <v>#VALUE!</v>
      </c>
      <c r="L247" s="170"/>
      <c r="M247" s="170"/>
      <c r="N247" s="170"/>
      <c r="O247" s="170"/>
      <c r="P247" s="170"/>
      <c r="Q247" s="170"/>
      <c r="R247" s="172"/>
      <c r="S247" s="170"/>
      <c r="T247" s="170"/>
      <c r="U247" s="170"/>
      <c r="V247" s="170"/>
      <c r="W247" s="170"/>
      <c r="X247" s="170"/>
      <c r="Y247" s="173"/>
      <c r="Z247" s="170"/>
      <c r="AA247" s="170"/>
      <c r="AB247" s="172"/>
      <c r="AC247" s="202"/>
      <c r="AD247" s="170"/>
      <c r="AE247" s="170"/>
      <c r="AF247" s="170"/>
      <c r="AG247" s="170"/>
      <c r="AH247" s="170"/>
      <c r="AI247" s="170"/>
      <c r="AJ247" s="170"/>
      <c r="AK247" s="174"/>
      <c r="AL247" s="172"/>
      <c r="AM247" s="172"/>
      <c r="AN247" s="172"/>
      <c r="AO247" s="172"/>
      <c r="AP247" s="172"/>
    </row>
    <row r="248" spans="1:42" s="175" customFormat="1" hidden="1" x14ac:dyDescent="0.2">
      <c r="A248" s="170" t="s">
        <v>1240</v>
      </c>
      <c r="B248" s="170" t="s">
        <v>1240</v>
      </c>
      <c r="C248" s="170" t="s">
        <v>1240</v>
      </c>
      <c r="D248" s="170" t="s">
        <v>1240</v>
      </c>
      <c r="E248" s="170" t="s">
        <v>1240</v>
      </c>
      <c r="F248" s="170" t="s">
        <v>1240</v>
      </c>
      <c r="G248" s="170" t="s">
        <v>1240</v>
      </c>
      <c r="H248" s="290" t="s">
        <v>1240</v>
      </c>
      <c r="I248" s="177" t="e">
        <f t="shared" si="8"/>
        <v>#VALUE!</v>
      </c>
      <c r="J248" s="171"/>
      <c r="K248" s="170" t="e">
        <f t="shared" si="7"/>
        <v>#VALUE!</v>
      </c>
      <c r="L248" s="170"/>
      <c r="M248" s="170"/>
      <c r="N248" s="170"/>
      <c r="O248" s="170"/>
      <c r="P248" s="170"/>
      <c r="Q248" s="170"/>
      <c r="R248" s="172"/>
      <c r="S248" s="170"/>
      <c r="T248" s="170"/>
      <c r="U248" s="170"/>
      <c r="V248" s="170"/>
      <c r="W248" s="170"/>
      <c r="X248" s="170"/>
      <c r="Y248" s="173"/>
      <c r="Z248" s="170"/>
      <c r="AA248" s="170"/>
      <c r="AB248" s="172"/>
      <c r="AC248" s="202"/>
      <c r="AD248" s="170"/>
      <c r="AE248" s="170"/>
      <c r="AF248" s="170"/>
      <c r="AG248" s="170"/>
      <c r="AH248" s="170"/>
      <c r="AI248" s="170"/>
      <c r="AJ248" s="170"/>
      <c r="AK248" s="174"/>
      <c r="AL248" s="172"/>
      <c r="AM248" s="172"/>
      <c r="AN248" s="172"/>
      <c r="AO248" s="172"/>
      <c r="AP248" s="172"/>
    </row>
    <row r="249" spans="1:42" s="175" customFormat="1" hidden="1" x14ac:dyDescent="0.2">
      <c r="A249" s="170" t="s">
        <v>1240</v>
      </c>
      <c r="B249" s="170" t="s">
        <v>1240</v>
      </c>
      <c r="C249" s="170" t="s">
        <v>1240</v>
      </c>
      <c r="D249" s="170" t="s">
        <v>1240</v>
      </c>
      <c r="E249" s="170" t="s">
        <v>1240</v>
      </c>
      <c r="F249" s="170" t="s">
        <v>1240</v>
      </c>
      <c r="G249" s="170" t="s">
        <v>1240</v>
      </c>
      <c r="H249" s="290" t="s">
        <v>1240</v>
      </c>
      <c r="I249" s="177" t="e">
        <f t="shared" si="8"/>
        <v>#VALUE!</v>
      </c>
      <c r="J249" s="171"/>
      <c r="K249" s="170" t="e">
        <f t="shared" si="7"/>
        <v>#VALUE!</v>
      </c>
      <c r="L249" s="170"/>
      <c r="M249" s="170"/>
      <c r="N249" s="170"/>
      <c r="O249" s="170"/>
      <c r="P249" s="170"/>
      <c r="Q249" s="170"/>
      <c r="R249" s="172"/>
      <c r="S249" s="170"/>
      <c r="T249" s="170"/>
      <c r="U249" s="170"/>
      <c r="V249" s="170"/>
      <c r="W249" s="170"/>
      <c r="X249" s="170"/>
      <c r="Y249" s="173"/>
      <c r="Z249" s="170"/>
      <c r="AA249" s="170"/>
      <c r="AB249" s="172"/>
      <c r="AC249" s="202"/>
      <c r="AD249" s="170"/>
      <c r="AE249" s="170"/>
      <c r="AF249" s="170"/>
      <c r="AG249" s="170"/>
      <c r="AH249" s="170"/>
      <c r="AI249" s="170"/>
      <c r="AJ249" s="170"/>
      <c r="AK249" s="174"/>
      <c r="AL249" s="172"/>
      <c r="AM249" s="172"/>
      <c r="AN249" s="172"/>
      <c r="AO249" s="172"/>
      <c r="AP249" s="172"/>
    </row>
    <row r="250" spans="1:42" s="175" customFormat="1" hidden="1" x14ac:dyDescent="0.2">
      <c r="A250" s="170" t="s">
        <v>1240</v>
      </c>
      <c r="B250" s="170" t="s">
        <v>1240</v>
      </c>
      <c r="C250" s="170" t="s">
        <v>1240</v>
      </c>
      <c r="D250" s="170" t="s">
        <v>1240</v>
      </c>
      <c r="E250" s="170" t="s">
        <v>1240</v>
      </c>
      <c r="F250" s="170" t="s">
        <v>1240</v>
      </c>
      <c r="G250" s="170" t="s">
        <v>1240</v>
      </c>
      <c r="H250" s="290" t="s">
        <v>1240</v>
      </c>
      <c r="I250" s="177" t="e">
        <f t="shared" si="8"/>
        <v>#VALUE!</v>
      </c>
      <c r="J250" s="171"/>
      <c r="K250" s="170" t="e">
        <f t="shared" si="7"/>
        <v>#VALUE!</v>
      </c>
      <c r="L250" s="170"/>
      <c r="M250" s="170"/>
      <c r="N250" s="170"/>
      <c r="O250" s="170"/>
      <c r="P250" s="170"/>
      <c r="Q250" s="170"/>
      <c r="R250" s="172"/>
      <c r="S250" s="170"/>
      <c r="T250" s="170"/>
      <c r="U250" s="170"/>
      <c r="V250" s="170"/>
      <c r="W250" s="170"/>
      <c r="X250" s="170"/>
      <c r="Y250" s="173"/>
      <c r="Z250" s="170"/>
      <c r="AA250" s="170"/>
      <c r="AB250" s="172"/>
      <c r="AC250" s="202"/>
      <c r="AD250" s="170"/>
      <c r="AE250" s="170"/>
      <c r="AF250" s="170"/>
      <c r="AG250" s="170"/>
      <c r="AH250" s="170"/>
      <c r="AI250" s="170"/>
      <c r="AJ250" s="170"/>
      <c r="AK250" s="174"/>
      <c r="AL250" s="172"/>
      <c r="AM250" s="172"/>
      <c r="AN250" s="172"/>
      <c r="AO250" s="172"/>
      <c r="AP250" s="172"/>
    </row>
    <row r="251" spans="1:42" s="175" customFormat="1" hidden="1" x14ac:dyDescent="0.2">
      <c r="A251" s="170" t="s">
        <v>1240</v>
      </c>
      <c r="B251" s="170" t="s">
        <v>1240</v>
      </c>
      <c r="C251" s="170" t="s">
        <v>1240</v>
      </c>
      <c r="D251" s="170" t="s">
        <v>1240</v>
      </c>
      <c r="E251" s="170" t="s">
        <v>1240</v>
      </c>
      <c r="F251" s="170" t="s">
        <v>1240</v>
      </c>
      <c r="G251" s="170" t="s">
        <v>1240</v>
      </c>
      <c r="H251" s="290" t="s">
        <v>1240</v>
      </c>
      <c r="I251" s="177" t="e">
        <f t="shared" si="8"/>
        <v>#VALUE!</v>
      </c>
      <c r="J251" s="171"/>
      <c r="K251" s="170" t="e">
        <f t="shared" si="7"/>
        <v>#VALUE!</v>
      </c>
      <c r="L251" s="170"/>
      <c r="M251" s="170"/>
      <c r="N251" s="170"/>
      <c r="O251" s="170" t="s">
        <v>1629</v>
      </c>
      <c r="P251" s="170"/>
      <c r="Q251" s="170"/>
      <c r="R251" s="172"/>
      <c r="S251" s="170"/>
      <c r="T251" s="170"/>
      <c r="U251" s="170"/>
      <c r="V251" s="170"/>
      <c r="W251" s="170"/>
      <c r="X251" s="170"/>
      <c r="Y251" s="173"/>
      <c r="Z251" s="170"/>
      <c r="AA251" s="170"/>
      <c r="AB251" s="172"/>
      <c r="AC251" s="202"/>
      <c r="AD251" s="170"/>
      <c r="AE251" s="170"/>
      <c r="AF251" s="170"/>
      <c r="AG251" s="170"/>
      <c r="AH251" s="170"/>
      <c r="AI251" s="170"/>
      <c r="AJ251" s="170"/>
      <c r="AK251" s="174"/>
      <c r="AL251" s="172"/>
      <c r="AM251" s="172"/>
      <c r="AN251" s="172"/>
      <c r="AO251" s="172"/>
      <c r="AP251" s="172"/>
    </row>
    <row r="252" spans="1:42" s="175" customFormat="1" hidden="1" x14ac:dyDescent="0.2">
      <c r="A252" s="170" t="s">
        <v>1240</v>
      </c>
      <c r="B252" s="170" t="s">
        <v>1240</v>
      </c>
      <c r="C252" s="170" t="s">
        <v>1240</v>
      </c>
      <c r="D252" s="170" t="s">
        <v>1240</v>
      </c>
      <c r="E252" s="170" t="s">
        <v>1240</v>
      </c>
      <c r="F252" s="170" t="s">
        <v>1240</v>
      </c>
      <c r="G252" s="170" t="s">
        <v>1240</v>
      </c>
      <c r="H252" s="290" t="s">
        <v>1240</v>
      </c>
      <c r="I252" s="177" t="e">
        <f t="shared" si="8"/>
        <v>#VALUE!</v>
      </c>
      <c r="J252" s="171"/>
      <c r="K252" s="170" t="e">
        <f t="shared" si="7"/>
        <v>#VALUE!</v>
      </c>
      <c r="L252" s="170"/>
      <c r="M252" s="170"/>
      <c r="N252" s="170"/>
      <c r="O252" s="170" t="s">
        <v>1630</v>
      </c>
      <c r="P252" s="170"/>
      <c r="Q252" s="170"/>
      <c r="R252" s="172"/>
      <c r="S252" s="170"/>
      <c r="T252" s="170"/>
      <c r="U252" s="170"/>
      <c r="V252" s="170"/>
      <c r="W252" s="170"/>
      <c r="X252" s="170"/>
      <c r="Y252" s="173"/>
      <c r="Z252" s="170"/>
      <c r="AA252" s="170"/>
      <c r="AB252" s="172"/>
      <c r="AC252" s="202"/>
      <c r="AD252" s="170"/>
      <c r="AE252" s="170"/>
      <c r="AF252" s="170"/>
      <c r="AG252" s="170"/>
      <c r="AH252" s="170"/>
      <c r="AI252" s="170"/>
      <c r="AJ252" s="170"/>
      <c r="AK252" s="174"/>
      <c r="AL252" s="172"/>
      <c r="AM252" s="172"/>
      <c r="AN252" s="172"/>
      <c r="AO252" s="172"/>
      <c r="AP252" s="172"/>
    </row>
    <row r="253" spans="1:42" s="175" customFormat="1" hidden="1" x14ac:dyDescent="0.2">
      <c r="A253" s="170" t="s">
        <v>1240</v>
      </c>
      <c r="B253" s="170" t="s">
        <v>1240</v>
      </c>
      <c r="C253" s="170" t="s">
        <v>1240</v>
      </c>
      <c r="D253" s="170" t="s">
        <v>1240</v>
      </c>
      <c r="E253" s="170" t="s">
        <v>1240</v>
      </c>
      <c r="F253" s="170" t="s">
        <v>1240</v>
      </c>
      <c r="G253" s="170" t="s">
        <v>1240</v>
      </c>
      <c r="H253" s="290" t="s">
        <v>1240</v>
      </c>
      <c r="I253" s="177" t="e">
        <f t="shared" si="8"/>
        <v>#VALUE!</v>
      </c>
      <c r="J253" s="171"/>
      <c r="K253" s="170" t="e">
        <f t="shared" si="7"/>
        <v>#VALUE!</v>
      </c>
      <c r="L253" s="170"/>
      <c r="M253" s="170"/>
      <c r="N253" s="170"/>
      <c r="O253" s="170"/>
      <c r="P253" s="170"/>
      <c r="Q253" s="170"/>
      <c r="R253" s="172"/>
      <c r="S253" s="170"/>
      <c r="T253" s="170"/>
      <c r="U253" s="170"/>
      <c r="V253" s="170"/>
      <c r="W253" s="170"/>
      <c r="X253" s="170"/>
      <c r="Y253" s="173"/>
      <c r="Z253" s="170"/>
      <c r="AA253" s="170"/>
      <c r="AB253" s="172"/>
      <c r="AC253" s="202"/>
      <c r="AD253" s="170"/>
      <c r="AE253" s="170"/>
      <c r="AF253" s="170"/>
      <c r="AG253" s="170"/>
      <c r="AH253" s="170"/>
      <c r="AI253" s="170"/>
      <c r="AJ253" s="170"/>
      <c r="AK253" s="174"/>
      <c r="AL253" s="172"/>
      <c r="AM253" s="172"/>
      <c r="AN253" s="172"/>
      <c r="AO253" s="172"/>
      <c r="AP253" s="172"/>
    </row>
    <row r="254" spans="1:42" s="175" customFormat="1" hidden="1" x14ac:dyDescent="0.2">
      <c r="A254" s="170" t="s">
        <v>1240</v>
      </c>
      <c r="B254" s="170" t="s">
        <v>1240</v>
      </c>
      <c r="C254" s="170" t="s">
        <v>1240</v>
      </c>
      <c r="D254" s="170" t="s">
        <v>1240</v>
      </c>
      <c r="E254" s="170" t="s">
        <v>1240</v>
      </c>
      <c r="F254" s="170" t="s">
        <v>1240</v>
      </c>
      <c r="G254" s="170" t="s">
        <v>1240</v>
      </c>
      <c r="H254" s="290" t="s">
        <v>1240</v>
      </c>
      <c r="I254" s="177" t="e">
        <f t="shared" si="8"/>
        <v>#VALUE!</v>
      </c>
      <c r="J254" s="171"/>
      <c r="K254" s="170" t="e">
        <f t="shared" si="7"/>
        <v>#VALUE!</v>
      </c>
      <c r="L254" s="170"/>
      <c r="M254" s="170"/>
      <c r="N254" s="170"/>
      <c r="O254" s="170"/>
      <c r="P254" s="170"/>
      <c r="Q254" s="170"/>
      <c r="R254" s="172"/>
      <c r="S254" s="170"/>
      <c r="T254" s="170"/>
      <c r="U254" s="170"/>
      <c r="V254" s="170"/>
      <c r="W254" s="170"/>
      <c r="X254" s="170"/>
      <c r="Y254" s="173"/>
      <c r="Z254" s="170"/>
      <c r="AA254" s="170"/>
      <c r="AB254" s="172"/>
      <c r="AC254" s="202"/>
      <c r="AD254" s="170"/>
      <c r="AE254" s="170"/>
      <c r="AF254" s="170"/>
      <c r="AG254" s="170"/>
      <c r="AH254" s="170"/>
      <c r="AI254" s="170"/>
      <c r="AJ254" s="170"/>
      <c r="AK254" s="174"/>
      <c r="AL254" s="172"/>
      <c r="AM254" s="172"/>
      <c r="AN254" s="172"/>
      <c r="AO254" s="172"/>
      <c r="AP254" s="172"/>
    </row>
    <row r="255" spans="1:42" s="175" customFormat="1" hidden="1" x14ac:dyDescent="0.2">
      <c r="A255" s="170" t="s">
        <v>1240</v>
      </c>
      <c r="B255" s="170" t="s">
        <v>1240</v>
      </c>
      <c r="C255" s="170" t="s">
        <v>1240</v>
      </c>
      <c r="D255" s="170" t="s">
        <v>1240</v>
      </c>
      <c r="E255" s="170" t="s">
        <v>1240</v>
      </c>
      <c r="F255" s="170" t="s">
        <v>1240</v>
      </c>
      <c r="G255" s="170" t="s">
        <v>1240</v>
      </c>
      <c r="H255" s="290" t="s">
        <v>1240</v>
      </c>
      <c r="I255" s="177" t="e">
        <f t="shared" si="8"/>
        <v>#VALUE!</v>
      </c>
      <c r="J255" s="171"/>
      <c r="K255" s="170" t="e">
        <f t="shared" si="7"/>
        <v>#VALUE!</v>
      </c>
      <c r="L255" s="170"/>
      <c r="M255" s="170"/>
      <c r="N255" s="170"/>
      <c r="O255" s="170"/>
      <c r="P255" s="170"/>
      <c r="Q255" s="170"/>
      <c r="R255" s="172"/>
      <c r="S255" s="170"/>
      <c r="T255" s="170"/>
      <c r="U255" s="170"/>
      <c r="V255" s="170"/>
      <c r="W255" s="170"/>
      <c r="X255" s="170"/>
      <c r="Y255" s="173"/>
      <c r="Z255" s="170"/>
      <c r="AA255" s="170"/>
      <c r="AB255" s="172"/>
      <c r="AC255" s="202"/>
      <c r="AD255" s="170"/>
      <c r="AE255" s="170"/>
      <c r="AF255" s="170"/>
      <c r="AG255" s="170"/>
      <c r="AH255" s="170"/>
      <c r="AI255" s="170"/>
      <c r="AJ255" s="170"/>
      <c r="AK255" s="174"/>
      <c r="AL255" s="172"/>
      <c r="AM255" s="172"/>
      <c r="AN255" s="172"/>
      <c r="AO255" s="172"/>
      <c r="AP255" s="172"/>
    </row>
    <row r="256" spans="1:42" s="175" customFormat="1" hidden="1" x14ac:dyDescent="0.2">
      <c r="A256" s="170" t="s">
        <v>1240</v>
      </c>
      <c r="B256" s="170" t="s">
        <v>1240</v>
      </c>
      <c r="C256" s="170" t="s">
        <v>1240</v>
      </c>
      <c r="D256" s="170" t="s">
        <v>1240</v>
      </c>
      <c r="E256" s="170" t="s">
        <v>1240</v>
      </c>
      <c r="F256" s="170" t="s">
        <v>1240</v>
      </c>
      <c r="G256" s="170" t="s">
        <v>1240</v>
      </c>
      <c r="H256" s="290" t="s">
        <v>1240</v>
      </c>
      <c r="I256" s="177" t="e">
        <f t="shared" si="8"/>
        <v>#VALUE!</v>
      </c>
      <c r="J256" s="171"/>
      <c r="K256" s="170" t="e">
        <f t="shared" si="7"/>
        <v>#VALUE!</v>
      </c>
      <c r="L256" s="170"/>
      <c r="M256" s="170"/>
      <c r="N256" s="170"/>
      <c r="O256" s="170"/>
      <c r="P256" s="170"/>
      <c r="Q256" s="170"/>
      <c r="R256" s="172"/>
      <c r="S256" s="170"/>
      <c r="T256" s="170"/>
      <c r="U256" s="170"/>
      <c r="V256" s="170"/>
      <c r="W256" s="170"/>
      <c r="X256" s="170"/>
      <c r="Y256" s="173"/>
      <c r="Z256" s="170"/>
      <c r="AA256" s="170"/>
      <c r="AB256" s="172"/>
      <c r="AC256" s="202"/>
      <c r="AD256" s="170"/>
      <c r="AE256" s="170"/>
      <c r="AF256" s="170"/>
      <c r="AG256" s="170"/>
      <c r="AH256" s="170"/>
      <c r="AI256" s="170"/>
      <c r="AJ256" s="170"/>
      <c r="AK256" s="174"/>
      <c r="AL256" s="172"/>
      <c r="AM256" s="172"/>
      <c r="AN256" s="172"/>
      <c r="AO256" s="172"/>
      <c r="AP256" s="172"/>
    </row>
    <row r="257" spans="1:42" s="175" customFormat="1" hidden="1" x14ac:dyDescent="0.2">
      <c r="A257" s="170" t="s">
        <v>1240</v>
      </c>
      <c r="B257" s="170" t="s">
        <v>1240</v>
      </c>
      <c r="C257" s="170" t="s">
        <v>1240</v>
      </c>
      <c r="D257" s="170" t="s">
        <v>1240</v>
      </c>
      <c r="E257" s="170" t="s">
        <v>1240</v>
      </c>
      <c r="F257" s="170" t="s">
        <v>1240</v>
      </c>
      <c r="G257" s="170" t="s">
        <v>1240</v>
      </c>
      <c r="H257" s="290" t="s">
        <v>1240</v>
      </c>
      <c r="I257" s="177" t="e">
        <f t="shared" si="8"/>
        <v>#VALUE!</v>
      </c>
      <c r="J257" s="171"/>
      <c r="K257" s="170" t="e">
        <f t="shared" si="7"/>
        <v>#VALUE!</v>
      </c>
      <c r="L257" s="170"/>
      <c r="M257" s="170"/>
      <c r="N257" s="170"/>
      <c r="O257" s="170"/>
      <c r="P257" s="170"/>
      <c r="Q257" s="170"/>
      <c r="R257" s="172"/>
      <c r="S257" s="170"/>
      <c r="T257" s="170"/>
      <c r="U257" s="170"/>
      <c r="V257" s="170"/>
      <c r="W257" s="170"/>
      <c r="X257" s="170"/>
      <c r="Y257" s="173"/>
      <c r="Z257" s="170"/>
      <c r="AA257" s="170"/>
      <c r="AB257" s="172"/>
      <c r="AC257" s="202"/>
      <c r="AD257" s="170"/>
      <c r="AE257" s="170"/>
      <c r="AF257" s="170"/>
      <c r="AG257" s="170"/>
      <c r="AH257" s="170"/>
      <c r="AI257" s="170"/>
      <c r="AJ257" s="170"/>
      <c r="AK257" s="174"/>
      <c r="AL257" s="172"/>
      <c r="AM257" s="172"/>
      <c r="AN257" s="172"/>
      <c r="AO257" s="172"/>
      <c r="AP257" s="172"/>
    </row>
    <row r="258" spans="1:42" s="175" customFormat="1" hidden="1" x14ac:dyDescent="0.2">
      <c r="A258" s="170" t="s">
        <v>1240</v>
      </c>
      <c r="B258" s="170" t="s">
        <v>1240</v>
      </c>
      <c r="C258" s="170" t="s">
        <v>1240</v>
      </c>
      <c r="D258" s="170" t="s">
        <v>1240</v>
      </c>
      <c r="E258" s="170" t="s">
        <v>1240</v>
      </c>
      <c r="F258" s="170" t="s">
        <v>1240</v>
      </c>
      <c r="G258" s="170" t="s">
        <v>1240</v>
      </c>
      <c r="H258" s="290" t="s">
        <v>1240</v>
      </c>
      <c r="I258" s="177" t="e">
        <f t="shared" si="8"/>
        <v>#VALUE!</v>
      </c>
      <c r="J258" s="171"/>
      <c r="K258" s="170" t="e">
        <f t="shared" si="7"/>
        <v>#VALUE!</v>
      </c>
      <c r="L258" s="170"/>
      <c r="M258" s="170"/>
      <c r="N258" s="170"/>
      <c r="O258" s="170"/>
      <c r="P258" s="170"/>
      <c r="Q258" s="170"/>
      <c r="R258" s="172"/>
      <c r="S258" s="170"/>
      <c r="T258" s="170"/>
      <c r="U258" s="170"/>
      <c r="V258" s="170"/>
      <c r="W258" s="170"/>
      <c r="X258" s="170"/>
      <c r="Y258" s="173"/>
      <c r="Z258" s="170"/>
      <c r="AA258" s="170"/>
      <c r="AB258" s="172"/>
      <c r="AC258" s="202"/>
      <c r="AD258" s="170"/>
      <c r="AE258" s="170"/>
      <c r="AF258" s="170"/>
      <c r="AG258" s="170"/>
      <c r="AH258" s="170"/>
      <c r="AI258" s="170"/>
      <c r="AJ258" s="170"/>
      <c r="AK258" s="174"/>
      <c r="AL258" s="172"/>
      <c r="AM258" s="172"/>
      <c r="AN258" s="172"/>
      <c r="AO258" s="172"/>
      <c r="AP258" s="172"/>
    </row>
    <row r="259" spans="1:42" s="175" customFormat="1" hidden="1" x14ac:dyDescent="0.2">
      <c r="A259" s="170" t="s">
        <v>1240</v>
      </c>
      <c r="B259" s="170" t="s">
        <v>1240</v>
      </c>
      <c r="C259" s="170" t="s">
        <v>1240</v>
      </c>
      <c r="D259" s="170" t="s">
        <v>1240</v>
      </c>
      <c r="E259" s="170" t="s">
        <v>1240</v>
      </c>
      <c r="F259" s="170" t="s">
        <v>1240</v>
      </c>
      <c r="G259" s="170" t="s">
        <v>1240</v>
      </c>
      <c r="H259" s="290" t="s">
        <v>1240</v>
      </c>
      <c r="I259" s="177" t="e">
        <f t="shared" si="8"/>
        <v>#VALUE!</v>
      </c>
      <c r="J259" s="171"/>
      <c r="K259" s="170" t="e">
        <f t="shared" si="7"/>
        <v>#VALUE!</v>
      </c>
      <c r="L259" s="170"/>
      <c r="M259" s="170"/>
      <c r="N259" s="170"/>
      <c r="O259" s="170"/>
      <c r="P259" s="170"/>
      <c r="Q259" s="170"/>
      <c r="R259" s="172"/>
      <c r="S259" s="170"/>
      <c r="T259" s="170"/>
      <c r="U259" s="170"/>
      <c r="V259" s="170"/>
      <c r="W259" s="170"/>
      <c r="X259" s="170"/>
      <c r="Y259" s="173"/>
      <c r="Z259" s="170"/>
      <c r="AA259" s="170"/>
      <c r="AB259" s="172"/>
      <c r="AC259" s="202"/>
      <c r="AD259" s="170"/>
      <c r="AE259" s="170"/>
      <c r="AF259" s="170"/>
      <c r="AG259" s="170"/>
      <c r="AH259" s="170"/>
      <c r="AI259" s="170"/>
      <c r="AJ259" s="170"/>
      <c r="AK259" s="174"/>
      <c r="AL259" s="172"/>
      <c r="AM259" s="172"/>
      <c r="AN259" s="172"/>
      <c r="AO259" s="172"/>
      <c r="AP259" s="172"/>
    </row>
    <row r="260" spans="1:42" s="175" customFormat="1" hidden="1" x14ac:dyDescent="0.2">
      <c r="A260" s="170" t="s">
        <v>1240</v>
      </c>
      <c r="B260" s="170" t="s">
        <v>1240</v>
      </c>
      <c r="C260" s="170" t="s">
        <v>1240</v>
      </c>
      <c r="D260" s="170" t="s">
        <v>1240</v>
      </c>
      <c r="E260" s="170" t="s">
        <v>1240</v>
      </c>
      <c r="F260" s="170" t="s">
        <v>1240</v>
      </c>
      <c r="G260" s="170" t="s">
        <v>1240</v>
      </c>
      <c r="H260" s="290" t="s">
        <v>1240</v>
      </c>
      <c r="I260" s="177" t="e">
        <f t="shared" si="8"/>
        <v>#VALUE!</v>
      </c>
      <c r="J260" s="171"/>
      <c r="K260" s="170" t="e">
        <f t="shared" si="7"/>
        <v>#VALUE!</v>
      </c>
      <c r="L260" s="170"/>
      <c r="M260" s="170"/>
      <c r="N260" s="170"/>
      <c r="O260" s="170"/>
      <c r="P260" s="170"/>
      <c r="Q260" s="170"/>
      <c r="R260" s="172"/>
      <c r="S260" s="170"/>
      <c r="T260" s="170"/>
      <c r="U260" s="170"/>
      <c r="V260" s="170"/>
      <c r="W260" s="170"/>
      <c r="X260" s="170"/>
      <c r="Y260" s="173"/>
      <c r="Z260" s="170"/>
      <c r="AA260" s="170"/>
      <c r="AB260" s="172"/>
      <c r="AC260" s="202"/>
      <c r="AD260" s="170"/>
      <c r="AE260" s="170"/>
      <c r="AF260" s="170"/>
      <c r="AG260" s="170"/>
      <c r="AH260" s="170"/>
      <c r="AI260" s="170"/>
      <c r="AJ260" s="170"/>
      <c r="AK260" s="174"/>
      <c r="AL260" s="172"/>
      <c r="AM260" s="172"/>
      <c r="AN260" s="172"/>
      <c r="AO260" s="172"/>
      <c r="AP260" s="172"/>
    </row>
    <row r="261" spans="1:42" s="175" customFormat="1" hidden="1" x14ac:dyDescent="0.2">
      <c r="A261" s="170" t="s">
        <v>1240</v>
      </c>
      <c r="B261" s="170" t="s">
        <v>1240</v>
      </c>
      <c r="C261" s="170" t="s">
        <v>1240</v>
      </c>
      <c r="D261" s="170" t="s">
        <v>1240</v>
      </c>
      <c r="E261" s="170" t="s">
        <v>1240</v>
      </c>
      <c r="F261" s="170" t="s">
        <v>1240</v>
      </c>
      <c r="G261" s="170" t="s">
        <v>1240</v>
      </c>
      <c r="H261" s="290" t="s">
        <v>1240</v>
      </c>
      <c r="I261" s="177" t="e">
        <f t="shared" si="8"/>
        <v>#VALUE!</v>
      </c>
      <c r="J261" s="171"/>
      <c r="K261" s="170" t="e">
        <f t="shared" si="7"/>
        <v>#VALUE!</v>
      </c>
      <c r="L261" s="170"/>
      <c r="M261" s="170"/>
      <c r="N261" s="170"/>
      <c r="O261" s="170"/>
      <c r="P261" s="170"/>
      <c r="Q261" s="170"/>
      <c r="R261" s="172"/>
      <c r="S261" s="170"/>
      <c r="T261" s="170"/>
      <c r="U261" s="170"/>
      <c r="V261" s="170"/>
      <c r="W261" s="170"/>
      <c r="X261" s="170"/>
      <c r="Y261" s="173"/>
      <c r="Z261" s="170"/>
      <c r="AA261" s="170"/>
      <c r="AB261" s="172"/>
      <c r="AC261" s="202"/>
      <c r="AD261" s="170"/>
      <c r="AE261" s="170"/>
      <c r="AF261" s="170"/>
      <c r="AG261" s="170"/>
      <c r="AH261" s="170"/>
      <c r="AI261" s="170"/>
      <c r="AJ261" s="170"/>
      <c r="AK261" s="174"/>
      <c r="AL261" s="172"/>
      <c r="AM261" s="172"/>
      <c r="AN261" s="172"/>
      <c r="AO261" s="172"/>
      <c r="AP261" s="172"/>
    </row>
    <row r="262" spans="1:42" s="175" customFormat="1" hidden="1" x14ac:dyDescent="0.2">
      <c r="A262" s="170" t="s">
        <v>1240</v>
      </c>
      <c r="B262" s="170" t="s">
        <v>1240</v>
      </c>
      <c r="C262" s="170" t="s">
        <v>1240</v>
      </c>
      <c r="D262" s="170" t="s">
        <v>1240</v>
      </c>
      <c r="E262" s="170" t="s">
        <v>1240</v>
      </c>
      <c r="F262" s="170" t="s">
        <v>1240</v>
      </c>
      <c r="G262" s="170" t="s">
        <v>1240</v>
      </c>
      <c r="H262" s="290" t="s">
        <v>1240</v>
      </c>
      <c r="I262" s="177" t="e">
        <f t="shared" si="8"/>
        <v>#VALUE!</v>
      </c>
      <c r="J262" s="171"/>
      <c r="K262" s="170" t="e">
        <f t="shared" si="7"/>
        <v>#VALUE!</v>
      </c>
      <c r="L262" s="170"/>
      <c r="M262" s="170"/>
      <c r="N262" s="170"/>
      <c r="O262" s="170"/>
      <c r="P262" s="170"/>
      <c r="Q262" s="170"/>
      <c r="R262" s="172"/>
      <c r="S262" s="170"/>
      <c r="T262" s="170"/>
      <c r="U262" s="170"/>
      <c r="V262" s="170"/>
      <c r="W262" s="170"/>
      <c r="X262" s="170"/>
      <c r="Y262" s="173"/>
      <c r="Z262" s="170"/>
      <c r="AA262" s="170"/>
      <c r="AB262" s="172"/>
      <c r="AC262" s="202"/>
      <c r="AD262" s="170"/>
      <c r="AE262" s="170"/>
      <c r="AF262" s="170"/>
      <c r="AG262" s="170"/>
      <c r="AH262" s="170"/>
      <c r="AI262" s="170"/>
      <c r="AJ262" s="170"/>
      <c r="AK262" s="174"/>
      <c r="AL262" s="172"/>
      <c r="AM262" s="172"/>
      <c r="AN262" s="172"/>
      <c r="AO262" s="172"/>
      <c r="AP262" s="172"/>
    </row>
    <row r="263" spans="1:42" s="175" customFormat="1" hidden="1" x14ac:dyDescent="0.2">
      <c r="A263" s="170" t="s">
        <v>1240</v>
      </c>
      <c r="B263" s="170" t="s">
        <v>1240</v>
      </c>
      <c r="C263" s="170" t="s">
        <v>1240</v>
      </c>
      <c r="D263" s="170" t="s">
        <v>1240</v>
      </c>
      <c r="E263" s="170" t="s">
        <v>1240</v>
      </c>
      <c r="F263" s="170" t="s">
        <v>1240</v>
      </c>
      <c r="G263" s="170" t="s">
        <v>1240</v>
      </c>
      <c r="H263" s="290" t="s">
        <v>1240</v>
      </c>
      <c r="I263" s="177" t="e">
        <f t="shared" si="8"/>
        <v>#VALUE!</v>
      </c>
      <c r="J263" s="171"/>
      <c r="K263" s="170" t="e">
        <f t="shared" si="7"/>
        <v>#VALUE!</v>
      </c>
      <c r="L263" s="170"/>
      <c r="M263" s="170"/>
      <c r="N263" s="170"/>
      <c r="O263" s="170"/>
      <c r="P263" s="170"/>
      <c r="Q263" s="170"/>
      <c r="R263" s="172"/>
      <c r="S263" s="170"/>
      <c r="T263" s="170"/>
      <c r="U263" s="170"/>
      <c r="V263" s="170"/>
      <c r="W263" s="170"/>
      <c r="X263" s="170"/>
      <c r="Y263" s="173"/>
      <c r="Z263" s="170"/>
      <c r="AA263" s="170"/>
      <c r="AB263" s="172"/>
      <c r="AC263" s="202"/>
      <c r="AD263" s="170"/>
      <c r="AE263" s="170"/>
      <c r="AF263" s="170"/>
      <c r="AG263" s="170"/>
      <c r="AH263" s="170"/>
      <c r="AI263" s="170"/>
      <c r="AJ263" s="170"/>
      <c r="AK263" s="174"/>
      <c r="AL263" s="172"/>
      <c r="AM263" s="172"/>
      <c r="AN263" s="172"/>
      <c r="AO263" s="172"/>
      <c r="AP263" s="172"/>
    </row>
    <row r="264" spans="1:42" s="175" customFormat="1" hidden="1" x14ac:dyDescent="0.2">
      <c r="A264" s="170" t="s">
        <v>1240</v>
      </c>
      <c r="B264" s="170" t="s">
        <v>1240</v>
      </c>
      <c r="C264" s="170" t="s">
        <v>1240</v>
      </c>
      <c r="D264" s="170" t="s">
        <v>1240</v>
      </c>
      <c r="E264" s="170" t="s">
        <v>1240</v>
      </c>
      <c r="F264" s="170" t="s">
        <v>1240</v>
      </c>
      <c r="G264" s="170" t="s">
        <v>1240</v>
      </c>
      <c r="H264" s="290" t="s">
        <v>1240</v>
      </c>
      <c r="I264" s="177" t="e">
        <f t="shared" si="8"/>
        <v>#VALUE!</v>
      </c>
      <c r="J264" s="171"/>
      <c r="K264" s="170" t="e">
        <f t="shared" ref="K264:K327" si="9">IF(I264&lt;=6,"NUEVO",IF(I264&lt;=18,"INTERMEDIO","ANTIGUO"))</f>
        <v>#VALUE!</v>
      </c>
      <c r="L264" s="170"/>
      <c r="M264" s="170"/>
      <c r="N264" s="170"/>
      <c r="O264" s="170"/>
      <c r="P264" s="170"/>
      <c r="Q264" s="170"/>
      <c r="R264" s="172"/>
      <c r="S264" s="170"/>
      <c r="T264" s="170"/>
      <c r="U264" s="170"/>
      <c r="V264" s="170"/>
      <c r="W264" s="170"/>
      <c r="X264" s="170"/>
      <c r="Y264" s="173"/>
      <c r="Z264" s="170"/>
      <c r="AA264" s="170"/>
      <c r="AB264" s="172"/>
      <c r="AC264" s="202"/>
      <c r="AD264" s="170"/>
      <c r="AE264" s="170"/>
      <c r="AF264" s="170"/>
      <c r="AG264" s="170"/>
      <c r="AH264" s="170"/>
      <c r="AI264" s="170"/>
      <c r="AJ264" s="170"/>
      <c r="AK264" s="174"/>
      <c r="AL264" s="172"/>
      <c r="AM264" s="172"/>
      <c r="AN264" s="172"/>
      <c r="AO264" s="172"/>
      <c r="AP264" s="172"/>
    </row>
    <row r="265" spans="1:42" s="175" customFormat="1" hidden="1" x14ac:dyDescent="0.2">
      <c r="A265" s="170" t="s">
        <v>1240</v>
      </c>
      <c r="B265" s="170" t="s">
        <v>1240</v>
      </c>
      <c r="C265" s="170" t="s">
        <v>1240</v>
      </c>
      <c r="D265" s="170" t="s">
        <v>1240</v>
      </c>
      <c r="E265" s="170" t="s">
        <v>1240</v>
      </c>
      <c r="F265" s="170" t="s">
        <v>1240</v>
      </c>
      <c r="G265" s="170" t="s">
        <v>1240</v>
      </c>
      <c r="H265" s="290" t="s">
        <v>1240</v>
      </c>
      <c r="I265" s="177" t="e">
        <f t="shared" si="8"/>
        <v>#VALUE!</v>
      </c>
      <c r="J265" s="171"/>
      <c r="K265" s="170" t="e">
        <f t="shared" si="9"/>
        <v>#VALUE!</v>
      </c>
      <c r="L265" s="170"/>
      <c r="M265" s="170"/>
      <c r="N265" s="170"/>
      <c r="O265" s="170"/>
      <c r="P265" s="170"/>
      <c r="Q265" s="170"/>
      <c r="R265" s="172"/>
      <c r="S265" s="170"/>
      <c r="T265" s="170"/>
      <c r="U265" s="170"/>
      <c r="V265" s="170"/>
      <c r="W265" s="170"/>
      <c r="X265" s="170"/>
      <c r="Y265" s="173"/>
      <c r="Z265" s="170"/>
      <c r="AA265" s="170"/>
      <c r="AB265" s="172"/>
      <c r="AC265" s="202"/>
      <c r="AD265" s="170"/>
      <c r="AE265" s="170"/>
      <c r="AF265" s="170"/>
      <c r="AG265" s="170"/>
      <c r="AH265" s="170"/>
      <c r="AI265" s="170"/>
      <c r="AJ265" s="170"/>
      <c r="AK265" s="174"/>
      <c r="AL265" s="172"/>
      <c r="AM265" s="172"/>
      <c r="AN265" s="172"/>
      <c r="AO265" s="172"/>
      <c r="AP265" s="172"/>
    </row>
    <row r="266" spans="1:42" s="175" customFormat="1" hidden="1" x14ac:dyDescent="0.2">
      <c r="A266" s="170" t="s">
        <v>1240</v>
      </c>
      <c r="B266" s="170" t="s">
        <v>1240</v>
      </c>
      <c r="C266" s="170" t="s">
        <v>1240</v>
      </c>
      <c r="D266" s="170" t="s">
        <v>1240</v>
      </c>
      <c r="E266" s="170" t="s">
        <v>1240</v>
      </c>
      <c r="F266" s="170" t="s">
        <v>1240</v>
      </c>
      <c r="G266" s="170" t="s">
        <v>1240</v>
      </c>
      <c r="H266" s="290" t="s">
        <v>1240</v>
      </c>
      <c r="I266" s="177" t="e">
        <f t="shared" si="8"/>
        <v>#VALUE!</v>
      </c>
      <c r="J266" s="171"/>
      <c r="K266" s="170" t="e">
        <f t="shared" si="9"/>
        <v>#VALUE!</v>
      </c>
      <c r="L266" s="170"/>
      <c r="M266" s="170"/>
      <c r="N266" s="170"/>
      <c r="O266" s="170"/>
      <c r="P266" s="170"/>
      <c r="Q266" s="170"/>
      <c r="R266" s="172"/>
      <c r="S266" s="170"/>
      <c r="T266" s="170"/>
      <c r="U266" s="170"/>
      <c r="V266" s="170"/>
      <c r="W266" s="170"/>
      <c r="X266" s="170"/>
      <c r="Y266" s="173"/>
      <c r="Z266" s="170"/>
      <c r="AA266" s="170"/>
      <c r="AB266" s="172"/>
      <c r="AC266" s="202"/>
      <c r="AD266" s="170"/>
      <c r="AE266" s="170"/>
      <c r="AF266" s="170"/>
      <c r="AG266" s="170"/>
      <c r="AH266" s="170"/>
      <c r="AI266" s="170"/>
      <c r="AJ266" s="170"/>
      <c r="AK266" s="174"/>
      <c r="AL266" s="172"/>
      <c r="AM266" s="172"/>
      <c r="AN266" s="172"/>
      <c r="AO266" s="172"/>
      <c r="AP266" s="172"/>
    </row>
    <row r="267" spans="1:42" s="175" customFormat="1" hidden="1" x14ac:dyDescent="0.2">
      <c r="A267" s="170" t="s">
        <v>1240</v>
      </c>
      <c r="B267" s="170" t="s">
        <v>1240</v>
      </c>
      <c r="C267" s="170" t="s">
        <v>1240</v>
      </c>
      <c r="D267" s="170" t="s">
        <v>1240</v>
      </c>
      <c r="E267" s="170" t="s">
        <v>1240</v>
      </c>
      <c r="F267" s="170" t="s">
        <v>1240</v>
      </c>
      <c r="G267" s="170" t="s">
        <v>1240</v>
      </c>
      <c r="H267" s="290" t="s">
        <v>1240</v>
      </c>
      <c r="I267" s="177" t="e">
        <f t="shared" si="8"/>
        <v>#VALUE!</v>
      </c>
      <c r="J267" s="171"/>
      <c r="K267" s="170" t="e">
        <f t="shared" si="9"/>
        <v>#VALUE!</v>
      </c>
      <c r="L267" s="170"/>
      <c r="M267" s="170"/>
      <c r="N267" s="170"/>
      <c r="O267" s="170"/>
      <c r="P267" s="170"/>
      <c r="Q267" s="170"/>
      <c r="R267" s="172"/>
      <c r="S267" s="170"/>
      <c r="T267" s="170"/>
      <c r="U267" s="170"/>
      <c r="V267" s="170"/>
      <c r="W267" s="170"/>
      <c r="X267" s="170"/>
      <c r="Y267" s="173"/>
      <c r="Z267" s="170"/>
      <c r="AA267" s="170"/>
      <c r="AB267" s="172"/>
      <c r="AC267" s="202"/>
      <c r="AD267" s="170"/>
      <c r="AE267" s="170"/>
      <c r="AF267" s="170"/>
      <c r="AG267" s="170"/>
      <c r="AH267" s="170"/>
      <c r="AI267" s="170"/>
      <c r="AJ267" s="170"/>
      <c r="AK267" s="174"/>
      <c r="AL267" s="172"/>
      <c r="AM267" s="172"/>
      <c r="AN267" s="172"/>
      <c r="AO267" s="172"/>
      <c r="AP267" s="172"/>
    </row>
    <row r="268" spans="1:42" s="175" customFormat="1" hidden="1" x14ac:dyDescent="0.2">
      <c r="A268" s="170" t="s">
        <v>1240</v>
      </c>
      <c r="B268" s="170" t="s">
        <v>1240</v>
      </c>
      <c r="C268" s="170" t="s">
        <v>1240</v>
      </c>
      <c r="D268" s="170" t="s">
        <v>1240</v>
      </c>
      <c r="E268" s="170" t="s">
        <v>1240</v>
      </c>
      <c r="F268" s="170" t="s">
        <v>1240</v>
      </c>
      <c r="G268" s="170" t="s">
        <v>1240</v>
      </c>
      <c r="H268" s="290" t="s">
        <v>1240</v>
      </c>
      <c r="I268" s="177" t="e">
        <f t="shared" si="8"/>
        <v>#VALUE!</v>
      </c>
      <c r="J268" s="171"/>
      <c r="K268" s="170" t="e">
        <f t="shared" si="9"/>
        <v>#VALUE!</v>
      </c>
      <c r="L268" s="170"/>
      <c r="M268" s="170"/>
      <c r="N268" s="170"/>
      <c r="O268" s="170"/>
      <c r="P268" s="170"/>
      <c r="Q268" s="170"/>
      <c r="R268" s="172"/>
      <c r="S268" s="170"/>
      <c r="T268" s="170"/>
      <c r="U268" s="170"/>
      <c r="V268" s="170"/>
      <c r="W268" s="170"/>
      <c r="X268" s="170"/>
      <c r="Y268" s="173"/>
      <c r="Z268" s="170"/>
      <c r="AA268" s="170"/>
      <c r="AB268" s="172"/>
      <c r="AC268" s="202"/>
      <c r="AD268" s="170"/>
      <c r="AE268" s="170"/>
      <c r="AF268" s="170"/>
      <c r="AG268" s="170"/>
      <c r="AH268" s="170"/>
      <c r="AI268" s="170"/>
      <c r="AJ268" s="170"/>
      <c r="AK268" s="174"/>
      <c r="AL268" s="172"/>
      <c r="AM268" s="172"/>
      <c r="AN268" s="172"/>
      <c r="AO268" s="172"/>
      <c r="AP268" s="172"/>
    </row>
    <row r="269" spans="1:42" s="175" customFormat="1" hidden="1" x14ac:dyDescent="0.2">
      <c r="A269" s="170" t="s">
        <v>1240</v>
      </c>
      <c r="B269" s="170" t="s">
        <v>1240</v>
      </c>
      <c r="C269" s="170" t="s">
        <v>1240</v>
      </c>
      <c r="D269" s="170" t="s">
        <v>1240</v>
      </c>
      <c r="E269" s="170" t="s">
        <v>1240</v>
      </c>
      <c r="F269" s="170" t="s">
        <v>1240</v>
      </c>
      <c r="G269" s="170" t="s">
        <v>1240</v>
      </c>
      <c r="H269" s="290" t="s">
        <v>1240</v>
      </c>
      <c r="I269" s="177" t="e">
        <f t="shared" si="8"/>
        <v>#VALUE!</v>
      </c>
      <c r="J269" s="171"/>
      <c r="K269" s="170" t="e">
        <f t="shared" si="9"/>
        <v>#VALUE!</v>
      </c>
      <c r="L269" s="170"/>
      <c r="M269" s="170"/>
      <c r="N269" s="170"/>
      <c r="O269" s="170"/>
      <c r="P269" s="170"/>
      <c r="Q269" s="170"/>
      <c r="R269" s="172"/>
      <c r="S269" s="170"/>
      <c r="T269" s="170"/>
      <c r="U269" s="170"/>
      <c r="V269" s="170"/>
      <c r="W269" s="170"/>
      <c r="X269" s="170"/>
      <c r="Y269" s="173"/>
      <c r="Z269" s="170"/>
      <c r="AA269" s="170"/>
      <c r="AB269" s="172"/>
      <c r="AC269" s="202"/>
      <c r="AD269" s="170"/>
      <c r="AE269" s="170"/>
      <c r="AF269" s="170"/>
      <c r="AG269" s="170"/>
      <c r="AH269" s="170"/>
      <c r="AI269" s="170"/>
      <c r="AJ269" s="170"/>
      <c r="AK269" s="174"/>
      <c r="AL269" s="172"/>
      <c r="AM269" s="172"/>
      <c r="AN269" s="172"/>
      <c r="AO269" s="172"/>
      <c r="AP269" s="172"/>
    </row>
    <row r="270" spans="1:42" s="175" customFormat="1" hidden="1" x14ac:dyDescent="0.2">
      <c r="A270" s="170" t="s">
        <v>1240</v>
      </c>
      <c r="B270" s="170" t="s">
        <v>1240</v>
      </c>
      <c r="C270" s="170" t="s">
        <v>1240</v>
      </c>
      <c r="D270" s="170" t="s">
        <v>1240</v>
      </c>
      <c r="E270" s="170" t="s">
        <v>1240</v>
      </c>
      <c r="F270" s="170" t="s">
        <v>1240</v>
      </c>
      <c r="G270" s="170" t="s">
        <v>1240</v>
      </c>
      <c r="H270" s="290" t="s">
        <v>1240</v>
      </c>
      <c r="I270" s="177" t="e">
        <f t="shared" si="8"/>
        <v>#VALUE!</v>
      </c>
      <c r="J270" s="171"/>
      <c r="K270" s="170" t="e">
        <f t="shared" si="9"/>
        <v>#VALUE!</v>
      </c>
      <c r="L270" s="170"/>
      <c r="M270" s="170"/>
      <c r="N270" s="170"/>
      <c r="O270" s="170"/>
      <c r="P270" s="170"/>
      <c r="Q270" s="170"/>
      <c r="R270" s="172"/>
      <c r="S270" s="170"/>
      <c r="T270" s="170"/>
      <c r="U270" s="170"/>
      <c r="V270" s="170"/>
      <c r="W270" s="170"/>
      <c r="X270" s="170"/>
      <c r="Y270" s="173"/>
      <c r="Z270" s="170"/>
      <c r="AA270" s="170"/>
      <c r="AB270" s="172"/>
      <c r="AC270" s="202"/>
      <c r="AD270" s="170"/>
      <c r="AE270" s="170"/>
      <c r="AF270" s="170"/>
      <c r="AG270" s="170"/>
      <c r="AH270" s="170"/>
      <c r="AI270" s="170"/>
      <c r="AJ270" s="170"/>
      <c r="AK270" s="174"/>
      <c r="AL270" s="172"/>
      <c r="AM270" s="172"/>
      <c r="AN270" s="172"/>
      <c r="AO270" s="172"/>
      <c r="AP270" s="172"/>
    </row>
    <row r="271" spans="1:42" s="175" customFormat="1" hidden="1" x14ac:dyDescent="0.2">
      <c r="A271" s="170" t="s">
        <v>1240</v>
      </c>
      <c r="B271" s="170" t="s">
        <v>1240</v>
      </c>
      <c r="C271" s="170" t="s">
        <v>1240</v>
      </c>
      <c r="D271" s="170" t="s">
        <v>1240</v>
      </c>
      <c r="E271" s="170" t="s">
        <v>1240</v>
      </c>
      <c r="F271" s="170" t="s">
        <v>1240</v>
      </c>
      <c r="G271" s="170" t="s">
        <v>1240</v>
      </c>
      <c r="H271" s="290" t="s">
        <v>1240</v>
      </c>
      <c r="I271" s="177" t="e">
        <f t="shared" si="8"/>
        <v>#VALUE!</v>
      </c>
      <c r="J271" s="171"/>
      <c r="K271" s="170" t="e">
        <f t="shared" si="9"/>
        <v>#VALUE!</v>
      </c>
      <c r="L271" s="170"/>
      <c r="M271" s="170"/>
      <c r="N271" s="170"/>
      <c r="O271" s="170"/>
      <c r="P271" s="170"/>
      <c r="Q271" s="170"/>
      <c r="R271" s="172"/>
      <c r="S271" s="170"/>
      <c r="T271" s="170"/>
      <c r="U271" s="170"/>
      <c r="V271" s="170"/>
      <c r="W271" s="170"/>
      <c r="X271" s="170"/>
      <c r="Y271" s="173"/>
      <c r="Z271" s="170"/>
      <c r="AA271" s="170"/>
      <c r="AB271" s="172"/>
      <c r="AC271" s="202"/>
      <c r="AD271" s="170"/>
      <c r="AE271" s="170"/>
      <c r="AF271" s="170"/>
      <c r="AG271" s="170"/>
      <c r="AH271" s="170"/>
      <c r="AI271" s="170"/>
      <c r="AJ271" s="170"/>
      <c r="AK271" s="174"/>
      <c r="AL271" s="172"/>
      <c r="AM271" s="172"/>
      <c r="AN271" s="172"/>
      <c r="AO271" s="172"/>
      <c r="AP271" s="172"/>
    </row>
    <row r="272" spans="1:42" s="175" customFormat="1" hidden="1" x14ac:dyDescent="0.2">
      <c r="A272" s="170" t="s">
        <v>1240</v>
      </c>
      <c r="B272" s="170" t="s">
        <v>1240</v>
      </c>
      <c r="C272" s="170" t="s">
        <v>1240</v>
      </c>
      <c r="D272" s="170" t="s">
        <v>1240</v>
      </c>
      <c r="E272" s="170" t="s">
        <v>1240</v>
      </c>
      <c r="F272" s="170" t="s">
        <v>1240</v>
      </c>
      <c r="G272" s="170" t="s">
        <v>1240</v>
      </c>
      <c r="H272" s="290" t="s">
        <v>1240</v>
      </c>
      <c r="I272" s="177" t="e">
        <f t="shared" si="8"/>
        <v>#VALUE!</v>
      </c>
      <c r="J272" s="171"/>
      <c r="K272" s="170" t="e">
        <f t="shared" si="9"/>
        <v>#VALUE!</v>
      </c>
      <c r="L272" s="170"/>
      <c r="M272" s="170"/>
      <c r="N272" s="170"/>
      <c r="O272" s="170"/>
      <c r="P272" s="170"/>
      <c r="Q272" s="170"/>
      <c r="R272" s="172"/>
      <c r="S272" s="170"/>
      <c r="T272" s="170"/>
      <c r="U272" s="170"/>
      <c r="V272" s="170"/>
      <c r="W272" s="170"/>
      <c r="X272" s="170"/>
      <c r="Y272" s="173"/>
      <c r="Z272" s="170"/>
      <c r="AA272" s="170"/>
      <c r="AB272" s="172"/>
      <c r="AC272" s="202"/>
      <c r="AD272" s="170"/>
      <c r="AE272" s="170"/>
      <c r="AF272" s="170"/>
      <c r="AG272" s="170"/>
      <c r="AH272" s="170"/>
      <c r="AI272" s="170"/>
      <c r="AJ272" s="170"/>
      <c r="AK272" s="174"/>
      <c r="AL272" s="172"/>
      <c r="AM272" s="172"/>
      <c r="AN272" s="172"/>
      <c r="AO272" s="172"/>
      <c r="AP272" s="172"/>
    </row>
    <row r="273" spans="1:42" s="175" customFormat="1" hidden="1" x14ac:dyDescent="0.2">
      <c r="A273" s="170" t="s">
        <v>1240</v>
      </c>
      <c r="B273" s="170" t="s">
        <v>1240</v>
      </c>
      <c r="C273" s="170" t="s">
        <v>1240</v>
      </c>
      <c r="D273" s="170" t="s">
        <v>1240</v>
      </c>
      <c r="E273" s="170" t="s">
        <v>1240</v>
      </c>
      <c r="F273" s="170" t="s">
        <v>1240</v>
      </c>
      <c r="G273" s="170" t="s">
        <v>1240</v>
      </c>
      <c r="H273" s="290" t="s">
        <v>1240</v>
      </c>
      <c r="I273" s="177" t="e">
        <f t="shared" si="8"/>
        <v>#VALUE!</v>
      </c>
      <c r="J273" s="171"/>
      <c r="K273" s="170" t="e">
        <f t="shared" si="9"/>
        <v>#VALUE!</v>
      </c>
      <c r="L273" s="170"/>
      <c r="M273" s="170"/>
      <c r="N273" s="170"/>
      <c r="O273" s="170"/>
      <c r="P273" s="170"/>
      <c r="Q273" s="170"/>
      <c r="R273" s="172"/>
      <c r="S273" s="170"/>
      <c r="T273" s="170"/>
      <c r="U273" s="170"/>
      <c r="V273" s="170"/>
      <c r="W273" s="170"/>
      <c r="X273" s="170"/>
      <c r="Y273" s="173"/>
      <c r="Z273" s="170"/>
      <c r="AA273" s="170"/>
      <c r="AB273" s="172"/>
      <c r="AC273" s="202"/>
      <c r="AD273" s="170"/>
      <c r="AE273" s="170"/>
      <c r="AF273" s="170"/>
      <c r="AG273" s="170"/>
      <c r="AH273" s="170"/>
      <c r="AI273" s="170"/>
      <c r="AJ273" s="170"/>
      <c r="AK273" s="174"/>
      <c r="AL273" s="172"/>
      <c r="AM273" s="172"/>
      <c r="AN273" s="172"/>
      <c r="AO273" s="172"/>
      <c r="AP273" s="172"/>
    </row>
    <row r="274" spans="1:42" s="175" customFormat="1" hidden="1" x14ac:dyDescent="0.2">
      <c r="A274" s="170" t="s">
        <v>1240</v>
      </c>
      <c r="B274" s="170" t="s">
        <v>1240</v>
      </c>
      <c r="C274" s="170" t="s">
        <v>1240</v>
      </c>
      <c r="D274" s="170" t="s">
        <v>1240</v>
      </c>
      <c r="E274" s="170" t="s">
        <v>1240</v>
      </c>
      <c r="F274" s="170" t="s">
        <v>1240</v>
      </c>
      <c r="G274" s="170" t="s">
        <v>1240</v>
      </c>
      <c r="H274" s="290" t="s">
        <v>1240</v>
      </c>
      <c r="I274" s="177" t="e">
        <f t="shared" si="8"/>
        <v>#VALUE!</v>
      </c>
      <c r="J274" s="171"/>
      <c r="K274" s="170" t="e">
        <f t="shared" si="9"/>
        <v>#VALUE!</v>
      </c>
      <c r="L274" s="170"/>
      <c r="M274" s="170"/>
      <c r="N274" s="170"/>
      <c r="O274" s="170"/>
      <c r="P274" s="170"/>
      <c r="Q274" s="170"/>
      <c r="R274" s="172"/>
      <c r="S274" s="170"/>
      <c r="T274" s="170"/>
      <c r="U274" s="170"/>
      <c r="V274" s="170"/>
      <c r="W274" s="170"/>
      <c r="X274" s="170"/>
      <c r="Y274" s="173"/>
      <c r="Z274" s="170"/>
      <c r="AA274" s="170"/>
      <c r="AB274" s="172"/>
      <c r="AC274" s="202"/>
      <c r="AD274" s="170"/>
      <c r="AE274" s="170"/>
      <c r="AF274" s="170"/>
      <c r="AG274" s="170"/>
      <c r="AH274" s="170"/>
      <c r="AI274" s="170"/>
      <c r="AJ274" s="170"/>
      <c r="AK274" s="174"/>
      <c r="AL274" s="172"/>
      <c r="AM274" s="172"/>
      <c r="AN274" s="172"/>
      <c r="AO274" s="172"/>
      <c r="AP274" s="172"/>
    </row>
    <row r="275" spans="1:42" s="175" customFormat="1" hidden="1" x14ac:dyDescent="0.2">
      <c r="A275" s="170" t="s">
        <v>1240</v>
      </c>
      <c r="B275" s="170" t="s">
        <v>1240</v>
      </c>
      <c r="C275" s="170" t="s">
        <v>1240</v>
      </c>
      <c r="D275" s="170" t="s">
        <v>1240</v>
      </c>
      <c r="E275" s="170" t="s">
        <v>1240</v>
      </c>
      <c r="F275" s="170" t="s">
        <v>1240</v>
      </c>
      <c r="G275" s="170" t="s">
        <v>1240</v>
      </c>
      <c r="H275" s="290" t="s">
        <v>1240</v>
      </c>
      <c r="I275" s="177" t="e">
        <f t="shared" si="8"/>
        <v>#VALUE!</v>
      </c>
      <c r="J275" s="171"/>
      <c r="K275" s="170" t="e">
        <f t="shared" si="9"/>
        <v>#VALUE!</v>
      </c>
      <c r="L275" s="170"/>
      <c r="M275" s="170"/>
      <c r="N275" s="170"/>
      <c r="O275" s="170"/>
      <c r="P275" s="170"/>
      <c r="Q275" s="170"/>
      <c r="R275" s="172"/>
      <c r="S275" s="170"/>
      <c r="T275" s="170"/>
      <c r="U275" s="170"/>
      <c r="V275" s="170"/>
      <c r="W275" s="170"/>
      <c r="X275" s="170"/>
      <c r="Y275" s="173"/>
      <c r="Z275" s="170"/>
      <c r="AA275" s="170"/>
      <c r="AB275" s="172"/>
      <c r="AC275" s="202"/>
      <c r="AD275" s="170"/>
      <c r="AE275" s="170"/>
      <c r="AF275" s="170"/>
      <c r="AG275" s="170"/>
      <c r="AH275" s="170"/>
      <c r="AI275" s="170"/>
      <c r="AJ275" s="170"/>
      <c r="AK275" s="174"/>
      <c r="AL275" s="172"/>
      <c r="AM275" s="172"/>
      <c r="AN275" s="172"/>
      <c r="AO275" s="172"/>
      <c r="AP275" s="172"/>
    </row>
    <row r="276" spans="1:42" s="175" customFormat="1" hidden="1" x14ac:dyDescent="0.2">
      <c r="A276" s="170" t="s">
        <v>1240</v>
      </c>
      <c r="B276" s="170" t="s">
        <v>1240</v>
      </c>
      <c r="C276" s="170" t="s">
        <v>1240</v>
      </c>
      <c r="D276" s="170" t="s">
        <v>1240</v>
      </c>
      <c r="E276" s="170" t="s">
        <v>1240</v>
      </c>
      <c r="F276" s="170" t="s">
        <v>1240</v>
      </c>
      <c r="G276" s="170" t="s">
        <v>1240</v>
      </c>
      <c r="H276" s="290" t="s">
        <v>1240</v>
      </c>
      <c r="I276" s="177" t="e">
        <f t="shared" si="8"/>
        <v>#VALUE!</v>
      </c>
      <c r="J276" s="171"/>
      <c r="K276" s="170" t="e">
        <f t="shared" si="9"/>
        <v>#VALUE!</v>
      </c>
      <c r="L276" s="170"/>
      <c r="M276" s="170"/>
      <c r="N276" s="170"/>
      <c r="O276" s="170"/>
      <c r="P276" s="170"/>
      <c r="Q276" s="170"/>
      <c r="R276" s="172"/>
      <c r="S276" s="170"/>
      <c r="T276" s="170"/>
      <c r="U276" s="170"/>
      <c r="V276" s="170"/>
      <c r="W276" s="170"/>
      <c r="X276" s="170"/>
      <c r="Y276" s="173"/>
      <c r="Z276" s="170"/>
      <c r="AA276" s="170"/>
      <c r="AB276" s="172"/>
      <c r="AC276" s="202"/>
      <c r="AD276" s="170"/>
      <c r="AE276" s="170"/>
      <c r="AF276" s="170"/>
      <c r="AG276" s="170"/>
      <c r="AH276" s="170"/>
      <c r="AI276" s="170"/>
      <c r="AJ276" s="170"/>
      <c r="AK276" s="174"/>
      <c r="AL276" s="172"/>
      <c r="AM276" s="172"/>
      <c r="AN276" s="172"/>
      <c r="AO276" s="172"/>
      <c r="AP276" s="172"/>
    </row>
    <row r="277" spans="1:42" s="175" customFormat="1" hidden="1" x14ac:dyDescent="0.2">
      <c r="A277" s="170" t="s">
        <v>1240</v>
      </c>
      <c r="B277" s="170" t="s">
        <v>1240</v>
      </c>
      <c r="C277" s="170" t="s">
        <v>1240</v>
      </c>
      <c r="D277" s="170" t="s">
        <v>1240</v>
      </c>
      <c r="E277" s="170" t="s">
        <v>1240</v>
      </c>
      <c r="F277" s="170" t="s">
        <v>1240</v>
      </c>
      <c r="G277" s="170" t="s">
        <v>1240</v>
      </c>
      <c r="H277" s="290" t="s">
        <v>1240</v>
      </c>
      <c r="I277" s="177" t="e">
        <f t="shared" si="8"/>
        <v>#VALUE!</v>
      </c>
      <c r="J277" s="171"/>
      <c r="K277" s="170" t="e">
        <f t="shared" si="9"/>
        <v>#VALUE!</v>
      </c>
      <c r="L277" s="170"/>
      <c r="M277" s="170"/>
      <c r="N277" s="170"/>
      <c r="O277" s="170"/>
      <c r="P277" s="170"/>
      <c r="Q277" s="170"/>
      <c r="R277" s="172"/>
      <c r="S277" s="170"/>
      <c r="T277" s="170"/>
      <c r="U277" s="170"/>
      <c r="V277" s="170"/>
      <c r="W277" s="170"/>
      <c r="X277" s="170"/>
      <c r="Y277" s="173"/>
      <c r="Z277" s="170"/>
      <c r="AA277" s="170"/>
      <c r="AB277" s="172"/>
      <c r="AC277" s="202"/>
      <c r="AD277" s="170"/>
      <c r="AE277" s="170"/>
      <c r="AF277" s="170"/>
      <c r="AG277" s="170"/>
      <c r="AH277" s="170"/>
      <c r="AI277" s="170"/>
      <c r="AJ277" s="170"/>
      <c r="AK277" s="174"/>
      <c r="AL277" s="172"/>
      <c r="AM277" s="172"/>
      <c r="AN277" s="172"/>
      <c r="AO277" s="172"/>
      <c r="AP277" s="172"/>
    </row>
    <row r="278" spans="1:42" s="175" customFormat="1" hidden="1" x14ac:dyDescent="0.2">
      <c r="A278" s="170" t="s">
        <v>1240</v>
      </c>
      <c r="B278" s="170" t="s">
        <v>1240</v>
      </c>
      <c r="C278" s="170" t="s">
        <v>1240</v>
      </c>
      <c r="D278" s="170" t="s">
        <v>1240</v>
      </c>
      <c r="E278" s="170" t="s">
        <v>1240</v>
      </c>
      <c r="F278" s="170" t="s">
        <v>1240</v>
      </c>
      <c r="G278" s="170" t="s">
        <v>1240</v>
      </c>
      <c r="H278" s="290" t="s">
        <v>1240</v>
      </c>
      <c r="I278" s="177" t="e">
        <f t="shared" si="8"/>
        <v>#VALUE!</v>
      </c>
      <c r="J278" s="171"/>
      <c r="K278" s="170" t="e">
        <f t="shared" si="9"/>
        <v>#VALUE!</v>
      </c>
      <c r="L278" s="170"/>
      <c r="M278" s="170"/>
      <c r="N278" s="170"/>
      <c r="O278" s="170"/>
      <c r="P278" s="170"/>
      <c r="Q278" s="170"/>
      <c r="R278" s="172"/>
      <c r="S278" s="170"/>
      <c r="T278" s="170"/>
      <c r="U278" s="170"/>
      <c r="V278" s="170"/>
      <c r="W278" s="170"/>
      <c r="X278" s="170"/>
      <c r="Y278" s="173"/>
      <c r="Z278" s="170"/>
      <c r="AA278" s="170"/>
      <c r="AB278" s="172"/>
      <c r="AC278" s="202"/>
      <c r="AD278" s="170"/>
      <c r="AE278" s="170"/>
      <c r="AF278" s="170"/>
      <c r="AG278" s="170"/>
      <c r="AH278" s="170"/>
      <c r="AI278" s="170"/>
      <c r="AJ278" s="170"/>
      <c r="AK278" s="174"/>
      <c r="AL278" s="172"/>
      <c r="AM278" s="172"/>
      <c r="AN278" s="172"/>
      <c r="AO278" s="172"/>
      <c r="AP278" s="172"/>
    </row>
    <row r="279" spans="1:42" s="175" customFormat="1" hidden="1" x14ac:dyDescent="0.2">
      <c r="A279" s="170" t="s">
        <v>1240</v>
      </c>
      <c r="B279" s="170" t="s">
        <v>1240</v>
      </c>
      <c r="C279" s="170" t="s">
        <v>1240</v>
      </c>
      <c r="D279" s="170" t="s">
        <v>1240</v>
      </c>
      <c r="E279" s="170" t="s">
        <v>1240</v>
      </c>
      <c r="F279" s="170" t="s">
        <v>1240</v>
      </c>
      <c r="G279" s="170" t="s">
        <v>1240</v>
      </c>
      <c r="H279" s="290" t="s">
        <v>1240</v>
      </c>
      <c r="I279" s="177" t="e">
        <f t="shared" si="8"/>
        <v>#VALUE!</v>
      </c>
      <c r="J279" s="171"/>
      <c r="K279" s="170" t="e">
        <f t="shared" si="9"/>
        <v>#VALUE!</v>
      </c>
      <c r="L279" s="170"/>
      <c r="M279" s="170"/>
      <c r="N279" s="170"/>
      <c r="O279" s="170"/>
      <c r="P279" s="170"/>
      <c r="Q279" s="170"/>
      <c r="R279" s="172"/>
      <c r="S279" s="170"/>
      <c r="T279" s="170"/>
      <c r="U279" s="170"/>
      <c r="V279" s="170"/>
      <c r="W279" s="170"/>
      <c r="X279" s="170"/>
      <c r="Y279" s="173"/>
      <c r="Z279" s="170"/>
      <c r="AA279" s="170"/>
      <c r="AB279" s="172"/>
      <c r="AC279" s="202"/>
      <c r="AD279" s="170"/>
      <c r="AE279" s="170"/>
      <c r="AF279" s="170"/>
      <c r="AG279" s="170"/>
      <c r="AH279" s="170"/>
      <c r="AI279" s="170"/>
      <c r="AJ279" s="170"/>
      <c r="AK279" s="174"/>
      <c r="AL279" s="172"/>
      <c r="AM279" s="172"/>
      <c r="AN279" s="172"/>
      <c r="AO279" s="172"/>
      <c r="AP279" s="172"/>
    </row>
    <row r="280" spans="1:42" s="175" customFormat="1" hidden="1" x14ac:dyDescent="0.2">
      <c r="A280" s="170" t="s">
        <v>1240</v>
      </c>
      <c r="B280" s="170" t="s">
        <v>1240</v>
      </c>
      <c r="C280" s="170" t="s">
        <v>1240</v>
      </c>
      <c r="D280" s="170" t="s">
        <v>1240</v>
      </c>
      <c r="E280" s="170" t="s">
        <v>1240</v>
      </c>
      <c r="F280" s="170" t="s">
        <v>1240</v>
      </c>
      <c r="G280" s="170" t="s">
        <v>1240</v>
      </c>
      <c r="H280" s="290" t="s">
        <v>1240</v>
      </c>
      <c r="I280" s="177" t="e">
        <f t="shared" si="8"/>
        <v>#VALUE!</v>
      </c>
      <c r="J280" s="171"/>
      <c r="K280" s="170" t="e">
        <f t="shared" si="9"/>
        <v>#VALUE!</v>
      </c>
      <c r="L280" s="170"/>
      <c r="M280" s="170"/>
      <c r="N280" s="170"/>
      <c r="O280" s="170"/>
      <c r="P280" s="170"/>
      <c r="Q280" s="170"/>
      <c r="R280" s="172"/>
      <c r="S280" s="170"/>
      <c r="T280" s="170"/>
      <c r="U280" s="170"/>
      <c r="V280" s="170"/>
      <c r="W280" s="170"/>
      <c r="X280" s="170"/>
      <c r="Y280" s="173"/>
      <c r="Z280" s="170"/>
      <c r="AA280" s="170"/>
      <c r="AB280" s="172"/>
      <c r="AC280" s="202"/>
      <c r="AD280" s="170"/>
      <c r="AE280" s="170"/>
      <c r="AF280" s="170"/>
      <c r="AG280" s="170"/>
      <c r="AH280" s="170"/>
      <c r="AI280" s="170"/>
      <c r="AJ280" s="170"/>
      <c r="AK280" s="174"/>
      <c r="AL280" s="172"/>
      <c r="AM280" s="172"/>
      <c r="AN280" s="172"/>
      <c r="AO280" s="172"/>
      <c r="AP280" s="172"/>
    </row>
    <row r="281" spans="1:42" s="175" customFormat="1" hidden="1" x14ac:dyDescent="0.2">
      <c r="A281" s="170" t="s">
        <v>1240</v>
      </c>
      <c r="B281" s="170" t="s">
        <v>1240</v>
      </c>
      <c r="C281" s="170" t="s">
        <v>1240</v>
      </c>
      <c r="D281" s="170" t="s">
        <v>1240</v>
      </c>
      <c r="E281" s="170" t="s">
        <v>1240</v>
      </c>
      <c r="F281" s="170" t="s">
        <v>1240</v>
      </c>
      <c r="G281" s="170" t="s">
        <v>1240</v>
      </c>
      <c r="H281" s="290" t="s">
        <v>1240</v>
      </c>
      <c r="I281" s="177" t="e">
        <f t="shared" si="8"/>
        <v>#VALUE!</v>
      </c>
      <c r="J281" s="171"/>
      <c r="K281" s="170" t="e">
        <f t="shared" si="9"/>
        <v>#VALUE!</v>
      </c>
      <c r="L281" s="170"/>
      <c r="M281" s="170"/>
      <c r="N281" s="170"/>
      <c r="O281" s="170"/>
      <c r="P281" s="170"/>
      <c r="Q281" s="170"/>
      <c r="R281" s="172"/>
      <c r="S281" s="170"/>
      <c r="T281" s="170"/>
      <c r="U281" s="170"/>
      <c r="V281" s="170"/>
      <c r="W281" s="170"/>
      <c r="X281" s="170"/>
      <c r="Y281" s="173"/>
      <c r="Z281" s="170"/>
      <c r="AA281" s="170"/>
      <c r="AB281" s="172"/>
      <c r="AC281" s="202"/>
      <c r="AD281" s="170"/>
      <c r="AE281" s="170"/>
      <c r="AF281" s="170"/>
      <c r="AG281" s="170"/>
      <c r="AH281" s="170"/>
      <c r="AI281" s="170"/>
      <c r="AJ281" s="170"/>
      <c r="AK281" s="174"/>
      <c r="AL281" s="172"/>
      <c r="AM281" s="172"/>
      <c r="AN281" s="172"/>
      <c r="AO281" s="172"/>
      <c r="AP281" s="172"/>
    </row>
    <row r="282" spans="1:42" s="175" customFormat="1" hidden="1" x14ac:dyDescent="0.2">
      <c r="A282" s="170" t="s">
        <v>1240</v>
      </c>
      <c r="B282" s="170" t="s">
        <v>1240</v>
      </c>
      <c r="C282" s="170" t="s">
        <v>1240</v>
      </c>
      <c r="D282" s="170" t="s">
        <v>1240</v>
      </c>
      <c r="E282" s="170" t="s">
        <v>1240</v>
      </c>
      <c r="F282" s="170" t="s">
        <v>1240</v>
      </c>
      <c r="G282" s="170" t="s">
        <v>1240</v>
      </c>
      <c r="H282" s="290" t="s">
        <v>1240</v>
      </c>
      <c r="I282" s="177" t="e">
        <f t="shared" si="8"/>
        <v>#VALUE!</v>
      </c>
      <c r="J282" s="171"/>
      <c r="K282" s="170" t="e">
        <f t="shared" si="9"/>
        <v>#VALUE!</v>
      </c>
      <c r="L282" s="170"/>
      <c r="M282" s="170"/>
      <c r="N282" s="170"/>
      <c r="O282" s="170"/>
      <c r="P282" s="170"/>
      <c r="Q282" s="170"/>
      <c r="R282" s="172"/>
      <c r="S282" s="170"/>
      <c r="T282" s="170"/>
      <c r="U282" s="170"/>
      <c r="V282" s="170"/>
      <c r="W282" s="170"/>
      <c r="X282" s="170"/>
      <c r="Y282" s="173"/>
      <c r="Z282" s="170"/>
      <c r="AA282" s="170"/>
      <c r="AB282" s="172"/>
      <c r="AC282" s="202"/>
      <c r="AD282" s="170"/>
      <c r="AE282" s="170"/>
      <c r="AF282" s="170"/>
      <c r="AG282" s="170"/>
      <c r="AH282" s="170"/>
      <c r="AI282" s="170"/>
      <c r="AJ282" s="170"/>
      <c r="AK282" s="174"/>
      <c r="AL282" s="172"/>
      <c r="AM282" s="172"/>
      <c r="AN282" s="172"/>
      <c r="AO282" s="172"/>
      <c r="AP282" s="172"/>
    </row>
    <row r="283" spans="1:42" s="175" customFormat="1" hidden="1" x14ac:dyDescent="0.2">
      <c r="A283" s="170" t="s">
        <v>1240</v>
      </c>
      <c r="B283" s="170" t="s">
        <v>1240</v>
      </c>
      <c r="C283" s="170" t="s">
        <v>1240</v>
      </c>
      <c r="D283" s="170" t="s">
        <v>1240</v>
      </c>
      <c r="E283" s="170" t="s">
        <v>1240</v>
      </c>
      <c r="F283" s="170" t="s">
        <v>1240</v>
      </c>
      <c r="G283" s="170" t="s">
        <v>1240</v>
      </c>
      <c r="H283" s="290" t="s">
        <v>1240</v>
      </c>
      <c r="I283" s="177" t="e">
        <f t="shared" ref="I283:I346" si="10">DATEDIF(H283,J283,"m")</f>
        <v>#VALUE!</v>
      </c>
      <c r="J283" s="171"/>
      <c r="K283" s="170" t="e">
        <f t="shared" si="9"/>
        <v>#VALUE!</v>
      </c>
      <c r="L283" s="170"/>
      <c r="M283" s="170"/>
      <c r="N283" s="170"/>
      <c r="O283" s="170"/>
      <c r="P283" s="170"/>
      <c r="Q283" s="170"/>
      <c r="R283" s="172"/>
      <c r="S283" s="170"/>
      <c r="T283" s="170"/>
      <c r="U283" s="170"/>
      <c r="V283" s="170"/>
      <c r="W283" s="170"/>
      <c r="X283" s="170"/>
      <c r="Y283" s="173"/>
      <c r="Z283" s="170"/>
      <c r="AA283" s="170"/>
      <c r="AB283" s="172"/>
      <c r="AC283" s="202"/>
      <c r="AD283" s="170"/>
      <c r="AE283" s="170"/>
      <c r="AF283" s="170"/>
      <c r="AG283" s="170"/>
      <c r="AH283" s="170"/>
      <c r="AI283" s="170"/>
      <c r="AJ283" s="170"/>
      <c r="AK283" s="174"/>
      <c r="AL283" s="172"/>
      <c r="AM283" s="172"/>
      <c r="AN283" s="172"/>
      <c r="AO283" s="172"/>
      <c r="AP283" s="172"/>
    </row>
    <row r="284" spans="1:42" s="175" customFormat="1" hidden="1" x14ac:dyDescent="0.2">
      <c r="A284" s="170" t="s">
        <v>1240</v>
      </c>
      <c r="B284" s="170" t="s">
        <v>1240</v>
      </c>
      <c r="C284" s="170" t="s">
        <v>1240</v>
      </c>
      <c r="D284" s="170" t="s">
        <v>1240</v>
      </c>
      <c r="E284" s="170" t="s">
        <v>1240</v>
      </c>
      <c r="F284" s="170" t="s">
        <v>1240</v>
      </c>
      <c r="G284" s="170" t="s">
        <v>1240</v>
      </c>
      <c r="H284" s="290" t="s">
        <v>1240</v>
      </c>
      <c r="I284" s="177" t="e">
        <f t="shared" si="10"/>
        <v>#VALUE!</v>
      </c>
      <c r="J284" s="171"/>
      <c r="K284" s="170" t="e">
        <f t="shared" si="9"/>
        <v>#VALUE!</v>
      </c>
      <c r="L284" s="170"/>
      <c r="M284" s="170"/>
      <c r="N284" s="170"/>
      <c r="O284" s="170"/>
      <c r="P284" s="170"/>
      <c r="Q284" s="170"/>
      <c r="R284" s="172"/>
      <c r="S284" s="170"/>
      <c r="T284" s="170"/>
      <c r="U284" s="170"/>
      <c r="V284" s="170"/>
      <c r="W284" s="170"/>
      <c r="X284" s="170"/>
      <c r="Y284" s="173"/>
      <c r="Z284" s="170"/>
      <c r="AA284" s="170"/>
      <c r="AB284" s="172"/>
      <c r="AC284" s="202"/>
      <c r="AD284" s="170"/>
      <c r="AE284" s="170"/>
      <c r="AF284" s="170"/>
      <c r="AG284" s="170"/>
      <c r="AH284" s="170"/>
      <c r="AI284" s="170"/>
      <c r="AJ284" s="170"/>
      <c r="AK284" s="174"/>
      <c r="AL284" s="172"/>
      <c r="AM284" s="172"/>
      <c r="AN284" s="172"/>
      <c r="AO284" s="172"/>
      <c r="AP284" s="172"/>
    </row>
    <row r="285" spans="1:42" s="175" customFormat="1" hidden="1" x14ac:dyDescent="0.2">
      <c r="A285" s="170" t="s">
        <v>1240</v>
      </c>
      <c r="B285" s="170" t="s">
        <v>1240</v>
      </c>
      <c r="C285" s="170" t="s">
        <v>1240</v>
      </c>
      <c r="D285" s="170" t="s">
        <v>1240</v>
      </c>
      <c r="E285" s="170" t="s">
        <v>1240</v>
      </c>
      <c r="F285" s="170" t="s">
        <v>1240</v>
      </c>
      <c r="G285" s="170" t="s">
        <v>1240</v>
      </c>
      <c r="H285" s="290" t="s">
        <v>1240</v>
      </c>
      <c r="I285" s="177" t="e">
        <f t="shared" si="10"/>
        <v>#VALUE!</v>
      </c>
      <c r="J285" s="171"/>
      <c r="K285" s="170" t="e">
        <f t="shared" si="9"/>
        <v>#VALUE!</v>
      </c>
      <c r="L285" s="170"/>
      <c r="M285" s="170"/>
      <c r="N285" s="170"/>
      <c r="O285" s="170"/>
      <c r="P285" s="170"/>
      <c r="Q285" s="170"/>
      <c r="R285" s="172"/>
      <c r="S285" s="170"/>
      <c r="T285" s="170"/>
      <c r="U285" s="170"/>
      <c r="V285" s="170"/>
      <c r="W285" s="170"/>
      <c r="X285" s="170"/>
      <c r="Y285" s="173"/>
      <c r="Z285" s="170"/>
      <c r="AA285" s="170"/>
      <c r="AB285" s="172"/>
      <c r="AC285" s="202"/>
      <c r="AD285" s="170"/>
      <c r="AE285" s="170"/>
      <c r="AF285" s="170"/>
      <c r="AG285" s="170"/>
      <c r="AH285" s="170"/>
      <c r="AI285" s="170"/>
      <c r="AJ285" s="170"/>
      <c r="AK285" s="174"/>
      <c r="AL285" s="172"/>
      <c r="AM285" s="172"/>
      <c r="AN285" s="172"/>
      <c r="AO285" s="172"/>
      <c r="AP285" s="172"/>
    </row>
    <row r="286" spans="1:42" s="175" customFormat="1" hidden="1" x14ac:dyDescent="0.2">
      <c r="A286" s="170" t="s">
        <v>1240</v>
      </c>
      <c r="B286" s="170" t="s">
        <v>1240</v>
      </c>
      <c r="C286" s="170" t="s">
        <v>1240</v>
      </c>
      <c r="D286" s="170" t="s">
        <v>1240</v>
      </c>
      <c r="E286" s="170" t="s">
        <v>1240</v>
      </c>
      <c r="F286" s="170" t="s">
        <v>1240</v>
      </c>
      <c r="G286" s="170" t="s">
        <v>1240</v>
      </c>
      <c r="H286" s="290" t="s">
        <v>1240</v>
      </c>
      <c r="I286" s="177" t="e">
        <f t="shared" si="10"/>
        <v>#VALUE!</v>
      </c>
      <c r="J286" s="171"/>
      <c r="K286" s="170" t="e">
        <f t="shared" si="9"/>
        <v>#VALUE!</v>
      </c>
      <c r="L286" s="170"/>
      <c r="M286" s="170"/>
      <c r="N286" s="170"/>
      <c r="O286" s="170"/>
      <c r="P286" s="170"/>
      <c r="Q286" s="170"/>
      <c r="R286" s="172"/>
      <c r="S286" s="170"/>
      <c r="T286" s="170"/>
      <c r="U286" s="170"/>
      <c r="V286" s="170"/>
      <c r="W286" s="170"/>
      <c r="X286" s="170"/>
      <c r="Y286" s="173"/>
      <c r="Z286" s="170"/>
      <c r="AA286" s="170"/>
      <c r="AB286" s="172"/>
      <c r="AC286" s="202"/>
      <c r="AD286" s="170"/>
      <c r="AE286" s="170"/>
      <c r="AF286" s="170"/>
      <c r="AG286" s="170"/>
      <c r="AH286" s="170"/>
      <c r="AI286" s="170"/>
      <c r="AJ286" s="170"/>
      <c r="AK286" s="174"/>
      <c r="AL286" s="172"/>
      <c r="AM286" s="172"/>
      <c r="AN286" s="172"/>
      <c r="AO286" s="172"/>
      <c r="AP286" s="172"/>
    </row>
    <row r="287" spans="1:42" s="175" customFormat="1" hidden="1" x14ac:dyDescent="0.2">
      <c r="A287" s="170" t="s">
        <v>1240</v>
      </c>
      <c r="B287" s="170" t="s">
        <v>1240</v>
      </c>
      <c r="C287" s="170" t="s">
        <v>1240</v>
      </c>
      <c r="D287" s="170" t="s">
        <v>1240</v>
      </c>
      <c r="E287" s="170" t="s">
        <v>1240</v>
      </c>
      <c r="F287" s="170" t="s">
        <v>1240</v>
      </c>
      <c r="G287" s="170" t="s">
        <v>1240</v>
      </c>
      <c r="H287" s="290" t="s">
        <v>1240</v>
      </c>
      <c r="I287" s="177" t="e">
        <f t="shared" si="10"/>
        <v>#VALUE!</v>
      </c>
      <c r="J287" s="171"/>
      <c r="K287" s="170" t="e">
        <f t="shared" si="9"/>
        <v>#VALUE!</v>
      </c>
      <c r="L287" s="170"/>
      <c r="M287" s="170"/>
      <c r="N287" s="170"/>
      <c r="O287" s="170"/>
      <c r="P287" s="170"/>
      <c r="Q287" s="170"/>
      <c r="R287" s="172"/>
      <c r="S287" s="170"/>
      <c r="T287" s="170"/>
      <c r="U287" s="170"/>
      <c r="V287" s="170"/>
      <c r="W287" s="170"/>
      <c r="X287" s="170"/>
      <c r="Y287" s="173"/>
      <c r="Z287" s="170"/>
      <c r="AA287" s="170"/>
      <c r="AB287" s="172"/>
      <c r="AC287" s="202"/>
      <c r="AD287" s="170"/>
      <c r="AE287" s="170"/>
      <c r="AF287" s="170"/>
      <c r="AG287" s="170"/>
      <c r="AH287" s="170"/>
      <c r="AI287" s="170"/>
      <c r="AJ287" s="170"/>
      <c r="AK287" s="174"/>
      <c r="AL287" s="172"/>
      <c r="AM287" s="172"/>
      <c r="AN287" s="172"/>
      <c r="AO287" s="172"/>
      <c r="AP287" s="172"/>
    </row>
    <row r="288" spans="1:42" s="175" customFormat="1" hidden="1" x14ac:dyDescent="0.2">
      <c r="A288" s="170" t="s">
        <v>1240</v>
      </c>
      <c r="B288" s="170" t="s">
        <v>1240</v>
      </c>
      <c r="C288" s="170" t="s">
        <v>1240</v>
      </c>
      <c r="D288" s="170" t="s">
        <v>1240</v>
      </c>
      <c r="E288" s="170" t="s">
        <v>1240</v>
      </c>
      <c r="F288" s="170" t="s">
        <v>1240</v>
      </c>
      <c r="G288" s="170" t="s">
        <v>1240</v>
      </c>
      <c r="H288" s="290" t="s">
        <v>1240</v>
      </c>
      <c r="I288" s="177" t="e">
        <f t="shared" si="10"/>
        <v>#VALUE!</v>
      </c>
      <c r="J288" s="171"/>
      <c r="K288" s="170" t="e">
        <f t="shared" si="9"/>
        <v>#VALUE!</v>
      </c>
      <c r="L288" s="170"/>
      <c r="M288" s="170"/>
      <c r="N288" s="170"/>
      <c r="O288" s="170"/>
      <c r="P288" s="170"/>
      <c r="Q288" s="170"/>
      <c r="R288" s="172"/>
      <c r="S288" s="170"/>
      <c r="T288" s="170"/>
      <c r="U288" s="170"/>
      <c r="V288" s="170"/>
      <c r="W288" s="170"/>
      <c r="X288" s="170"/>
      <c r="Y288" s="173"/>
      <c r="Z288" s="170"/>
      <c r="AA288" s="170"/>
      <c r="AB288" s="172"/>
      <c r="AC288" s="202"/>
      <c r="AD288" s="170"/>
      <c r="AE288" s="170"/>
      <c r="AF288" s="170"/>
      <c r="AG288" s="170"/>
      <c r="AH288" s="170"/>
      <c r="AI288" s="170"/>
      <c r="AJ288" s="170"/>
      <c r="AK288" s="174"/>
      <c r="AL288" s="172"/>
      <c r="AM288" s="172"/>
      <c r="AN288" s="172"/>
      <c r="AO288" s="172"/>
      <c r="AP288" s="172"/>
    </row>
    <row r="289" spans="1:42" s="175" customFormat="1" hidden="1" x14ac:dyDescent="0.2">
      <c r="A289" s="170" t="s">
        <v>1240</v>
      </c>
      <c r="B289" s="170" t="s">
        <v>1240</v>
      </c>
      <c r="C289" s="170" t="s">
        <v>1240</v>
      </c>
      <c r="D289" s="170" t="s">
        <v>1240</v>
      </c>
      <c r="E289" s="170" t="s">
        <v>1240</v>
      </c>
      <c r="F289" s="170" t="s">
        <v>1240</v>
      </c>
      <c r="G289" s="170" t="s">
        <v>1240</v>
      </c>
      <c r="H289" s="290" t="s">
        <v>1240</v>
      </c>
      <c r="I289" s="177" t="e">
        <f t="shared" si="10"/>
        <v>#VALUE!</v>
      </c>
      <c r="J289" s="171"/>
      <c r="K289" s="170" t="e">
        <f t="shared" si="9"/>
        <v>#VALUE!</v>
      </c>
      <c r="L289" s="170"/>
      <c r="M289" s="170"/>
      <c r="N289" s="170"/>
      <c r="O289" s="170"/>
      <c r="P289" s="170"/>
      <c r="Q289" s="170"/>
      <c r="R289" s="172"/>
      <c r="S289" s="170"/>
      <c r="T289" s="170"/>
      <c r="U289" s="170"/>
      <c r="V289" s="170"/>
      <c r="W289" s="170"/>
      <c r="X289" s="170"/>
      <c r="Y289" s="173"/>
      <c r="Z289" s="170"/>
      <c r="AA289" s="170"/>
      <c r="AB289" s="172"/>
      <c r="AC289" s="202"/>
      <c r="AD289" s="170"/>
      <c r="AE289" s="170"/>
      <c r="AF289" s="170"/>
      <c r="AG289" s="170"/>
      <c r="AH289" s="170"/>
      <c r="AI289" s="170"/>
      <c r="AJ289" s="170"/>
      <c r="AK289" s="174"/>
      <c r="AL289" s="172"/>
      <c r="AM289" s="172"/>
      <c r="AN289" s="172"/>
      <c r="AO289" s="172"/>
      <c r="AP289" s="172"/>
    </row>
    <row r="290" spans="1:42" s="175" customFormat="1" hidden="1" x14ac:dyDescent="0.2">
      <c r="A290" s="170" t="s">
        <v>1240</v>
      </c>
      <c r="B290" s="170" t="s">
        <v>1240</v>
      </c>
      <c r="C290" s="170" t="s">
        <v>1240</v>
      </c>
      <c r="D290" s="170" t="s">
        <v>1240</v>
      </c>
      <c r="E290" s="170" t="s">
        <v>1240</v>
      </c>
      <c r="F290" s="170" t="s">
        <v>1240</v>
      </c>
      <c r="G290" s="170" t="s">
        <v>1240</v>
      </c>
      <c r="H290" s="290" t="s">
        <v>1240</v>
      </c>
      <c r="I290" s="177" t="e">
        <f t="shared" si="10"/>
        <v>#VALUE!</v>
      </c>
      <c r="J290" s="171"/>
      <c r="K290" s="170" t="e">
        <f t="shared" si="9"/>
        <v>#VALUE!</v>
      </c>
      <c r="L290" s="170"/>
      <c r="M290" s="170"/>
      <c r="N290" s="170"/>
      <c r="O290" s="170"/>
      <c r="P290" s="170"/>
      <c r="Q290" s="170"/>
      <c r="R290" s="172"/>
      <c r="S290" s="170"/>
      <c r="T290" s="170"/>
      <c r="U290" s="170"/>
      <c r="V290" s="170"/>
      <c r="W290" s="170"/>
      <c r="X290" s="170"/>
      <c r="Y290" s="173"/>
      <c r="Z290" s="170"/>
      <c r="AA290" s="170"/>
      <c r="AB290" s="172"/>
      <c r="AC290" s="202"/>
      <c r="AD290" s="170"/>
      <c r="AE290" s="170"/>
      <c r="AF290" s="170"/>
      <c r="AG290" s="170"/>
      <c r="AH290" s="170"/>
      <c r="AI290" s="170"/>
      <c r="AJ290" s="170"/>
      <c r="AK290" s="174"/>
      <c r="AL290" s="172"/>
      <c r="AM290" s="172"/>
      <c r="AN290" s="172"/>
      <c r="AO290" s="172"/>
      <c r="AP290" s="172"/>
    </row>
    <row r="291" spans="1:42" s="175" customFormat="1" hidden="1" x14ac:dyDescent="0.2">
      <c r="A291" s="170" t="s">
        <v>1240</v>
      </c>
      <c r="B291" s="170" t="s">
        <v>1240</v>
      </c>
      <c r="C291" s="170" t="s">
        <v>1240</v>
      </c>
      <c r="D291" s="170" t="s">
        <v>1240</v>
      </c>
      <c r="E291" s="170" t="s">
        <v>1240</v>
      </c>
      <c r="F291" s="170" t="s">
        <v>1240</v>
      </c>
      <c r="G291" s="170" t="s">
        <v>1240</v>
      </c>
      <c r="H291" s="290" t="s">
        <v>1240</v>
      </c>
      <c r="I291" s="177" t="e">
        <f t="shared" si="10"/>
        <v>#VALUE!</v>
      </c>
      <c r="J291" s="171"/>
      <c r="K291" s="170" t="e">
        <f t="shared" si="9"/>
        <v>#VALUE!</v>
      </c>
      <c r="L291" s="170"/>
      <c r="M291" s="170"/>
      <c r="N291" s="170"/>
      <c r="O291" s="170"/>
      <c r="P291" s="170"/>
      <c r="Q291" s="170"/>
      <c r="R291" s="172"/>
      <c r="S291" s="170"/>
      <c r="T291" s="170"/>
      <c r="U291" s="170"/>
      <c r="V291" s="170"/>
      <c r="W291" s="170"/>
      <c r="X291" s="170"/>
      <c r="Y291" s="173"/>
      <c r="Z291" s="170"/>
      <c r="AA291" s="170"/>
      <c r="AB291" s="172"/>
      <c r="AC291" s="202"/>
      <c r="AD291" s="170"/>
      <c r="AE291" s="170"/>
      <c r="AF291" s="170"/>
      <c r="AG291" s="170"/>
      <c r="AH291" s="170"/>
      <c r="AI291" s="170"/>
      <c r="AJ291" s="170"/>
      <c r="AK291" s="174"/>
      <c r="AL291" s="172"/>
      <c r="AM291" s="172"/>
      <c r="AN291" s="172"/>
      <c r="AO291" s="172"/>
      <c r="AP291" s="172"/>
    </row>
    <row r="292" spans="1:42" s="175" customFormat="1" hidden="1" x14ac:dyDescent="0.2">
      <c r="A292" s="170" t="s">
        <v>1240</v>
      </c>
      <c r="B292" s="170" t="s">
        <v>1240</v>
      </c>
      <c r="C292" s="170" t="s">
        <v>1240</v>
      </c>
      <c r="D292" s="170" t="s">
        <v>1240</v>
      </c>
      <c r="E292" s="170" t="s">
        <v>1240</v>
      </c>
      <c r="F292" s="170" t="s">
        <v>1240</v>
      </c>
      <c r="G292" s="170" t="s">
        <v>1240</v>
      </c>
      <c r="H292" s="290" t="s">
        <v>1240</v>
      </c>
      <c r="I292" s="177" t="e">
        <f t="shared" si="10"/>
        <v>#VALUE!</v>
      </c>
      <c r="J292" s="171"/>
      <c r="K292" s="170" t="e">
        <f t="shared" si="9"/>
        <v>#VALUE!</v>
      </c>
      <c r="L292" s="170"/>
      <c r="M292" s="170"/>
      <c r="N292" s="170"/>
      <c r="O292" s="170"/>
      <c r="P292" s="170"/>
      <c r="Q292" s="170"/>
      <c r="R292" s="172"/>
      <c r="S292" s="170"/>
      <c r="T292" s="170"/>
      <c r="U292" s="170"/>
      <c r="V292" s="170"/>
      <c r="W292" s="170"/>
      <c r="X292" s="170"/>
      <c r="Y292" s="173"/>
      <c r="Z292" s="170"/>
      <c r="AA292" s="170"/>
      <c r="AB292" s="172"/>
      <c r="AC292" s="202"/>
      <c r="AD292" s="170"/>
      <c r="AE292" s="170"/>
      <c r="AF292" s="170"/>
      <c r="AG292" s="170"/>
      <c r="AH292" s="170"/>
      <c r="AI292" s="170"/>
      <c r="AJ292" s="170"/>
      <c r="AK292" s="174"/>
      <c r="AL292" s="172"/>
      <c r="AM292" s="172"/>
      <c r="AN292" s="172"/>
      <c r="AO292" s="172"/>
      <c r="AP292" s="172"/>
    </row>
    <row r="293" spans="1:42" s="175" customFormat="1" hidden="1" x14ac:dyDescent="0.2">
      <c r="A293" s="170" t="s">
        <v>1240</v>
      </c>
      <c r="B293" s="170" t="s">
        <v>1240</v>
      </c>
      <c r="C293" s="170" t="s">
        <v>1240</v>
      </c>
      <c r="D293" s="170" t="s">
        <v>1240</v>
      </c>
      <c r="E293" s="170" t="s">
        <v>1240</v>
      </c>
      <c r="F293" s="170" t="s">
        <v>1240</v>
      </c>
      <c r="G293" s="170" t="s">
        <v>1240</v>
      </c>
      <c r="H293" s="290" t="s">
        <v>1240</v>
      </c>
      <c r="I293" s="177" t="e">
        <f t="shared" si="10"/>
        <v>#VALUE!</v>
      </c>
      <c r="J293" s="171"/>
      <c r="K293" s="170" t="e">
        <f t="shared" si="9"/>
        <v>#VALUE!</v>
      </c>
      <c r="L293" s="170"/>
      <c r="M293" s="170"/>
      <c r="N293" s="170"/>
      <c r="O293" s="170"/>
      <c r="P293" s="170"/>
      <c r="Q293" s="170"/>
      <c r="R293" s="172"/>
      <c r="S293" s="170"/>
      <c r="T293" s="170"/>
      <c r="U293" s="170"/>
      <c r="V293" s="170"/>
      <c r="W293" s="170"/>
      <c r="X293" s="170"/>
      <c r="Y293" s="173"/>
      <c r="Z293" s="170"/>
      <c r="AA293" s="170"/>
      <c r="AB293" s="172"/>
      <c r="AC293" s="202"/>
      <c r="AD293" s="170"/>
      <c r="AE293" s="170"/>
      <c r="AF293" s="170"/>
      <c r="AG293" s="170"/>
      <c r="AH293" s="170"/>
      <c r="AI293" s="170"/>
      <c r="AJ293" s="170"/>
      <c r="AK293" s="174"/>
      <c r="AL293" s="172"/>
      <c r="AM293" s="172"/>
      <c r="AN293" s="172"/>
      <c r="AO293" s="172"/>
      <c r="AP293" s="172"/>
    </row>
    <row r="294" spans="1:42" s="175" customFormat="1" hidden="1" x14ac:dyDescent="0.2">
      <c r="A294" s="170" t="s">
        <v>1240</v>
      </c>
      <c r="B294" s="170" t="s">
        <v>1240</v>
      </c>
      <c r="C294" s="170" t="s">
        <v>1240</v>
      </c>
      <c r="D294" s="170" t="s">
        <v>1240</v>
      </c>
      <c r="E294" s="170" t="s">
        <v>1240</v>
      </c>
      <c r="F294" s="170" t="s">
        <v>1240</v>
      </c>
      <c r="G294" s="170" t="s">
        <v>1240</v>
      </c>
      <c r="H294" s="290" t="s">
        <v>1240</v>
      </c>
      <c r="I294" s="177" t="e">
        <f t="shared" si="10"/>
        <v>#VALUE!</v>
      </c>
      <c r="J294" s="171"/>
      <c r="K294" s="170" t="e">
        <f t="shared" si="9"/>
        <v>#VALUE!</v>
      </c>
      <c r="L294" s="170"/>
      <c r="M294" s="170"/>
      <c r="N294" s="170"/>
      <c r="O294" s="170"/>
      <c r="P294" s="170"/>
      <c r="Q294" s="170"/>
      <c r="R294" s="172"/>
      <c r="S294" s="170"/>
      <c r="T294" s="170"/>
      <c r="U294" s="170"/>
      <c r="V294" s="170"/>
      <c r="W294" s="170"/>
      <c r="X294" s="170"/>
      <c r="Y294" s="173"/>
      <c r="Z294" s="170"/>
      <c r="AA294" s="170"/>
      <c r="AB294" s="172"/>
      <c r="AC294" s="202"/>
      <c r="AD294" s="170"/>
      <c r="AE294" s="170"/>
      <c r="AF294" s="170"/>
      <c r="AG294" s="170"/>
      <c r="AH294" s="170"/>
      <c r="AI294" s="170"/>
      <c r="AJ294" s="170"/>
      <c r="AK294" s="174"/>
      <c r="AL294" s="172"/>
      <c r="AM294" s="172"/>
      <c r="AN294" s="172"/>
      <c r="AO294" s="172"/>
      <c r="AP294" s="172"/>
    </row>
    <row r="295" spans="1:42" s="175" customFormat="1" hidden="1" x14ac:dyDescent="0.2">
      <c r="A295" s="170" t="s">
        <v>1240</v>
      </c>
      <c r="B295" s="170" t="s">
        <v>1240</v>
      </c>
      <c r="C295" s="170" t="s">
        <v>1240</v>
      </c>
      <c r="D295" s="170" t="s">
        <v>1240</v>
      </c>
      <c r="E295" s="170" t="s">
        <v>1240</v>
      </c>
      <c r="F295" s="170" t="s">
        <v>1240</v>
      </c>
      <c r="G295" s="170" t="s">
        <v>1240</v>
      </c>
      <c r="H295" s="290" t="s">
        <v>1240</v>
      </c>
      <c r="I295" s="177" t="e">
        <f t="shared" si="10"/>
        <v>#VALUE!</v>
      </c>
      <c r="J295" s="171"/>
      <c r="K295" s="170" t="e">
        <f t="shared" si="9"/>
        <v>#VALUE!</v>
      </c>
      <c r="L295" s="170"/>
      <c r="M295" s="170"/>
      <c r="N295" s="170"/>
      <c r="O295" s="170"/>
      <c r="P295" s="170"/>
      <c r="Q295" s="170"/>
      <c r="R295" s="172"/>
      <c r="S295" s="170"/>
      <c r="T295" s="170"/>
      <c r="U295" s="170"/>
      <c r="V295" s="170"/>
      <c r="W295" s="170"/>
      <c r="X295" s="170"/>
      <c r="Y295" s="173"/>
      <c r="Z295" s="170"/>
      <c r="AA295" s="170"/>
      <c r="AB295" s="172"/>
      <c r="AC295" s="202"/>
      <c r="AD295" s="170"/>
      <c r="AE295" s="170"/>
      <c r="AF295" s="170"/>
      <c r="AG295" s="170"/>
      <c r="AH295" s="170"/>
      <c r="AI295" s="170"/>
      <c r="AJ295" s="170"/>
      <c r="AK295" s="174"/>
      <c r="AL295" s="172"/>
      <c r="AM295" s="172"/>
      <c r="AN295" s="172"/>
      <c r="AO295" s="172"/>
      <c r="AP295" s="172"/>
    </row>
    <row r="296" spans="1:42" s="175" customFormat="1" hidden="1" x14ac:dyDescent="0.2">
      <c r="A296" s="170" t="s">
        <v>1240</v>
      </c>
      <c r="B296" s="170" t="s">
        <v>1240</v>
      </c>
      <c r="C296" s="170" t="s">
        <v>1240</v>
      </c>
      <c r="D296" s="170" t="s">
        <v>1240</v>
      </c>
      <c r="E296" s="170" t="s">
        <v>1240</v>
      </c>
      <c r="F296" s="170" t="s">
        <v>1240</v>
      </c>
      <c r="G296" s="170" t="s">
        <v>1240</v>
      </c>
      <c r="H296" s="290" t="s">
        <v>1240</v>
      </c>
      <c r="I296" s="177" t="e">
        <f t="shared" si="10"/>
        <v>#VALUE!</v>
      </c>
      <c r="J296" s="171"/>
      <c r="K296" s="170" t="e">
        <f t="shared" si="9"/>
        <v>#VALUE!</v>
      </c>
      <c r="L296" s="170"/>
      <c r="M296" s="170"/>
      <c r="N296" s="170"/>
      <c r="O296" s="170"/>
      <c r="P296" s="170"/>
      <c r="Q296" s="170"/>
      <c r="R296" s="172"/>
      <c r="S296" s="170"/>
      <c r="T296" s="170"/>
      <c r="U296" s="170"/>
      <c r="V296" s="170"/>
      <c r="W296" s="170"/>
      <c r="X296" s="170"/>
      <c r="Y296" s="173"/>
      <c r="Z296" s="170"/>
      <c r="AA296" s="170"/>
      <c r="AB296" s="172"/>
      <c r="AC296" s="202"/>
      <c r="AD296" s="170"/>
      <c r="AE296" s="170"/>
      <c r="AF296" s="170"/>
      <c r="AG296" s="170"/>
      <c r="AH296" s="170"/>
      <c r="AI296" s="170"/>
      <c r="AJ296" s="170"/>
      <c r="AK296" s="174"/>
      <c r="AL296" s="172"/>
      <c r="AM296" s="172"/>
      <c r="AN296" s="172"/>
      <c r="AO296" s="172"/>
      <c r="AP296" s="172"/>
    </row>
    <row r="297" spans="1:42" s="175" customFormat="1" hidden="1" x14ac:dyDescent="0.2">
      <c r="A297" s="170" t="s">
        <v>1240</v>
      </c>
      <c r="B297" s="170" t="s">
        <v>1240</v>
      </c>
      <c r="C297" s="170" t="s">
        <v>1240</v>
      </c>
      <c r="D297" s="170" t="s">
        <v>1240</v>
      </c>
      <c r="E297" s="170" t="s">
        <v>1240</v>
      </c>
      <c r="F297" s="170" t="s">
        <v>1240</v>
      </c>
      <c r="G297" s="170" t="s">
        <v>1240</v>
      </c>
      <c r="H297" s="290" t="s">
        <v>1240</v>
      </c>
      <c r="I297" s="177" t="e">
        <f t="shared" si="10"/>
        <v>#VALUE!</v>
      </c>
      <c r="J297" s="171"/>
      <c r="K297" s="170" t="e">
        <f t="shared" si="9"/>
        <v>#VALUE!</v>
      </c>
      <c r="L297" s="170"/>
      <c r="M297" s="170"/>
      <c r="N297" s="170"/>
      <c r="O297" s="170"/>
      <c r="P297" s="170"/>
      <c r="Q297" s="170"/>
      <c r="R297" s="172"/>
      <c r="S297" s="170"/>
      <c r="T297" s="170"/>
      <c r="U297" s="170"/>
      <c r="V297" s="170"/>
      <c r="W297" s="170"/>
      <c r="X297" s="170"/>
      <c r="Y297" s="173"/>
      <c r="Z297" s="170"/>
      <c r="AA297" s="170"/>
      <c r="AB297" s="172"/>
      <c r="AC297" s="202"/>
      <c r="AD297" s="170"/>
      <c r="AE297" s="170"/>
      <c r="AF297" s="170"/>
      <c r="AG297" s="170"/>
      <c r="AH297" s="170"/>
      <c r="AI297" s="170"/>
      <c r="AJ297" s="170"/>
      <c r="AK297" s="174"/>
      <c r="AL297" s="172"/>
      <c r="AM297" s="172"/>
      <c r="AN297" s="172"/>
      <c r="AO297" s="172"/>
      <c r="AP297" s="172"/>
    </row>
    <row r="298" spans="1:42" s="175" customFormat="1" hidden="1" x14ac:dyDescent="0.2">
      <c r="A298" s="170" t="s">
        <v>1240</v>
      </c>
      <c r="B298" s="170" t="s">
        <v>1240</v>
      </c>
      <c r="C298" s="170" t="s">
        <v>1240</v>
      </c>
      <c r="D298" s="170" t="s">
        <v>1240</v>
      </c>
      <c r="E298" s="170" t="s">
        <v>1240</v>
      </c>
      <c r="F298" s="170" t="s">
        <v>1240</v>
      </c>
      <c r="G298" s="170" t="s">
        <v>1240</v>
      </c>
      <c r="H298" s="290" t="s">
        <v>1240</v>
      </c>
      <c r="I298" s="177" t="e">
        <f t="shared" si="10"/>
        <v>#VALUE!</v>
      </c>
      <c r="J298" s="171"/>
      <c r="K298" s="170" t="e">
        <f t="shared" si="9"/>
        <v>#VALUE!</v>
      </c>
      <c r="L298" s="170"/>
      <c r="M298" s="170"/>
      <c r="N298" s="170"/>
      <c r="O298" s="170"/>
      <c r="P298" s="170"/>
      <c r="Q298" s="170"/>
      <c r="R298" s="172"/>
      <c r="S298" s="170"/>
      <c r="T298" s="170"/>
      <c r="U298" s="170"/>
      <c r="V298" s="170"/>
      <c r="W298" s="170"/>
      <c r="X298" s="170"/>
      <c r="Y298" s="173"/>
      <c r="Z298" s="170"/>
      <c r="AA298" s="170"/>
      <c r="AB298" s="172"/>
      <c r="AC298" s="202"/>
      <c r="AD298" s="170"/>
      <c r="AE298" s="170"/>
      <c r="AF298" s="170"/>
      <c r="AG298" s="170"/>
      <c r="AH298" s="170"/>
      <c r="AI298" s="170"/>
      <c r="AJ298" s="170"/>
      <c r="AK298" s="174"/>
      <c r="AL298" s="172"/>
      <c r="AM298" s="172"/>
      <c r="AN298" s="172"/>
      <c r="AO298" s="172"/>
      <c r="AP298" s="172"/>
    </row>
    <row r="299" spans="1:42" s="175" customFormat="1" hidden="1" x14ac:dyDescent="0.2">
      <c r="A299" s="170" t="s">
        <v>1240</v>
      </c>
      <c r="B299" s="170" t="s">
        <v>1240</v>
      </c>
      <c r="C299" s="170" t="s">
        <v>1240</v>
      </c>
      <c r="D299" s="170" t="s">
        <v>1240</v>
      </c>
      <c r="E299" s="170" t="s">
        <v>1240</v>
      </c>
      <c r="F299" s="170" t="s">
        <v>1240</v>
      </c>
      <c r="G299" s="170" t="s">
        <v>1240</v>
      </c>
      <c r="H299" s="290" t="s">
        <v>1240</v>
      </c>
      <c r="I299" s="177" t="e">
        <f t="shared" si="10"/>
        <v>#VALUE!</v>
      </c>
      <c r="J299" s="171"/>
      <c r="K299" s="170" t="e">
        <f t="shared" si="9"/>
        <v>#VALUE!</v>
      </c>
      <c r="L299" s="170"/>
      <c r="M299" s="170"/>
      <c r="N299" s="170"/>
      <c r="O299" s="170"/>
      <c r="P299" s="170"/>
      <c r="Q299" s="170"/>
      <c r="R299" s="172"/>
      <c r="S299" s="170"/>
      <c r="T299" s="170"/>
      <c r="U299" s="170"/>
      <c r="V299" s="170"/>
      <c r="W299" s="170"/>
      <c r="X299" s="170"/>
      <c r="Y299" s="173"/>
      <c r="Z299" s="170"/>
      <c r="AA299" s="170"/>
      <c r="AB299" s="172"/>
      <c r="AC299" s="202"/>
      <c r="AD299" s="170"/>
      <c r="AE299" s="170"/>
      <c r="AF299" s="170"/>
      <c r="AG299" s="170"/>
      <c r="AH299" s="170"/>
      <c r="AI299" s="170"/>
      <c r="AJ299" s="170"/>
      <c r="AK299" s="174"/>
      <c r="AL299" s="172"/>
      <c r="AM299" s="172"/>
      <c r="AN299" s="172"/>
      <c r="AO299" s="172"/>
      <c r="AP299" s="172"/>
    </row>
    <row r="300" spans="1:42" s="175" customFormat="1" hidden="1" x14ac:dyDescent="0.2">
      <c r="A300" s="170" t="s">
        <v>1240</v>
      </c>
      <c r="B300" s="170" t="s">
        <v>1240</v>
      </c>
      <c r="C300" s="170" t="s">
        <v>1240</v>
      </c>
      <c r="D300" s="170" t="s">
        <v>1240</v>
      </c>
      <c r="E300" s="170" t="s">
        <v>1240</v>
      </c>
      <c r="F300" s="170" t="s">
        <v>1240</v>
      </c>
      <c r="G300" s="170" t="s">
        <v>1240</v>
      </c>
      <c r="H300" s="290" t="s">
        <v>1240</v>
      </c>
      <c r="I300" s="177" t="e">
        <f t="shared" si="10"/>
        <v>#VALUE!</v>
      </c>
      <c r="J300" s="171"/>
      <c r="K300" s="170" t="e">
        <f t="shared" si="9"/>
        <v>#VALUE!</v>
      </c>
      <c r="L300" s="170"/>
      <c r="M300" s="170"/>
      <c r="N300" s="170"/>
      <c r="O300" s="170"/>
      <c r="P300" s="170"/>
      <c r="Q300" s="170"/>
      <c r="R300" s="172"/>
      <c r="S300" s="170"/>
      <c r="T300" s="170"/>
      <c r="U300" s="170"/>
      <c r="V300" s="170"/>
      <c r="W300" s="170"/>
      <c r="X300" s="170"/>
      <c r="Y300" s="173"/>
      <c r="Z300" s="170"/>
      <c r="AA300" s="170"/>
      <c r="AB300" s="172"/>
      <c r="AC300" s="202"/>
      <c r="AD300" s="170"/>
      <c r="AE300" s="170"/>
      <c r="AF300" s="170"/>
      <c r="AG300" s="170"/>
      <c r="AH300" s="170"/>
      <c r="AI300" s="170"/>
      <c r="AJ300" s="170"/>
      <c r="AK300" s="174"/>
      <c r="AL300" s="172"/>
      <c r="AM300" s="172"/>
      <c r="AN300" s="172"/>
      <c r="AO300" s="172"/>
      <c r="AP300" s="172"/>
    </row>
    <row r="301" spans="1:42" s="175" customFormat="1" hidden="1" x14ac:dyDescent="0.2">
      <c r="A301" s="170" t="s">
        <v>1240</v>
      </c>
      <c r="B301" s="170" t="s">
        <v>1240</v>
      </c>
      <c r="C301" s="170" t="s">
        <v>1240</v>
      </c>
      <c r="D301" s="170" t="s">
        <v>1240</v>
      </c>
      <c r="E301" s="170" t="s">
        <v>1240</v>
      </c>
      <c r="F301" s="170" t="s">
        <v>1240</v>
      </c>
      <c r="G301" s="170" t="s">
        <v>1240</v>
      </c>
      <c r="H301" s="290" t="s">
        <v>1240</v>
      </c>
      <c r="I301" s="177" t="e">
        <f t="shared" si="10"/>
        <v>#VALUE!</v>
      </c>
      <c r="J301" s="171"/>
      <c r="K301" s="170" t="e">
        <f t="shared" si="9"/>
        <v>#VALUE!</v>
      </c>
      <c r="L301" s="170"/>
      <c r="M301" s="170"/>
      <c r="N301" s="170"/>
      <c r="O301" s="170"/>
      <c r="P301" s="170"/>
      <c r="Q301" s="170"/>
      <c r="R301" s="172"/>
      <c r="S301" s="170"/>
      <c r="T301" s="170"/>
      <c r="U301" s="170"/>
      <c r="V301" s="170"/>
      <c r="W301" s="170"/>
      <c r="X301" s="170"/>
      <c r="Y301" s="173"/>
      <c r="Z301" s="170"/>
      <c r="AA301" s="170"/>
      <c r="AB301" s="172"/>
      <c r="AC301" s="202"/>
      <c r="AD301" s="170"/>
      <c r="AE301" s="170"/>
      <c r="AF301" s="170"/>
      <c r="AG301" s="170"/>
      <c r="AH301" s="170"/>
      <c r="AI301" s="170"/>
      <c r="AJ301" s="170"/>
      <c r="AK301" s="174"/>
      <c r="AL301" s="172"/>
      <c r="AM301" s="172"/>
      <c r="AN301" s="172"/>
      <c r="AO301" s="172"/>
      <c r="AP301" s="172"/>
    </row>
    <row r="302" spans="1:42" s="175" customFormat="1" hidden="1" x14ac:dyDescent="0.2">
      <c r="A302" s="170" t="s">
        <v>1240</v>
      </c>
      <c r="B302" s="170" t="s">
        <v>1240</v>
      </c>
      <c r="C302" s="170" t="s">
        <v>1240</v>
      </c>
      <c r="D302" s="170" t="s">
        <v>1240</v>
      </c>
      <c r="E302" s="170" t="s">
        <v>1240</v>
      </c>
      <c r="F302" s="170" t="s">
        <v>1240</v>
      </c>
      <c r="G302" s="170" t="s">
        <v>1240</v>
      </c>
      <c r="H302" s="290" t="s">
        <v>1240</v>
      </c>
      <c r="I302" s="177" t="e">
        <f t="shared" si="10"/>
        <v>#VALUE!</v>
      </c>
      <c r="J302" s="171"/>
      <c r="K302" s="170" t="e">
        <f t="shared" si="9"/>
        <v>#VALUE!</v>
      </c>
      <c r="L302" s="170"/>
      <c r="M302" s="170"/>
      <c r="N302" s="170"/>
      <c r="O302" s="170"/>
      <c r="P302" s="170"/>
      <c r="Q302" s="170"/>
      <c r="R302" s="172"/>
      <c r="S302" s="170"/>
      <c r="T302" s="170"/>
      <c r="U302" s="170"/>
      <c r="V302" s="170"/>
      <c r="W302" s="170"/>
      <c r="X302" s="170"/>
      <c r="Y302" s="173"/>
      <c r="Z302" s="170"/>
      <c r="AA302" s="170"/>
      <c r="AB302" s="172"/>
      <c r="AC302" s="202"/>
      <c r="AD302" s="170"/>
      <c r="AE302" s="170"/>
      <c r="AF302" s="170"/>
      <c r="AG302" s="170"/>
      <c r="AH302" s="170"/>
      <c r="AI302" s="170"/>
      <c r="AJ302" s="170"/>
      <c r="AK302" s="174"/>
      <c r="AL302" s="172"/>
      <c r="AM302" s="172"/>
      <c r="AN302" s="172"/>
      <c r="AO302" s="172"/>
      <c r="AP302" s="172"/>
    </row>
    <row r="303" spans="1:42" s="175" customFormat="1" hidden="1" x14ac:dyDescent="0.2">
      <c r="A303" s="170" t="s">
        <v>1240</v>
      </c>
      <c r="B303" s="170" t="s">
        <v>1240</v>
      </c>
      <c r="C303" s="170" t="s">
        <v>1240</v>
      </c>
      <c r="D303" s="170" t="s">
        <v>1240</v>
      </c>
      <c r="E303" s="170" t="s">
        <v>1240</v>
      </c>
      <c r="F303" s="170" t="s">
        <v>1240</v>
      </c>
      <c r="G303" s="170" t="s">
        <v>1240</v>
      </c>
      <c r="H303" s="290" t="s">
        <v>1240</v>
      </c>
      <c r="I303" s="177" t="e">
        <f t="shared" si="10"/>
        <v>#VALUE!</v>
      </c>
      <c r="J303" s="171"/>
      <c r="K303" s="170" t="e">
        <f t="shared" si="9"/>
        <v>#VALUE!</v>
      </c>
      <c r="L303" s="170"/>
      <c r="M303" s="170"/>
      <c r="N303" s="170"/>
      <c r="O303" s="170"/>
      <c r="P303" s="170"/>
      <c r="Q303" s="170"/>
      <c r="R303" s="172"/>
      <c r="S303" s="170"/>
      <c r="T303" s="170"/>
      <c r="U303" s="170"/>
      <c r="V303" s="170"/>
      <c r="W303" s="170"/>
      <c r="X303" s="170"/>
      <c r="Y303" s="173"/>
      <c r="Z303" s="170"/>
      <c r="AA303" s="170"/>
      <c r="AB303" s="172"/>
      <c r="AC303" s="202"/>
      <c r="AD303" s="170"/>
      <c r="AE303" s="170"/>
      <c r="AF303" s="170"/>
      <c r="AG303" s="170"/>
      <c r="AH303" s="170"/>
      <c r="AI303" s="170"/>
      <c r="AJ303" s="170"/>
      <c r="AK303" s="174"/>
      <c r="AL303" s="172"/>
      <c r="AM303" s="172"/>
      <c r="AN303" s="172"/>
      <c r="AO303" s="172"/>
      <c r="AP303" s="172"/>
    </row>
    <row r="304" spans="1:42" s="175" customFormat="1" hidden="1" x14ac:dyDescent="0.2">
      <c r="A304" s="170" t="s">
        <v>1240</v>
      </c>
      <c r="B304" s="170" t="s">
        <v>1240</v>
      </c>
      <c r="C304" s="170" t="s">
        <v>1240</v>
      </c>
      <c r="D304" s="170" t="s">
        <v>1240</v>
      </c>
      <c r="E304" s="170" t="s">
        <v>1240</v>
      </c>
      <c r="F304" s="170" t="s">
        <v>1240</v>
      </c>
      <c r="G304" s="170" t="s">
        <v>1240</v>
      </c>
      <c r="H304" s="290" t="s">
        <v>1240</v>
      </c>
      <c r="I304" s="177" t="e">
        <f t="shared" si="10"/>
        <v>#VALUE!</v>
      </c>
      <c r="J304" s="171"/>
      <c r="K304" s="170" t="e">
        <f t="shared" si="9"/>
        <v>#VALUE!</v>
      </c>
      <c r="L304" s="170"/>
      <c r="M304" s="170"/>
      <c r="N304" s="170"/>
      <c r="O304" s="170"/>
      <c r="P304" s="170"/>
      <c r="Q304" s="170"/>
      <c r="R304" s="172"/>
      <c r="S304" s="170"/>
      <c r="T304" s="170"/>
      <c r="U304" s="170"/>
      <c r="V304" s="170"/>
      <c r="W304" s="170"/>
      <c r="X304" s="170"/>
      <c r="Y304" s="173"/>
      <c r="Z304" s="170"/>
      <c r="AA304" s="170"/>
      <c r="AB304" s="172"/>
      <c r="AC304" s="202"/>
      <c r="AD304" s="170"/>
      <c r="AE304" s="170"/>
      <c r="AF304" s="170"/>
      <c r="AG304" s="170"/>
      <c r="AH304" s="170"/>
      <c r="AI304" s="170"/>
      <c r="AJ304" s="170"/>
      <c r="AK304" s="174"/>
      <c r="AL304" s="172"/>
      <c r="AM304" s="172"/>
      <c r="AN304" s="172"/>
      <c r="AO304" s="172"/>
      <c r="AP304" s="172"/>
    </row>
    <row r="305" spans="1:42" s="175" customFormat="1" hidden="1" x14ac:dyDescent="0.2">
      <c r="A305" s="170" t="s">
        <v>1240</v>
      </c>
      <c r="B305" s="170" t="s">
        <v>1240</v>
      </c>
      <c r="C305" s="170" t="s">
        <v>1240</v>
      </c>
      <c r="D305" s="170" t="s">
        <v>1240</v>
      </c>
      <c r="E305" s="170" t="s">
        <v>1240</v>
      </c>
      <c r="F305" s="170" t="s">
        <v>1240</v>
      </c>
      <c r="G305" s="170" t="s">
        <v>1240</v>
      </c>
      <c r="H305" s="290" t="s">
        <v>1240</v>
      </c>
      <c r="I305" s="177" t="e">
        <f t="shared" si="10"/>
        <v>#VALUE!</v>
      </c>
      <c r="J305" s="171"/>
      <c r="K305" s="170" t="e">
        <f t="shared" si="9"/>
        <v>#VALUE!</v>
      </c>
      <c r="L305" s="170"/>
      <c r="M305" s="170"/>
      <c r="N305" s="170"/>
      <c r="O305" s="170"/>
      <c r="P305" s="170"/>
      <c r="Q305" s="170"/>
      <c r="R305" s="172"/>
      <c r="S305" s="170"/>
      <c r="T305" s="170"/>
      <c r="U305" s="170"/>
      <c r="V305" s="170"/>
      <c r="W305" s="170"/>
      <c r="X305" s="170"/>
      <c r="Y305" s="173"/>
      <c r="Z305" s="170"/>
      <c r="AA305" s="170"/>
      <c r="AB305" s="172"/>
      <c r="AC305" s="202"/>
      <c r="AD305" s="170"/>
      <c r="AE305" s="170"/>
      <c r="AF305" s="170"/>
      <c r="AG305" s="170"/>
      <c r="AH305" s="170"/>
      <c r="AI305" s="170"/>
      <c r="AJ305" s="170"/>
      <c r="AK305" s="174"/>
      <c r="AL305" s="172"/>
      <c r="AM305" s="172"/>
      <c r="AN305" s="172"/>
      <c r="AO305" s="172"/>
      <c r="AP305" s="172"/>
    </row>
    <row r="306" spans="1:42" s="175" customFormat="1" hidden="1" x14ac:dyDescent="0.2">
      <c r="A306" s="170" t="s">
        <v>1240</v>
      </c>
      <c r="B306" s="170" t="s">
        <v>1240</v>
      </c>
      <c r="C306" s="170" t="s">
        <v>1240</v>
      </c>
      <c r="D306" s="170" t="s">
        <v>1240</v>
      </c>
      <c r="E306" s="170" t="s">
        <v>1240</v>
      </c>
      <c r="F306" s="170" t="s">
        <v>1240</v>
      </c>
      <c r="G306" s="170" t="s">
        <v>1240</v>
      </c>
      <c r="H306" s="290" t="s">
        <v>1240</v>
      </c>
      <c r="I306" s="177" t="e">
        <f t="shared" si="10"/>
        <v>#VALUE!</v>
      </c>
      <c r="J306" s="171"/>
      <c r="K306" s="170" t="e">
        <f t="shared" si="9"/>
        <v>#VALUE!</v>
      </c>
      <c r="L306" s="170"/>
      <c r="M306" s="170"/>
      <c r="N306" s="170"/>
      <c r="O306" s="170"/>
      <c r="P306" s="170"/>
      <c r="Q306" s="170"/>
      <c r="R306" s="172"/>
      <c r="S306" s="170"/>
      <c r="T306" s="170"/>
      <c r="U306" s="170"/>
      <c r="V306" s="170"/>
      <c r="W306" s="170"/>
      <c r="X306" s="170"/>
      <c r="Y306" s="173"/>
      <c r="Z306" s="170"/>
      <c r="AA306" s="170"/>
      <c r="AB306" s="172"/>
      <c r="AC306" s="202"/>
      <c r="AD306" s="170"/>
      <c r="AE306" s="170"/>
      <c r="AF306" s="170"/>
      <c r="AG306" s="170"/>
      <c r="AH306" s="170"/>
      <c r="AI306" s="170"/>
      <c r="AJ306" s="170"/>
      <c r="AK306" s="174"/>
      <c r="AL306" s="172"/>
      <c r="AM306" s="172"/>
      <c r="AN306" s="172"/>
      <c r="AO306" s="172"/>
      <c r="AP306" s="172"/>
    </row>
    <row r="307" spans="1:42" s="175" customFormat="1" hidden="1" x14ac:dyDescent="0.2">
      <c r="A307" s="170" t="s">
        <v>1240</v>
      </c>
      <c r="B307" s="170" t="s">
        <v>1240</v>
      </c>
      <c r="C307" s="170" t="s">
        <v>1240</v>
      </c>
      <c r="D307" s="170" t="s">
        <v>1240</v>
      </c>
      <c r="E307" s="170" t="s">
        <v>1240</v>
      </c>
      <c r="F307" s="170" t="s">
        <v>1240</v>
      </c>
      <c r="G307" s="170" t="s">
        <v>1240</v>
      </c>
      <c r="H307" s="290" t="s">
        <v>1240</v>
      </c>
      <c r="I307" s="177" t="e">
        <f t="shared" si="10"/>
        <v>#VALUE!</v>
      </c>
      <c r="J307" s="171"/>
      <c r="K307" s="170" t="e">
        <f t="shared" si="9"/>
        <v>#VALUE!</v>
      </c>
      <c r="L307" s="170"/>
      <c r="M307" s="170"/>
      <c r="N307" s="170"/>
      <c r="O307" s="170"/>
      <c r="P307" s="170"/>
      <c r="Q307" s="170"/>
      <c r="R307" s="172"/>
      <c r="S307" s="170"/>
      <c r="T307" s="170"/>
      <c r="U307" s="170"/>
      <c r="V307" s="170"/>
      <c r="W307" s="170"/>
      <c r="X307" s="170"/>
      <c r="Y307" s="173"/>
      <c r="Z307" s="170"/>
      <c r="AA307" s="170"/>
      <c r="AB307" s="172"/>
      <c r="AC307" s="202"/>
      <c r="AD307" s="170"/>
      <c r="AE307" s="170"/>
      <c r="AF307" s="170"/>
      <c r="AG307" s="170"/>
      <c r="AH307" s="170"/>
      <c r="AI307" s="170"/>
      <c r="AJ307" s="170"/>
      <c r="AK307" s="174"/>
      <c r="AL307" s="172"/>
      <c r="AM307" s="172"/>
      <c r="AN307" s="172"/>
      <c r="AO307" s="172"/>
      <c r="AP307" s="172"/>
    </row>
    <row r="308" spans="1:42" s="175" customFormat="1" hidden="1" x14ac:dyDescent="0.2">
      <c r="A308" s="170" t="s">
        <v>1240</v>
      </c>
      <c r="B308" s="170" t="s">
        <v>1240</v>
      </c>
      <c r="C308" s="170" t="s">
        <v>1240</v>
      </c>
      <c r="D308" s="170" t="s">
        <v>1240</v>
      </c>
      <c r="E308" s="170" t="s">
        <v>1240</v>
      </c>
      <c r="F308" s="170" t="s">
        <v>1240</v>
      </c>
      <c r="G308" s="170" t="s">
        <v>1240</v>
      </c>
      <c r="H308" s="290" t="s">
        <v>1240</v>
      </c>
      <c r="I308" s="177" t="e">
        <f t="shared" si="10"/>
        <v>#VALUE!</v>
      </c>
      <c r="J308" s="171"/>
      <c r="K308" s="170" t="e">
        <f t="shared" si="9"/>
        <v>#VALUE!</v>
      </c>
      <c r="L308" s="170"/>
      <c r="M308" s="170"/>
      <c r="N308" s="170"/>
      <c r="O308" s="170"/>
      <c r="P308" s="170"/>
      <c r="Q308" s="170"/>
      <c r="R308" s="172"/>
      <c r="S308" s="170"/>
      <c r="T308" s="170"/>
      <c r="U308" s="170"/>
      <c r="V308" s="170"/>
      <c r="W308" s="170"/>
      <c r="X308" s="170"/>
      <c r="Y308" s="173"/>
      <c r="Z308" s="170"/>
      <c r="AA308" s="170"/>
      <c r="AB308" s="172"/>
      <c r="AC308" s="202"/>
      <c r="AD308" s="170"/>
      <c r="AE308" s="170"/>
      <c r="AF308" s="170"/>
      <c r="AG308" s="170"/>
      <c r="AH308" s="170"/>
      <c r="AI308" s="170"/>
      <c r="AJ308" s="170"/>
      <c r="AK308" s="174"/>
      <c r="AL308" s="172"/>
      <c r="AM308" s="172"/>
      <c r="AN308" s="172"/>
      <c r="AO308" s="172"/>
      <c r="AP308" s="172"/>
    </row>
    <row r="309" spans="1:42" s="175" customFormat="1" hidden="1" x14ac:dyDescent="0.2">
      <c r="A309" s="170" t="s">
        <v>1240</v>
      </c>
      <c r="B309" s="170" t="s">
        <v>1240</v>
      </c>
      <c r="C309" s="170" t="s">
        <v>1240</v>
      </c>
      <c r="D309" s="170" t="s">
        <v>1240</v>
      </c>
      <c r="E309" s="170" t="s">
        <v>1240</v>
      </c>
      <c r="F309" s="170" t="s">
        <v>1240</v>
      </c>
      <c r="G309" s="170" t="s">
        <v>1240</v>
      </c>
      <c r="H309" s="290" t="s">
        <v>1240</v>
      </c>
      <c r="I309" s="177" t="e">
        <f t="shared" si="10"/>
        <v>#VALUE!</v>
      </c>
      <c r="J309" s="171"/>
      <c r="K309" s="170" t="e">
        <f t="shared" si="9"/>
        <v>#VALUE!</v>
      </c>
      <c r="L309" s="170"/>
      <c r="M309" s="170"/>
      <c r="N309" s="170"/>
      <c r="O309" s="170"/>
      <c r="P309" s="170"/>
      <c r="Q309" s="170"/>
      <c r="R309" s="172"/>
      <c r="S309" s="170"/>
      <c r="T309" s="170"/>
      <c r="U309" s="170"/>
      <c r="V309" s="170"/>
      <c r="W309" s="170"/>
      <c r="X309" s="170"/>
      <c r="Y309" s="173"/>
      <c r="Z309" s="170"/>
      <c r="AA309" s="170"/>
      <c r="AB309" s="172"/>
      <c r="AC309" s="202"/>
      <c r="AD309" s="170"/>
      <c r="AE309" s="170"/>
      <c r="AF309" s="170"/>
      <c r="AG309" s="170"/>
      <c r="AH309" s="170"/>
      <c r="AI309" s="170"/>
      <c r="AJ309" s="170"/>
      <c r="AK309" s="174"/>
      <c r="AL309" s="172"/>
      <c r="AM309" s="172"/>
      <c r="AN309" s="172"/>
      <c r="AO309" s="172"/>
      <c r="AP309" s="172"/>
    </row>
    <row r="310" spans="1:42" s="175" customFormat="1" hidden="1" x14ac:dyDescent="0.2">
      <c r="A310" s="170" t="s">
        <v>1240</v>
      </c>
      <c r="B310" s="170" t="s">
        <v>1240</v>
      </c>
      <c r="C310" s="170" t="s">
        <v>1240</v>
      </c>
      <c r="D310" s="170" t="s">
        <v>1240</v>
      </c>
      <c r="E310" s="170" t="s">
        <v>1240</v>
      </c>
      <c r="F310" s="170" t="s">
        <v>1240</v>
      </c>
      <c r="G310" s="170" t="s">
        <v>1240</v>
      </c>
      <c r="H310" s="290" t="s">
        <v>1240</v>
      </c>
      <c r="I310" s="177" t="e">
        <f t="shared" si="10"/>
        <v>#VALUE!</v>
      </c>
      <c r="J310" s="171"/>
      <c r="K310" s="170" t="e">
        <f t="shared" si="9"/>
        <v>#VALUE!</v>
      </c>
      <c r="L310" s="170"/>
      <c r="M310" s="170"/>
      <c r="N310" s="170"/>
      <c r="O310" s="170"/>
      <c r="P310" s="170"/>
      <c r="Q310" s="170"/>
      <c r="R310" s="172"/>
      <c r="S310" s="170"/>
      <c r="T310" s="170"/>
      <c r="U310" s="170"/>
      <c r="V310" s="170"/>
      <c r="W310" s="170"/>
      <c r="X310" s="170"/>
      <c r="Y310" s="173"/>
      <c r="Z310" s="170"/>
      <c r="AA310" s="170"/>
      <c r="AB310" s="172"/>
      <c r="AC310" s="202"/>
      <c r="AD310" s="170"/>
      <c r="AE310" s="170"/>
      <c r="AF310" s="170"/>
      <c r="AG310" s="170"/>
      <c r="AH310" s="170"/>
      <c r="AI310" s="170"/>
      <c r="AJ310" s="170"/>
      <c r="AK310" s="174"/>
      <c r="AL310" s="172"/>
      <c r="AM310" s="172"/>
      <c r="AN310" s="172"/>
      <c r="AO310" s="172"/>
      <c r="AP310" s="172"/>
    </row>
    <row r="311" spans="1:42" s="175" customFormat="1" hidden="1" x14ac:dyDescent="0.2">
      <c r="A311" s="170" t="s">
        <v>1240</v>
      </c>
      <c r="B311" s="170" t="s">
        <v>1240</v>
      </c>
      <c r="C311" s="170" t="s">
        <v>1240</v>
      </c>
      <c r="D311" s="170" t="s">
        <v>1240</v>
      </c>
      <c r="E311" s="170" t="s">
        <v>1240</v>
      </c>
      <c r="F311" s="170" t="s">
        <v>1240</v>
      </c>
      <c r="G311" s="170" t="s">
        <v>1240</v>
      </c>
      <c r="H311" s="290" t="s">
        <v>1240</v>
      </c>
      <c r="I311" s="177" t="e">
        <f t="shared" si="10"/>
        <v>#VALUE!</v>
      </c>
      <c r="J311" s="171"/>
      <c r="K311" s="170" t="e">
        <f t="shared" si="9"/>
        <v>#VALUE!</v>
      </c>
      <c r="L311" s="170"/>
      <c r="M311" s="170"/>
      <c r="N311" s="170"/>
      <c r="O311" s="170"/>
      <c r="P311" s="170"/>
      <c r="Q311" s="170"/>
      <c r="R311" s="172"/>
      <c r="S311" s="170"/>
      <c r="T311" s="170"/>
      <c r="U311" s="170"/>
      <c r="V311" s="170"/>
      <c r="W311" s="170"/>
      <c r="X311" s="170"/>
      <c r="Y311" s="173"/>
      <c r="Z311" s="170"/>
      <c r="AA311" s="170"/>
      <c r="AB311" s="172"/>
      <c r="AC311" s="202"/>
      <c r="AD311" s="170"/>
      <c r="AE311" s="170"/>
      <c r="AF311" s="170"/>
      <c r="AG311" s="170"/>
      <c r="AH311" s="170"/>
      <c r="AI311" s="170"/>
      <c r="AJ311" s="170"/>
      <c r="AK311" s="174"/>
      <c r="AL311" s="172"/>
      <c r="AM311" s="172"/>
      <c r="AN311" s="172"/>
      <c r="AO311" s="172"/>
      <c r="AP311" s="172"/>
    </row>
    <row r="312" spans="1:42" s="175" customFormat="1" hidden="1" x14ac:dyDescent="0.2">
      <c r="A312" s="170" t="s">
        <v>1240</v>
      </c>
      <c r="B312" s="170" t="s">
        <v>1240</v>
      </c>
      <c r="C312" s="170" t="s">
        <v>1240</v>
      </c>
      <c r="D312" s="170" t="s">
        <v>1240</v>
      </c>
      <c r="E312" s="170" t="s">
        <v>1240</v>
      </c>
      <c r="F312" s="170" t="s">
        <v>1240</v>
      </c>
      <c r="G312" s="170" t="s">
        <v>1240</v>
      </c>
      <c r="H312" s="290" t="s">
        <v>1240</v>
      </c>
      <c r="I312" s="177" t="e">
        <f t="shared" si="10"/>
        <v>#VALUE!</v>
      </c>
      <c r="J312" s="171"/>
      <c r="K312" s="170" t="e">
        <f t="shared" si="9"/>
        <v>#VALUE!</v>
      </c>
      <c r="L312" s="170"/>
      <c r="M312" s="170"/>
      <c r="N312" s="170"/>
      <c r="O312" s="170"/>
      <c r="P312" s="170"/>
      <c r="Q312" s="170"/>
      <c r="R312" s="172"/>
      <c r="S312" s="170"/>
      <c r="T312" s="170"/>
      <c r="U312" s="170"/>
      <c r="V312" s="170"/>
      <c r="W312" s="170"/>
      <c r="X312" s="170"/>
      <c r="Y312" s="173"/>
      <c r="Z312" s="170"/>
      <c r="AA312" s="170"/>
      <c r="AB312" s="172"/>
      <c r="AC312" s="202"/>
      <c r="AD312" s="170"/>
      <c r="AE312" s="170"/>
      <c r="AF312" s="170"/>
      <c r="AG312" s="170"/>
      <c r="AH312" s="170"/>
      <c r="AI312" s="170"/>
      <c r="AJ312" s="170"/>
      <c r="AK312" s="174"/>
      <c r="AL312" s="172"/>
      <c r="AM312" s="172"/>
      <c r="AN312" s="172"/>
      <c r="AO312" s="172"/>
      <c r="AP312" s="172"/>
    </row>
    <row r="313" spans="1:42" s="175" customFormat="1" hidden="1" x14ac:dyDescent="0.2">
      <c r="A313" s="170" t="s">
        <v>1240</v>
      </c>
      <c r="B313" s="170" t="s">
        <v>1240</v>
      </c>
      <c r="C313" s="170" t="s">
        <v>1240</v>
      </c>
      <c r="D313" s="170" t="s">
        <v>1240</v>
      </c>
      <c r="E313" s="170" t="s">
        <v>1240</v>
      </c>
      <c r="F313" s="170" t="s">
        <v>1240</v>
      </c>
      <c r="G313" s="170" t="s">
        <v>1240</v>
      </c>
      <c r="H313" s="290" t="s">
        <v>1240</v>
      </c>
      <c r="I313" s="177" t="e">
        <f t="shared" si="10"/>
        <v>#VALUE!</v>
      </c>
      <c r="J313" s="171"/>
      <c r="K313" s="170" t="e">
        <f t="shared" si="9"/>
        <v>#VALUE!</v>
      </c>
      <c r="L313" s="170"/>
      <c r="M313" s="170"/>
      <c r="N313" s="170"/>
      <c r="O313" s="170"/>
      <c r="P313" s="170"/>
      <c r="Q313" s="170"/>
      <c r="R313" s="172"/>
      <c r="S313" s="170"/>
      <c r="T313" s="170"/>
      <c r="U313" s="170"/>
      <c r="V313" s="170"/>
      <c r="W313" s="170"/>
      <c r="X313" s="170"/>
      <c r="Y313" s="173"/>
      <c r="Z313" s="170"/>
      <c r="AA313" s="170"/>
      <c r="AB313" s="172"/>
      <c r="AC313" s="202"/>
      <c r="AD313" s="170"/>
      <c r="AE313" s="170"/>
      <c r="AF313" s="170"/>
      <c r="AG313" s="170"/>
      <c r="AH313" s="170"/>
      <c r="AI313" s="170"/>
      <c r="AJ313" s="170"/>
      <c r="AK313" s="174"/>
      <c r="AL313" s="172"/>
      <c r="AM313" s="172"/>
      <c r="AN313" s="172"/>
      <c r="AO313" s="172"/>
      <c r="AP313" s="172"/>
    </row>
    <row r="314" spans="1:42" s="175" customFormat="1" hidden="1" x14ac:dyDescent="0.2">
      <c r="A314" s="170" t="s">
        <v>1240</v>
      </c>
      <c r="B314" s="170" t="s">
        <v>1240</v>
      </c>
      <c r="C314" s="170" t="s">
        <v>1240</v>
      </c>
      <c r="D314" s="170" t="s">
        <v>1240</v>
      </c>
      <c r="E314" s="170" t="s">
        <v>1240</v>
      </c>
      <c r="F314" s="170" t="s">
        <v>1240</v>
      </c>
      <c r="G314" s="170" t="s">
        <v>1240</v>
      </c>
      <c r="H314" s="290" t="s">
        <v>1240</v>
      </c>
      <c r="I314" s="177" t="e">
        <f t="shared" si="10"/>
        <v>#VALUE!</v>
      </c>
      <c r="J314" s="171"/>
      <c r="K314" s="170" t="e">
        <f t="shared" si="9"/>
        <v>#VALUE!</v>
      </c>
      <c r="L314" s="170"/>
      <c r="M314" s="170"/>
      <c r="N314" s="170"/>
      <c r="O314" s="170"/>
      <c r="P314" s="170"/>
      <c r="Q314" s="170"/>
      <c r="R314" s="172"/>
      <c r="S314" s="170"/>
      <c r="T314" s="170"/>
      <c r="U314" s="170"/>
      <c r="V314" s="170"/>
      <c r="W314" s="170"/>
      <c r="X314" s="170"/>
      <c r="Y314" s="173"/>
      <c r="Z314" s="170"/>
      <c r="AA314" s="170"/>
      <c r="AB314" s="172"/>
      <c r="AC314" s="202"/>
      <c r="AD314" s="170"/>
      <c r="AE314" s="170"/>
      <c r="AF314" s="170"/>
      <c r="AG314" s="170"/>
      <c r="AH314" s="170"/>
      <c r="AI314" s="170"/>
      <c r="AJ314" s="170"/>
      <c r="AK314" s="174"/>
      <c r="AL314" s="172"/>
      <c r="AM314" s="172"/>
      <c r="AN314" s="172"/>
      <c r="AO314" s="172"/>
      <c r="AP314" s="172"/>
    </row>
    <row r="315" spans="1:42" s="175" customFormat="1" hidden="1" x14ac:dyDescent="0.2">
      <c r="A315" s="170" t="s">
        <v>1240</v>
      </c>
      <c r="B315" s="170" t="s">
        <v>1240</v>
      </c>
      <c r="C315" s="170" t="s">
        <v>1240</v>
      </c>
      <c r="D315" s="170" t="s">
        <v>1240</v>
      </c>
      <c r="E315" s="170" t="s">
        <v>1240</v>
      </c>
      <c r="F315" s="170" t="s">
        <v>1240</v>
      </c>
      <c r="G315" s="170" t="s">
        <v>1240</v>
      </c>
      <c r="H315" s="290" t="s">
        <v>1240</v>
      </c>
      <c r="I315" s="177" t="e">
        <f t="shared" si="10"/>
        <v>#VALUE!</v>
      </c>
      <c r="J315" s="171"/>
      <c r="K315" s="170" t="e">
        <f t="shared" si="9"/>
        <v>#VALUE!</v>
      </c>
      <c r="L315" s="170"/>
      <c r="M315" s="170"/>
      <c r="N315" s="170"/>
      <c r="O315" s="170"/>
      <c r="P315" s="170"/>
      <c r="Q315" s="170"/>
      <c r="R315" s="172"/>
      <c r="S315" s="170"/>
      <c r="T315" s="170"/>
      <c r="U315" s="170"/>
      <c r="V315" s="170"/>
      <c r="W315" s="170"/>
      <c r="X315" s="170"/>
      <c r="Y315" s="173"/>
      <c r="Z315" s="170"/>
      <c r="AA315" s="170"/>
      <c r="AB315" s="172"/>
      <c r="AC315" s="202"/>
      <c r="AD315" s="170"/>
      <c r="AE315" s="170"/>
      <c r="AF315" s="170"/>
      <c r="AG315" s="170"/>
      <c r="AH315" s="170"/>
      <c r="AI315" s="170"/>
      <c r="AJ315" s="170"/>
      <c r="AK315" s="174"/>
      <c r="AL315" s="172"/>
      <c r="AM315" s="172"/>
      <c r="AN315" s="172"/>
      <c r="AO315" s="172"/>
      <c r="AP315" s="172"/>
    </row>
    <row r="316" spans="1:42" s="175" customFormat="1" hidden="1" x14ac:dyDescent="0.2">
      <c r="A316" s="170" t="s">
        <v>1240</v>
      </c>
      <c r="B316" s="170" t="s">
        <v>1240</v>
      </c>
      <c r="C316" s="170" t="s">
        <v>1240</v>
      </c>
      <c r="D316" s="170" t="s">
        <v>1240</v>
      </c>
      <c r="E316" s="170" t="s">
        <v>1240</v>
      </c>
      <c r="F316" s="170" t="s">
        <v>1240</v>
      </c>
      <c r="G316" s="170" t="s">
        <v>1240</v>
      </c>
      <c r="H316" s="290" t="s">
        <v>1240</v>
      </c>
      <c r="I316" s="177" t="e">
        <f t="shared" si="10"/>
        <v>#VALUE!</v>
      </c>
      <c r="J316" s="171"/>
      <c r="K316" s="170" t="e">
        <f t="shared" si="9"/>
        <v>#VALUE!</v>
      </c>
      <c r="L316" s="170"/>
      <c r="M316" s="170"/>
      <c r="N316" s="170"/>
      <c r="O316" s="170"/>
      <c r="P316" s="170"/>
      <c r="Q316" s="170"/>
      <c r="R316" s="172"/>
      <c r="S316" s="170"/>
      <c r="T316" s="170"/>
      <c r="U316" s="170"/>
      <c r="V316" s="170"/>
      <c r="W316" s="170"/>
      <c r="X316" s="170"/>
      <c r="Y316" s="173"/>
      <c r="Z316" s="170"/>
      <c r="AA316" s="170"/>
      <c r="AB316" s="172"/>
      <c r="AC316" s="202"/>
      <c r="AD316" s="170"/>
      <c r="AE316" s="170"/>
      <c r="AF316" s="170"/>
      <c r="AG316" s="170"/>
      <c r="AH316" s="170"/>
      <c r="AI316" s="170"/>
      <c r="AJ316" s="170"/>
      <c r="AK316" s="174"/>
      <c r="AL316" s="172"/>
      <c r="AM316" s="172"/>
      <c r="AN316" s="172"/>
      <c r="AO316" s="172"/>
      <c r="AP316" s="172"/>
    </row>
    <row r="317" spans="1:42" s="175" customFormat="1" hidden="1" x14ac:dyDescent="0.2">
      <c r="A317" s="170" t="s">
        <v>1240</v>
      </c>
      <c r="B317" s="170" t="s">
        <v>1240</v>
      </c>
      <c r="C317" s="170" t="s">
        <v>1240</v>
      </c>
      <c r="D317" s="170" t="s">
        <v>1240</v>
      </c>
      <c r="E317" s="170" t="s">
        <v>1240</v>
      </c>
      <c r="F317" s="170" t="s">
        <v>1240</v>
      </c>
      <c r="G317" s="170" t="s">
        <v>1240</v>
      </c>
      <c r="H317" s="290" t="s">
        <v>1240</v>
      </c>
      <c r="I317" s="177" t="e">
        <f t="shared" si="10"/>
        <v>#VALUE!</v>
      </c>
      <c r="J317" s="171"/>
      <c r="K317" s="170" t="e">
        <f t="shared" si="9"/>
        <v>#VALUE!</v>
      </c>
      <c r="L317" s="170"/>
      <c r="M317" s="170"/>
      <c r="N317" s="170"/>
      <c r="O317" s="170"/>
      <c r="P317" s="170"/>
      <c r="Q317" s="170"/>
      <c r="R317" s="172"/>
      <c r="S317" s="170"/>
      <c r="T317" s="170"/>
      <c r="U317" s="170"/>
      <c r="V317" s="170"/>
      <c r="W317" s="170"/>
      <c r="X317" s="170"/>
      <c r="Y317" s="173"/>
      <c r="Z317" s="170"/>
      <c r="AA317" s="170"/>
      <c r="AB317" s="172"/>
      <c r="AC317" s="202"/>
      <c r="AD317" s="170"/>
      <c r="AE317" s="170"/>
      <c r="AF317" s="170"/>
      <c r="AG317" s="170"/>
      <c r="AH317" s="170"/>
      <c r="AI317" s="170"/>
      <c r="AJ317" s="170"/>
      <c r="AK317" s="174"/>
      <c r="AL317" s="172"/>
      <c r="AM317" s="172"/>
      <c r="AN317" s="172"/>
      <c r="AO317" s="172"/>
      <c r="AP317" s="172"/>
    </row>
    <row r="318" spans="1:42" s="175" customFormat="1" hidden="1" x14ac:dyDescent="0.2">
      <c r="A318" s="170" t="s">
        <v>1240</v>
      </c>
      <c r="B318" s="170" t="s">
        <v>1240</v>
      </c>
      <c r="C318" s="170" t="s">
        <v>1240</v>
      </c>
      <c r="D318" s="170" t="s">
        <v>1240</v>
      </c>
      <c r="E318" s="170" t="s">
        <v>1240</v>
      </c>
      <c r="F318" s="170" t="s">
        <v>1240</v>
      </c>
      <c r="G318" s="170" t="s">
        <v>1240</v>
      </c>
      <c r="H318" s="290" t="s">
        <v>1240</v>
      </c>
      <c r="I318" s="177" t="e">
        <f t="shared" si="10"/>
        <v>#VALUE!</v>
      </c>
      <c r="J318" s="171"/>
      <c r="K318" s="170" t="e">
        <f t="shared" si="9"/>
        <v>#VALUE!</v>
      </c>
      <c r="L318" s="170"/>
      <c r="M318" s="170"/>
      <c r="N318" s="170"/>
      <c r="O318" s="170"/>
      <c r="P318" s="170"/>
      <c r="Q318" s="170"/>
      <c r="R318" s="172"/>
      <c r="S318" s="170"/>
      <c r="T318" s="170"/>
      <c r="U318" s="170"/>
      <c r="V318" s="170"/>
      <c r="W318" s="170"/>
      <c r="X318" s="170"/>
      <c r="Y318" s="173"/>
      <c r="Z318" s="170"/>
      <c r="AA318" s="170"/>
      <c r="AB318" s="172"/>
      <c r="AC318" s="202"/>
      <c r="AD318" s="170"/>
      <c r="AE318" s="170"/>
      <c r="AF318" s="170"/>
      <c r="AG318" s="170"/>
      <c r="AH318" s="170"/>
      <c r="AI318" s="170"/>
      <c r="AJ318" s="170"/>
      <c r="AK318" s="174"/>
      <c r="AL318" s="172"/>
      <c r="AM318" s="172"/>
      <c r="AN318" s="172"/>
      <c r="AO318" s="172"/>
      <c r="AP318" s="172"/>
    </row>
    <row r="319" spans="1:42" s="175" customFormat="1" hidden="1" x14ac:dyDescent="0.2">
      <c r="A319" s="170" t="s">
        <v>1240</v>
      </c>
      <c r="B319" s="170" t="s">
        <v>1240</v>
      </c>
      <c r="C319" s="170" t="s">
        <v>1240</v>
      </c>
      <c r="D319" s="170" t="s">
        <v>1240</v>
      </c>
      <c r="E319" s="170" t="s">
        <v>1240</v>
      </c>
      <c r="F319" s="170" t="s">
        <v>1240</v>
      </c>
      <c r="G319" s="170" t="s">
        <v>1240</v>
      </c>
      <c r="H319" s="290" t="s">
        <v>1240</v>
      </c>
      <c r="I319" s="177" t="e">
        <f t="shared" si="10"/>
        <v>#VALUE!</v>
      </c>
      <c r="J319" s="171"/>
      <c r="K319" s="170" t="e">
        <f t="shared" si="9"/>
        <v>#VALUE!</v>
      </c>
      <c r="L319" s="170"/>
      <c r="M319" s="170"/>
      <c r="N319" s="170"/>
      <c r="O319" s="170"/>
      <c r="P319" s="170"/>
      <c r="Q319" s="170"/>
      <c r="R319" s="172"/>
      <c r="S319" s="170"/>
      <c r="T319" s="170"/>
      <c r="U319" s="170"/>
      <c r="V319" s="170"/>
      <c r="W319" s="170"/>
      <c r="X319" s="170"/>
      <c r="Y319" s="173"/>
      <c r="Z319" s="170"/>
      <c r="AA319" s="170"/>
      <c r="AB319" s="172"/>
      <c r="AC319" s="202"/>
      <c r="AD319" s="170"/>
      <c r="AE319" s="170"/>
      <c r="AF319" s="170"/>
      <c r="AG319" s="170"/>
      <c r="AH319" s="170"/>
      <c r="AI319" s="170"/>
      <c r="AJ319" s="170"/>
      <c r="AK319" s="174"/>
      <c r="AL319" s="172"/>
      <c r="AM319" s="172"/>
      <c r="AN319" s="172"/>
      <c r="AO319" s="172"/>
      <c r="AP319" s="172"/>
    </row>
    <row r="320" spans="1:42" s="175" customFormat="1" hidden="1" x14ac:dyDescent="0.2">
      <c r="A320" s="170" t="s">
        <v>1240</v>
      </c>
      <c r="B320" s="170" t="s">
        <v>1240</v>
      </c>
      <c r="C320" s="170" t="s">
        <v>1240</v>
      </c>
      <c r="D320" s="170" t="s">
        <v>1240</v>
      </c>
      <c r="E320" s="170" t="s">
        <v>1240</v>
      </c>
      <c r="F320" s="170" t="s">
        <v>1240</v>
      </c>
      <c r="G320" s="170" t="s">
        <v>1240</v>
      </c>
      <c r="H320" s="290" t="s">
        <v>1240</v>
      </c>
      <c r="I320" s="177" t="e">
        <f t="shared" si="10"/>
        <v>#VALUE!</v>
      </c>
      <c r="J320" s="171"/>
      <c r="K320" s="170" t="e">
        <f t="shared" si="9"/>
        <v>#VALUE!</v>
      </c>
      <c r="L320" s="170"/>
      <c r="M320" s="170"/>
      <c r="N320" s="170"/>
      <c r="O320" s="170"/>
      <c r="P320" s="170"/>
      <c r="Q320" s="170"/>
      <c r="R320" s="172"/>
      <c r="S320" s="170"/>
      <c r="T320" s="170"/>
      <c r="U320" s="170"/>
      <c r="V320" s="170"/>
      <c r="W320" s="170"/>
      <c r="X320" s="170"/>
      <c r="Y320" s="173"/>
      <c r="Z320" s="170"/>
      <c r="AA320" s="170"/>
      <c r="AB320" s="172"/>
      <c r="AC320" s="202"/>
      <c r="AD320" s="170"/>
      <c r="AE320" s="170"/>
      <c r="AF320" s="170"/>
      <c r="AG320" s="170"/>
      <c r="AH320" s="170"/>
      <c r="AI320" s="170"/>
      <c r="AJ320" s="170"/>
      <c r="AK320" s="174"/>
      <c r="AL320" s="172"/>
      <c r="AM320" s="172"/>
      <c r="AN320" s="172"/>
      <c r="AO320" s="172"/>
      <c r="AP320" s="172"/>
    </row>
    <row r="321" spans="1:42" s="175" customFormat="1" hidden="1" x14ac:dyDescent="0.2">
      <c r="A321" s="170" t="s">
        <v>1240</v>
      </c>
      <c r="B321" s="170" t="s">
        <v>1240</v>
      </c>
      <c r="C321" s="170" t="s">
        <v>1240</v>
      </c>
      <c r="D321" s="170" t="s">
        <v>1240</v>
      </c>
      <c r="E321" s="170" t="s">
        <v>1240</v>
      </c>
      <c r="F321" s="170" t="s">
        <v>1240</v>
      </c>
      <c r="G321" s="170" t="s">
        <v>1240</v>
      </c>
      <c r="H321" s="290" t="s">
        <v>1240</v>
      </c>
      <c r="I321" s="177" t="e">
        <f t="shared" si="10"/>
        <v>#VALUE!</v>
      </c>
      <c r="J321" s="171"/>
      <c r="K321" s="170" t="e">
        <f t="shared" si="9"/>
        <v>#VALUE!</v>
      </c>
      <c r="L321" s="170"/>
      <c r="M321" s="170"/>
      <c r="N321" s="170"/>
      <c r="O321" s="170"/>
      <c r="P321" s="170"/>
      <c r="Q321" s="170"/>
      <c r="R321" s="172"/>
      <c r="S321" s="170"/>
      <c r="T321" s="170"/>
      <c r="U321" s="170"/>
      <c r="V321" s="170"/>
      <c r="W321" s="170"/>
      <c r="X321" s="170"/>
      <c r="Y321" s="173"/>
      <c r="Z321" s="170"/>
      <c r="AA321" s="170"/>
      <c r="AB321" s="172"/>
      <c r="AC321" s="202"/>
      <c r="AD321" s="170"/>
      <c r="AE321" s="170"/>
      <c r="AF321" s="170"/>
      <c r="AG321" s="170"/>
      <c r="AH321" s="170"/>
      <c r="AI321" s="170"/>
      <c r="AJ321" s="170"/>
      <c r="AK321" s="174"/>
      <c r="AL321" s="172"/>
      <c r="AM321" s="172"/>
      <c r="AN321" s="172"/>
      <c r="AO321" s="172"/>
      <c r="AP321" s="172"/>
    </row>
    <row r="322" spans="1:42" s="175" customFormat="1" hidden="1" x14ac:dyDescent="0.2">
      <c r="A322" s="170" t="s">
        <v>1240</v>
      </c>
      <c r="B322" s="170" t="s">
        <v>1240</v>
      </c>
      <c r="C322" s="170" t="s">
        <v>1240</v>
      </c>
      <c r="D322" s="170" t="s">
        <v>1240</v>
      </c>
      <c r="E322" s="170" t="s">
        <v>1240</v>
      </c>
      <c r="F322" s="170" t="s">
        <v>1240</v>
      </c>
      <c r="G322" s="170" t="s">
        <v>1240</v>
      </c>
      <c r="H322" s="290" t="s">
        <v>1240</v>
      </c>
      <c r="I322" s="177" t="e">
        <f t="shared" si="10"/>
        <v>#VALUE!</v>
      </c>
      <c r="J322" s="171"/>
      <c r="K322" s="170" t="e">
        <f t="shared" si="9"/>
        <v>#VALUE!</v>
      </c>
      <c r="L322" s="170"/>
      <c r="M322" s="170"/>
      <c r="N322" s="170"/>
      <c r="O322" s="170"/>
      <c r="P322" s="170"/>
      <c r="Q322" s="170"/>
      <c r="R322" s="172"/>
      <c r="S322" s="170"/>
      <c r="T322" s="170"/>
      <c r="U322" s="170"/>
      <c r="V322" s="170"/>
      <c r="W322" s="170"/>
      <c r="X322" s="170"/>
      <c r="Y322" s="173"/>
      <c r="Z322" s="170"/>
      <c r="AA322" s="170"/>
      <c r="AB322" s="172"/>
      <c r="AC322" s="202"/>
      <c r="AD322" s="170"/>
      <c r="AE322" s="170"/>
      <c r="AF322" s="170"/>
      <c r="AG322" s="170"/>
      <c r="AH322" s="170"/>
      <c r="AI322" s="170"/>
      <c r="AJ322" s="170"/>
      <c r="AK322" s="174"/>
      <c r="AL322" s="172"/>
      <c r="AM322" s="172"/>
      <c r="AN322" s="172"/>
      <c r="AO322" s="172"/>
      <c r="AP322" s="172"/>
    </row>
    <row r="323" spans="1:42" s="175" customFormat="1" hidden="1" x14ac:dyDescent="0.2">
      <c r="A323" s="170" t="s">
        <v>1240</v>
      </c>
      <c r="B323" s="170" t="s">
        <v>1240</v>
      </c>
      <c r="C323" s="170" t="s">
        <v>1240</v>
      </c>
      <c r="D323" s="170" t="s">
        <v>1240</v>
      </c>
      <c r="E323" s="170" t="s">
        <v>1240</v>
      </c>
      <c r="F323" s="170" t="s">
        <v>1240</v>
      </c>
      <c r="G323" s="170" t="s">
        <v>1240</v>
      </c>
      <c r="H323" s="290" t="s">
        <v>1240</v>
      </c>
      <c r="I323" s="177" t="e">
        <f t="shared" si="10"/>
        <v>#VALUE!</v>
      </c>
      <c r="J323" s="171"/>
      <c r="K323" s="170" t="e">
        <f t="shared" si="9"/>
        <v>#VALUE!</v>
      </c>
      <c r="L323" s="170"/>
      <c r="M323" s="170"/>
      <c r="N323" s="170"/>
      <c r="O323" s="170"/>
      <c r="P323" s="170"/>
      <c r="Q323" s="170"/>
      <c r="R323" s="172"/>
      <c r="S323" s="170"/>
      <c r="T323" s="170"/>
      <c r="U323" s="170"/>
      <c r="V323" s="170"/>
      <c r="W323" s="170"/>
      <c r="X323" s="170"/>
      <c r="Y323" s="173"/>
      <c r="Z323" s="170"/>
      <c r="AA323" s="170"/>
      <c r="AB323" s="172"/>
      <c r="AC323" s="202"/>
      <c r="AD323" s="170"/>
      <c r="AE323" s="170"/>
      <c r="AF323" s="170"/>
      <c r="AG323" s="170"/>
      <c r="AH323" s="170"/>
      <c r="AI323" s="170"/>
      <c r="AJ323" s="170"/>
      <c r="AK323" s="174"/>
      <c r="AL323" s="172"/>
      <c r="AM323" s="172"/>
      <c r="AN323" s="172"/>
      <c r="AO323" s="172"/>
      <c r="AP323" s="172"/>
    </row>
    <row r="324" spans="1:42" s="175" customFormat="1" hidden="1" x14ac:dyDescent="0.2">
      <c r="A324" s="170" t="s">
        <v>1240</v>
      </c>
      <c r="B324" s="170" t="s">
        <v>1240</v>
      </c>
      <c r="C324" s="170" t="s">
        <v>1240</v>
      </c>
      <c r="D324" s="170" t="s">
        <v>1240</v>
      </c>
      <c r="E324" s="170" t="s">
        <v>1240</v>
      </c>
      <c r="F324" s="170" t="s">
        <v>1240</v>
      </c>
      <c r="G324" s="170" t="s">
        <v>1240</v>
      </c>
      <c r="H324" s="290" t="s">
        <v>1240</v>
      </c>
      <c r="I324" s="177" t="e">
        <f t="shared" si="10"/>
        <v>#VALUE!</v>
      </c>
      <c r="J324" s="171"/>
      <c r="K324" s="170" t="e">
        <f t="shared" si="9"/>
        <v>#VALUE!</v>
      </c>
      <c r="L324" s="170"/>
      <c r="M324" s="170"/>
      <c r="N324" s="170"/>
      <c r="O324" s="170"/>
      <c r="P324" s="170"/>
      <c r="Q324" s="170"/>
      <c r="R324" s="172"/>
      <c r="S324" s="170"/>
      <c r="T324" s="170"/>
      <c r="U324" s="170"/>
      <c r="V324" s="170"/>
      <c r="W324" s="170"/>
      <c r="X324" s="170"/>
      <c r="Y324" s="173"/>
      <c r="Z324" s="170"/>
      <c r="AA324" s="170"/>
      <c r="AB324" s="172"/>
      <c r="AC324" s="202"/>
      <c r="AD324" s="170"/>
      <c r="AE324" s="170"/>
      <c r="AF324" s="170"/>
      <c r="AG324" s="170"/>
      <c r="AH324" s="170"/>
      <c r="AI324" s="170"/>
      <c r="AJ324" s="170"/>
      <c r="AK324" s="174"/>
      <c r="AL324" s="172"/>
      <c r="AM324" s="172"/>
      <c r="AN324" s="172"/>
      <c r="AO324" s="172"/>
      <c r="AP324" s="172"/>
    </row>
    <row r="325" spans="1:42" s="175" customFormat="1" hidden="1" x14ac:dyDescent="0.2">
      <c r="A325" s="170" t="s">
        <v>1240</v>
      </c>
      <c r="B325" s="170" t="s">
        <v>1240</v>
      </c>
      <c r="C325" s="170" t="s">
        <v>1240</v>
      </c>
      <c r="D325" s="170" t="s">
        <v>1240</v>
      </c>
      <c r="E325" s="170" t="s">
        <v>1240</v>
      </c>
      <c r="F325" s="170" t="s">
        <v>1240</v>
      </c>
      <c r="G325" s="170" t="s">
        <v>1240</v>
      </c>
      <c r="H325" s="290" t="s">
        <v>1240</v>
      </c>
      <c r="I325" s="177" t="e">
        <f t="shared" si="10"/>
        <v>#VALUE!</v>
      </c>
      <c r="J325" s="171"/>
      <c r="K325" s="170" t="e">
        <f t="shared" si="9"/>
        <v>#VALUE!</v>
      </c>
      <c r="L325" s="170"/>
      <c r="M325" s="170"/>
      <c r="N325" s="170"/>
      <c r="O325" s="170"/>
      <c r="P325" s="170"/>
      <c r="Q325" s="170"/>
      <c r="R325" s="172"/>
      <c r="S325" s="170"/>
      <c r="T325" s="170"/>
      <c r="U325" s="170"/>
      <c r="V325" s="170"/>
      <c r="W325" s="170"/>
      <c r="X325" s="170"/>
      <c r="Y325" s="173"/>
      <c r="Z325" s="170"/>
      <c r="AA325" s="170"/>
      <c r="AB325" s="172"/>
      <c r="AC325" s="202"/>
      <c r="AD325" s="170"/>
      <c r="AE325" s="170"/>
      <c r="AF325" s="170"/>
      <c r="AG325" s="170"/>
      <c r="AH325" s="170"/>
      <c r="AI325" s="170"/>
      <c r="AJ325" s="170"/>
      <c r="AK325" s="174"/>
      <c r="AL325" s="172"/>
      <c r="AM325" s="172"/>
      <c r="AN325" s="172"/>
      <c r="AO325" s="172"/>
      <c r="AP325" s="172"/>
    </row>
    <row r="326" spans="1:42" s="175" customFormat="1" hidden="1" x14ac:dyDescent="0.2">
      <c r="A326" s="170" t="s">
        <v>1240</v>
      </c>
      <c r="B326" s="170" t="s">
        <v>1240</v>
      </c>
      <c r="C326" s="170" t="s">
        <v>1240</v>
      </c>
      <c r="D326" s="170" t="s">
        <v>1240</v>
      </c>
      <c r="E326" s="170" t="s">
        <v>1240</v>
      </c>
      <c r="F326" s="170" t="s">
        <v>1240</v>
      </c>
      <c r="G326" s="170" t="s">
        <v>1240</v>
      </c>
      <c r="H326" s="290" t="s">
        <v>1240</v>
      </c>
      <c r="I326" s="177" t="e">
        <f t="shared" si="10"/>
        <v>#VALUE!</v>
      </c>
      <c r="J326" s="171"/>
      <c r="K326" s="170" t="e">
        <f t="shared" si="9"/>
        <v>#VALUE!</v>
      </c>
      <c r="L326" s="170"/>
      <c r="M326" s="170"/>
      <c r="N326" s="170"/>
      <c r="O326" s="170"/>
      <c r="P326" s="170"/>
      <c r="Q326" s="170"/>
      <c r="R326" s="172"/>
      <c r="S326" s="170"/>
      <c r="T326" s="170"/>
      <c r="U326" s="170"/>
      <c r="V326" s="170"/>
      <c r="W326" s="170"/>
      <c r="X326" s="170"/>
      <c r="Y326" s="173"/>
      <c r="Z326" s="170"/>
      <c r="AA326" s="170"/>
      <c r="AB326" s="172"/>
      <c r="AC326" s="202"/>
      <c r="AD326" s="170"/>
      <c r="AE326" s="170"/>
      <c r="AF326" s="170"/>
      <c r="AG326" s="170"/>
      <c r="AH326" s="170"/>
      <c r="AI326" s="170"/>
      <c r="AJ326" s="170"/>
      <c r="AK326" s="174"/>
      <c r="AL326" s="172"/>
      <c r="AM326" s="172"/>
      <c r="AN326" s="172"/>
      <c r="AO326" s="172"/>
      <c r="AP326" s="172"/>
    </row>
    <row r="327" spans="1:42" s="175" customFormat="1" hidden="1" x14ac:dyDescent="0.2">
      <c r="A327" s="170" t="s">
        <v>1240</v>
      </c>
      <c r="B327" s="170" t="s">
        <v>1240</v>
      </c>
      <c r="C327" s="170" t="s">
        <v>1240</v>
      </c>
      <c r="D327" s="170" t="s">
        <v>1240</v>
      </c>
      <c r="E327" s="170" t="s">
        <v>1240</v>
      </c>
      <c r="F327" s="170" t="s">
        <v>1240</v>
      </c>
      <c r="G327" s="170" t="s">
        <v>1240</v>
      </c>
      <c r="H327" s="290" t="s">
        <v>1240</v>
      </c>
      <c r="I327" s="177" t="e">
        <f t="shared" si="10"/>
        <v>#VALUE!</v>
      </c>
      <c r="J327" s="171"/>
      <c r="K327" s="170" t="e">
        <f t="shared" si="9"/>
        <v>#VALUE!</v>
      </c>
      <c r="L327" s="170"/>
      <c r="M327" s="170"/>
      <c r="N327" s="170"/>
      <c r="O327" s="170"/>
      <c r="P327" s="170"/>
      <c r="Q327" s="170"/>
      <c r="R327" s="172"/>
      <c r="S327" s="170"/>
      <c r="T327" s="170"/>
      <c r="U327" s="170"/>
      <c r="V327" s="170"/>
      <c r="W327" s="170"/>
      <c r="X327" s="170"/>
      <c r="Y327" s="173"/>
      <c r="Z327" s="170"/>
      <c r="AA327" s="170"/>
      <c r="AB327" s="172"/>
      <c r="AC327" s="202"/>
      <c r="AD327" s="170"/>
      <c r="AE327" s="170"/>
      <c r="AF327" s="170"/>
      <c r="AG327" s="170"/>
      <c r="AH327" s="170"/>
      <c r="AI327" s="170"/>
      <c r="AJ327" s="170"/>
      <c r="AK327" s="174"/>
      <c r="AL327" s="172"/>
      <c r="AM327" s="172"/>
      <c r="AN327" s="172"/>
      <c r="AO327" s="172"/>
      <c r="AP327" s="172"/>
    </row>
    <row r="328" spans="1:42" s="175" customFormat="1" hidden="1" x14ac:dyDescent="0.2">
      <c r="A328" s="170" t="s">
        <v>1240</v>
      </c>
      <c r="B328" s="170" t="s">
        <v>1240</v>
      </c>
      <c r="C328" s="170" t="s">
        <v>1240</v>
      </c>
      <c r="D328" s="170" t="s">
        <v>1240</v>
      </c>
      <c r="E328" s="170" t="s">
        <v>1240</v>
      </c>
      <c r="F328" s="170" t="s">
        <v>1240</v>
      </c>
      <c r="G328" s="170" t="s">
        <v>1240</v>
      </c>
      <c r="H328" s="290" t="s">
        <v>1240</v>
      </c>
      <c r="I328" s="177" t="e">
        <f t="shared" si="10"/>
        <v>#VALUE!</v>
      </c>
      <c r="J328" s="171"/>
      <c r="K328" s="170" t="e">
        <f t="shared" ref="K328:K356" si="11">IF(I328&lt;=6,"NUEVO",IF(I328&lt;=18,"INTERMEDIO","ANTIGUO"))</f>
        <v>#VALUE!</v>
      </c>
      <c r="L328" s="170"/>
      <c r="M328" s="170"/>
      <c r="N328" s="170"/>
      <c r="O328" s="170"/>
      <c r="P328" s="170"/>
      <c r="Q328" s="170"/>
      <c r="R328" s="172"/>
      <c r="S328" s="170"/>
      <c r="T328" s="170"/>
      <c r="U328" s="170"/>
      <c r="V328" s="170"/>
      <c r="W328" s="170"/>
      <c r="X328" s="170"/>
      <c r="Y328" s="173"/>
      <c r="Z328" s="170"/>
      <c r="AA328" s="170"/>
      <c r="AB328" s="172"/>
      <c r="AC328" s="202"/>
      <c r="AD328" s="170"/>
      <c r="AE328" s="170"/>
      <c r="AF328" s="170"/>
      <c r="AG328" s="170"/>
      <c r="AH328" s="170"/>
      <c r="AI328" s="170"/>
      <c r="AJ328" s="170"/>
      <c r="AK328" s="174"/>
      <c r="AL328" s="172"/>
      <c r="AM328" s="172"/>
      <c r="AN328" s="172"/>
      <c r="AO328" s="172"/>
      <c r="AP328" s="172"/>
    </row>
    <row r="329" spans="1:42" s="175" customFormat="1" hidden="1" x14ac:dyDescent="0.2">
      <c r="A329" s="170" t="s">
        <v>1240</v>
      </c>
      <c r="B329" s="170" t="s">
        <v>1240</v>
      </c>
      <c r="C329" s="170" t="s">
        <v>1240</v>
      </c>
      <c r="D329" s="170" t="s">
        <v>1240</v>
      </c>
      <c r="E329" s="170" t="s">
        <v>1240</v>
      </c>
      <c r="F329" s="170" t="s">
        <v>1240</v>
      </c>
      <c r="G329" s="170" t="s">
        <v>1240</v>
      </c>
      <c r="H329" s="290" t="s">
        <v>1240</v>
      </c>
      <c r="I329" s="177" t="e">
        <f t="shared" si="10"/>
        <v>#VALUE!</v>
      </c>
      <c r="J329" s="171"/>
      <c r="K329" s="170" t="e">
        <f t="shared" si="11"/>
        <v>#VALUE!</v>
      </c>
      <c r="L329" s="170"/>
      <c r="M329" s="170"/>
      <c r="N329" s="170"/>
      <c r="O329" s="170"/>
      <c r="P329" s="170"/>
      <c r="Q329" s="170"/>
      <c r="R329" s="172"/>
      <c r="S329" s="170"/>
      <c r="T329" s="170"/>
      <c r="U329" s="170"/>
      <c r="V329" s="170"/>
      <c r="W329" s="170"/>
      <c r="X329" s="170"/>
      <c r="Y329" s="173"/>
      <c r="Z329" s="170"/>
      <c r="AA329" s="170"/>
      <c r="AB329" s="172"/>
      <c r="AC329" s="202"/>
      <c r="AD329" s="170"/>
      <c r="AE329" s="170"/>
      <c r="AF329" s="170"/>
      <c r="AG329" s="170"/>
      <c r="AH329" s="170"/>
      <c r="AI329" s="170"/>
      <c r="AJ329" s="170"/>
      <c r="AK329" s="174"/>
      <c r="AL329" s="172"/>
      <c r="AM329" s="172"/>
      <c r="AN329" s="172"/>
      <c r="AO329" s="172"/>
      <c r="AP329" s="172"/>
    </row>
    <row r="330" spans="1:42" s="175" customFormat="1" hidden="1" x14ac:dyDescent="0.2">
      <c r="A330" s="170" t="s">
        <v>1240</v>
      </c>
      <c r="B330" s="170" t="s">
        <v>1240</v>
      </c>
      <c r="C330" s="170" t="s">
        <v>1240</v>
      </c>
      <c r="D330" s="170" t="s">
        <v>1240</v>
      </c>
      <c r="E330" s="170" t="s">
        <v>1240</v>
      </c>
      <c r="F330" s="170" t="s">
        <v>1240</v>
      </c>
      <c r="G330" s="170" t="s">
        <v>1240</v>
      </c>
      <c r="H330" s="290" t="s">
        <v>1240</v>
      </c>
      <c r="I330" s="177" t="e">
        <f t="shared" si="10"/>
        <v>#VALUE!</v>
      </c>
      <c r="J330" s="171"/>
      <c r="K330" s="170" t="e">
        <f t="shared" si="11"/>
        <v>#VALUE!</v>
      </c>
      <c r="L330" s="170"/>
      <c r="M330" s="170"/>
      <c r="N330" s="170"/>
      <c r="O330" s="170"/>
      <c r="P330" s="170"/>
      <c r="Q330" s="170"/>
      <c r="R330" s="172"/>
      <c r="S330" s="170"/>
      <c r="T330" s="170"/>
      <c r="U330" s="170"/>
      <c r="V330" s="170"/>
      <c r="W330" s="170"/>
      <c r="X330" s="170"/>
      <c r="Y330" s="173"/>
      <c r="Z330" s="170"/>
      <c r="AA330" s="170"/>
      <c r="AB330" s="172"/>
      <c r="AC330" s="202"/>
      <c r="AD330" s="170"/>
      <c r="AE330" s="170"/>
      <c r="AF330" s="170"/>
      <c r="AG330" s="170"/>
      <c r="AH330" s="170"/>
      <c r="AI330" s="170"/>
      <c r="AJ330" s="170"/>
      <c r="AK330" s="174"/>
      <c r="AL330" s="172"/>
      <c r="AM330" s="172"/>
      <c r="AN330" s="172"/>
      <c r="AO330" s="172"/>
      <c r="AP330" s="172"/>
    </row>
    <row r="331" spans="1:42" s="175" customFormat="1" hidden="1" x14ac:dyDescent="0.2">
      <c r="A331" s="170" t="s">
        <v>1240</v>
      </c>
      <c r="B331" s="170" t="s">
        <v>1240</v>
      </c>
      <c r="C331" s="170" t="s">
        <v>1240</v>
      </c>
      <c r="D331" s="170" t="s">
        <v>1240</v>
      </c>
      <c r="E331" s="170" t="s">
        <v>1240</v>
      </c>
      <c r="F331" s="170" t="s">
        <v>1240</v>
      </c>
      <c r="G331" s="170" t="s">
        <v>1240</v>
      </c>
      <c r="H331" s="290" t="s">
        <v>1240</v>
      </c>
      <c r="I331" s="177" t="e">
        <f t="shared" si="10"/>
        <v>#VALUE!</v>
      </c>
      <c r="J331" s="171"/>
      <c r="K331" s="170" t="e">
        <f t="shared" si="11"/>
        <v>#VALUE!</v>
      </c>
      <c r="L331" s="170"/>
      <c r="M331" s="170"/>
      <c r="N331" s="170"/>
      <c r="O331" s="170"/>
      <c r="P331" s="170"/>
      <c r="Q331" s="170"/>
      <c r="R331" s="172"/>
      <c r="S331" s="170"/>
      <c r="T331" s="170"/>
      <c r="U331" s="170"/>
      <c r="V331" s="170"/>
      <c r="W331" s="170"/>
      <c r="X331" s="170"/>
      <c r="Y331" s="173"/>
      <c r="Z331" s="170"/>
      <c r="AA331" s="170"/>
      <c r="AB331" s="172"/>
      <c r="AC331" s="202"/>
      <c r="AD331" s="170"/>
      <c r="AE331" s="170"/>
      <c r="AF331" s="170"/>
      <c r="AG331" s="170"/>
      <c r="AH331" s="170"/>
      <c r="AI331" s="170"/>
      <c r="AJ331" s="170"/>
      <c r="AK331" s="174"/>
      <c r="AL331" s="172"/>
      <c r="AM331" s="172"/>
      <c r="AN331" s="172"/>
      <c r="AO331" s="172"/>
      <c r="AP331" s="172"/>
    </row>
    <row r="332" spans="1:42" s="175" customFormat="1" hidden="1" x14ac:dyDescent="0.2">
      <c r="A332" s="170" t="s">
        <v>1240</v>
      </c>
      <c r="B332" s="170" t="s">
        <v>1240</v>
      </c>
      <c r="C332" s="170" t="s">
        <v>1240</v>
      </c>
      <c r="D332" s="170" t="s">
        <v>1240</v>
      </c>
      <c r="E332" s="170" t="s">
        <v>1240</v>
      </c>
      <c r="F332" s="170" t="s">
        <v>1240</v>
      </c>
      <c r="G332" s="170" t="s">
        <v>1240</v>
      </c>
      <c r="H332" s="290" t="s">
        <v>1240</v>
      </c>
      <c r="I332" s="177" t="e">
        <f t="shared" si="10"/>
        <v>#VALUE!</v>
      </c>
      <c r="J332" s="171"/>
      <c r="K332" s="170" t="e">
        <f t="shared" si="11"/>
        <v>#VALUE!</v>
      </c>
      <c r="L332" s="170"/>
      <c r="M332" s="170"/>
      <c r="N332" s="170"/>
      <c r="O332" s="170"/>
      <c r="P332" s="170"/>
      <c r="Q332" s="170"/>
      <c r="R332" s="172"/>
      <c r="S332" s="170"/>
      <c r="T332" s="170"/>
      <c r="U332" s="170"/>
      <c r="V332" s="170"/>
      <c r="W332" s="170"/>
      <c r="X332" s="170"/>
      <c r="Y332" s="173"/>
      <c r="Z332" s="170"/>
      <c r="AA332" s="170"/>
      <c r="AB332" s="172"/>
      <c r="AC332" s="202"/>
      <c r="AD332" s="170"/>
      <c r="AE332" s="170"/>
      <c r="AF332" s="170"/>
      <c r="AG332" s="170"/>
      <c r="AH332" s="170"/>
      <c r="AI332" s="170"/>
      <c r="AJ332" s="170"/>
      <c r="AK332" s="174"/>
      <c r="AL332" s="172"/>
      <c r="AM332" s="172"/>
      <c r="AN332" s="172"/>
      <c r="AO332" s="172"/>
      <c r="AP332" s="172"/>
    </row>
    <row r="333" spans="1:42" s="175" customFormat="1" hidden="1" x14ac:dyDescent="0.2">
      <c r="A333" s="170" t="s">
        <v>1240</v>
      </c>
      <c r="B333" s="170" t="s">
        <v>1240</v>
      </c>
      <c r="C333" s="170" t="s">
        <v>1240</v>
      </c>
      <c r="D333" s="170" t="s">
        <v>1240</v>
      </c>
      <c r="E333" s="170" t="s">
        <v>1240</v>
      </c>
      <c r="F333" s="170" t="s">
        <v>1240</v>
      </c>
      <c r="G333" s="170" t="s">
        <v>1240</v>
      </c>
      <c r="H333" s="290" t="s">
        <v>1240</v>
      </c>
      <c r="I333" s="177" t="e">
        <f t="shared" si="10"/>
        <v>#VALUE!</v>
      </c>
      <c r="J333" s="171"/>
      <c r="K333" s="170" t="e">
        <f t="shared" si="11"/>
        <v>#VALUE!</v>
      </c>
      <c r="L333" s="170"/>
      <c r="M333" s="170"/>
      <c r="N333" s="170"/>
      <c r="O333" s="170"/>
      <c r="P333" s="170"/>
      <c r="Q333" s="170"/>
      <c r="R333" s="172"/>
      <c r="S333" s="170"/>
      <c r="T333" s="170"/>
      <c r="U333" s="170"/>
      <c r="V333" s="170"/>
      <c r="W333" s="170"/>
      <c r="X333" s="170"/>
      <c r="Y333" s="173"/>
      <c r="Z333" s="170"/>
      <c r="AA333" s="170"/>
      <c r="AB333" s="172"/>
      <c r="AC333" s="202"/>
      <c r="AD333" s="170"/>
      <c r="AE333" s="170"/>
      <c r="AF333" s="170"/>
      <c r="AG333" s="170"/>
      <c r="AH333" s="170"/>
      <c r="AI333" s="170"/>
      <c r="AJ333" s="170"/>
      <c r="AK333" s="174"/>
      <c r="AL333" s="172"/>
      <c r="AM333" s="172"/>
      <c r="AN333" s="172"/>
      <c r="AO333" s="172"/>
      <c r="AP333" s="172"/>
    </row>
    <row r="334" spans="1:42" s="175" customFormat="1" hidden="1" x14ac:dyDescent="0.2">
      <c r="A334" s="170" t="s">
        <v>1240</v>
      </c>
      <c r="B334" s="170" t="s">
        <v>1240</v>
      </c>
      <c r="C334" s="170" t="s">
        <v>1240</v>
      </c>
      <c r="D334" s="170" t="s">
        <v>1240</v>
      </c>
      <c r="E334" s="170" t="s">
        <v>1240</v>
      </c>
      <c r="F334" s="170" t="s">
        <v>1240</v>
      </c>
      <c r="G334" s="170" t="s">
        <v>1240</v>
      </c>
      <c r="H334" s="290" t="s">
        <v>1240</v>
      </c>
      <c r="I334" s="177" t="e">
        <f t="shared" si="10"/>
        <v>#VALUE!</v>
      </c>
      <c r="J334" s="171"/>
      <c r="K334" s="170" t="e">
        <f t="shared" si="11"/>
        <v>#VALUE!</v>
      </c>
      <c r="L334" s="170"/>
      <c r="M334" s="170"/>
      <c r="N334" s="170"/>
      <c r="O334" s="170"/>
      <c r="P334" s="170"/>
      <c r="Q334" s="170"/>
      <c r="R334" s="172"/>
      <c r="S334" s="170"/>
      <c r="T334" s="170"/>
      <c r="U334" s="170"/>
      <c r="V334" s="170"/>
      <c r="W334" s="170"/>
      <c r="X334" s="170"/>
      <c r="Y334" s="173"/>
      <c r="Z334" s="170"/>
      <c r="AA334" s="170"/>
      <c r="AB334" s="172"/>
      <c r="AC334" s="202"/>
      <c r="AD334" s="170"/>
      <c r="AE334" s="170"/>
      <c r="AF334" s="170"/>
      <c r="AG334" s="170"/>
      <c r="AH334" s="170"/>
      <c r="AI334" s="170"/>
      <c r="AJ334" s="170"/>
      <c r="AK334" s="174"/>
      <c r="AL334" s="172"/>
      <c r="AM334" s="172"/>
      <c r="AN334" s="172"/>
      <c r="AO334" s="172"/>
      <c r="AP334" s="172"/>
    </row>
    <row r="335" spans="1:42" s="175" customFormat="1" hidden="1" x14ac:dyDescent="0.2">
      <c r="A335" s="170" t="s">
        <v>1240</v>
      </c>
      <c r="B335" s="170" t="s">
        <v>1240</v>
      </c>
      <c r="C335" s="170" t="s">
        <v>1240</v>
      </c>
      <c r="D335" s="170" t="s">
        <v>1240</v>
      </c>
      <c r="E335" s="170" t="s">
        <v>1240</v>
      </c>
      <c r="F335" s="170" t="s">
        <v>1240</v>
      </c>
      <c r="G335" s="170" t="s">
        <v>1240</v>
      </c>
      <c r="H335" s="290" t="s">
        <v>1240</v>
      </c>
      <c r="I335" s="177" t="e">
        <f t="shared" si="10"/>
        <v>#VALUE!</v>
      </c>
      <c r="J335" s="171"/>
      <c r="K335" s="170" t="e">
        <f t="shared" si="11"/>
        <v>#VALUE!</v>
      </c>
      <c r="L335" s="170"/>
      <c r="M335" s="170"/>
      <c r="N335" s="170"/>
      <c r="O335" s="170"/>
      <c r="P335" s="170"/>
      <c r="Q335" s="170"/>
      <c r="R335" s="172"/>
      <c r="S335" s="170"/>
      <c r="T335" s="170"/>
      <c r="U335" s="170"/>
      <c r="V335" s="170"/>
      <c r="W335" s="170"/>
      <c r="X335" s="170"/>
      <c r="Y335" s="173"/>
      <c r="Z335" s="170"/>
      <c r="AA335" s="170"/>
      <c r="AB335" s="172"/>
      <c r="AC335" s="202"/>
      <c r="AD335" s="170"/>
      <c r="AE335" s="170"/>
      <c r="AF335" s="170"/>
      <c r="AG335" s="170"/>
      <c r="AH335" s="170"/>
      <c r="AI335" s="170"/>
      <c r="AJ335" s="170"/>
      <c r="AK335" s="174"/>
      <c r="AL335" s="172"/>
      <c r="AM335" s="172"/>
      <c r="AN335" s="172"/>
      <c r="AO335" s="172"/>
      <c r="AP335" s="172"/>
    </row>
    <row r="336" spans="1:42" s="175" customFormat="1" hidden="1" x14ac:dyDescent="0.2">
      <c r="A336" s="170" t="s">
        <v>1240</v>
      </c>
      <c r="B336" s="170" t="s">
        <v>1240</v>
      </c>
      <c r="C336" s="170" t="s">
        <v>1240</v>
      </c>
      <c r="D336" s="170" t="s">
        <v>1240</v>
      </c>
      <c r="E336" s="170" t="s">
        <v>1240</v>
      </c>
      <c r="F336" s="170" t="s">
        <v>1240</v>
      </c>
      <c r="G336" s="170" t="s">
        <v>1240</v>
      </c>
      <c r="H336" s="290" t="s">
        <v>1240</v>
      </c>
      <c r="I336" s="177" t="e">
        <f t="shared" si="10"/>
        <v>#VALUE!</v>
      </c>
      <c r="J336" s="171"/>
      <c r="K336" s="170" t="e">
        <f t="shared" si="11"/>
        <v>#VALUE!</v>
      </c>
      <c r="L336" s="170"/>
      <c r="M336" s="170"/>
      <c r="N336" s="170"/>
      <c r="O336" s="170"/>
      <c r="P336" s="170"/>
      <c r="Q336" s="170"/>
      <c r="R336" s="172"/>
      <c r="S336" s="170"/>
      <c r="T336" s="170"/>
      <c r="U336" s="170"/>
      <c r="V336" s="170"/>
      <c r="W336" s="170"/>
      <c r="X336" s="170"/>
      <c r="Y336" s="173"/>
      <c r="Z336" s="170"/>
      <c r="AA336" s="170"/>
      <c r="AB336" s="172"/>
      <c r="AC336" s="202"/>
      <c r="AD336" s="170"/>
      <c r="AE336" s="170"/>
      <c r="AF336" s="170"/>
      <c r="AG336" s="170"/>
      <c r="AH336" s="170"/>
      <c r="AI336" s="170"/>
      <c r="AJ336" s="170"/>
      <c r="AK336" s="174"/>
      <c r="AL336" s="172"/>
      <c r="AM336" s="172"/>
      <c r="AN336" s="172"/>
      <c r="AO336" s="172"/>
      <c r="AP336" s="172"/>
    </row>
    <row r="337" spans="1:42" s="175" customFormat="1" hidden="1" x14ac:dyDescent="0.2">
      <c r="A337" s="170" t="s">
        <v>1240</v>
      </c>
      <c r="B337" s="170" t="s">
        <v>1240</v>
      </c>
      <c r="C337" s="170" t="s">
        <v>1240</v>
      </c>
      <c r="D337" s="170" t="s">
        <v>1240</v>
      </c>
      <c r="E337" s="170" t="s">
        <v>1240</v>
      </c>
      <c r="F337" s="170" t="s">
        <v>1240</v>
      </c>
      <c r="G337" s="170" t="s">
        <v>1240</v>
      </c>
      <c r="H337" s="290" t="s">
        <v>1240</v>
      </c>
      <c r="I337" s="177" t="e">
        <f t="shared" si="10"/>
        <v>#VALUE!</v>
      </c>
      <c r="J337" s="171"/>
      <c r="K337" s="170" t="e">
        <f t="shared" si="11"/>
        <v>#VALUE!</v>
      </c>
      <c r="L337" s="170"/>
      <c r="M337" s="170"/>
      <c r="N337" s="170"/>
      <c r="O337" s="170"/>
      <c r="P337" s="170"/>
      <c r="Q337" s="170"/>
      <c r="R337" s="172"/>
      <c r="S337" s="170"/>
      <c r="T337" s="170"/>
      <c r="U337" s="170"/>
      <c r="V337" s="170"/>
      <c r="W337" s="170"/>
      <c r="X337" s="170"/>
      <c r="Y337" s="173"/>
      <c r="Z337" s="170"/>
      <c r="AA337" s="170"/>
      <c r="AB337" s="172"/>
      <c r="AC337" s="202"/>
      <c r="AD337" s="170"/>
      <c r="AE337" s="170"/>
      <c r="AF337" s="170"/>
      <c r="AG337" s="170"/>
      <c r="AH337" s="170"/>
      <c r="AI337" s="170"/>
      <c r="AJ337" s="170"/>
      <c r="AK337" s="174"/>
      <c r="AL337" s="172"/>
      <c r="AM337" s="172"/>
      <c r="AN337" s="172"/>
      <c r="AO337" s="172"/>
      <c r="AP337" s="172"/>
    </row>
    <row r="338" spans="1:42" s="175" customFormat="1" hidden="1" x14ac:dyDescent="0.2">
      <c r="A338" s="170" t="s">
        <v>1240</v>
      </c>
      <c r="B338" s="170" t="s">
        <v>1240</v>
      </c>
      <c r="C338" s="170" t="s">
        <v>1240</v>
      </c>
      <c r="D338" s="170" t="s">
        <v>1240</v>
      </c>
      <c r="E338" s="170" t="s">
        <v>1240</v>
      </c>
      <c r="F338" s="170" t="s">
        <v>1240</v>
      </c>
      <c r="G338" s="170" t="s">
        <v>1240</v>
      </c>
      <c r="H338" s="290" t="s">
        <v>1240</v>
      </c>
      <c r="I338" s="177" t="e">
        <f t="shared" si="10"/>
        <v>#VALUE!</v>
      </c>
      <c r="J338" s="171"/>
      <c r="K338" s="170" t="e">
        <f t="shared" si="11"/>
        <v>#VALUE!</v>
      </c>
      <c r="L338" s="170"/>
      <c r="M338" s="170"/>
      <c r="N338" s="170"/>
      <c r="O338" s="170"/>
      <c r="P338" s="170"/>
      <c r="Q338" s="170"/>
      <c r="R338" s="172"/>
      <c r="S338" s="170"/>
      <c r="T338" s="170"/>
      <c r="U338" s="170"/>
      <c r="V338" s="170"/>
      <c r="W338" s="170"/>
      <c r="X338" s="170"/>
      <c r="Y338" s="173"/>
      <c r="Z338" s="170"/>
      <c r="AA338" s="170"/>
      <c r="AB338" s="172"/>
      <c r="AC338" s="202"/>
      <c r="AD338" s="170"/>
      <c r="AE338" s="170"/>
      <c r="AF338" s="170"/>
      <c r="AG338" s="170"/>
      <c r="AH338" s="170"/>
      <c r="AI338" s="170"/>
      <c r="AJ338" s="170"/>
      <c r="AK338" s="174"/>
      <c r="AL338" s="172"/>
      <c r="AM338" s="172"/>
      <c r="AN338" s="172"/>
      <c r="AO338" s="172"/>
      <c r="AP338" s="172"/>
    </row>
    <row r="339" spans="1:42" s="175" customFormat="1" hidden="1" x14ac:dyDescent="0.2">
      <c r="A339" s="170" t="s">
        <v>1240</v>
      </c>
      <c r="B339" s="170" t="s">
        <v>1240</v>
      </c>
      <c r="C339" s="170" t="s">
        <v>1240</v>
      </c>
      <c r="D339" s="170" t="s">
        <v>1240</v>
      </c>
      <c r="E339" s="170" t="s">
        <v>1240</v>
      </c>
      <c r="F339" s="170" t="s">
        <v>1240</v>
      </c>
      <c r="G339" s="170" t="s">
        <v>1240</v>
      </c>
      <c r="H339" s="290" t="s">
        <v>1240</v>
      </c>
      <c r="I339" s="177" t="e">
        <f t="shared" si="10"/>
        <v>#VALUE!</v>
      </c>
      <c r="J339" s="171"/>
      <c r="K339" s="170" t="e">
        <f t="shared" si="11"/>
        <v>#VALUE!</v>
      </c>
      <c r="L339" s="170"/>
      <c r="M339" s="170"/>
      <c r="N339" s="170"/>
      <c r="O339" s="170"/>
      <c r="P339" s="170"/>
      <c r="Q339" s="170"/>
      <c r="R339" s="172"/>
      <c r="S339" s="170"/>
      <c r="T339" s="170"/>
      <c r="U339" s="170"/>
      <c r="V339" s="170"/>
      <c r="W339" s="170"/>
      <c r="X339" s="170"/>
      <c r="Y339" s="173"/>
      <c r="Z339" s="170"/>
      <c r="AA339" s="170"/>
      <c r="AB339" s="172"/>
      <c r="AC339" s="202"/>
      <c r="AD339" s="170"/>
      <c r="AE339" s="170"/>
      <c r="AF339" s="170"/>
      <c r="AG339" s="170"/>
      <c r="AH339" s="170"/>
      <c r="AI339" s="170"/>
      <c r="AJ339" s="170"/>
      <c r="AK339" s="174"/>
      <c r="AL339" s="172"/>
      <c r="AM339" s="172"/>
      <c r="AN339" s="172"/>
      <c r="AO339" s="172"/>
      <c r="AP339" s="172"/>
    </row>
    <row r="340" spans="1:42" s="175" customFormat="1" hidden="1" x14ac:dyDescent="0.2">
      <c r="A340" s="170" t="s">
        <v>1240</v>
      </c>
      <c r="B340" s="170" t="s">
        <v>1240</v>
      </c>
      <c r="C340" s="170" t="s">
        <v>1240</v>
      </c>
      <c r="D340" s="170" t="s">
        <v>1240</v>
      </c>
      <c r="E340" s="170" t="s">
        <v>1240</v>
      </c>
      <c r="F340" s="170" t="s">
        <v>1240</v>
      </c>
      <c r="G340" s="170" t="s">
        <v>1240</v>
      </c>
      <c r="H340" s="290" t="s">
        <v>1240</v>
      </c>
      <c r="I340" s="177" t="e">
        <f t="shared" si="10"/>
        <v>#VALUE!</v>
      </c>
      <c r="J340" s="171"/>
      <c r="K340" s="170" t="e">
        <f t="shared" si="11"/>
        <v>#VALUE!</v>
      </c>
      <c r="L340" s="170"/>
      <c r="M340" s="170"/>
      <c r="N340" s="170"/>
      <c r="O340" s="170"/>
      <c r="P340" s="170"/>
      <c r="Q340" s="170"/>
      <c r="R340" s="172"/>
      <c r="S340" s="170"/>
      <c r="T340" s="170"/>
      <c r="U340" s="170"/>
      <c r="V340" s="170"/>
      <c r="W340" s="170"/>
      <c r="X340" s="170"/>
      <c r="Y340" s="173"/>
      <c r="Z340" s="170"/>
      <c r="AA340" s="170"/>
      <c r="AB340" s="172"/>
      <c r="AC340" s="202"/>
      <c r="AD340" s="170"/>
      <c r="AE340" s="170"/>
      <c r="AF340" s="170"/>
      <c r="AG340" s="170"/>
      <c r="AH340" s="170"/>
      <c r="AI340" s="170"/>
      <c r="AJ340" s="170"/>
      <c r="AK340" s="174"/>
      <c r="AL340" s="172"/>
      <c r="AM340" s="172"/>
      <c r="AN340" s="172"/>
      <c r="AO340" s="172"/>
      <c r="AP340" s="172"/>
    </row>
    <row r="341" spans="1:42" s="175" customFormat="1" hidden="1" x14ac:dyDescent="0.2">
      <c r="A341" s="170" t="s">
        <v>1240</v>
      </c>
      <c r="B341" s="170" t="s">
        <v>1240</v>
      </c>
      <c r="C341" s="170" t="s">
        <v>1240</v>
      </c>
      <c r="D341" s="170" t="s">
        <v>1240</v>
      </c>
      <c r="E341" s="170" t="s">
        <v>1240</v>
      </c>
      <c r="F341" s="170" t="s">
        <v>1240</v>
      </c>
      <c r="G341" s="170" t="s">
        <v>1240</v>
      </c>
      <c r="H341" s="290" t="s">
        <v>1240</v>
      </c>
      <c r="I341" s="177" t="e">
        <f t="shared" si="10"/>
        <v>#VALUE!</v>
      </c>
      <c r="J341" s="171"/>
      <c r="K341" s="170" t="e">
        <f t="shared" si="11"/>
        <v>#VALUE!</v>
      </c>
      <c r="L341" s="170"/>
      <c r="M341" s="170"/>
      <c r="N341" s="170"/>
      <c r="O341" s="170"/>
      <c r="P341" s="170"/>
      <c r="Q341" s="170"/>
      <c r="R341" s="172"/>
      <c r="S341" s="170"/>
      <c r="T341" s="170"/>
      <c r="U341" s="170"/>
      <c r="V341" s="170"/>
      <c r="W341" s="170"/>
      <c r="X341" s="170"/>
      <c r="Y341" s="173"/>
      <c r="Z341" s="170"/>
      <c r="AA341" s="170"/>
      <c r="AB341" s="172"/>
      <c r="AC341" s="202"/>
      <c r="AD341" s="170"/>
      <c r="AE341" s="170"/>
      <c r="AF341" s="170"/>
      <c r="AG341" s="170"/>
      <c r="AH341" s="170"/>
      <c r="AI341" s="170"/>
      <c r="AJ341" s="170"/>
      <c r="AK341" s="174"/>
      <c r="AL341" s="172"/>
      <c r="AM341" s="172"/>
      <c r="AN341" s="172"/>
      <c r="AO341" s="172"/>
      <c r="AP341" s="172"/>
    </row>
    <row r="342" spans="1:42" s="175" customFormat="1" hidden="1" x14ac:dyDescent="0.2">
      <c r="A342" s="170" t="s">
        <v>1240</v>
      </c>
      <c r="B342" s="170" t="s">
        <v>1240</v>
      </c>
      <c r="C342" s="170" t="s">
        <v>1240</v>
      </c>
      <c r="D342" s="170" t="s">
        <v>1240</v>
      </c>
      <c r="E342" s="170" t="s">
        <v>1240</v>
      </c>
      <c r="F342" s="170" t="s">
        <v>1240</v>
      </c>
      <c r="G342" s="170" t="s">
        <v>1240</v>
      </c>
      <c r="H342" s="290" t="s">
        <v>1240</v>
      </c>
      <c r="I342" s="177" t="e">
        <f t="shared" si="10"/>
        <v>#VALUE!</v>
      </c>
      <c r="J342" s="171"/>
      <c r="K342" s="170" t="e">
        <f t="shared" si="11"/>
        <v>#VALUE!</v>
      </c>
      <c r="L342" s="170"/>
      <c r="M342" s="170"/>
      <c r="N342" s="170"/>
      <c r="O342" s="170"/>
      <c r="P342" s="170"/>
      <c r="Q342" s="170"/>
      <c r="R342" s="172"/>
      <c r="S342" s="170"/>
      <c r="T342" s="170"/>
      <c r="U342" s="170"/>
      <c r="V342" s="170"/>
      <c r="W342" s="170"/>
      <c r="X342" s="170"/>
      <c r="Y342" s="173"/>
      <c r="Z342" s="170"/>
      <c r="AA342" s="170"/>
      <c r="AB342" s="172"/>
      <c r="AC342" s="202"/>
      <c r="AD342" s="170"/>
      <c r="AE342" s="170"/>
      <c r="AF342" s="170"/>
      <c r="AG342" s="170"/>
      <c r="AH342" s="170"/>
      <c r="AI342" s="170"/>
      <c r="AJ342" s="170"/>
      <c r="AK342" s="174"/>
      <c r="AL342" s="172"/>
      <c r="AM342" s="172"/>
      <c r="AN342" s="172"/>
      <c r="AO342" s="172"/>
      <c r="AP342" s="172"/>
    </row>
    <row r="343" spans="1:42" s="175" customFormat="1" hidden="1" x14ac:dyDescent="0.2">
      <c r="A343" s="170" t="s">
        <v>1240</v>
      </c>
      <c r="B343" s="170" t="s">
        <v>1240</v>
      </c>
      <c r="C343" s="170" t="s">
        <v>1240</v>
      </c>
      <c r="D343" s="170" t="s">
        <v>1240</v>
      </c>
      <c r="E343" s="170" t="s">
        <v>1240</v>
      </c>
      <c r="F343" s="170" t="s">
        <v>1240</v>
      </c>
      <c r="G343" s="170" t="s">
        <v>1240</v>
      </c>
      <c r="H343" s="290" t="s">
        <v>1240</v>
      </c>
      <c r="I343" s="177" t="e">
        <f t="shared" si="10"/>
        <v>#VALUE!</v>
      </c>
      <c r="J343" s="171"/>
      <c r="K343" s="170" t="e">
        <f t="shared" si="11"/>
        <v>#VALUE!</v>
      </c>
      <c r="L343" s="170"/>
      <c r="M343" s="170"/>
      <c r="N343" s="170"/>
      <c r="O343" s="170"/>
      <c r="P343" s="170"/>
      <c r="Q343" s="170"/>
      <c r="R343" s="172"/>
      <c r="S343" s="170"/>
      <c r="T343" s="170"/>
      <c r="U343" s="170"/>
      <c r="V343" s="170"/>
      <c r="W343" s="170"/>
      <c r="X343" s="170"/>
      <c r="Y343" s="173"/>
      <c r="Z343" s="170"/>
      <c r="AA343" s="170"/>
      <c r="AB343" s="172"/>
      <c r="AC343" s="202"/>
      <c r="AD343" s="170"/>
      <c r="AE343" s="170"/>
      <c r="AF343" s="170"/>
      <c r="AG343" s="170"/>
      <c r="AH343" s="170"/>
      <c r="AI343" s="170"/>
      <c r="AJ343" s="170"/>
      <c r="AK343" s="174"/>
      <c r="AL343" s="172"/>
      <c r="AM343" s="172"/>
      <c r="AN343" s="172"/>
      <c r="AO343" s="172"/>
      <c r="AP343" s="172"/>
    </row>
    <row r="344" spans="1:42" s="175" customFormat="1" hidden="1" x14ac:dyDescent="0.2">
      <c r="A344" s="170" t="s">
        <v>1240</v>
      </c>
      <c r="B344" s="170" t="s">
        <v>1240</v>
      </c>
      <c r="C344" s="170" t="s">
        <v>1240</v>
      </c>
      <c r="D344" s="170" t="s">
        <v>1240</v>
      </c>
      <c r="E344" s="170" t="s">
        <v>1240</v>
      </c>
      <c r="F344" s="170" t="s">
        <v>1240</v>
      </c>
      <c r="G344" s="170" t="s">
        <v>1240</v>
      </c>
      <c r="H344" s="290" t="s">
        <v>1240</v>
      </c>
      <c r="I344" s="177" t="e">
        <f t="shared" si="10"/>
        <v>#VALUE!</v>
      </c>
      <c r="J344" s="171"/>
      <c r="K344" s="170" t="e">
        <f t="shared" si="11"/>
        <v>#VALUE!</v>
      </c>
      <c r="L344" s="170"/>
      <c r="M344" s="170"/>
      <c r="N344" s="170"/>
      <c r="O344" s="170"/>
      <c r="P344" s="170"/>
      <c r="Q344" s="170"/>
      <c r="R344" s="172"/>
      <c r="S344" s="170"/>
      <c r="T344" s="170"/>
      <c r="U344" s="170"/>
      <c r="V344" s="170"/>
      <c r="W344" s="170"/>
      <c r="X344" s="170"/>
      <c r="Y344" s="173"/>
      <c r="Z344" s="170"/>
      <c r="AA344" s="170"/>
      <c r="AB344" s="172"/>
      <c r="AC344" s="202"/>
      <c r="AD344" s="170"/>
      <c r="AE344" s="170"/>
      <c r="AF344" s="170"/>
      <c r="AG344" s="170"/>
      <c r="AH344" s="170"/>
      <c r="AI344" s="170"/>
      <c r="AJ344" s="170"/>
      <c r="AK344" s="174"/>
      <c r="AL344" s="172"/>
      <c r="AM344" s="172"/>
      <c r="AN344" s="172"/>
      <c r="AO344" s="172"/>
      <c r="AP344" s="172"/>
    </row>
    <row r="345" spans="1:42" s="175" customFormat="1" hidden="1" x14ac:dyDescent="0.2">
      <c r="A345" s="170" t="s">
        <v>1240</v>
      </c>
      <c r="B345" s="170" t="s">
        <v>1240</v>
      </c>
      <c r="C345" s="170" t="s">
        <v>1240</v>
      </c>
      <c r="D345" s="170" t="s">
        <v>1240</v>
      </c>
      <c r="E345" s="170" t="s">
        <v>1240</v>
      </c>
      <c r="F345" s="170" t="s">
        <v>1240</v>
      </c>
      <c r="G345" s="170" t="s">
        <v>1240</v>
      </c>
      <c r="H345" s="290" t="s">
        <v>1240</v>
      </c>
      <c r="I345" s="177" t="e">
        <f t="shared" si="10"/>
        <v>#VALUE!</v>
      </c>
      <c r="J345" s="171"/>
      <c r="K345" s="170" t="e">
        <f t="shared" si="11"/>
        <v>#VALUE!</v>
      </c>
      <c r="L345" s="170"/>
      <c r="M345" s="170"/>
      <c r="N345" s="170"/>
      <c r="O345" s="170"/>
      <c r="P345" s="170"/>
      <c r="Q345" s="170"/>
      <c r="R345" s="172"/>
      <c r="S345" s="170"/>
      <c r="T345" s="170"/>
      <c r="U345" s="170"/>
      <c r="V345" s="170"/>
      <c r="W345" s="170"/>
      <c r="X345" s="170"/>
      <c r="Y345" s="173"/>
      <c r="Z345" s="170"/>
      <c r="AA345" s="170"/>
      <c r="AB345" s="172"/>
      <c r="AC345" s="202"/>
      <c r="AD345" s="170"/>
      <c r="AE345" s="170"/>
      <c r="AF345" s="170"/>
      <c r="AG345" s="170"/>
      <c r="AH345" s="170"/>
      <c r="AI345" s="170"/>
      <c r="AJ345" s="170"/>
      <c r="AK345" s="174"/>
      <c r="AL345" s="172"/>
      <c r="AM345" s="172"/>
      <c r="AN345" s="172"/>
      <c r="AO345" s="172"/>
      <c r="AP345" s="172"/>
    </row>
    <row r="346" spans="1:42" s="175" customFormat="1" hidden="1" x14ac:dyDescent="0.2">
      <c r="A346" s="170" t="s">
        <v>1240</v>
      </c>
      <c r="B346" s="170" t="s">
        <v>1240</v>
      </c>
      <c r="C346" s="170" t="s">
        <v>1240</v>
      </c>
      <c r="D346" s="170" t="s">
        <v>1240</v>
      </c>
      <c r="E346" s="170" t="s">
        <v>1240</v>
      </c>
      <c r="F346" s="170" t="s">
        <v>1240</v>
      </c>
      <c r="G346" s="170" t="s">
        <v>1240</v>
      </c>
      <c r="H346" s="290" t="s">
        <v>1240</v>
      </c>
      <c r="I346" s="177" t="e">
        <f t="shared" si="10"/>
        <v>#VALUE!</v>
      </c>
      <c r="J346" s="171"/>
      <c r="K346" s="170" t="e">
        <f t="shared" si="11"/>
        <v>#VALUE!</v>
      </c>
      <c r="L346" s="170"/>
      <c r="M346" s="170"/>
      <c r="N346" s="170"/>
      <c r="O346" s="170"/>
      <c r="P346" s="170"/>
      <c r="Q346" s="170"/>
      <c r="R346" s="172"/>
      <c r="S346" s="170"/>
      <c r="T346" s="170"/>
      <c r="U346" s="170"/>
      <c r="V346" s="170"/>
      <c r="W346" s="170"/>
      <c r="X346" s="170"/>
      <c r="Y346" s="173"/>
      <c r="Z346" s="170"/>
      <c r="AA346" s="170"/>
      <c r="AB346" s="172"/>
      <c r="AC346" s="202"/>
      <c r="AD346" s="170"/>
      <c r="AE346" s="170"/>
      <c r="AF346" s="170"/>
      <c r="AG346" s="170"/>
      <c r="AH346" s="170"/>
      <c r="AI346" s="170"/>
      <c r="AJ346" s="170"/>
      <c r="AK346" s="174"/>
      <c r="AL346" s="172"/>
      <c r="AM346" s="172"/>
      <c r="AN346" s="172"/>
      <c r="AO346" s="172"/>
      <c r="AP346" s="172"/>
    </row>
    <row r="347" spans="1:42" s="175" customFormat="1" hidden="1" x14ac:dyDescent="0.2">
      <c r="A347" s="170" t="s">
        <v>1240</v>
      </c>
      <c r="B347" s="170" t="s">
        <v>1240</v>
      </c>
      <c r="C347" s="170" t="s">
        <v>1240</v>
      </c>
      <c r="D347" s="170" t="s">
        <v>1240</v>
      </c>
      <c r="E347" s="170" t="s">
        <v>1240</v>
      </c>
      <c r="F347" s="170" t="s">
        <v>1240</v>
      </c>
      <c r="G347" s="170" t="s">
        <v>1240</v>
      </c>
      <c r="H347" s="290" t="s">
        <v>1240</v>
      </c>
      <c r="I347" s="177" t="e">
        <f t="shared" ref="I347:I356" si="12">DATEDIF(H347,J347,"m")</f>
        <v>#VALUE!</v>
      </c>
      <c r="J347" s="171"/>
      <c r="K347" s="170" t="e">
        <f t="shared" si="11"/>
        <v>#VALUE!</v>
      </c>
      <c r="L347" s="170"/>
      <c r="M347" s="170"/>
      <c r="N347" s="170"/>
      <c r="O347" s="170"/>
      <c r="P347" s="170"/>
      <c r="Q347" s="170"/>
      <c r="R347" s="172"/>
      <c r="S347" s="170"/>
      <c r="T347" s="170"/>
      <c r="U347" s="170"/>
      <c r="V347" s="170"/>
      <c r="W347" s="170"/>
      <c r="X347" s="170"/>
      <c r="Y347" s="173"/>
      <c r="Z347" s="170"/>
      <c r="AA347" s="170"/>
      <c r="AB347" s="172"/>
      <c r="AC347" s="202"/>
      <c r="AD347" s="170"/>
      <c r="AE347" s="170"/>
      <c r="AF347" s="170"/>
      <c r="AG347" s="170"/>
      <c r="AH347" s="170"/>
      <c r="AI347" s="170"/>
      <c r="AJ347" s="170"/>
      <c r="AK347" s="174"/>
      <c r="AL347" s="172"/>
      <c r="AM347" s="172"/>
      <c r="AN347" s="172"/>
      <c r="AO347" s="172"/>
      <c r="AP347" s="172"/>
    </row>
    <row r="348" spans="1:42" s="175" customFormat="1" hidden="1" x14ac:dyDescent="0.2">
      <c r="A348" s="170" t="s">
        <v>1240</v>
      </c>
      <c r="B348" s="170" t="s">
        <v>1240</v>
      </c>
      <c r="C348" s="170" t="s">
        <v>1240</v>
      </c>
      <c r="D348" s="170" t="s">
        <v>1240</v>
      </c>
      <c r="E348" s="170" t="s">
        <v>1240</v>
      </c>
      <c r="F348" s="170" t="s">
        <v>1240</v>
      </c>
      <c r="G348" s="170" t="s">
        <v>1240</v>
      </c>
      <c r="H348" s="290" t="s">
        <v>1240</v>
      </c>
      <c r="I348" s="177" t="e">
        <f t="shared" si="12"/>
        <v>#VALUE!</v>
      </c>
      <c r="J348" s="171"/>
      <c r="K348" s="170" t="e">
        <f t="shared" si="11"/>
        <v>#VALUE!</v>
      </c>
      <c r="L348" s="170"/>
      <c r="M348" s="170"/>
      <c r="N348" s="170"/>
      <c r="O348" s="170"/>
      <c r="P348" s="170"/>
      <c r="Q348" s="170"/>
      <c r="R348" s="172"/>
      <c r="S348" s="170"/>
      <c r="T348" s="170"/>
      <c r="U348" s="170"/>
      <c r="V348" s="170"/>
      <c r="W348" s="170"/>
      <c r="X348" s="170"/>
      <c r="Y348" s="173"/>
      <c r="Z348" s="170"/>
      <c r="AA348" s="170"/>
      <c r="AB348" s="172"/>
      <c r="AC348" s="202"/>
      <c r="AD348" s="170"/>
      <c r="AE348" s="170"/>
      <c r="AF348" s="170"/>
      <c r="AG348" s="170"/>
      <c r="AH348" s="170"/>
      <c r="AI348" s="170"/>
      <c r="AJ348" s="170"/>
      <c r="AK348" s="174"/>
      <c r="AL348" s="172"/>
      <c r="AM348" s="172"/>
      <c r="AN348" s="172"/>
      <c r="AO348" s="172"/>
      <c r="AP348" s="172"/>
    </row>
    <row r="349" spans="1:42" s="175" customFormat="1" hidden="1" x14ac:dyDescent="0.2">
      <c r="A349" s="170" t="s">
        <v>1240</v>
      </c>
      <c r="B349" s="170" t="s">
        <v>1240</v>
      </c>
      <c r="C349" s="170" t="s">
        <v>1240</v>
      </c>
      <c r="D349" s="170" t="s">
        <v>1240</v>
      </c>
      <c r="E349" s="170" t="s">
        <v>1240</v>
      </c>
      <c r="F349" s="170" t="s">
        <v>1240</v>
      </c>
      <c r="G349" s="170" t="s">
        <v>1240</v>
      </c>
      <c r="H349" s="290" t="s">
        <v>1240</v>
      </c>
      <c r="I349" s="177" t="e">
        <f t="shared" si="12"/>
        <v>#VALUE!</v>
      </c>
      <c r="J349" s="171"/>
      <c r="K349" s="170" t="e">
        <f t="shared" si="11"/>
        <v>#VALUE!</v>
      </c>
      <c r="L349" s="170"/>
      <c r="M349" s="170"/>
      <c r="N349" s="170"/>
      <c r="O349" s="170"/>
      <c r="P349" s="170"/>
      <c r="Q349" s="170"/>
      <c r="R349" s="172"/>
      <c r="S349" s="170"/>
      <c r="T349" s="170"/>
      <c r="U349" s="170"/>
      <c r="V349" s="170"/>
      <c r="W349" s="170"/>
      <c r="X349" s="170"/>
      <c r="Y349" s="173"/>
      <c r="Z349" s="170"/>
      <c r="AA349" s="170"/>
      <c r="AB349" s="172"/>
      <c r="AC349" s="202"/>
      <c r="AD349" s="170"/>
      <c r="AE349" s="170"/>
      <c r="AF349" s="170"/>
      <c r="AG349" s="170"/>
      <c r="AH349" s="170"/>
      <c r="AI349" s="170"/>
      <c r="AJ349" s="170"/>
      <c r="AK349" s="174"/>
      <c r="AL349" s="172"/>
      <c r="AM349" s="172"/>
      <c r="AN349" s="172"/>
      <c r="AO349" s="172"/>
      <c r="AP349" s="172"/>
    </row>
    <row r="350" spans="1:42" s="175" customFormat="1" hidden="1" x14ac:dyDescent="0.2">
      <c r="A350" s="170" t="s">
        <v>1240</v>
      </c>
      <c r="B350" s="170" t="s">
        <v>1240</v>
      </c>
      <c r="C350" s="170" t="s">
        <v>1240</v>
      </c>
      <c r="D350" s="170" t="s">
        <v>1240</v>
      </c>
      <c r="E350" s="170" t="s">
        <v>1240</v>
      </c>
      <c r="F350" s="170" t="s">
        <v>1240</v>
      </c>
      <c r="G350" s="170" t="s">
        <v>1240</v>
      </c>
      <c r="H350" s="290" t="s">
        <v>1240</v>
      </c>
      <c r="I350" s="177" t="e">
        <f t="shared" si="12"/>
        <v>#VALUE!</v>
      </c>
      <c r="J350" s="171"/>
      <c r="K350" s="170" t="e">
        <f t="shared" si="11"/>
        <v>#VALUE!</v>
      </c>
      <c r="L350" s="170"/>
      <c r="M350" s="170"/>
      <c r="N350" s="170"/>
      <c r="O350" s="170"/>
      <c r="P350" s="170"/>
      <c r="Q350" s="170"/>
      <c r="R350" s="172"/>
      <c r="S350" s="170"/>
      <c r="T350" s="170"/>
      <c r="U350" s="170"/>
      <c r="V350" s="170"/>
      <c r="W350" s="170"/>
      <c r="X350" s="170"/>
      <c r="Y350" s="173"/>
      <c r="Z350" s="170"/>
      <c r="AA350" s="170"/>
      <c r="AB350" s="172"/>
      <c r="AC350" s="202"/>
      <c r="AD350" s="170"/>
      <c r="AE350" s="170"/>
      <c r="AF350" s="170"/>
      <c r="AG350" s="170"/>
      <c r="AH350" s="170"/>
      <c r="AI350" s="170"/>
      <c r="AJ350" s="170"/>
      <c r="AK350" s="174"/>
      <c r="AL350" s="172"/>
      <c r="AM350" s="172"/>
      <c r="AN350" s="172"/>
      <c r="AO350" s="172"/>
      <c r="AP350" s="172"/>
    </row>
    <row r="351" spans="1:42" s="175" customFormat="1" hidden="1" x14ac:dyDescent="0.2">
      <c r="A351" s="170" t="s">
        <v>1240</v>
      </c>
      <c r="B351" s="170" t="s">
        <v>1240</v>
      </c>
      <c r="C351" s="170" t="s">
        <v>1240</v>
      </c>
      <c r="D351" s="170" t="s">
        <v>1240</v>
      </c>
      <c r="E351" s="170" t="s">
        <v>1240</v>
      </c>
      <c r="F351" s="170" t="s">
        <v>1240</v>
      </c>
      <c r="G351" s="170" t="s">
        <v>1240</v>
      </c>
      <c r="H351" s="290" t="s">
        <v>1240</v>
      </c>
      <c r="I351" s="177" t="e">
        <f t="shared" si="12"/>
        <v>#VALUE!</v>
      </c>
      <c r="J351" s="171"/>
      <c r="K351" s="170" t="e">
        <f t="shared" si="11"/>
        <v>#VALUE!</v>
      </c>
      <c r="L351" s="170"/>
      <c r="M351" s="170"/>
      <c r="N351" s="170"/>
      <c r="O351" s="170"/>
      <c r="P351" s="170"/>
      <c r="Q351" s="170"/>
      <c r="R351" s="172"/>
      <c r="S351" s="170"/>
      <c r="T351" s="170"/>
      <c r="U351" s="170"/>
      <c r="V351" s="170"/>
      <c r="W351" s="170"/>
      <c r="X351" s="170"/>
      <c r="Y351" s="173"/>
      <c r="Z351" s="170"/>
      <c r="AA351" s="170"/>
      <c r="AB351" s="172"/>
      <c r="AC351" s="202"/>
      <c r="AD351" s="170"/>
      <c r="AE351" s="170"/>
      <c r="AF351" s="170"/>
      <c r="AG351" s="170"/>
      <c r="AH351" s="170"/>
      <c r="AI351" s="170"/>
      <c r="AJ351" s="170"/>
      <c r="AK351" s="174"/>
      <c r="AL351" s="172"/>
      <c r="AM351" s="172"/>
      <c r="AN351" s="172"/>
      <c r="AO351" s="172"/>
      <c r="AP351" s="172"/>
    </row>
    <row r="352" spans="1:42" s="175" customFormat="1" hidden="1" x14ac:dyDescent="0.2">
      <c r="A352" s="170" t="s">
        <v>1240</v>
      </c>
      <c r="B352" s="170" t="s">
        <v>1240</v>
      </c>
      <c r="C352" s="170" t="s">
        <v>1240</v>
      </c>
      <c r="D352" s="170" t="s">
        <v>1240</v>
      </c>
      <c r="E352" s="170" t="s">
        <v>1240</v>
      </c>
      <c r="F352" s="170" t="s">
        <v>1240</v>
      </c>
      <c r="G352" s="170" t="s">
        <v>1240</v>
      </c>
      <c r="H352" s="290" t="s">
        <v>1240</v>
      </c>
      <c r="I352" s="177" t="e">
        <f t="shared" si="12"/>
        <v>#VALUE!</v>
      </c>
      <c r="J352" s="171"/>
      <c r="K352" s="170" t="e">
        <f t="shared" si="11"/>
        <v>#VALUE!</v>
      </c>
      <c r="L352" s="170"/>
      <c r="M352" s="170"/>
      <c r="N352" s="170"/>
      <c r="O352" s="170"/>
      <c r="P352" s="170"/>
      <c r="Q352" s="170"/>
      <c r="R352" s="172"/>
      <c r="S352" s="170"/>
      <c r="T352" s="170"/>
      <c r="U352" s="170"/>
      <c r="V352" s="170"/>
      <c r="W352" s="170"/>
      <c r="X352" s="170"/>
      <c r="Y352" s="173"/>
      <c r="Z352" s="170"/>
      <c r="AA352" s="170"/>
      <c r="AB352" s="172"/>
      <c r="AC352" s="202"/>
      <c r="AD352" s="170"/>
      <c r="AE352" s="170"/>
      <c r="AF352" s="170"/>
      <c r="AG352" s="170"/>
      <c r="AH352" s="170"/>
      <c r="AI352" s="170"/>
      <c r="AJ352" s="170"/>
      <c r="AK352" s="174"/>
      <c r="AL352" s="172"/>
      <c r="AM352" s="172"/>
      <c r="AN352" s="172"/>
      <c r="AO352" s="172"/>
      <c r="AP352" s="172"/>
    </row>
    <row r="353" spans="1:42" s="175" customFormat="1" hidden="1" x14ac:dyDescent="0.2">
      <c r="A353" s="170" t="s">
        <v>1240</v>
      </c>
      <c r="B353" s="170" t="s">
        <v>1240</v>
      </c>
      <c r="C353" s="170" t="s">
        <v>1240</v>
      </c>
      <c r="D353" s="170" t="s">
        <v>1240</v>
      </c>
      <c r="E353" s="170" t="s">
        <v>1240</v>
      </c>
      <c r="F353" s="170" t="s">
        <v>1240</v>
      </c>
      <c r="G353" s="170" t="s">
        <v>1240</v>
      </c>
      <c r="H353" s="290" t="s">
        <v>1240</v>
      </c>
      <c r="I353" s="177" t="e">
        <f t="shared" si="12"/>
        <v>#VALUE!</v>
      </c>
      <c r="J353" s="171"/>
      <c r="K353" s="170" t="e">
        <f t="shared" si="11"/>
        <v>#VALUE!</v>
      </c>
      <c r="L353" s="170"/>
      <c r="M353" s="170"/>
      <c r="N353" s="170"/>
      <c r="O353" s="170"/>
      <c r="P353" s="170"/>
      <c r="Q353" s="170"/>
      <c r="R353" s="172"/>
      <c r="S353" s="170"/>
      <c r="T353" s="170"/>
      <c r="U353" s="170"/>
      <c r="V353" s="170"/>
      <c r="W353" s="170"/>
      <c r="X353" s="170"/>
      <c r="Y353" s="173"/>
      <c r="Z353" s="170"/>
      <c r="AA353" s="170"/>
      <c r="AB353" s="172"/>
      <c r="AC353" s="202"/>
      <c r="AD353" s="170"/>
      <c r="AE353" s="170"/>
      <c r="AF353" s="170"/>
      <c r="AG353" s="170"/>
      <c r="AH353" s="170"/>
      <c r="AI353" s="170"/>
      <c r="AJ353" s="170"/>
      <c r="AK353" s="174"/>
      <c r="AL353" s="172"/>
      <c r="AM353" s="172"/>
      <c r="AN353" s="172"/>
      <c r="AO353" s="172"/>
      <c r="AP353" s="172"/>
    </row>
    <row r="354" spans="1:42" s="175" customFormat="1" hidden="1" x14ac:dyDescent="0.2">
      <c r="A354" s="170" t="s">
        <v>1240</v>
      </c>
      <c r="B354" s="170" t="s">
        <v>1240</v>
      </c>
      <c r="C354" s="170" t="s">
        <v>1240</v>
      </c>
      <c r="D354" s="170" t="s">
        <v>1240</v>
      </c>
      <c r="E354" s="170" t="s">
        <v>1240</v>
      </c>
      <c r="F354" s="170" t="s">
        <v>1240</v>
      </c>
      <c r="G354" s="170" t="s">
        <v>1240</v>
      </c>
      <c r="H354" s="290" t="s">
        <v>1240</v>
      </c>
      <c r="I354" s="177" t="e">
        <f t="shared" si="12"/>
        <v>#VALUE!</v>
      </c>
      <c r="J354" s="171"/>
      <c r="K354" s="170" t="e">
        <f t="shared" si="11"/>
        <v>#VALUE!</v>
      </c>
      <c r="L354" s="170"/>
      <c r="M354" s="170"/>
      <c r="N354" s="170"/>
      <c r="O354" s="170"/>
      <c r="P354" s="170"/>
      <c r="Q354" s="170"/>
      <c r="R354" s="172"/>
      <c r="S354" s="170"/>
      <c r="T354" s="170"/>
      <c r="U354" s="170"/>
      <c r="V354" s="170"/>
      <c r="W354" s="170"/>
      <c r="X354" s="170"/>
      <c r="Y354" s="173"/>
      <c r="Z354" s="170"/>
      <c r="AA354" s="170"/>
      <c r="AB354" s="172"/>
      <c r="AC354" s="202"/>
      <c r="AD354" s="170"/>
      <c r="AE354" s="170"/>
      <c r="AF354" s="170"/>
      <c r="AG354" s="170"/>
      <c r="AH354" s="170"/>
      <c r="AI354" s="170"/>
      <c r="AJ354" s="170"/>
      <c r="AK354" s="174"/>
      <c r="AL354" s="172"/>
      <c r="AM354" s="172"/>
      <c r="AN354" s="172"/>
      <c r="AO354" s="172"/>
      <c r="AP354" s="172"/>
    </row>
    <row r="355" spans="1:42" s="175" customFormat="1" hidden="1" x14ac:dyDescent="0.2">
      <c r="A355" s="170" t="s">
        <v>1240</v>
      </c>
      <c r="B355" s="170" t="s">
        <v>1240</v>
      </c>
      <c r="C355" s="170" t="s">
        <v>1240</v>
      </c>
      <c r="D355" s="170" t="s">
        <v>1240</v>
      </c>
      <c r="E355" s="170" t="s">
        <v>1240</v>
      </c>
      <c r="F355" s="170" t="s">
        <v>1240</v>
      </c>
      <c r="G355" s="170" t="s">
        <v>1240</v>
      </c>
      <c r="H355" s="290" t="s">
        <v>1240</v>
      </c>
      <c r="I355" s="177" t="e">
        <f t="shared" si="12"/>
        <v>#VALUE!</v>
      </c>
      <c r="J355" s="171"/>
      <c r="K355" s="170" t="e">
        <f t="shared" si="11"/>
        <v>#VALUE!</v>
      </c>
      <c r="L355" s="170"/>
      <c r="M355" s="170"/>
      <c r="N355" s="170"/>
      <c r="O355" s="170"/>
      <c r="P355" s="170"/>
      <c r="Q355" s="170"/>
      <c r="R355" s="172"/>
      <c r="S355" s="170"/>
      <c r="T355" s="170"/>
      <c r="U355" s="170"/>
      <c r="V355" s="170"/>
      <c r="W355" s="170"/>
      <c r="X355" s="170"/>
      <c r="Y355" s="173"/>
      <c r="Z355" s="170"/>
      <c r="AA355" s="170"/>
      <c r="AB355" s="172"/>
      <c r="AC355" s="202"/>
      <c r="AD355" s="170"/>
      <c r="AE355" s="170"/>
      <c r="AF355" s="170"/>
      <c r="AG355" s="170"/>
      <c r="AH355" s="170"/>
      <c r="AI355" s="170"/>
      <c r="AJ355" s="170"/>
      <c r="AK355" s="174"/>
      <c r="AL355" s="172"/>
      <c r="AM355" s="172"/>
      <c r="AN355" s="172"/>
      <c r="AO355" s="172"/>
      <c r="AP355" s="172"/>
    </row>
    <row r="356" spans="1:42" s="175" customFormat="1" hidden="1" x14ac:dyDescent="0.2">
      <c r="A356" s="170" t="s">
        <v>1240</v>
      </c>
      <c r="B356" s="170" t="s">
        <v>1240</v>
      </c>
      <c r="C356" s="170" t="s">
        <v>1240</v>
      </c>
      <c r="D356" s="170" t="s">
        <v>1240</v>
      </c>
      <c r="E356" s="170" t="s">
        <v>1240</v>
      </c>
      <c r="F356" s="170" t="s">
        <v>1240</v>
      </c>
      <c r="G356" s="170" t="s">
        <v>1240</v>
      </c>
      <c r="H356" s="290" t="s">
        <v>1240</v>
      </c>
      <c r="I356" s="177" t="e">
        <f t="shared" si="12"/>
        <v>#VALUE!</v>
      </c>
      <c r="J356" s="171"/>
      <c r="K356" s="170" t="e">
        <f t="shared" si="11"/>
        <v>#VALUE!</v>
      </c>
      <c r="L356" s="170"/>
      <c r="M356" s="170"/>
      <c r="N356" s="170"/>
      <c r="O356" s="170"/>
      <c r="P356" s="170"/>
      <c r="Q356" s="170"/>
      <c r="R356" s="172"/>
      <c r="S356" s="170"/>
      <c r="T356" s="170"/>
      <c r="U356" s="170"/>
      <c r="V356" s="170"/>
      <c r="W356" s="170"/>
      <c r="X356" s="170"/>
      <c r="Y356" s="173"/>
      <c r="Z356" s="170"/>
      <c r="AA356" s="170"/>
      <c r="AB356" s="172"/>
      <c r="AC356" s="202"/>
      <c r="AD356" s="170"/>
      <c r="AE356" s="170"/>
      <c r="AF356" s="170"/>
      <c r="AG356" s="170"/>
      <c r="AH356" s="170"/>
      <c r="AI356" s="170"/>
      <c r="AJ356" s="170"/>
      <c r="AK356" s="174"/>
      <c r="AL356" s="172"/>
      <c r="AM356" s="172"/>
      <c r="AN356" s="172"/>
      <c r="AO356" s="172"/>
      <c r="AP356" s="172"/>
    </row>
    <row r="357" spans="1:42" s="175" customFormat="1" x14ac:dyDescent="0.25">
      <c r="A357" s="170"/>
      <c r="B357" s="170"/>
      <c r="C357" s="170"/>
      <c r="D357" s="170"/>
      <c r="E357" s="170"/>
      <c r="F357" s="170"/>
      <c r="G357" s="9"/>
      <c r="H357" s="289"/>
      <c r="I357" s="170"/>
      <c r="J357" s="9"/>
      <c r="K357" s="170"/>
      <c r="L357" s="9"/>
      <c r="M357" s="9"/>
      <c r="N357" s="170"/>
      <c r="O357" s="170"/>
      <c r="P357" s="170"/>
      <c r="Q357" s="170"/>
      <c r="R357" s="172"/>
      <c r="S357" s="170"/>
      <c r="T357" s="170"/>
      <c r="U357" s="170"/>
      <c r="V357" s="170"/>
      <c r="W357" s="170"/>
      <c r="X357" s="170"/>
      <c r="Y357" s="173"/>
      <c r="Z357" s="170"/>
      <c r="AA357" s="170"/>
      <c r="AB357" s="172"/>
      <c r="AC357" s="202"/>
      <c r="AD357" s="170"/>
      <c r="AE357" s="170"/>
      <c r="AF357" s="170"/>
      <c r="AG357" s="170"/>
      <c r="AH357" s="170"/>
      <c r="AI357" s="170"/>
      <c r="AJ357" s="170"/>
      <c r="AK357" s="1"/>
      <c r="AL357" s="172"/>
      <c r="AM357" s="172"/>
      <c r="AN357" s="172"/>
      <c r="AO357" s="172"/>
      <c r="AP357" s="172"/>
    </row>
    <row r="358" spans="1:42" s="175" customFormat="1" x14ac:dyDescent="0.25">
      <c r="A358" s="170"/>
      <c r="B358" s="170"/>
      <c r="C358" s="170"/>
      <c r="D358" s="170"/>
      <c r="E358" s="170"/>
      <c r="F358" s="170"/>
      <c r="G358" s="170"/>
      <c r="H358" s="289"/>
      <c r="I358" s="170"/>
      <c r="J358" s="9"/>
      <c r="K358" s="170"/>
      <c r="L358" s="9"/>
      <c r="M358" s="9"/>
      <c r="N358" s="170"/>
      <c r="O358" s="170"/>
      <c r="P358" s="170"/>
      <c r="Q358" s="170"/>
      <c r="R358" s="172"/>
      <c r="S358" s="170"/>
      <c r="T358" s="170"/>
      <c r="U358" s="170"/>
      <c r="V358" s="170"/>
      <c r="W358" s="170"/>
      <c r="X358" s="170"/>
      <c r="Y358" s="173"/>
      <c r="Z358" s="170"/>
      <c r="AA358" s="170"/>
      <c r="AB358" s="172"/>
      <c r="AC358" s="202"/>
      <c r="AD358" s="170"/>
      <c r="AE358" s="170"/>
      <c r="AF358" s="170"/>
      <c r="AG358" s="170"/>
      <c r="AH358" s="170"/>
      <c r="AI358" s="170"/>
      <c r="AJ358" s="170"/>
      <c r="AK358" s="230"/>
      <c r="AL358" s="172"/>
      <c r="AM358" s="172"/>
      <c r="AN358" s="172"/>
      <c r="AO358" s="172"/>
      <c r="AP358" s="172"/>
    </row>
    <row r="359" spans="1:42" s="175" customFormat="1" x14ac:dyDescent="0.25">
      <c r="A359" s="170"/>
      <c r="B359" s="170"/>
      <c r="C359" s="170"/>
      <c r="D359" s="170"/>
      <c r="E359" s="170"/>
      <c r="F359" s="170"/>
      <c r="G359" s="9"/>
      <c r="H359" s="289"/>
      <c r="I359" s="170"/>
      <c r="J359" s="9"/>
      <c r="K359" s="170"/>
      <c r="L359" s="10"/>
      <c r="M359" s="9"/>
      <c r="N359" s="170"/>
      <c r="O359" s="170"/>
      <c r="P359" s="170"/>
      <c r="Q359" s="170"/>
      <c r="R359" s="172"/>
      <c r="S359" s="170"/>
      <c r="T359" s="9"/>
      <c r="U359" s="170"/>
      <c r="V359" s="170"/>
      <c r="W359" s="170"/>
      <c r="X359" s="170"/>
      <c r="Y359" s="173"/>
      <c r="Z359" s="170"/>
      <c r="AA359" s="170"/>
      <c r="AB359" s="172"/>
      <c r="AC359" s="202"/>
      <c r="AD359" s="170"/>
      <c r="AE359" s="170"/>
      <c r="AF359" s="170"/>
      <c r="AG359" s="170"/>
      <c r="AH359" s="170"/>
      <c r="AI359" s="170"/>
      <c r="AJ359" s="170"/>
      <c r="AK359" s="230"/>
      <c r="AL359" s="172"/>
      <c r="AM359" s="172"/>
      <c r="AN359" s="172"/>
      <c r="AO359" s="172"/>
      <c r="AP359" s="172"/>
    </row>
    <row r="360" spans="1:42" s="175" customFormat="1" x14ac:dyDescent="0.25">
      <c r="A360" s="170"/>
      <c r="B360" s="170"/>
      <c r="C360" s="170"/>
      <c r="D360" s="170"/>
      <c r="E360" s="170"/>
      <c r="F360" s="170"/>
      <c r="G360" s="170"/>
      <c r="H360" s="289"/>
      <c r="I360" s="170"/>
      <c r="J360" s="9"/>
      <c r="K360" s="170"/>
      <c r="L360" s="9"/>
      <c r="M360" s="9"/>
      <c r="N360" s="170"/>
      <c r="O360" s="170"/>
      <c r="P360" s="170"/>
      <c r="Q360" s="170"/>
      <c r="R360" s="172"/>
      <c r="S360" s="170"/>
      <c r="T360" s="170"/>
      <c r="U360" s="170"/>
      <c r="V360" s="170"/>
      <c r="W360" s="170"/>
      <c r="X360" s="170"/>
      <c r="Y360" s="173"/>
      <c r="Z360" s="170"/>
      <c r="AA360" s="170"/>
      <c r="AB360" s="172"/>
      <c r="AC360" s="202"/>
      <c r="AD360" s="170"/>
      <c r="AE360" s="170"/>
      <c r="AF360" s="170"/>
      <c r="AG360" s="170"/>
      <c r="AH360" s="170"/>
      <c r="AI360" s="170"/>
      <c r="AJ360" s="170"/>
      <c r="AK360" s="230"/>
      <c r="AL360" s="172"/>
      <c r="AM360" s="172"/>
      <c r="AN360" s="172"/>
      <c r="AO360" s="172"/>
      <c r="AP360" s="172"/>
    </row>
    <row r="361" spans="1:42" s="175" customFormat="1" x14ac:dyDescent="0.25">
      <c r="A361" s="170"/>
      <c r="B361" s="170"/>
      <c r="C361" s="170"/>
      <c r="D361" s="170"/>
      <c r="E361" s="170"/>
      <c r="F361" s="170"/>
      <c r="G361" s="170"/>
      <c r="H361" s="289"/>
      <c r="I361" s="170"/>
      <c r="J361" s="9"/>
      <c r="K361" s="170"/>
      <c r="L361" s="9"/>
      <c r="M361" s="9"/>
      <c r="N361" s="170"/>
      <c r="O361" s="170"/>
      <c r="P361" s="170"/>
      <c r="Q361" s="170"/>
      <c r="R361" s="172"/>
      <c r="S361" s="170"/>
      <c r="T361" s="170"/>
      <c r="U361" s="170"/>
      <c r="V361" s="170"/>
      <c r="W361" s="170"/>
      <c r="X361" s="170"/>
      <c r="Y361" s="9"/>
      <c r="Z361" s="170" t="s">
        <v>1640</v>
      </c>
      <c r="AA361" s="170"/>
      <c r="AB361" s="172"/>
      <c r="AC361" s="202"/>
      <c r="AD361" s="170"/>
      <c r="AE361" s="170"/>
      <c r="AF361" s="170"/>
      <c r="AG361" s="170"/>
      <c r="AH361" s="170"/>
      <c r="AI361" s="170"/>
      <c r="AJ361" s="170"/>
      <c r="AK361" s="230"/>
      <c r="AL361" s="172"/>
      <c r="AM361" s="172"/>
      <c r="AN361" s="172"/>
      <c r="AO361" s="172"/>
      <c r="AP361" s="172"/>
    </row>
    <row r="362" spans="1:42" s="175" customFormat="1" x14ac:dyDescent="0.25">
      <c r="A362" s="170"/>
      <c r="B362" s="170"/>
      <c r="C362" s="170"/>
      <c r="D362" s="170"/>
      <c r="E362" s="170"/>
      <c r="F362" s="170"/>
      <c r="G362" s="9"/>
      <c r="H362" s="289"/>
      <c r="I362" s="170"/>
      <c r="J362" s="9"/>
      <c r="K362" s="170"/>
      <c r="L362" s="171"/>
      <c r="M362" s="171"/>
      <c r="N362" s="170"/>
      <c r="O362" s="170"/>
      <c r="P362" s="170"/>
      <c r="Q362" s="170"/>
      <c r="R362" s="172"/>
      <c r="S362" s="170"/>
      <c r="T362" s="170"/>
      <c r="U362" s="170"/>
      <c r="V362" s="170"/>
      <c r="W362" s="170"/>
      <c r="X362" s="170"/>
      <c r="Y362" s="173"/>
      <c r="Z362" s="170"/>
      <c r="AA362" s="170"/>
      <c r="AB362" s="172"/>
      <c r="AC362" s="202"/>
      <c r="AD362" s="170"/>
      <c r="AE362" s="170"/>
      <c r="AF362" s="170"/>
      <c r="AG362" s="170"/>
      <c r="AH362" s="170"/>
      <c r="AI362" s="170"/>
      <c r="AJ362" s="170"/>
      <c r="AK362" s="230"/>
      <c r="AL362" s="172"/>
      <c r="AM362" s="172"/>
      <c r="AN362" s="172"/>
      <c r="AO362" s="172"/>
      <c r="AP362" s="172"/>
    </row>
    <row r="363" spans="1:42" s="175" customFormat="1" x14ac:dyDescent="0.25">
      <c r="A363" s="170"/>
      <c r="B363" s="170"/>
      <c r="C363" s="170"/>
      <c r="D363" s="170"/>
      <c r="E363" s="170"/>
      <c r="F363" s="170"/>
      <c r="G363" s="170"/>
      <c r="H363" s="289"/>
      <c r="I363" s="170"/>
      <c r="J363" s="9"/>
      <c r="K363" s="170"/>
      <c r="L363" s="9"/>
      <c r="M363" s="9"/>
      <c r="N363" s="170"/>
      <c r="O363" s="170"/>
      <c r="P363" s="170"/>
      <c r="Q363" s="170"/>
      <c r="R363" s="172"/>
      <c r="S363" s="170"/>
      <c r="T363" s="170"/>
      <c r="U363" s="170"/>
      <c r="V363" s="170"/>
      <c r="W363" s="170"/>
      <c r="X363" s="170"/>
      <c r="Y363" s="173"/>
      <c r="Z363" s="170"/>
      <c r="AA363" s="170"/>
      <c r="AB363" s="172"/>
      <c r="AC363" s="232"/>
      <c r="AD363" s="170"/>
      <c r="AE363" s="170"/>
      <c r="AF363" s="170"/>
      <c r="AG363" s="170"/>
      <c r="AH363" s="170"/>
      <c r="AI363" s="170"/>
      <c r="AJ363" s="170"/>
      <c r="AK363" s="230"/>
      <c r="AL363" s="172"/>
      <c r="AM363" s="172"/>
      <c r="AN363" s="172"/>
      <c r="AO363" s="172"/>
      <c r="AP363" s="172"/>
    </row>
    <row r="364" spans="1:42" s="175" customFormat="1" x14ac:dyDescent="0.25">
      <c r="A364" s="260"/>
      <c r="B364" s="260"/>
      <c r="C364" s="260"/>
      <c r="D364" s="260"/>
      <c r="E364" s="260"/>
      <c r="F364" s="260"/>
      <c r="G364" s="260"/>
      <c r="H364" s="291"/>
      <c r="I364" s="260"/>
      <c r="J364" s="261"/>
      <c r="K364" s="260"/>
      <c r="L364" s="262"/>
      <c r="M364" s="263"/>
      <c r="N364" s="260"/>
      <c r="O364" s="260"/>
      <c r="P364" s="260"/>
      <c r="Q364" s="260"/>
      <c r="R364" s="264"/>
      <c r="S364" s="260"/>
      <c r="T364" s="260"/>
      <c r="U364" s="260"/>
      <c r="V364" s="260"/>
      <c r="W364" s="260"/>
      <c r="X364" s="260"/>
      <c r="Y364" s="265"/>
      <c r="Z364" s="260"/>
      <c r="AA364" s="260"/>
      <c r="AB364" s="264"/>
      <c r="AC364" s="266"/>
      <c r="AD364" s="260"/>
      <c r="AE364" s="260"/>
      <c r="AF364" s="260"/>
      <c r="AG364" s="260"/>
      <c r="AH364" s="260"/>
      <c r="AI364" s="260"/>
      <c r="AJ364" s="260"/>
      <c r="AK364" s="267"/>
      <c r="AL364" s="264"/>
      <c r="AM364" s="264"/>
      <c r="AN364" s="264"/>
      <c r="AO364" s="264"/>
      <c r="AP364" s="264"/>
    </row>
    <row r="365" spans="1:42" s="175" customFormat="1" x14ac:dyDescent="0.2">
      <c r="A365" s="170"/>
      <c r="B365" s="170"/>
      <c r="C365" s="170"/>
      <c r="D365" s="170"/>
      <c r="E365" s="170"/>
      <c r="F365" s="170"/>
      <c r="G365" s="170"/>
      <c r="H365" s="292"/>
      <c r="I365" s="170"/>
      <c r="J365" s="170"/>
      <c r="K365" s="170"/>
      <c r="L365" s="170"/>
      <c r="M365" s="170"/>
      <c r="N365" s="170"/>
      <c r="O365" s="170"/>
      <c r="P365" s="170"/>
      <c r="Q365" s="170"/>
      <c r="R365" s="172"/>
      <c r="S365" s="170"/>
      <c r="T365" s="170"/>
      <c r="U365" s="170"/>
      <c r="V365" s="170"/>
      <c r="W365" s="170"/>
      <c r="X365" s="170"/>
      <c r="Y365" s="170"/>
      <c r="Z365" s="170"/>
      <c r="AA365" s="170"/>
      <c r="AB365" s="172"/>
      <c r="AC365" s="202"/>
      <c r="AD365" s="170"/>
      <c r="AE365" s="170"/>
      <c r="AF365" s="170"/>
      <c r="AG365" s="170"/>
      <c r="AH365" s="170"/>
      <c r="AI365" s="170"/>
      <c r="AJ365" s="170"/>
      <c r="AK365" s="174"/>
      <c r="AL365" s="172"/>
      <c r="AM365" s="172"/>
      <c r="AN365" s="172"/>
      <c r="AO365" s="176"/>
      <c r="AP365" s="176"/>
    </row>
    <row r="366" spans="1:42" s="175" customFormat="1" x14ac:dyDescent="0.2">
      <c r="A366" s="170"/>
      <c r="B366" s="170"/>
      <c r="C366" s="170"/>
      <c r="D366" s="170"/>
      <c r="E366" s="170"/>
      <c r="F366" s="170"/>
      <c r="G366" s="170"/>
      <c r="H366" s="292"/>
      <c r="I366" s="170"/>
      <c r="J366" s="170"/>
      <c r="K366" s="170"/>
      <c r="L366" s="170"/>
      <c r="M366" s="170"/>
      <c r="N366" s="170"/>
      <c r="O366" s="170"/>
      <c r="P366" s="170"/>
      <c r="Q366" s="170"/>
      <c r="R366" s="172"/>
      <c r="S366" s="170"/>
      <c r="T366" s="170"/>
      <c r="U366" s="170"/>
      <c r="V366" s="170"/>
      <c r="W366" s="170"/>
      <c r="X366" s="170"/>
      <c r="Y366" s="170"/>
      <c r="Z366" s="170"/>
      <c r="AA366" s="170"/>
      <c r="AB366" s="172"/>
      <c r="AC366" s="202"/>
      <c r="AD366" s="170"/>
      <c r="AE366" s="170"/>
      <c r="AF366" s="170"/>
      <c r="AG366" s="170"/>
      <c r="AH366" s="170"/>
      <c r="AI366" s="170"/>
      <c r="AJ366" s="170"/>
      <c r="AK366" s="174"/>
      <c r="AL366" s="172"/>
      <c r="AM366" s="172"/>
      <c r="AN366" s="172"/>
      <c r="AO366" s="176"/>
      <c r="AP366" s="176"/>
    </row>
    <row r="367" spans="1:42" s="175" customFormat="1" x14ac:dyDescent="0.2">
      <c r="A367" s="170"/>
      <c r="B367" s="170"/>
      <c r="C367" s="170"/>
      <c r="D367" s="170"/>
      <c r="E367" s="170"/>
      <c r="F367" s="170"/>
      <c r="G367" s="170"/>
      <c r="H367" s="292"/>
      <c r="I367" s="170"/>
      <c r="J367" s="170"/>
      <c r="K367" s="170"/>
      <c r="L367" s="170"/>
      <c r="M367" s="170"/>
      <c r="N367" s="170"/>
      <c r="O367" s="170"/>
      <c r="P367" s="170"/>
      <c r="Q367" s="170"/>
      <c r="R367" s="172"/>
      <c r="S367" s="170"/>
      <c r="T367" s="170"/>
      <c r="U367" s="170"/>
      <c r="V367" s="170"/>
      <c r="W367" s="170"/>
      <c r="X367" s="170"/>
      <c r="Y367" s="170"/>
      <c r="Z367" s="170"/>
      <c r="AA367" s="170"/>
      <c r="AB367" s="172"/>
      <c r="AC367" s="202"/>
      <c r="AD367" s="170"/>
      <c r="AE367" s="170"/>
      <c r="AF367" s="170"/>
      <c r="AG367" s="170"/>
      <c r="AH367" s="170"/>
      <c r="AI367" s="170"/>
      <c r="AJ367" s="170"/>
      <c r="AK367" s="174"/>
      <c r="AL367" s="172"/>
      <c r="AM367" s="172"/>
      <c r="AN367" s="172"/>
      <c r="AO367" s="176"/>
      <c r="AP367" s="176"/>
    </row>
    <row r="368" spans="1:42" s="175" customFormat="1" x14ac:dyDescent="0.2">
      <c r="A368" s="170"/>
      <c r="B368" s="170"/>
      <c r="C368" s="170"/>
      <c r="D368" s="170"/>
      <c r="E368" s="170"/>
      <c r="F368" s="170"/>
      <c r="G368" s="170"/>
      <c r="H368" s="292"/>
      <c r="I368" s="170"/>
      <c r="J368" s="170"/>
      <c r="K368" s="170"/>
      <c r="L368" s="170"/>
      <c r="M368" s="170"/>
      <c r="N368" s="170"/>
      <c r="O368" s="170"/>
      <c r="P368" s="170"/>
      <c r="Q368" s="170"/>
      <c r="R368" s="172"/>
      <c r="S368" s="170"/>
      <c r="T368" s="170"/>
      <c r="U368" s="170"/>
      <c r="V368" s="170"/>
      <c r="W368" s="170"/>
      <c r="X368" s="170"/>
      <c r="Y368" s="170"/>
      <c r="Z368" s="170"/>
      <c r="AA368" s="170"/>
      <c r="AB368" s="172"/>
      <c r="AC368" s="202"/>
      <c r="AD368" s="170"/>
      <c r="AE368" s="170"/>
      <c r="AF368" s="170"/>
      <c r="AG368" s="170"/>
      <c r="AH368" s="170"/>
      <c r="AI368" s="170"/>
      <c r="AJ368" s="170"/>
      <c r="AK368" s="174"/>
      <c r="AL368" s="172"/>
      <c r="AM368" s="172"/>
      <c r="AN368" s="172"/>
      <c r="AO368" s="176"/>
      <c r="AP368" s="176"/>
    </row>
    <row r="369" spans="1:42" s="175" customFormat="1" x14ac:dyDescent="0.2">
      <c r="A369" s="170"/>
      <c r="B369" s="170"/>
      <c r="C369" s="170"/>
      <c r="D369" s="170"/>
      <c r="E369" s="170"/>
      <c r="F369" s="170"/>
      <c r="G369" s="170"/>
      <c r="H369" s="292"/>
      <c r="I369" s="170"/>
      <c r="J369" s="170"/>
      <c r="K369" s="170"/>
      <c r="L369" s="170"/>
      <c r="M369" s="170"/>
      <c r="N369" s="170"/>
      <c r="O369" s="170"/>
      <c r="P369" s="170"/>
      <c r="Q369" s="170"/>
      <c r="R369" s="172"/>
      <c r="S369" s="170"/>
      <c r="T369" s="170"/>
      <c r="U369" s="170"/>
      <c r="V369" s="170"/>
      <c r="W369" s="170"/>
      <c r="X369" s="170"/>
      <c r="Y369" s="170"/>
      <c r="Z369" s="170"/>
      <c r="AA369" s="170"/>
      <c r="AB369" s="172"/>
      <c r="AC369" s="202"/>
      <c r="AD369" s="170"/>
      <c r="AE369" s="170"/>
      <c r="AF369" s="170"/>
      <c r="AG369" s="170"/>
      <c r="AH369" s="170"/>
      <c r="AI369" s="170"/>
      <c r="AJ369" s="170"/>
      <c r="AK369" s="174"/>
      <c r="AL369" s="172"/>
      <c r="AM369" s="172"/>
      <c r="AN369" s="172"/>
      <c r="AO369" s="176"/>
      <c r="AP369" s="176"/>
    </row>
    <row r="370" spans="1:42" s="175" customFormat="1" x14ac:dyDescent="0.2">
      <c r="A370" s="170"/>
      <c r="B370" s="170"/>
      <c r="C370" s="170"/>
      <c r="D370" s="170"/>
      <c r="E370" s="170"/>
      <c r="F370" s="170"/>
      <c r="G370" s="170"/>
      <c r="H370" s="292"/>
      <c r="I370" s="170"/>
      <c r="J370" s="170"/>
      <c r="K370" s="170"/>
      <c r="L370" s="170"/>
      <c r="M370" s="170"/>
      <c r="N370" s="170"/>
      <c r="O370" s="170"/>
      <c r="P370" s="170"/>
      <c r="Q370" s="170"/>
      <c r="R370" s="172"/>
      <c r="S370" s="170"/>
      <c r="T370" s="170"/>
      <c r="U370" s="170"/>
      <c r="V370" s="170"/>
      <c r="W370" s="170"/>
      <c r="X370" s="170"/>
      <c r="Y370" s="170"/>
      <c r="Z370" s="170"/>
      <c r="AA370" s="170"/>
      <c r="AB370" s="172"/>
      <c r="AC370" s="202"/>
      <c r="AD370" s="170"/>
      <c r="AE370" s="170"/>
      <c r="AF370" s="170"/>
      <c r="AG370" s="170"/>
      <c r="AH370" s="170"/>
      <c r="AI370" s="170"/>
      <c r="AJ370" s="170"/>
      <c r="AK370" s="174"/>
      <c r="AL370" s="172"/>
      <c r="AM370" s="172"/>
      <c r="AN370" s="172"/>
      <c r="AO370" s="176"/>
      <c r="AP370" s="176"/>
    </row>
    <row r="371" spans="1:42" s="175" customFormat="1" x14ac:dyDescent="0.2">
      <c r="A371" s="170"/>
      <c r="B371" s="170"/>
      <c r="C371" s="170"/>
      <c r="D371" s="170"/>
      <c r="E371" s="170"/>
      <c r="F371" s="170"/>
      <c r="G371" s="170"/>
      <c r="H371" s="292"/>
      <c r="I371" s="170"/>
      <c r="J371" s="170"/>
      <c r="K371" s="170"/>
      <c r="L371" s="170"/>
      <c r="M371" s="170"/>
      <c r="N371" s="170"/>
      <c r="O371" s="170"/>
      <c r="P371" s="170"/>
      <c r="Q371" s="170"/>
      <c r="R371" s="172"/>
      <c r="S371" s="170"/>
      <c r="T371" s="170"/>
      <c r="U371" s="170"/>
      <c r="V371" s="170"/>
      <c r="W371" s="170"/>
      <c r="X371" s="170"/>
      <c r="Y371" s="170"/>
      <c r="Z371" s="170"/>
      <c r="AA371" s="170"/>
      <c r="AB371" s="172"/>
      <c r="AC371" s="202"/>
      <c r="AD371" s="170"/>
      <c r="AE371" s="170"/>
      <c r="AF371" s="170"/>
      <c r="AG371" s="170"/>
      <c r="AH371" s="170"/>
      <c r="AI371" s="170"/>
      <c r="AJ371" s="170"/>
      <c r="AK371" s="174"/>
      <c r="AL371" s="172"/>
      <c r="AM371" s="172"/>
      <c r="AN371" s="172"/>
      <c r="AO371" s="176"/>
      <c r="AP371" s="176"/>
    </row>
    <row r="372" spans="1:42" s="175" customFormat="1" x14ac:dyDescent="0.2">
      <c r="A372" s="170"/>
      <c r="B372" s="170"/>
      <c r="C372" s="170"/>
      <c r="D372" s="170"/>
      <c r="E372" s="170"/>
      <c r="F372" s="170"/>
      <c r="G372" s="170"/>
      <c r="H372" s="292"/>
      <c r="I372" s="170"/>
      <c r="J372" s="170"/>
      <c r="K372" s="170"/>
      <c r="L372" s="170"/>
      <c r="M372" s="170"/>
      <c r="N372" s="170"/>
      <c r="O372" s="170"/>
      <c r="P372" s="170"/>
      <c r="Q372" s="170"/>
      <c r="R372" s="172"/>
      <c r="S372" s="170"/>
      <c r="T372" s="170"/>
      <c r="U372" s="170"/>
      <c r="V372" s="170"/>
      <c r="W372" s="170"/>
      <c r="X372" s="170"/>
      <c r="Y372" s="170"/>
      <c r="Z372" s="170"/>
      <c r="AA372" s="170"/>
      <c r="AB372" s="172"/>
      <c r="AC372" s="202"/>
      <c r="AD372" s="170"/>
      <c r="AE372" s="170"/>
      <c r="AF372" s="170"/>
      <c r="AG372" s="170"/>
      <c r="AH372" s="170"/>
      <c r="AI372" s="170"/>
      <c r="AJ372" s="170"/>
      <c r="AK372" s="174"/>
      <c r="AL372" s="172"/>
      <c r="AM372" s="172"/>
      <c r="AN372" s="172"/>
      <c r="AO372" s="176"/>
      <c r="AP372" s="176"/>
    </row>
    <row r="373" spans="1:42" s="175" customFormat="1" x14ac:dyDescent="0.2">
      <c r="A373" s="170"/>
      <c r="B373" s="170"/>
      <c r="C373" s="170"/>
      <c r="D373" s="170"/>
      <c r="E373" s="170"/>
      <c r="F373" s="170"/>
      <c r="G373" s="170"/>
      <c r="H373" s="292"/>
      <c r="I373" s="170"/>
      <c r="J373" s="170"/>
      <c r="K373" s="170"/>
      <c r="L373" s="170"/>
      <c r="M373" s="170"/>
      <c r="N373" s="170"/>
      <c r="O373" s="170"/>
      <c r="P373" s="170"/>
      <c r="Q373" s="170"/>
      <c r="R373" s="172"/>
      <c r="S373" s="170"/>
      <c r="T373" s="170"/>
      <c r="U373" s="170"/>
      <c r="V373" s="170"/>
      <c r="W373" s="170"/>
      <c r="X373" s="170"/>
      <c r="Y373" s="170"/>
      <c r="Z373" s="170"/>
      <c r="AA373" s="170"/>
      <c r="AB373" s="172"/>
      <c r="AC373" s="202"/>
      <c r="AD373" s="170"/>
      <c r="AE373" s="170"/>
      <c r="AF373" s="170"/>
      <c r="AG373" s="170"/>
      <c r="AH373" s="170"/>
      <c r="AI373" s="170"/>
      <c r="AJ373" s="170"/>
      <c r="AK373" s="174"/>
      <c r="AL373" s="172"/>
      <c r="AM373" s="172"/>
      <c r="AN373" s="172"/>
      <c r="AO373" s="176"/>
      <c r="AP373" s="176"/>
    </row>
    <row r="374" spans="1:42" s="175" customFormat="1" x14ac:dyDescent="0.2">
      <c r="A374" s="170"/>
      <c r="B374" s="170"/>
      <c r="C374" s="170"/>
      <c r="D374" s="170"/>
      <c r="E374" s="170"/>
      <c r="F374" s="170"/>
      <c r="G374" s="170"/>
      <c r="H374" s="292"/>
      <c r="I374" s="170"/>
      <c r="J374" s="170"/>
      <c r="K374" s="170"/>
      <c r="L374" s="170"/>
      <c r="M374" s="170"/>
      <c r="N374" s="170"/>
      <c r="O374" s="170"/>
      <c r="P374" s="170"/>
      <c r="Q374" s="170"/>
      <c r="R374" s="172"/>
      <c r="S374" s="170"/>
      <c r="T374" s="170"/>
      <c r="U374" s="170"/>
      <c r="V374" s="170"/>
      <c r="W374" s="170"/>
      <c r="X374" s="170"/>
      <c r="Y374" s="170"/>
      <c r="Z374" s="170"/>
      <c r="AA374" s="170"/>
      <c r="AB374" s="172"/>
      <c r="AC374" s="202"/>
      <c r="AD374" s="170"/>
      <c r="AE374" s="170"/>
      <c r="AF374" s="170"/>
      <c r="AG374" s="170"/>
      <c r="AH374" s="170"/>
      <c r="AI374" s="170"/>
      <c r="AJ374" s="170"/>
      <c r="AK374" s="174"/>
      <c r="AL374" s="172"/>
      <c r="AM374" s="172"/>
      <c r="AN374" s="172"/>
      <c r="AO374" s="176"/>
      <c r="AP374" s="176"/>
    </row>
    <row r="375" spans="1:42" s="175" customFormat="1" x14ac:dyDescent="0.2">
      <c r="A375" s="170"/>
      <c r="B375" s="170"/>
      <c r="C375" s="170"/>
      <c r="D375" s="170"/>
      <c r="E375" s="170"/>
      <c r="F375" s="170"/>
      <c r="G375" s="170"/>
      <c r="H375" s="292"/>
      <c r="I375" s="170"/>
      <c r="J375" s="170"/>
      <c r="K375" s="170"/>
      <c r="L375" s="170"/>
      <c r="M375" s="170"/>
      <c r="N375" s="170"/>
      <c r="O375" s="170"/>
      <c r="P375" s="170"/>
      <c r="Q375" s="170"/>
      <c r="R375" s="172"/>
      <c r="S375" s="170"/>
      <c r="T375" s="170"/>
      <c r="U375" s="170"/>
      <c r="V375" s="170"/>
      <c r="W375" s="170"/>
      <c r="X375" s="170"/>
      <c r="Y375" s="170"/>
      <c r="Z375" s="170"/>
      <c r="AA375" s="170"/>
      <c r="AB375" s="172"/>
      <c r="AC375" s="202"/>
      <c r="AD375" s="170"/>
      <c r="AE375" s="170"/>
      <c r="AF375" s="170"/>
      <c r="AG375" s="170"/>
      <c r="AH375" s="170"/>
      <c r="AI375" s="170"/>
      <c r="AJ375" s="170"/>
      <c r="AK375" s="174"/>
      <c r="AL375" s="172"/>
      <c r="AM375" s="172"/>
      <c r="AN375" s="172"/>
      <c r="AO375" s="176"/>
      <c r="AP375" s="176"/>
    </row>
    <row r="376" spans="1:42" x14ac:dyDescent="0.2">
      <c r="A376" s="177"/>
      <c r="B376" s="177"/>
      <c r="C376" s="177"/>
      <c r="D376" s="177"/>
      <c r="E376" s="177"/>
      <c r="F376" s="177"/>
      <c r="G376" s="177"/>
      <c r="H376" s="293"/>
      <c r="I376" s="177"/>
      <c r="J376" s="170"/>
      <c r="K376" s="170"/>
      <c r="L376" s="177"/>
      <c r="M376" s="177"/>
      <c r="N376" s="177"/>
      <c r="O376" s="177"/>
      <c r="P376" s="177"/>
      <c r="Q376" s="177"/>
      <c r="R376" s="178"/>
      <c r="S376" s="177"/>
      <c r="T376" s="177"/>
      <c r="U376" s="177"/>
      <c r="V376" s="177"/>
      <c r="W376" s="177"/>
      <c r="X376" s="177"/>
      <c r="Y376" s="177"/>
      <c r="Z376" s="177"/>
      <c r="AA376" s="177"/>
      <c r="AB376" s="178"/>
      <c r="AC376" s="203"/>
      <c r="AD376" s="177"/>
      <c r="AE376" s="177"/>
      <c r="AF376" s="177"/>
      <c r="AG376" s="177"/>
      <c r="AH376" s="177"/>
      <c r="AI376" s="177"/>
      <c r="AJ376" s="177"/>
      <c r="AK376" s="179"/>
      <c r="AL376" s="178"/>
      <c r="AM376" s="178"/>
      <c r="AN376" s="178"/>
    </row>
    <row r="377" spans="1:42" x14ac:dyDescent="0.2">
      <c r="A377" s="177"/>
      <c r="B377" s="177"/>
      <c r="C377" s="177"/>
      <c r="D377" s="177"/>
      <c r="E377" s="177"/>
      <c r="F377" s="177"/>
      <c r="G377" s="177"/>
      <c r="H377" s="293"/>
      <c r="I377" s="177"/>
      <c r="J377" s="170"/>
      <c r="K377" s="170"/>
      <c r="L377" s="177"/>
      <c r="M377" s="177"/>
      <c r="N377" s="177"/>
      <c r="O377" s="177"/>
      <c r="P377" s="177"/>
      <c r="Q377" s="177"/>
      <c r="R377" s="178"/>
      <c r="S377" s="177"/>
      <c r="T377" s="177"/>
      <c r="U377" s="177"/>
      <c r="V377" s="177"/>
      <c r="W377" s="177"/>
      <c r="X377" s="177"/>
      <c r="Y377" s="177"/>
      <c r="Z377" s="177"/>
      <c r="AA377" s="177"/>
      <c r="AB377" s="178"/>
      <c r="AC377" s="203"/>
      <c r="AD377" s="177"/>
      <c r="AE377" s="177"/>
      <c r="AF377" s="177"/>
      <c r="AG377" s="177"/>
      <c r="AH377" s="177"/>
      <c r="AI377" s="177"/>
      <c r="AJ377" s="177"/>
      <c r="AK377" s="179"/>
      <c r="AL377" s="178"/>
      <c r="AM377" s="178"/>
      <c r="AN377" s="178"/>
    </row>
    <row r="378" spans="1:42" x14ac:dyDescent="0.2">
      <c r="A378" s="177"/>
      <c r="B378" s="177"/>
      <c r="C378" s="177"/>
      <c r="D378" s="177"/>
      <c r="E378" s="177"/>
      <c r="F378" s="177"/>
      <c r="G378" s="177"/>
      <c r="H378" s="293"/>
      <c r="I378" s="177"/>
      <c r="J378" s="170"/>
      <c r="K378" s="170"/>
      <c r="L378" s="177"/>
      <c r="M378" s="177"/>
      <c r="N378" s="177"/>
      <c r="O378" s="177"/>
      <c r="P378" s="177"/>
      <c r="Q378" s="177"/>
      <c r="R378" s="178"/>
      <c r="S378" s="177"/>
      <c r="T378" s="177"/>
      <c r="U378" s="177"/>
      <c r="V378" s="177"/>
      <c r="W378" s="177"/>
      <c r="X378" s="177"/>
      <c r="Y378" s="177"/>
      <c r="Z378" s="177"/>
      <c r="AA378" s="177"/>
      <c r="AB378" s="178"/>
      <c r="AC378" s="203"/>
      <c r="AD378" s="177"/>
      <c r="AE378" s="177"/>
      <c r="AF378" s="177"/>
      <c r="AG378" s="177"/>
      <c r="AH378" s="177"/>
      <c r="AI378" s="177"/>
      <c r="AJ378" s="177"/>
      <c r="AK378" s="179"/>
      <c r="AL378" s="178"/>
      <c r="AM378" s="178"/>
      <c r="AN378" s="178"/>
    </row>
    <row r="379" spans="1:42" x14ac:dyDescent="0.2">
      <c r="A379" s="177"/>
      <c r="B379" s="177"/>
      <c r="C379" s="177"/>
      <c r="D379" s="177"/>
      <c r="E379" s="177"/>
      <c r="F379" s="177"/>
      <c r="G379" s="177"/>
      <c r="H379" s="293"/>
      <c r="I379" s="177"/>
      <c r="J379" s="170"/>
      <c r="K379" s="170"/>
      <c r="L379" s="177"/>
      <c r="M379" s="177"/>
      <c r="N379" s="177"/>
      <c r="O379" s="177"/>
      <c r="P379" s="177"/>
      <c r="Q379" s="177"/>
      <c r="R379" s="178"/>
      <c r="S379" s="177"/>
      <c r="T379" s="177"/>
      <c r="U379" s="177"/>
      <c r="V379" s="177"/>
      <c r="W379" s="177"/>
      <c r="X379" s="177"/>
      <c r="Y379" s="177"/>
      <c r="Z379" s="177"/>
      <c r="AA379" s="177"/>
      <c r="AB379" s="178"/>
      <c r="AC379" s="203"/>
      <c r="AD379" s="177"/>
      <c r="AE379" s="177"/>
      <c r="AF379" s="177"/>
      <c r="AG379" s="177"/>
      <c r="AH379" s="177"/>
      <c r="AI379" s="177"/>
      <c r="AJ379" s="177"/>
      <c r="AK379" s="179"/>
      <c r="AL379" s="178"/>
      <c r="AM379" s="178"/>
      <c r="AN379" s="178"/>
    </row>
    <row r="380" spans="1:42" x14ac:dyDescent="0.2">
      <c r="A380" s="177"/>
      <c r="B380" s="177"/>
      <c r="C380" s="177"/>
      <c r="D380" s="177"/>
      <c r="E380" s="177"/>
      <c r="F380" s="177"/>
      <c r="G380" s="177"/>
      <c r="H380" s="293"/>
      <c r="I380" s="177"/>
      <c r="J380" s="170"/>
      <c r="K380" s="170"/>
      <c r="L380" s="177"/>
      <c r="M380" s="177"/>
      <c r="N380" s="177"/>
      <c r="O380" s="177"/>
      <c r="P380" s="177"/>
      <c r="Q380" s="177"/>
      <c r="R380" s="178"/>
      <c r="S380" s="177"/>
      <c r="T380" s="177"/>
      <c r="U380" s="177"/>
      <c r="V380" s="177"/>
      <c r="W380" s="177"/>
      <c r="X380" s="177"/>
      <c r="Y380" s="177"/>
      <c r="Z380" s="177"/>
      <c r="AA380" s="177"/>
      <c r="AB380" s="178"/>
      <c r="AC380" s="203"/>
      <c r="AD380" s="177"/>
      <c r="AE380" s="177"/>
      <c r="AF380" s="177"/>
      <c r="AG380" s="177"/>
      <c r="AH380" s="177"/>
      <c r="AI380" s="177"/>
      <c r="AJ380" s="177"/>
      <c r="AK380" s="179"/>
      <c r="AL380" s="178"/>
      <c r="AM380" s="178"/>
      <c r="AN380" s="178"/>
    </row>
    <row r="381" spans="1:42" x14ac:dyDescent="0.2">
      <c r="A381" s="177"/>
      <c r="B381" s="177"/>
      <c r="C381" s="177"/>
      <c r="D381" s="177"/>
      <c r="E381" s="177"/>
      <c r="F381" s="177"/>
      <c r="G381" s="177"/>
      <c r="H381" s="293"/>
      <c r="I381" s="177"/>
      <c r="J381" s="170"/>
      <c r="K381" s="170"/>
      <c r="L381" s="177"/>
      <c r="M381" s="177"/>
      <c r="N381" s="177"/>
      <c r="O381" s="177"/>
      <c r="P381" s="177"/>
      <c r="Q381" s="177"/>
      <c r="R381" s="178"/>
      <c r="S381" s="177"/>
      <c r="T381" s="177"/>
      <c r="U381" s="177"/>
      <c r="V381" s="177"/>
      <c r="W381" s="177"/>
      <c r="X381" s="177"/>
      <c r="Y381" s="177"/>
      <c r="Z381" s="177"/>
      <c r="AA381" s="177"/>
      <c r="AB381" s="178"/>
      <c r="AC381" s="203"/>
      <c r="AD381" s="177"/>
      <c r="AE381" s="177"/>
      <c r="AF381" s="177"/>
      <c r="AG381" s="177"/>
      <c r="AH381" s="177"/>
      <c r="AI381" s="177"/>
      <c r="AJ381" s="177"/>
      <c r="AK381" s="179"/>
      <c r="AL381" s="178"/>
      <c r="AM381" s="178"/>
      <c r="AN381" s="178"/>
    </row>
    <row r="382" spans="1:42" x14ac:dyDescent="0.2">
      <c r="A382" s="177"/>
      <c r="B382" s="177"/>
      <c r="C382" s="177"/>
      <c r="D382" s="177"/>
      <c r="E382" s="177"/>
      <c r="F382" s="177"/>
      <c r="G382" s="177"/>
      <c r="H382" s="293"/>
      <c r="I382" s="177"/>
      <c r="J382" s="170"/>
      <c r="K382" s="170"/>
      <c r="L382" s="177"/>
      <c r="M382" s="177"/>
      <c r="N382" s="177"/>
      <c r="O382" s="177"/>
      <c r="P382" s="177"/>
      <c r="Q382" s="177"/>
      <c r="R382" s="178"/>
      <c r="S382" s="177"/>
      <c r="T382" s="177"/>
      <c r="U382" s="177"/>
      <c r="V382" s="177"/>
      <c r="W382" s="177"/>
      <c r="X382" s="177"/>
      <c r="Y382" s="177"/>
      <c r="Z382" s="177"/>
      <c r="AA382" s="177"/>
      <c r="AB382" s="178"/>
      <c r="AC382" s="203"/>
      <c r="AD382" s="177"/>
      <c r="AE382" s="177"/>
      <c r="AF382" s="177"/>
      <c r="AG382" s="177"/>
      <c r="AH382" s="177"/>
      <c r="AI382" s="177"/>
      <c r="AJ382" s="177"/>
      <c r="AK382" s="179"/>
      <c r="AL382" s="178"/>
      <c r="AM382" s="178"/>
      <c r="AN382" s="178"/>
    </row>
    <row r="383" spans="1:42" x14ac:dyDescent="0.2">
      <c r="A383" s="177"/>
      <c r="B383" s="177"/>
      <c r="C383" s="177"/>
      <c r="D383" s="177"/>
      <c r="E383" s="177"/>
      <c r="F383" s="177"/>
      <c r="G383" s="177"/>
      <c r="H383" s="293"/>
      <c r="I383" s="177"/>
      <c r="J383" s="170"/>
      <c r="K383" s="170"/>
      <c r="L383" s="177"/>
      <c r="M383" s="177"/>
      <c r="N383" s="177"/>
      <c r="O383" s="177"/>
      <c r="P383" s="177"/>
      <c r="Q383" s="177"/>
      <c r="R383" s="178"/>
      <c r="S383" s="177"/>
      <c r="T383" s="177"/>
      <c r="U383" s="177"/>
      <c r="V383" s="177"/>
      <c r="W383" s="177"/>
      <c r="X383" s="177"/>
      <c r="Y383" s="177"/>
      <c r="Z383" s="177"/>
      <c r="AA383" s="177"/>
      <c r="AB383" s="178"/>
      <c r="AC383" s="203"/>
      <c r="AD383" s="177"/>
      <c r="AE383" s="177"/>
      <c r="AF383" s="177"/>
      <c r="AG383" s="177"/>
      <c r="AH383" s="177"/>
      <c r="AI383" s="177"/>
      <c r="AJ383" s="177"/>
      <c r="AK383" s="179"/>
      <c r="AL383" s="178"/>
      <c r="AM383" s="178"/>
      <c r="AN383" s="178"/>
    </row>
    <row r="384" spans="1:42" x14ac:dyDescent="0.2">
      <c r="A384" s="177"/>
      <c r="B384" s="177"/>
      <c r="C384" s="177"/>
      <c r="D384" s="177"/>
      <c r="E384" s="177"/>
      <c r="F384" s="177"/>
      <c r="G384" s="177"/>
      <c r="H384" s="293"/>
      <c r="I384" s="177"/>
      <c r="J384" s="170"/>
      <c r="K384" s="170"/>
      <c r="L384" s="177"/>
      <c r="M384" s="177"/>
      <c r="N384" s="177"/>
      <c r="O384" s="177"/>
      <c r="P384" s="177"/>
      <c r="Q384" s="177"/>
      <c r="R384" s="178"/>
      <c r="S384" s="177"/>
      <c r="T384" s="177"/>
      <c r="U384" s="177"/>
      <c r="V384" s="177"/>
      <c r="W384" s="177"/>
      <c r="X384" s="177"/>
      <c r="Y384" s="177"/>
      <c r="Z384" s="177"/>
      <c r="AA384" s="177"/>
      <c r="AB384" s="178"/>
      <c r="AC384" s="203"/>
      <c r="AD384" s="177"/>
      <c r="AE384" s="177"/>
      <c r="AF384" s="177"/>
      <c r="AG384" s="177"/>
      <c r="AH384" s="177"/>
      <c r="AI384" s="177"/>
      <c r="AJ384" s="177"/>
      <c r="AK384" s="179"/>
      <c r="AL384" s="178"/>
      <c r="AM384" s="178"/>
      <c r="AN384" s="178"/>
    </row>
    <row r="385" spans="1:40" x14ac:dyDescent="0.2">
      <c r="A385" s="177"/>
      <c r="B385" s="177"/>
      <c r="C385" s="177"/>
      <c r="D385" s="177"/>
      <c r="E385" s="177"/>
      <c r="F385" s="177"/>
      <c r="G385" s="177"/>
      <c r="H385" s="293"/>
      <c r="I385" s="177"/>
      <c r="J385" s="170"/>
      <c r="K385" s="170"/>
      <c r="L385" s="177"/>
      <c r="M385" s="177"/>
      <c r="N385" s="177"/>
      <c r="O385" s="177"/>
      <c r="P385" s="177"/>
      <c r="Q385" s="177"/>
      <c r="R385" s="178"/>
      <c r="S385" s="177"/>
      <c r="T385" s="177"/>
      <c r="U385" s="177"/>
      <c r="V385" s="177"/>
      <c r="W385" s="177"/>
      <c r="X385" s="177"/>
      <c r="Y385" s="177"/>
      <c r="Z385" s="177"/>
      <c r="AA385" s="177"/>
      <c r="AB385" s="178"/>
      <c r="AC385" s="203"/>
      <c r="AD385" s="177"/>
      <c r="AE385" s="177"/>
      <c r="AF385" s="177"/>
      <c r="AG385" s="177"/>
      <c r="AH385" s="177"/>
      <c r="AI385" s="177"/>
      <c r="AJ385" s="177"/>
      <c r="AK385" s="179"/>
      <c r="AL385" s="178"/>
      <c r="AM385" s="178"/>
      <c r="AN385" s="178"/>
    </row>
    <row r="386" spans="1:40" x14ac:dyDescent="0.2">
      <c r="A386" s="177"/>
      <c r="B386" s="177"/>
      <c r="C386" s="177"/>
      <c r="D386" s="177"/>
      <c r="E386" s="177"/>
      <c r="F386" s="177"/>
      <c r="G386" s="177"/>
      <c r="H386" s="293"/>
      <c r="I386" s="177"/>
      <c r="J386" s="170"/>
      <c r="K386" s="170"/>
      <c r="L386" s="177"/>
      <c r="M386" s="177"/>
      <c r="N386" s="177"/>
      <c r="O386" s="177"/>
      <c r="P386" s="177"/>
      <c r="Q386" s="177"/>
      <c r="R386" s="178"/>
      <c r="S386" s="177"/>
      <c r="T386" s="177"/>
      <c r="U386" s="177"/>
      <c r="V386" s="177"/>
      <c r="W386" s="177"/>
      <c r="X386" s="177"/>
      <c r="Y386" s="177"/>
      <c r="Z386" s="177"/>
      <c r="AA386" s="177"/>
      <c r="AB386" s="178"/>
      <c r="AC386" s="203"/>
      <c r="AD386" s="177"/>
      <c r="AE386" s="177"/>
      <c r="AF386" s="177"/>
      <c r="AG386" s="177"/>
      <c r="AH386" s="177"/>
      <c r="AI386" s="177"/>
      <c r="AJ386" s="177"/>
      <c r="AK386" s="179"/>
      <c r="AL386" s="178"/>
      <c r="AM386" s="178"/>
      <c r="AN386" s="178"/>
    </row>
    <row r="387" spans="1:40" x14ac:dyDescent="0.2">
      <c r="A387" s="177"/>
      <c r="B387" s="177"/>
      <c r="C387" s="177"/>
      <c r="D387" s="177"/>
      <c r="E387" s="177"/>
      <c r="F387" s="177"/>
      <c r="G387" s="177"/>
      <c r="H387" s="293"/>
      <c r="I387" s="177"/>
      <c r="J387" s="170"/>
      <c r="K387" s="170"/>
      <c r="L387" s="177"/>
      <c r="M387" s="177"/>
      <c r="N387" s="177"/>
      <c r="O387" s="177"/>
      <c r="P387" s="177"/>
      <c r="Q387" s="177"/>
      <c r="R387" s="178"/>
      <c r="S387" s="177"/>
      <c r="T387" s="177"/>
      <c r="U387" s="177"/>
      <c r="V387" s="177"/>
      <c r="W387" s="177"/>
      <c r="X387" s="177"/>
      <c r="Y387" s="177"/>
      <c r="Z387" s="177"/>
      <c r="AA387" s="177"/>
      <c r="AB387" s="178"/>
      <c r="AC387" s="203"/>
      <c r="AD387" s="177"/>
      <c r="AE387" s="177"/>
      <c r="AF387" s="177"/>
      <c r="AG387" s="177"/>
      <c r="AH387" s="177"/>
      <c r="AI387" s="177"/>
      <c r="AJ387" s="177"/>
      <c r="AK387" s="179"/>
      <c r="AL387" s="178"/>
      <c r="AM387" s="178"/>
      <c r="AN387" s="178"/>
    </row>
    <row r="388" spans="1:40" x14ac:dyDescent="0.2">
      <c r="A388" s="177"/>
      <c r="B388" s="177"/>
      <c r="C388" s="177"/>
      <c r="D388" s="177"/>
      <c r="E388" s="177"/>
      <c r="F388" s="177"/>
      <c r="G388" s="177"/>
      <c r="H388" s="293"/>
      <c r="I388" s="177"/>
      <c r="J388" s="170"/>
      <c r="K388" s="170"/>
      <c r="L388" s="177"/>
      <c r="M388" s="177"/>
      <c r="N388" s="177"/>
      <c r="O388" s="177"/>
      <c r="P388" s="177"/>
      <c r="Q388" s="177"/>
      <c r="R388" s="178"/>
      <c r="S388" s="177"/>
      <c r="T388" s="177"/>
      <c r="U388" s="177"/>
      <c r="V388" s="177"/>
      <c r="W388" s="177"/>
      <c r="X388" s="177"/>
      <c r="Y388" s="177"/>
      <c r="Z388" s="177"/>
      <c r="AA388" s="177"/>
      <c r="AB388" s="178"/>
      <c r="AC388" s="203"/>
      <c r="AD388" s="177"/>
      <c r="AE388" s="177"/>
      <c r="AF388" s="177"/>
      <c r="AG388" s="177"/>
      <c r="AH388" s="177"/>
      <c r="AI388" s="177"/>
      <c r="AJ388" s="177"/>
      <c r="AK388" s="179"/>
      <c r="AL388" s="178"/>
      <c r="AM388" s="178"/>
      <c r="AN388" s="178"/>
    </row>
    <row r="389" spans="1:40" x14ac:dyDescent="0.2">
      <c r="A389" s="177"/>
      <c r="B389" s="177"/>
      <c r="C389" s="177"/>
      <c r="D389" s="177"/>
      <c r="E389" s="177"/>
      <c r="F389" s="177"/>
      <c r="G389" s="177"/>
      <c r="H389" s="293"/>
      <c r="I389" s="177"/>
      <c r="J389" s="170"/>
      <c r="K389" s="170"/>
      <c r="L389" s="177"/>
      <c r="M389" s="177"/>
      <c r="N389" s="177"/>
      <c r="O389" s="177"/>
      <c r="P389" s="177"/>
      <c r="Q389" s="177"/>
      <c r="R389" s="178"/>
      <c r="S389" s="177"/>
      <c r="T389" s="177"/>
      <c r="U389" s="177"/>
      <c r="V389" s="177"/>
      <c r="W389" s="177"/>
      <c r="X389" s="177"/>
      <c r="Y389" s="177"/>
      <c r="Z389" s="177"/>
      <c r="AA389" s="177"/>
      <c r="AB389" s="178"/>
      <c r="AC389" s="203"/>
      <c r="AD389" s="177"/>
      <c r="AE389" s="177"/>
      <c r="AF389" s="177"/>
      <c r="AG389" s="177"/>
      <c r="AH389" s="177"/>
      <c r="AI389" s="177"/>
      <c r="AJ389" s="177"/>
      <c r="AK389" s="179"/>
      <c r="AL389" s="178"/>
      <c r="AM389" s="178"/>
      <c r="AN389" s="178"/>
    </row>
    <row r="390" spans="1:40" x14ac:dyDescent="0.2">
      <c r="A390" s="177"/>
      <c r="B390" s="177"/>
      <c r="C390" s="177"/>
      <c r="D390" s="177"/>
      <c r="E390" s="177"/>
      <c r="F390" s="177"/>
      <c r="G390" s="177"/>
      <c r="H390" s="293"/>
      <c r="I390" s="177"/>
      <c r="J390" s="170"/>
      <c r="K390" s="170"/>
      <c r="L390" s="177"/>
      <c r="M390" s="177"/>
      <c r="N390" s="177"/>
      <c r="O390" s="177"/>
      <c r="P390" s="177"/>
      <c r="Q390" s="177"/>
      <c r="R390" s="178"/>
      <c r="S390" s="177"/>
      <c r="T390" s="177"/>
      <c r="U390" s="177"/>
      <c r="V390" s="177"/>
      <c r="W390" s="177"/>
      <c r="X390" s="177"/>
      <c r="Y390" s="177"/>
      <c r="Z390" s="177"/>
      <c r="AA390" s="177"/>
      <c r="AB390" s="178"/>
      <c r="AC390" s="203"/>
      <c r="AD390" s="177"/>
      <c r="AE390" s="177"/>
      <c r="AF390" s="177"/>
      <c r="AG390" s="177"/>
      <c r="AH390" s="177"/>
      <c r="AI390" s="177"/>
      <c r="AJ390" s="177"/>
      <c r="AK390" s="179"/>
      <c r="AL390" s="178"/>
      <c r="AM390" s="178"/>
      <c r="AN390" s="178"/>
    </row>
    <row r="391" spans="1:40" x14ac:dyDescent="0.2">
      <c r="A391" s="177"/>
      <c r="B391" s="177"/>
      <c r="C391" s="177"/>
      <c r="D391" s="177"/>
      <c r="E391" s="177"/>
      <c r="F391" s="177"/>
      <c r="G391" s="177"/>
      <c r="H391" s="293"/>
      <c r="I391" s="177"/>
      <c r="J391" s="170"/>
      <c r="K391" s="170"/>
      <c r="L391" s="177"/>
      <c r="M391" s="177"/>
      <c r="N391" s="177"/>
      <c r="O391" s="177"/>
      <c r="P391" s="177"/>
      <c r="Q391" s="177"/>
      <c r="R391" s="178"/>
      <c r="S391" s="177"/>
      <c r="T391" s="177"/>
      <c r="U391" s="177"/>
      <c r="V391" s="177"/>
      <c r="W391" s="177"/>
      <c r="X391" s="177"/>
      <c r="Y391" s="177"/>
      <c r="Z391" s="177"/>
      <c r="AA391" s="177"/>
      <c r="AB391" s="178"/>
      <c r="AC391" s="203"/>
      <c r="AD391" s="177"/>
      <c r="AE391" s="177"/>
      <c r="AF391" s="177"/>
      <c r="AG391" s="177"/>
      <c r="AH391" s="177"/>
      <c r="AI391" s="177"/>
      <c r="AJ391" s="177"/>
      <c r="AK391" s="179"/>
      <c r="AL391" s="178"/>
      <c r="AM391" s="178"/>
      <c r="AN391" s="178"/>
    </row>
    <row r="392" spans="1:40" x14ac:dyDescent="0.2">
      <c r="A392" s="177"/>
      <c r="B392" s="177"/>
      <c r="C392" s="177"/>
      <c r="D392" s="177"/>
      <c r="E392" s="177"/>
      <c r="F392" s="177"/>
      <c r="G392" s="177"/>
      <c r="H392" s="293"/>
      <c r="I392" s="177"/>
      <c r="J392" s="170"/>
      <c r="K392" s="170"/>
      <c r="L392" s="177"/>
      <c r="M392" s="177"/>
      <c r="N392" s="177"/>
      <c r="O392" s="177"/>
      <c r="P392" s="177"/>
      <c r="Q392" s="177"/>
      <c r="R392" s="178"/>
      <c r="S392" s="177"/>
      <c r="T392" s="177"/>
      <c r="U392" s="177"/>
      <c r="V392" s="177"/>
      <c r="W392" s="177"/>
      <c r="X392" s="177"/>
      <c r="Y392" s="177"/>
      <c r="Z392" s="177"/>
      <c r="AA392" s="177"/>
      <c r="AB392" s="178"/>
      <c r="AC392" s="203"/>
      <c r="AD392" s="177"/>
      <c r="AE392" s="177"/>
      <c r="AF392" s="177"/>
      <c r="AG392" s="177"/>
      <c r="AH392" s="177"/>
      <c r="AI392" s="177"/>
      <c r="AJ392" s="177"/>
      <c r="AK392" s="179"/>
      <c r="AL392" s="178"/>
      <c r="AM392" s="178"/>
      <c r="AN392" s="178"/>
    </row>
    <row r="393" spans="1:40" x14ac:dyDescent="0.2">
      <c r="A393" s="177"/>
      <c r="B393" s="177"/>
      <c r="C393" s="177"/>
      <c r="D393" s="177"/>
      <c r="E393" s="177"/>
      <c r="F393" s="177"/>
      <c r="G393" s="177"/>
      <c r="H393" s="293"/>
      <c r="I393" s="177"/>
      <c r="J393" s="170"/>
      <c r="K393" s="170"/>
      <c r="L393" s="177"/>
      <c r="M393" s="177"/>
      <c r="N393" s="177"/>
      <c r="O393" s="177"/>
      <c r="P393" s="177"/>
      <c r="Q393" s="177"/>
      <c r="R393" s="178"/>
      <c r="S393" s="177"/>
      <c r="T393" s="177"/>
      <c r="U393" s="177"/>
      <c r="V393" s="177"/>
      <c r="W393" s="177"/>
      <c r="X393" s="177"/>
      <c r="Y393" s="177"/>
      <c r="Z393" s="177"/>
      <c r="AA393" s="177"/>
      <c r="AB393" s="178"/>
      <c r="AC393" s="203"/>
      <c r="AD393" s="177"/>
      <c r="AE393" s="177"/>
      <c r="AF393" s="177"/>
      <c r="AG393" s="177"/>
      <c r="AH393" s="177"/>
      <c r="AI393" s="177"/>
      <c r="AJ393" s="177"/>
      <c r="AK393" s="179"/>
      <c r="AL393" s="178"/>
      <c r="AM393" s="178"/>
      <c r="AN393" s="178"/>
    </row>
    <row r="394" spans="1:40" x14ac:dyDescent="0.2">
      <c r="A394" s="177"/>
      <c r="B394" s="177"/>
      <c r="C394" s="177"/>
      <c r="D394" s="177"/>
      <c r="E394" s="177"/>
      <c r="F394" s="177"/>
      <c r="G394" s="177"/>
      <c r="H394" s="293"/>
      <c r="I394" s="177"/>
      <c r="J394" s="170"/>
      <c r="K394" s="170"/>
      <c r="L394" s="177"/>
      <c r="M394" s="177"/>
      <c r="N394" s="177"/>
      <c r="O394" s="177"/>
      <c r="P394" s="177"/>
      <c r="Q394" s="177"/>
      <c r="R394" s="178"/>
      <c r="S394" s="177"/>
      <c r="T394" s="177"/>
      <c r="U394" s="177"/>
      <c r="V394" s="177"/>
      <c r="W394" s="177"/>
      <c r="X394" s="177"/>
      <c r="Y394" s="177"/>
      <c r="Z394" s="177"/>
      <c r="AA394" s="177"/>
      <c r="AB394" s="178"/>
      <c r="AC394" s="203"/>
      <c r="AD394" s="177"/>
      <c r="AE394" s="177"/>
      <c r="AF394" s="177"/>
      <c r="AG394" s="177"/>
      <c r="AH394" s="177"/>
      <c r="AI394" s="177"/>
      <c r="AJ394" s="177"/>
      <c r="AK394" s="179"/>
      <c r="AL394" s="178"/>
      <c r="AM394" s="178"/>
      <c r="AN394" s="178"/>
    </row>
    <row r="395" spans="1:40" x14ac:dyDescent="0.2">
      <c r="A395" s="177"/>
      <c r="B395" s="177"/>
      <c r="C395" s="177"/>
      <c r="D395" s="177"/>
      <c r="E395" s="177"/>
      <c r="F395" s="177"/>
      <c r="G395" s="177"/>
      <c r="H395" s="293"/>
      <c r="I395" s="177"/>
      <c r="J395" s="170"/>
      <c r="K395" s="170"/>
      <c r="L395" s="177"/>
      <c r="M395" s="177"/>
      <c r="N395" s="177"/>
      <c r="O395" s="177"/>
      <c r="P395" s="177"/>
      <c r="Q395" s="177"/>
      <c r="R395" s="178"/>
      <c r="S395" s="177"/>
      <c r="T395" s="177"/>
      <c r="U395" s="177"/>
      <c r="V395" s="177"/>
      <c r="W395" s="177"/>
      <c r="X395" s="177"/>
      <c r="Y395" s="177"/>
      <c r="Z395" s="177"/>
      <c r="AA395" s="177"/>
      <c r="AB395" s="178"/>
      <c r="AC395" s="203"/>
      <c r="AD395" s="177"/>
      <c r="AE395" s="177"/>
      <c r="AF395" s="177"/>
      <c r="AG395" s="177"/>
      <c r="AH395" s="177"/>
      <c r="AI395" s="177"/>
      <c r="AJ395" s="177"/>
      <c r="AK395" s="179"/>
      <c r="AL395" s="178"/>
      <c r="AM395" s="178"/>
      <c r="AN395" s="178"/>
    </row>
    <row r="396" spans="1:40" x14ac:dyDescent="0.2">
      <c r="A396" s="177"/>
      <c r="B396" s="177"/>
      <c r="C396" s="177"/>
      <c r="D396" s="177"/>
      <c r="E396" s="177"/>
      <c r="F396" s="177"/>
      <c r="G396" s="177"/>
      <c r="H396" s="293"/>
      <c r="I396" s="177"/>
      <c r="J396" s="170"/>
      <c r="K396" s="170"/>
      <c r="L396" s="177"/>
      <c r="M396" s="177"/>
      <c r="N396" s="177"/>
      <c r="O396" s="177"/>
      <c r="P396" s="177"/>
      <c r="Q396" s="177"/>
      <c r="R396" s="178"/>
      <c r="S396" s="177"/>
      <c r="T396" s="177"/>
      <c r="U396" s="177"/>
      <c r="V396" s="177"/>
      <c r="W396" s="177"/>
      <c r="X396" s="177"/>
      <c r="Y396" s="177"/>
      <c r="Z396" s="177"/>
      <c r="AA396" s="177"/>
      <c r="AB396" s="178"/>
      <c r="AC396" s="203"/>
      <c r="AD396" s="177"/>
      <c r="AE396" s="177"/>
      <c r="AF396" s="177"/>
      <c r="AG396" s="177"/>
      <c r="AH396" s="177"/>
      <c r="AI396" s="177"/>
      <c r="AJ396" s="177"/>
      <c r="AK396" s="179"/>
      <c r="AL396" s="178"/>
      <c r="AM396" s="178"/>
      <c r="AN396" s="178"/>
    </row>
    <row r="397" spans="1:40" x14ac:dyDescent="0.2">
      <c r="A397" s="177"/>
      <c r="B397" s="177"/>
      <c r="C397" s="177"/>
      <c r="D397" s="177"/>
      <c r="E397" s="177"/>
      <c r="F397" s="177"/>
      <c r="G397" s="177"/>
      <c r="H397" s="293"/>
      <c r="I397" s="177"/>
      <c r="J397" s="170"/>
      <c r="K397" s="170"/>
      <c r="L397" s="177"/>
      <c r="M397" s="177"/>
      <c r="N397" s="177"/>
      <c r="O397" s="177"/>
      <c r="P397" s="177"/>
      <c r="Q397" s="177"/>
      <c r="R397" s="178"/>
      <c r="S397" s="177"/>
      <c r="T397" s="177"/>
      <c r="U397" s="177"/>
      <c r="V397" s="177"/>
      <c r="W397" s="177"/>
      <c r="X397" s="177"/>
      <c r="Y397" s="177"/>
      <c r="Z397" s="177"/>
      <c r="AA397" s="177"/>
      <c r="AB397" s="178"/>
      <c r="AC397" s="203"/>
      <c r="AD397" s="177"/>
      <c r="AE397" s="177"/>
      <c r="AF397" s="177"/>
      <c r="AG397" s="177"/>
      <c r="AH397" s="177"/>
      <c r="AI397" s="177"/>
      <c r="AJ397" s="177"/>
      <c r="AK397" s="179"/>
      <c r="AL397" s="178"/>
      <c r="AM397" s="178"/>
      <c r="AN397" s="178"/>
    </row>
    <row r="398" spans="1:40" x14ac:dyDescent="0.2">
      <c r="A398" s="177"/>
      <c r="B398" s="177"/>
      <c r="C398" s="177"/>
      <c r="D398" s="177"/>
      <c r="E398" s="177"/>
      <c r="F398" s="177"/>
      <c r="G398" s="177"/>
      <c r="H398" s="293"/>
      <c r="I398" s="177"/>
      <c r="J398" s="170"/>
      <c r="K398" s="170"/>
      <c r="L398" s="177"/>
      <c r="M398" s="177"/>
      <c r="N398" s="177"/>
      <c r="O398" s="177"/>
      <c r="P398" s="177"/>
      <c r="Q398" s="177"/>
      <c r="R398" s="178"/>
      <c r="S398" s="177"/>
      <c r="T398" s="177"/>
      <c r="U398" s="177"/>
      <c r="V398" s="177"/>
      <c r="W398" s="177"/>
      <c r="X398" s="177"/>
      <c r="Y398" s="177"/>
      <c r="Z398" s="177"/>
      <c r="AA398" s="177"/>
      <c r="AB398" s="178"/>
      <c r="AC398" s="203"/>
      <c r="AD398" s="177"/>
      <c r="AE398" s="177"/>
      <c r="AF398" s="177"/>
      <c r="AG398" s="177"/>
      <c r="AH398" s="177"/>
      <c r="AI398" s="177"/>
      <c r="AJ398" s="177"/>
      <c r="AK398" s="179"/>
      <c r="AL398" s="178"/>
      <c r="AM398" s="178"/>
      <c r="AN398" s="178"/>
    </row>
    <row r="399" spans="1:40" x14ac:dyDescent="0.2">
      <c r="A399" s="177"/>
      <c r="B399" s="177"/>
      <c r="C399" s="177"/>
      <c r="D399" s="177"/>
      <c r="E399" s="177"/>
      <c r="F399" s="177"/>
      <c r="G399" s="177"/>
      <c r="H399" s="293"/>
      <c r="I399" s="177"/>
      <c r="J399" s="170"/>
      <c r="K399" s="170"/>
      <c r="L399" s="177"/>
      <c r="M399" s="177"/>
      <c r="N399" s="177"/>
      <c r="O399" s="177"/>
      <c r="P399" s="177"/>
      <c r="Q399" s="177"/>
      <c r="R399" s="178"/>
      <c r="S399" s="177"/>
      <c r="T399" s="177"/>
      <c r="U399" s="177"/>
      <c r="V399" s="177"/>
      <c r="W399" s="177"/>
      <c r="X399" s="177"/>
      <c r="Y399" s="177"/>
      <c r="Z399" s="177"/>
      <c r="AA399" s="177"/>
      <c r="AB399" s="178"/>
      <c r="AC399" s="203"/>
      <c r="AD399" s="177"/>
      <c r="AE399" s="177"/>
      <c r="AF399" s="177"/>
      <c r="AG399" s="177"/>
      <c r="AH399" s="177"/>
      <c r="AI399" s="177"/>
      <c r="AJ399" s="177"/>
      <c r="AK399" s="179"/>
      <c r="AL399" s="178"/>
      <c r="AM399" s="178"/>
      <c r="AN399" s="178"/>
    </row>
    <row r="400" spans="1:40" x14ac:dyDescent="0.2">
      <c r="A400" s="177"/>
      <c r="B400" s="177"/>
      <c r="C400" s="177"/>
      <c r="D400" s="177"/>
      <c r="E400" s="177"/>
      <c r="F400" s="177"/>
      <c r="G400" s="177"/>
      <c r="H400" s="293"/>
      <c r="I400" s="177"/>
      <c r="J400" s="170"/>
      <c r="K400" s="170"/>
      <c r="L400" s="177"/>
      <c r="M400" s="177"/>
      <c r="N400" s="177"/>
      <c r="O400" s="177"/>
      <c r="P400" s="177"/>
      <c r="Q400" s="177"/>
      <c r="R400" s="178"/>
      <c r="S400" s="177"/>
      <c r="T400" s="177"/>
      <c r="U400" s="177"/>
      <c r="V400" s="177"/>
      <c r="W400" s="177"/>
      <c r="X400" s="177"/>
      <c r="Y400" s="177"/>
      <c r="Z400" s="177"/>
      <c r="AA400" s="177"/>
      <c r="AB400" s="178"/>
      <c r="AC400" s="203"/>
      <c r="AD400" s="177"/>
      <c r="AE400" s="177"/>
      <c r="AF400" s="177"/>
      <c r="AG400" s="177"/>
      <c r="AH400" s="177"/>
      <c r="AI400" s="177"/>
      <c r="AJ400" s="177"/>
      <c r="AK400" s="179"/>
      <c r="AL400" s="178"/>
      <c r="AM400" s="178"/>
      <c r="AN400" s="178"/>
    </row>
    <row r="401" spans="1:40" x14ac:dyDescent="0.2">
      <c r="A401" s="177"/>
      <c r="B401" s="177"/>
      <c r="C401" s="177"/>
      <c r="D401" s="177"/>
      <c r="E401" s="177"/>
      <c r="F401" s="177"/>
      <c r="G401" s="177"/>
      <c r="H401" s="293"/>
      <c r="I401" s="177"/>
      <c r="J401" s="170"/>
      <c r="K401" s="170"/>
      <c r="L401" s="177"/>
      <c r="M401" s="177"/>
      <c r="N401" s="177"/>
      <c r="O401" s="177"/>
      <c r="P401" s="177"/>
      <c r="Q401" s="177"/>
      <c r="R401" s="178"/>
      <c r="S401" s="177"/>
      <c r="T401" s="177"/>
      <c r="U401" s="177"/>
      <c r="V401" s="177"/>
      <c r="W401" s="177"/>
      <c r="X401" s="177"/>
      <c r="Y401" s="177"/>
      <c r="Z401" s="177"/>
      <c r="AA401" s="177"/>
      <c r="AB401" s="178"/>
      <c r="AC401" s="203"/>
      <c r="AD401" s="177"/>
      <c r="AE401" s="177"/>
      <c r="AF401" s="177"/>
      <c r="AG401" s="177"/>
      <c r="AH401" s="177"/>
      <c r="AI401" s="177"/>
      <c r="AJ401" s="177"/>
      <c r="AK401" s="179"/>
      <c r="AL401" s="178"/>
      <c r="AM401" s="178"/>
      <c r="AN401" s="178"/>
    </row>
    <row r="402" spans="1:40" x14ac:dyDescent="0.2">
      <c r="A402" s="177"/>
      <c r="B402" s="177"/>
      <c r="C402" s="177"/>
      <c r="D402" s="177"/>
      <c r="E402" s="177"/>
      <c r="F402" s="177"/>
      <c r="G402" s="177"/>
      <c r="H402" s="293"/>
      <c r="I402" s="177"/>
      <c r="J402" s="170"/>
      <c r="K402" s="170"/>
      <c r="L402" s="177"/>
      <c r="M402" s="177"/>
      <c r="N402" s="177"/>
      <c r="O402" s="177"/>
      <c r="P402" s="177"/>
      <c r="Q402" s="177"/>
      <c r="R402" s="178"/>
      <c r="S402" s="177"/>
      <c r="T402" s="177"/>
      <c r="U402" s="177"/>
      <c r="V402" s="177"/>
      <c r="W402" s="177"/>
      <c r="X402" s="177"/>
      <c r="Y402" s="177"/>
      <c r="Z402" s="177"/>
      <c r="AA402" s="177"/>
      <c r="AB402" s="178"/>
      <c r="AC402" s="203"/>
      <c r="AD402" s="177"/>
      <c r="AE402" s="177"/>
      <c r="AF402" s="177"/>
      <c r="AG402" s="177"/>
      <c r="AH402" s="177"/>
      <c r="AI402" s="177"/>
      <c r="AJ402" s="177"/>
      <c r="AK402" s="179"/>
      <c r="AL402" s="178"/>
      <c r="AM402" s="178"/>
      <c r="AN402" s="178"/>
    </row>
    <row r="403" spans="1:40" x14ac:dyDescent="0.2">
      <c r="A403" s="177"/>
      <c r="B403" s="177"/>
      <c r="C403" s="177"/>
      <c r="D403" s="177"/>
      <c r="E403" s="177"/>
      <c r="F403" s="177"/>
      <c r="G403" s="177"/>
      <c r="H403" s="293"/>
      <c r="I403" s="177"/>
      <c r="J403" s="170"/>
      <c r="K403" s="170"/>
      <c r="L403" s="177"/>
      <c r="M403" s="177"/>
      <c r="N403" s="177"/>
      <c r="O403" s="177"/>
      <c r="P403" s="177"/>
      <c r="Q403" s="177"/>
      <c r="R403" s="178"/>
      <c r="S403" s="177"/>
      <c r="T403" s="177"/>
      <c r="U403" s="177"/>
      <c r="V403" s="177"/>
      <c r="W403" s="177"/>
      <c r="X403" s="177"/>
      <c r="Y403" s="177"/>
      <c r="Z403" s="177"/>
      <c r="AA403" s="177"/>
      <c r="AB403" s="178"/>
      <c r="AC403" s="203"/>
      <c r="AD403" s="177"/>
      <c r="AE403" s="177"/>
      <c r="AF403" s="177"/>
      <c r="AG403" s="177"/>
      <c r="AH403" s="177"/>
      <c r="AI403" s="177"/>
      <c r="AJ403" s="177"/>
      <c r="AK403" s="179"/>
      <c r="AL403" s="178"/>
      <c r="AM403" s="178"/>
      <c r="AN403" s="178"/>
    </row>
    <row r="404" spans="1:40" x14ac:dyDescent="0.2">
      <c r="A404" s="177"/>
      <c r="B404" s="177"/>
      <c r="C404" s="177"/>
      <c r="D404" s="177"/>
      <c r="E404" s="177"/>
      <c r="F404" s="177"/>
      <c r="G404" s="177"/>
      <c r="H404" s="293"/>
      <c r="I404" s="177"/>
      <c r="J404" s="170"/>
      <c r="K404" s="170"/>
      <c r="L404" s="177"/>
      <c r="M404" s="177"/>
      <c r="N404" s="177"/>
      <c r="O404" s="177"/>
      <c r="P404" s="177"/>
      <c r="Q404" s="177"/>
      <c r="R404" s="178"/>
      <c r="S404" s="177"/>
      <c r="T404" s="177"/>
      <c r="U404" s="177"/>
      <c r="V404" s="177"/>
      <c r="W404" s="177"/>
      <c r="X404" s="177"/>
      <c r="Y404" s="177"/>
      <c r="Z404" s="177"/>
      <c r="AA404" s="177"/>
      <c r="AB404" s="178"/>
      <c r="AC404" s="203"/>
      <c r="AD404" s="177"/>
      <c r="AE404" s="177"/>
      <c r="AF404" s="177"/>
      <c r="AG404" s="177"/>
      <c r="AH404" s="177"/>
      <c r="AI404" s="177"/>
      <c r="AJ404" s="177"/>
      <c r="AK404" s="179"/>
      <c r="AL404" s="178"/>
      <c r="AM404" s="178"/>
      <c r="AN404" s="178"/>
    </row>
    <row r="405" spans="1:40" x14ac:dyDescent="0.2">
      <c r="A405" s="177"/>
      <c r="B405" s="177"/>
      <c r="C405" s="177"/>
      <c r="D405" s="177"/>
      <c r="E405" s="177"/>
      <c r="F405" s="177"/>
      <c r="G405" s="177"/>
      <c r="H405" s="293"/>
      <c r="I405" s="177"/>
      <c r="J405" s="170"/>
      <c r="K405" s="170"/>
      <c r="L405" s="177"/>
      <c r="M405" s="177"/>
      <c r="N405" s="177"/>
      <c r="O405" s="177"/>
      <c r="P405" s="177"/>
      <c r="Q405" s="177"/>
      <c r="R405" s="178"/>
      <c r="S405" s="177"/>
      <c r="T405" s="177"/>
      <c r="U405" s="177"/>
      <c r="V405" s="177"/>
      <c r="W405" s="177"/>
      <c r="X405" s="177"/>
      <c r="Y405" s="177"/>
      <c r="Z405" s="177"/>
      <c r="AA405" s="177"/>
      <c r="AB405" s="178"/>
      <c r="AC405" s="203"/>
      <c r="AD405" s="177"/>
      <c r="AE405" s="177"/>
      <c r="AF405" s="177"/>
      <c r="AG405" s="177"/>
      <c r="AH405" s="177"/>
      <c r="AI405" s="177"/>
      <c r="AJ405" s="177"/>
      <c r="AK405" s="179"/>
      <c r="AL405" s="178"/>
      <c r="AM405" s="178"/>
      <c r="AN405" s="178"/>
    </row>
    <row r="406" spans="1:40" x14ac:dyDescent="0.2">
      <c r="A406" s="177"/>
      <c r="B406" s="177"/>
      <c r="C406" s="177"/>
      <c r="D406" s="177"/>
      <c r="E406" s="177"/>
      <c r="F406" s="177"/>
      <c r="G406" s="177"/>
      <c r="H406" s="293"/>
      <c r="I406" s="177"/>
      <c r="J406" s="170"/>
      <c r="K406" s="170"/>
      <c r="L406" s="177"/>
      <c r="M406" s="177"/>
      <c r="N406" s="177"/>
      <c r="O406" s="177"/>
      <c r="P406" s="177"/>
      <c r="Q406" s="177"/>
      <c r="R406" s="178"/>
      <c r="S406" s="177"/>
      <c r="T406" s="177"/>
      <c r="U406" s="177"/>
      <c r="V406" s="177"/>
      <c r="W406" s="177"/>
      <c r="X406" s="177"/>
      <c r="Y406" s="177"/>
      <c r="Z406" s="177"/>
      <c r="AA406" s="177"/>
      <c r="AB406" s="178"/>
      <c r="AC406" s="203"/>
      <c r="AD406" s="177"/>
      <c r="AE406" s="177"/>
      <c r="AF406" s="177"/>
      <c r="AG406" s="177"/>
      <c r="AH406" s="177"/>
      <c r="AI406" s="177"/>
      <c r="AJ406" s="177"/>
      <c r="AK406" s="179"/>
      <c r="AL406" s="178"/>
      <c r="AM406" s="178"/>
      <c r="AN406" s="178"/>
    </row>
    <row r="407" spans="1:40" x14ac:dyDescent="0.2">
      <c r="A407" s="177"/>
      <c r="B407" s="177"/>
      <c r="C407" s="177"/>
      <c r="D407" s="177"/>
      <c r="E407" s="177"/>
      <c r="F407" s="177"/>
      <c r="G407" s="177"/>
      <c r="H407" s="293"/>
      <c r="I407" s="177"/>
      <c r="J407" s="170"/>
      <c r="K407" s="170"/>
      <c r="L407" s="177"/>
      <c r="M407" s="177"/>
      <c r="N407" s="177"/>
      <c r="O407" s="177"/>
      <c r="P407" s="177"/>
      <c r="Q407" s="177"/>
      <c r="R407" s="178"/>
      <c r="S407" s="177"/>
      <c r="T407" s="177"/>
      <c r="U407" s="177"/>
      <c r="V407" s="177"/>
      <c r="W407" s="177"/>
      <c r="X407" s="177"/>
      <c r="Y407" s="177"/>
      <c r="Z407" s="177"/>
      <c r="AA407" s="177"/>
      <c r="AB407" s="178"/>
      <c r="AC407" s="203"/>
      <c r="AD407" s="177"/>
      <c r="AE407" s="177"/>
      <c r="AF407" s="177"/>
      <c r="AG407" s="177"/>
      <c r="AH407" s="177"/>
      <c r="AI407" s="177"/>
      <c r="AJ407" s="177"/>
      <c r="AK407" s="179"/>
      <c r="AL407" s="178"/>
      <c r="AM407" s="178"/>
      <c r="AN407" s="178"/>
    </row>
    <row r="408" spans="1:40" x14ac:dyDescent="0.2">
      <c r="A408" s="177"/>
      <c r="B408" s="177"/>
      <c r="C408" s="177"/>
      <c r="D408" s="177"/>
      <c r="E408" s="177"/>
      <c r="F408" s="177"/>
      <c r="G408" s="177"/>
      <c r="H408" s="293"/>
      <c r="I408" s="177"/>
      <c r="J408" s="170"/>
      <c r="K408" s="170"/>
      <c r="L408" s="177"/>
      <c r="M408" s="177"/>
      <c r="N408" s="177"/>
      <c r="O408" s="177"/>
      <c r="P408" s="177"/>
      <c r="Q408" s="177"/>
      <c r="R408" s="178"/>
      <c r="S408" s="177"/>
      <c r="T408" s="177"/>
      <c r="U408" s="177"/>
      <c r="V408" s="177"/>
      <c r="W408" s="177"/>
      <c r="X408" s="177"/>
      <c r="Y408" s="177"/>
      <c r="Z408" s="177"/>
      <c r="AA408" s="177"/>
      <c r="AB408" s="178"/>
      <c r="AC408" s="203"/>
      <c r="AD408" s="177"/>
      <c r="AE408" s="177"/>
      <c r="AF408" s="177"/>
      <c r="AG408" s="177"/>
      <c r="AH408" s="177"/>
      <c r="AI408" s="177"/>
      <c r="AJ408" s="177"/>
      <c r="AK408" s="179"/>
      <c r="AL408" s="178"/>
      <c r="AM408" s="178"/>
      <c r="AN408" s="178"/>
    </row>
    <row r="409" spans="1:40" x14ac:dyDescent="0.2">
      <c r="A409" s="177"/>
      <c r="B409" s="177"/>
      <c r="C409" s="177"/>
      <c r="D409" s="177"/>
      <c r="E409" s="177"/>
      <c r="F409" s="177"/>
      <c r="G409" s="177"/>
      <c r="H409" s="293"/>
      <c r="I409" s="177"/>
      <c r="J409" s="170"/>
      <c r="K409" s="170"/>
      <c r="L409" s="177"/>
      <c r="M409" s="177"/>
      <c r="N409" s="177"/>
      <c r="O409" s="177"/>
      <c r="P409" s="177"/>
      <c r="Q409" s="177"/>
      <c r="R409" s="178"/>
      <c r="S409" s="177"/>
      <c r="T409" s="177"/>
      <c r="U409" s="177"/>
      <c r="V409" s="177"/>
      <c r="W409" s="177"/>
      <c r="X409" s="177"/>
      <c r="Y409" s="177"/>
      <c r="Z409" s="177"/>
      <c r="AA409" s="177"/>
      <c r="AB409" s="178"/>
      <c r="AC409" s="203"/>
      <c r="AD409" s="177"/>
      <c r="AE409" s="177"/>
      <c r="AF409" s="177"/>
      <c r="AG409" s="177"/>
      <c r="AH409" s="177"/>
      <c r="AI409" s="177"/>
      <c r="AJ409" s="177"/>
      <c r="AK409" s="179"/>
      <c r="AL409" s="178"/>
      <c r="AM409" s="178"/>
      <c r="AN409" s="178"/>
    </row>
    <row r="410" spans="1:40" x14ac:dyDescent="0.2">
      <c r="A410" s="177"/>
      <c r="B410" s="177"/>
      <c r="C410" s="177"/>
      <c r="D410" s="177"/>
      <c r="E410" s="177"/>
      <c r="F410" s="177"/>
      <c r="G410" s="177"/>
      <c r="H410" s="293"/>
      <c r="I410" s="177"/>
      <c r="J410" s="170"/>
      <c r="K410" s="170"/>
      <c r="L410" s="177"/>
      <c r="M410" s="177"/>
      <c r="N410" s="177"/>
      <c r="O410" s="177"/>
      <c r="P410" s="177"/>
      <c r="Q410" s="177"/>
      <c r="R410" s="178"/>
      <c r="S410" s="177"/>
      <c r="T410" s="177"/>
      <c r="U410" s="177"/>
      <c r="V410" s="177"/>
      <c r="W410" s="177"/>
      <c r="X410" s="177"/>
      <c r="Y410" s="177"/>
      <c r="Z410" s="177"/>
      <c r="AA410" s="177"/>
      <c r="AB410" s="178"/>
      <c r="AC410" s="203"/>
      <c r="AD410" s="177"/>
      <c r="AE410" s="177"/>
      <c r="AF410" s="177"/>
      <c r="AG410" s="177"/>
      <c r="AH410" s="177"/>
      <c r="AI410" s="177"/>
      <c r="AJ410" s="177"/>
      <c r="AK410" s="179"/>
      <c r="AL410" s="178"/>
      <c r="AM410" s="178"/>
      <c r="AN410" s="178"/>
    </row>
    <row r="411" spans="1:40" x14ac:dyDescent="0.2">
      <c r="A411" s="177"/>
      <c r="B411" s="177"/>
      <c r="C411" s="177"/>
      <c r="D411" s="177"/>
      <c r="E411" s="177"/>
      <c r="F411" s="177"/>
      <c r="G411" s="177"/>
      <c r="H411" s="293"/>
      <c r="I411" s="177"/>
      <c r="J411" s="170"/>
      <c r="K411" s="170"/>
      <c r="L411" s="177"/>
      <c r="M411" s="177"/>
      <c r="N411" s="177"/>
      <c r="O411" s="177"/>
      <c r="P411" s="177"/>
      <c r="Q411" s="177"/>
      <c r="R411" s="178"/>
      <c r="S411" s="177"/>
      <c r="T411" s="177"/>
      <c r="U411" s="177"/>
      <c r="V411" s="177"/>
      <c r="W411" s="177"/>
      <c r="X411" s="177"/>
      <c r="Y411" s="177"/>
      <c r="Z411" s="177"/>
      <c r="AA411" s="177"/>
      <c r="AB411" s="178"/>
      <c r="AC411" s="203"/>
      <c r="AD411" s="177"/>
      <c r="AE411" s="177"/>
      <c r="AF411" s="177"/>
      <c r="AG411" s="177"/>
      <c r="AH411" s="177"/>
      <c r="AI411" s="177"/>
      <c r="AJ411" s="177"/>
      <c r="AK411" s="179"/>
      <c r="AL411" s="178"/>
      <c r="AM411" s="178"/>
      <c r="AN411" s="178"/>
    </row>
    <row r="412" spans="1:40" x14ac:dyDescent="0.2">
      <c r="A412" s="177"/>
      <c r="B412" s="177"/>
      <c r="C412" s="177"/>
      <c r="D412" s="177"/>
      <c r="E412" s="177"/>
      <c r="F412" s="177"/>
      <c r="G412" s="177"/>
      <c r="H412" s="293"/>
      <c r="I412" s="177"/>
      <c r="J412" s="170"/>
      <c r="K412" s="170"/>
      <c r="L412" s="177"/>
      <c r="M412" s="177"/>
      <c r="N412" s="177"/>
      <c r="O412" s="177"/>
      <c r="P412" s="177"/>
      <c r="Q412" s="177"/>
      <c r="R412" s="178"/>
      <c r="S412" s="177"/>
      <c r="T412" s="177"/>
      <c r="U412" s="177"/>
      <c r="V412" s="177"/>
      <c r="W412" s="177"/>
      <c r="X412" s="177"/>
      <c r="Y412" s="177"/>
      <c r="Z412" s="177"/>
      <c r="AA412" s="177"/>
      <c r="AB412" s="178"/>
      <c r="AC412" s="203"/>
      <c r="AD412" s="177"/>
      <c r="AE412" s="177"/>
      <c r="AF412" s="177"/>
      <c r="AG412" s="177"/>
      <c r="AH412" s="177"/>
      <c r="AI412" s="177"/>
      <c r="AJ412" s="177"/>
      <c r="AK412" s="179"/>
      <c r="AL412" s="178"/>
      <c r="AM412" s="178"/>
      <c r="AN412" s="178"/>
    </row>
    <row r="413" spans="1:40" x14ac:dyDescent="0.2">
      <c r="A413" s="177"/>
      <c r="B413" s="177"/>
      <c r="C413" s="177"/>
      <c r="D413" s="177"/>
      <c r="E413" s="177"/>
      <c r="F413" s="177"/>
      <c r="G413" s="177"/>
      <c r="H413" s="293"/>
      <c r="I413" s="177"/>
      <c r="J413" s="170"/>
      <c r="K413" s="170"/>
      <c r="L413" s="177"/>
      <c r="M413" s="177"/>
      <c r="N413" s="177"/>
      <c r="O413" s="177"/>
      <c r="P413" s="177"/>
      <c r="Q413" s="177"/>
      <c r="R413" s="178"/>
      <c r="S413" s="177"/>
      <c r="T413" s="177"/>
      <c r="U413" s="177"/>
      <c r="V413" s="177"/>
      <c r="W413" s="177"/>
      <c r="X413" s="177"/>
      <c r="Y413" s="177"/>
      <c r="Z413" s="177"/>
      <c r="AA413" s="177"/>
      <c r="AB413" s="178"/>
      <c r="AC413" s="203"/>
      <c r="AD413" s="177"/>
      <c r="AE413" s="177"/>
      <c r="AF413" s="177"/>
      <c r="AG413" s="177"/>
      <c r="AH413" s="177"/>
      <c r="AI413" s="177"/>
      <c r="AJ413" s="177"/>
      <c r="AK413" s="179"/>
      <c r="AL413" s="178"/>
      <c r="AM413" s="178"/>
      <c r="AN413" s="178"/>
    </row>
    <row r="414" spans="1:40" x14ac:dyDescent="0.2">
      <c r="A414" s="177"/>
      <c r="B414" s="177"/>
      <c r="C414" s="177"/>
      <c r="D414" s="177"/>
      <c r="E414" s="177"/>
      <c r="F414" s="177"/>
      <c r="G414" s="177"/>
      <c r="H414" s="293"/>
      <c r="I414" s="177"/>
      <c r="J414" s="170"/>
      <c r="K414" s="170"/>
      <c r="L414" s="177"/>
      <c r="M414" s="177"/>
      <c r="N414" s="177"/>
      <c r="O414" s="177"/>
      <c r="P414" s="177"/>
      <c r="Q414" s="177"/>
      <c r="R414" s="178"/>
      <c r="S414" s="177"/>
      <c r="T414" s="177"/>
      <c r="U414" s="177"/>
      <c r="V414" s="177"/>
      <c r="W414" s="177"/>
      <c r="X414" s="177"/>
      <c r="Y414" s="177"/>
      <c r="Z414" s="177"/>
      <c r="AA414" s="177"/>
      <c r="AB414" s="178"/>
      <c r="AC414" s="203"/>
      <c r="AD414" s="177"/>
      <c r="AE414" s="177"/>
      <c r="AF414" s="177"/>
      <c r="AG414" s="177"/>
      <c r="AH414" s="177"/>
      <c r="AI414" s="177"/>
      <c r="AJ414" s="177"/>
      <c r="AK414" s="179"/>
      <c r="AL414" s="178"/>
      <c r="AM414" s="178"/>
      <c r="AN414" s="178"/>
    </row>
    <row r="415" spans="1:40" x14ac:dyDescent="0.2">
      <c r="A415" s="177"/>
      <c r="B415" s="177"/>
      <c r="C415" s="177"/>
      <c r="D415" s="177"/>
      <c r="E415" s="177"/>
      <c r="F415" s="177"/>
      <c r="G415" s="177"/>
      <c r="H415" s="293"/>
      <c r="I415" s="177"/>
      <c r="J415" s="170"/>
      <c r="K415" s="170"/>
      <c r="L415" s="177"/>
      <c r="M415" s="177"/>
      <c r="N415" s="177"/>
      <c r="O415" s="177"/>
      <c r="P415" s="177"/>
      <c r="Q415" s="177"/>
      <c r="R415" s="178"/>
      <c r="S415" s="177"/>
      <c r="T415" s="177"/>
      <c r="U415" s="177"/>
      <c r="V415" s="177"/>
      <c r="W415" s="177"/>
      <c r="X415" s="177"/>
      <c r="Y415" s="177"/>
      <c r="Z415" s="177"/>
      <c r="AA415" s="177"/>
      <c r="AB415" s="178"/>
      <c r="AC415" s="203"/>
      <c r="AD415" s="177"/>
      <c r="AE415" s="177"/>
      <c r="AF415" s="177"/>
      <c r="AG415" s="177"/>
      <c r="AH415" s="177"/>
      <c r="AI415" s="177"/>
      <c r="AJ415" s="177"/>
      <c r="AK415" s="179"/>
      <c r="AL415" s="178"/>
      <c r="AM415" s="178"/>
      <c r="AN415" s="178"/>
    </row>
    <row r="416" spans="1:40" x14ac:dyDescent="0.2">
      <c r="A416" s="177"/>
      <c r="B416" s="177"/>
      <c r="C416" s="177"/>
      <c r="D416" s="177"/>
      <c r="E416" s="177"/>
      <c r="F416" s="177"/>
      <c r="G416" s="177"/>
      <c r="H416" s="293"/>
      <c r="I416" s="177"/>
      <c r="J416" s="170"/>
      <c r="K416" s="170"/>
      <c r="L416" s="177"/>
      <c r="M416" s="177"/>
      <c r="N416" s="177"/>
      <c r="O416" s="177"/>
      <c r="P416" s="177"/>
      <c r="Q416" s="177"/>
      <c r="R416" s="178"/>
      <c r="S416" s="177"/>
      <c r="T416" s="177"/>
      <c r="U416" s="177"/>
      <c r="V416" s="177"/>
      <c r="W416" s="177"/>
      <c r="X416" s="177"/>
      <c r="Y416" s="177"/>
      <c r="Z416" s="177"/>
      <c r="AA416" s="177"/>
      <c r="AB416" s="178"/>
      <c r="AC416" s="203"/>
      <c r="AD416" s="177"/>
      <c r="AE416" s="177"/>
      <c r="AF416" s="177"/>
      <c r="AG416" s="177"/>
      <c r="AH416" s="177"/>
      <c r="AI416" s="177"/>
      <c r="AJ416" s="177"/>
      <c r="AK416" s="179"/>
      <c r="AL416" s="178"/>
      <c r="AM416" s="178"/>
      <c r="AN416" s="178"/>
    </row>
    <row r="417" spans="1:40" x14ac:dyDescent="0.2">
      <c r="A417" s="177"/>
      <c r="B417" s="177"/>
      <c r="C417" s="177"/>
      <c r="D417" s="177"/>
      <c r="E417" s="177"/>
      <c r="F417" s="177"/>
      <c r="G417" s="177"/>
      <c r="H417" s="293"/>
      <c r="I417" s="177"/>
      <c r="J417" s="170"/>
      <c r="K417" s="170"/>
      <c r="L417" s="177"/>
      <c r="M417" s="177"/>
      <c r="N417" s="177"/>
      <c r="O417" s="177"/>
      <c r="P417" s="177"/>
      <c r="Q417" s="177"/>
      <c r="R417" s="178"/>
      <c r="S417" s="177"/>
      <c r="T417" s="177"/>
      <c r="U417" s="177"/>
      <c r="V417" s="177"/>
      <c r="W417" s="177"/>
      <c r="X417" s="177"/>
      <c r="Y417" s="177"/>
      <c r="Z417" s="177"/>
      <c r="AA417" s="177"/>
      <c r="AB417" s="178"/>
      <c r="AC417" s="203"/>
      <c r="AD417" s="177"/>
      <c r="AE417" s="177"/>
      <c r="AF417" s="177"/>
      <c r="AG417" s="177"/>
      <c r="AH417" s="177"/>
      <c r="AI417" s="177"/>
      <c r="AJ417" s="177"/>
      <c r="AK417" s="179"/>
      <c r="AL417" s="178"/>
      <c r="AM417" s="178"/>
      <c r="AN417" s="178"/>
    </row>
    <row r="418" spans="1:40" x14ac:dyDescent="0.2">
      <c r="A418" s="177"/>
      <c r="B418" s="177"/>
      <c r="C418" s="177"/>
      <c r="D418" s="177"/>
      <c r="E418" s="177"/>
      <c r="F418" s="177"/>
      <c r="G418" s="177"/>
      <c r="H418" s="293"/>
      <c r="I418" s="177"/>
      <c r="J418" s="170"/>
      <c r="K418" s="170"/>
      <c r="L418" s="177"/>
      <c r="M418" s="177"/>
      <c r="N418" s="177"/>
      <c r="O418" s="177"/>
      <c r="P418" s="177"/>
      <c r="Q418" s="177"/>
      <c r="R418" s="178"/>
      <c r="S418" s="177"/>
      <c r="T418" s="177"/>
      <c r="U418" s="177"/>
      <c r="V418" s="177"/>
      <c r="W418" s="177"/>
      <c r="X418" s="177"/>
      <c r="Y418" s="177"/>
      <c r="Z418" s="177"/>
      <c r="AA418" s="177"/>
      <c r="AB418" s="178"/>
      <c r="AC418" s="203"/>
      <c r="AD418" s="177"/>
      <c r="AE418" s="177"/>
      <c r="AF418" s="177"/>
      <c r="AG418" s="177"/>
      <c r="AH418" s="177"/>
      <c r="AI418" s="177"/>
      <c r="AJ418" s="177"/>
      <c r="AK418" s="179"/>
      <c r="AL418" s="178"/>
      <c r="AM418" s="178"/>
      <c r="AN418" s="178"/>
    </row>
    <row r="419" spans="1:40" x14ac:dyDescent="0.2">
      <c r="A419" s="177"/>
      <c r="B419" s="177"/>
      <c r="C419" s="177"/>
      <c r="D419" s="177"/>
      <c r="E419" s="177"/>
      <c r="F419" s="177"/>
      <c r="G419" s="177"/>
      <c r="H419" s="293"/>
      <c r="I419" s="177"/>
      <c r="J419" s="170"/>
      <c r="K419" s="170"/>
      <c r="L419" s="177"/>
      <c r="M419" s="177"/>
      <c r="N419" s="177"/>
      <c r="O419" s="177"/>
      <c r="P419" s="177"/>
      <c r="Q419" s="177"/>
      <c r="R419" s="178"/>
      <c r="S419" s="177"/>
      <c r="T419" s="177"/>
      <c r="U419" s="177"/>
      <c r="V419" s="177"/>
      <c r="W419" s="177"/>
      <c r="X419" s="177"/>
      <c r="Y419" s="177"/>
      <c r="Z419" s="177"/>
      <c r="AA419" s="177"/>
      <c r="AB419" s="178"/>
      <c r="AC419" s="203"/>
      <c r="AD419" s="177"/>
      <c r="AE419" s="177"/>
      <c r="AF419" s="177"/>
      <c r="AG419" s="177"/>
      <c r="AH419" s="177"/>
      <c r="AI419" s="177"/>
      <c r="AJ419" s="177"/>
      <c r="AK419" s="179"/>
      <c r="AL419" s="178"/>
      <c r="AM419" s="178"/>
      <c r="AN419" s="178"/>
    </row>
    <row r="420" spans="1:40" x14ac:dyDescent="0.2">
      <c r="A420" s="177"/>
    </row>
    <row r="462" spans="6:30" ht="15.75" thickBot="1" x14ac:dyDescent="0.25"/>
    <row r="463" spans="6:30" ht="25.5" x14ac:dyDescent="0.2">
      <c r="F463" s="181" t="s">
        <v>1241</v>
      </c>
      <c r="H463" s="294" t="s">
        <v>44</v>
      </c>
      <c r="O463" s="182" t="s">
        <v>1242</v>
      </c>
      <c r="P463" s="183" t="s">
        <v>1243</v>
      </c>
      <c r="Q463" s="183"/>
      <c r="R463" s="184" t="s">
        <v>34</v>
      </c>
      <c r="S463" s="183"/>
      <c r="T463" s="183" t="s">
        <v>1244</v>
      </c>
      <c r="U463" s="185" t="s">
        <v>1245</v>
      </c>
      <c r="V463" s="185"/>
      <c r="W463" s="183" t="s">
        <v>1246</v>
      </c>
      <c r="X463" s="186" t="s">
        <v>1247</v>
      </c>
      <c r="Y463" s="187"/>
      <c r="Z463" s="187"/>
      <c r="AA463" s="187"/>
      <c r="AD463" s="183" t="s">
        <v>1248</v>
      </c>
    </row>
    <row r="464" spans="6:30" x14ac:dyDescent="0.2">
      <c r="F464" s="188" t="s">
        <v>1249</v>
      </c>
      <c r="H464" s="294" t="s">
        <v>207</v>
      </c>
      <c r="L464" s="163" t="s">
        <v>288</v>
      </c>
      <c r="O464" s="189"/>
      <c r="P464" s="189"/>
      <c r="Q464" s="189"/>
      <c r="R464" s="190"/>
      <c r="S464" s="189"/>
      <c r="T464" s="189"/>
      <c r="U464" s="191"/>
      <c r="V464" s="191"/>
      <c r="W464" s="189"/>
      <c r="X464" s="189"/>
      <c r="Y464" s="189"/>
      <c r="Z464" s="189"/>
      <c r="AA464" s="189"/>
    </row>
    <row r="465" spans="6:30" x14ac:dyDescent="0.2">
      <c r="F465" s="192" t="s">
        <v>1250</v>
      </c>
      <c r="H465" s="294" t="s">
        <v>306</v>
      </c>
      <c r="L465" s="163" t="s">
        <v>160</v>
      </c>
      <c r="O465" s="20" t="s">
        <v>1251</v>
      </c>
      <c r="P465" s="193" t="s">
        <v>475</v>
      </c>
      <c r="Q465" s="193"/>
      <c r="R465" s="194" t="s">
        <v>642</v>
      </c>
      <c r="S465" s="20"/>
      <c r="T465" s="20" t="s">
        <v>128</v>
      </c>
      <c r="U465" s="195" t="s">
        <v>1252</v>
      </c>
      <c r="V465" s="195"/>
      <c r="W465" s="196" t="s">
        <v>1253</v>
      </c>
      <c r="AD465" s="163" t="s">
        <v>100</v>
      </c>
    </row>
    <row r="466" spans="6:30" x14ac:dyDescent="0.2">
      <c r="F466" s="197" t="s">
        <v>1254</v>
      </c>
      <c r="H466" s="294" t="s">
        <v>456</v>
      </c>
      <c r="L466" s="163" t="s">
        <v>91</v>
      </c>
      <c r="O466" s="20" t="s">
        <v>1255</v>
      </c>
      <c r="P466" s="193" t="s">
        <v>1256</v>
      </c>
      <c r="Q466" s="193"/>
      <c r="R466" s="194" t="s">
        <v>1257</v>
      </c>
      <c r="S466" s="20"/>
      <c r="T466" s="20" t="s">
        <v>1258</v>
      </c>
      <c r="U466" s="195" t="s">
        <v>413</v>
      </c>
      <c r="V466" s="195"/>
      <c r="W466" s="196" t="s">
        <v>1259</v>
      </c>
      <c r="AD466" s="163" t="s">
        <v>228</v>
      </c>
    </row>
    <row r="467" spans="6:30" x14ac:dyDescent="0.2">
      <c r="F467" s="198" t="s">
        <v>1260</v>
      </c>
      <c r="H467" s="294" t="s">
        <v>581</v>
      </c>
      <c r="L467" s="163" t="s">
        <v>173</v>
      </c>
      <c r="O467" s="20" t="s">
        <v>1261</v>
      </c>
      <c r="P467" s="193" t="s">
        <v>649</v>
      </c>
      <c r="Q467" s="193"/>
      <c r="R467" s="194" t="s">
        <v>227</v>
      </c>
      <c r="S467" s="20"/>
      <c r="T467" s="20" t="s">
        <v>1262</v>
      </c>
      <c r="U467" s="195" t="s">
        <v>1078</v>
      </c>
      <c r="V467" s="195"/>
      <c r="W467" s="196" t="s">
        <v>1263</v>
      </c>
      <c r="AD467" s="163" t="s">
        <v>80</v>
      </c>
    </row>
    <row r="468" spans="6:30" x14ac:dyDescent="0.2">
      <c r="F468" s="197" t="s">
        <v>1264</v>
      </c>
      <c r="H468" s="294" t="s">
        <v>739</v>
      </c>
      <c r="L468" s="163" t="s">
        <v>108</v>
      </c>
      <c r="O468" s="20" t="s">
        <v>1265</v>
      </c>
      <c r="P468" s="193" t="s">
        <v>115</v>
      </c>
      <c r="Q468" s="193"/>
      <c r="R468" s="194" t="s">
        <v>450</v>
      </c>
      <c r="S468" s="20"/>
      <c r="T468" s="20" t="s">
        <v>1266</v>
      </c>
      <c r="U468" s="195" t="s">
        <v>293</v>
      </c>
      <c r="V468" s="195"/>
      <c r="W468" s="196" t="s">
        <v>1267</v>
      </c>
      <c r="AD468" s="163" t="s">
        <v>128</v>
      </c>
    </row>
    <row r="469" spans="6:30" x14ac:dyDescent="0.2">
      <c r="F469" s="197" t="s">
        <v>1268</v>
      </c>
      <c r="H469" s="294" t="s">
        <v>832</v>
      </c>
      <c r="L469" s="163" t="s">
        <v>234</v>
      </c>
      <c r="O469" s="20" t="s">
        <v>1269</v>
      </c>
      <c r="P469" s="193" t="s">
        <v>226</v>
      </c>
      <c r="Q469" s="193"/>
      <c r="R469" s="194" t="s">
        <v>60</v>
      </c>
      <c r="S469" s="20"/>
      <c r="T469" s="20" t="s">
        <v>502</v>
      </c>
      <c r="U469" s="195" t="s">
        <v>116</v>
      </c>
      <c r="V469" s="195"/>
      <c r="W469" s="196" t="s">
        <v>1270</v>
      </c>
      <c r="AD469" s="163" t="s">
        <v>302</v>
      </c>
    </row>
    <row r="470" spans="6:30" x14ac:dyDescent="0.2">
      <c r="F470" s="197" t="s">
        <v>1271</v>
      </c>
      <c r="H470" s="294" t="s">
        <v>919</v>
      </c>
      <c r="L470" s="163" t="s">
        <v>134</v>
      </c>
      <c r="O470" s="20" t="s">
        <v>1272</v>
      </c>
      <c r="P470" s="193" t="s">
        <v>1273</v>
      </c>
      <c r="Q470" s="193"/>
      <c r="R470" s="194" t="s">
        <v>695</v>
      </c>
      <c r="S470" s="20"/>
      <c r="T470" s="20" t="s">
        <v>1274</v>
      </c>
      <c r="U470" s="195" t="s">
        <v>329</v>
      </c>
      <c r="V470" s="195"/>
      <c r="W470" s="196" t="s">
        <v>1275</v>
      </c>
      <c r="X470" s="189"/>
      <c r="Y470" s="189"/>
      <c r="Z470" s="189"/>
      <c r="AA470" s="189"/>
      <c r="AD470" s="163" t="s">
        <v>167</v>
      </c>
    </row>
    <row r="471" spans="6:30" x14ac:dyDescent="0.2">
      <c r="F471" s="198" t="s">
        <v>1276</v>
      </c>
      <c r="H471" s="294" t="s">
        <v>1092</v>
      </c>
      <c r="L471" s="163" t="s">
        <v>264</v>
      </c>
      <c r="O471" s="20" t="s">
        <v>1277</v>
      </c>
      <c r="P471" s="193" t="s">
        <v>59</v>
      </c>
      <c r="Q471" s="193"/>
      <c r="R471" s="194" t="s">
        <v>1278</v>
      </c>
      <c r="S471" s="20"/>
      <c r="T471" s="20" t="s">
        <v>1279</v>
      </c>
      <c r="U471" s="195" t="s">
        <v>1280</v>
      </c>
      <c r="V471" s="195"/>
      <c r="W471" s="196" t="s">
        <v>1281</v>
      </c>
      <c r="X471" s="189"/>
      <c r="Y471" s="189"/>
      <c r="Z471" s="189"/>
      <c r="AA471" s="189"/>
      <c r="AD471" s="163" t="s">
        <v>502</v>
      </c>
    </row>
    <row r="472" spans="6:30" x14ac:dyDescent="0.2">
      <c r="F472" s="197" t="s">
        <v>1282</v>
      </c>
      <c r="H472" s="294" t="s">
        <v>1142</v>
      </c>
      <c r="L472" s="163" t="s">
        <v>1283</v>
      </c>
      <c r="O472" s="189"/>
      <c r="P472" s="193" t="s">
        <v>99</v>
      </c>
      <c r="Q472" s="193"/>
      <c r="R472" s="194" t="s">
        <v>153</v>
      </c>
      <c r="S472" s="20"/>
      <c r="T472" s="20" t="s">
        <v>228</v>
      </c>
      <c r="U472" s="195" t="s">
        <v>154</v>
      </c>
      <c r="V472" s="195"/>
      <c r="W472" s="196" t="s">
        <v>1284</v>
      </c>
      <c r="X472" s="189"/>
      <c r="Y472" s="189"/>
      <c r="Z472" s="189"/>
      <c r="AA472" s="189"/>
      <c r="AD472" s="163" t="s">
        <v>61</v>
      </c>
    </row>
    <row r="473" spans="6:30" x14ac:dyDescent="0.2">
      <c r="F473" s="199" t="s">
        <v>1285</v>
      </c>
      <c r="H473" s="294" t="s">
        <v>1183</v>
      </c>
      <c r="L473" s="163" t="s">
        <v>1286</v>
      </c>
      <c r="O473" s="189"/>
      <c r="P473" s="193" t="s">
        <v>1138</v>
      </c>
      <c r="Q473" s="193"/>
      <c r="R473" s="194" t="s">
        <v>1287</v>
      </c>
      <c r="S473" s="20"/>
      <c r="T473" s="20" t="s">
        <v>302</v>
      </c>
      <c r="U473" s="195" t="s">
        <v>229</v>
      </c>
      <c r="V473" s="195"/>
      <c r="W473" s="196" t="s">
        <v>1288</v>
      </c>
      <c r="X473" s="189"/>
      <c r="Y473" s="189"/>
      <c r="Z473" s="189"/>
      <c r="AA473" s="189"/>
    </row>
    <row r="474" spans="6:30" x14ac:dyDescent="0.2">
      <c r="F474" s="199" t="s">
        <v>1289</v>
      </c>
      <c r="H474" s="294" t="s">
        <v>1290</v>
      </c>
      <c r="L474" s="163" t="s">
        <v>52</v>
      </c>
      <c r="O474" s="189"/>
      <c r="P474" s="193" t="s">
        <v>724</v>
      </c>
      <c r="Q474" s="193"/>
      <c r="R474" s="194" t="s">
        <v>1291</v>
      </c>
      <c r="S474" s="20"/>
      <c r="T474" s="20" t="s">
        <v>384</v>
      </c>
      <c r="U474" s="195" t="s">
        <v>81</v>
      </c>
      <c r="V474" s="195"/>
      <c r="W474" s="196" t="s">
        <v>1292</v>
      </c>
      <c r="X474" s="189"/>
      <c r="Y474" s="189"/>
      <c r="Z474" s="189"/>
      <c r="AA474" s="189"/>
    </row>
    <row r="475" spans="6:30" x14ac:dyDescent="0.2">
      <c r="F475" s="197" t="s">
        <v>1293</v>
      </c>
      <c r="L475" s="163" t="s">
        <v>73</v>
      </c>
      <c r="O475" s="189"/>
      <c r="P475" s="193" t="s">
        <v>1077</v>
      </c>
      <c r="Q475" s="193"/>
      <c r="R475" s="194" t="s">
        <v>256</v>
      </c>
      <c r="S475" s="20"/>
      <c r="T475" s="20" t="s">
        <v>1294</v>
      </c>
      <c r="U475" s="195" t="s">
        <v>180</v>
      </c>
      <c r="V475" s="195"/>
      <c r="W475" s="196" t="s">
        <v>1295</v>
      </c>
      <c r="X475" s="189"/>
      <c r="Y475" s="189"/>
      <c r="Z475" s="189"/>
      <c r="AA475" s="189"/>
    </row>
    <row r="476" spans="6:30" x14ac:dyDescent="0.2">
      <c r="F476" s="198" t="s">
        <v>1296</v>
      </c>
      <c r="L476" s="163" t="s">
        <v>480</v>
      </c>
      <c r="O476" s="189"/>
      <c r="P476" s="193" t="s">
        <v>216</v>
      </c>
      <c r="Q476" s="193"/>
      <c r="R476" s="194"/>
      <c r="S476" s="20"/>
      <c r="T476" s="20" t="s">
        <v>1297</v>
      </c>
      <c r="U476" s="195" t="s">
        <v>62</v>
      </c>
      <c r="V476" s="195"/>
      <c r="W476" s="196" t="s">
        <v>1298</v>
      </c>
      <c r="X476" s="189"/>
      <c r="Y476" s="189"/>
      <c r="Z476" s="189"/>
      <c r="AA476" s="189"/>
    </row>
    <row r="477" spans="6:30" x14ac:dyDescent="0.2">
      <c r="F477" s="198" t="s">
        <v>1299</v>
      </c>
      <c r="O477" s="189"/>
      <c r="P477" s="193" t="s">
        <v>1300</v>
      </c>
      <c r="Q477" s="193"/>
      <c r="R477" s="194"/>
      <c r="S477" s="20"/>
      <c r="T477" s="20" t="s">
        <v>1301</v>
      </c>
      <c r="U477" s="195" t="s">
        <v>101</v>
      </c>
      <c r="V477" s="195"/>
      <c r="W477" s="196" t="s">
        <v>1302</v>
      </c>
      <c r="X477" s="189"/>
      <c r="Y477" s="189"/>
      <c r="Z477" s="189"/>
      <c r="AA477" s="189"/>
    </row>
    <row r="478" spans="6:30" x14ac:dyDescent="0.2">
      <c r="F478" s="198" t="s">
        <v>1303</v>
      </c>
      <c r="O478" s="189"/>
      <c r="P478" s="193" t="s">
        <v>142</v>
      </c>
      <c r="Q478" s="193"/>
      <c r="R478" s="194"/>
      <c r="S478" s="20"/>
      <c r="T478" s="20"/>
      <c r="U478" s="195" t="s">
        <v>303</v>
      </c>
      <c r="V478" s="195"/>
      <c r="W478" s="196" t="s">
        <v>1304</v>
      </c>
      <c r="X478" s="189"/>
      <c r="Y478" s="189"/>
      <c r="Z478" s="189"/>
      <c r="AA478" s="189"/>
    </row>
    <row r="479" spans="6:30" x14ac:dyDescent="0.2">
      <c r="F479" s="38" t="s">
        <v>1305</v>
      </c>
      <c r="O479" s="189"/>
      <c r="P479" s="193" t="s">
        <v>277</v>
      </c>
      <c r="Q479" s="193"/>
      <c r="R479" s="194"/>
      <c r="S479" s="20"/>
      <c r="T479" s="20"/>
      <c r="U479" s="195" t="s">
        <v>61</v>
      </c>
      <c r="V479" s="195"/>
      <c r="W479" s="196" t="s">
        <v>1306</v>
      </c>
      <c r="X479" s="189"/>
      <c r="Y479" s="189"/>
      <c r="Z479" s="189"/>
      <c r="AA479" s="189"/>
    </row>
    <row r="480" spans="6:30" x14ac:dyDescent="0.2">
      <c r="F480" s="165"/>
      <c r="O480" s="189"/>
      <c r="P480" s="193" t="s">
        <v>301</v>
      </c>
      <c r="Q480" s="193"/>
      <c r="R480" s="194"/>
      <c r="S480" s="20"/>
      <c r="T480" s="20"/>
      <c r="U480" s="195"/>
      <c r="V480" s="195"/>
      <c r="W480" s="196" t="s">
        <v>61</v>
      </c>
      <c r="X480" s="189"/>
      <c r="Y480" s="189"/>
      <c r="Z480" s="189"/>
      <c r="AA480" s="189"/>
    </row>
    <row r="481" spans="6:27" x14ac:dyDescent="0.2">
      <c r="F481" s="165"/>
      <c r="O481" s="189"/>
      <c r="P481" s="193" t="s">
        <v>373</v>
      </c>
      <c r="Q481" s="193"/>
      <c r="R481" s="194"/>
      <c r="S481" s="20"/>
      <c r="T481" s="20"/>
      <c r="U481" s="195"/>
      <c r="V481" s="195"/>
      <c r="W481" s="196" t="s">
        <v>1307</v>
      </c>
      <c r="X481" s="189"/>
      <c r="Y481" s="189"/>
      <c r="Z481" s="189"/>
      <c r="AA481" s="189"/>
    </row>
    <row r="482" spans="6:27" x14ac:dyDescent="0.2">
      <c r="F482" s="165"/>
      <c r="O482" s="189"/>
      <c r="P482" s="193" t="s">
        <v>700</v>
      </c>
      <c r="Q482" s="193"/>
      <c r="R482" s="194"/>
      <c r="S482" s="20"/>
      <c r="T482" s="20"/>
      <c r="U482" s="195"/>
      <c r="V482" s="195"/>
      <c r="W482" s="196"/>
      <c r="X482" s="189"/>
      <c r="Y482" s="189"/>
      <c r="Z482" s="189"/>
      <c r="AA482" s="189"/>
    </row>
    <row r="483" spans="6:27" x14ac:dyDescent="0.2">
      <c r="F483" s="165"/>
      <c r="O483" s="189"/>
      <c r="P483" s="193" t="s">
        <v>425</v>
      </c>
      <c r="Q483" s="193"/>
      <c r="R483" s="194"/>
      <c r="S483" s="20"/>
      <c r="T483" s="20"/>
      <c r="U483" s="195"/>
      <c r="V483" s="195"/>
      <c r="W483" s="196"/>
      <c r="X483" s="189"/>
      <c r="Y483" s="189"/>
      <c r="Z483" s="189"/>
      <c r="AA483" s="189"/>
    </row>
    <row r="484" spans="6:27" x14ac:dyDescent="0.2">
      <c r="F484" s="165"/>
      <c r="U484" s="165"/>
      <c r="V484" s="165"/>
    </row>
    <row r="485" spans="6:27" x14ac:dyDescent="0.2">
      <c r="F485" s="165"/>
      <c r="U485" s="165"/>
      <c r="V485" s="165"/>
    </row>
    <row r="486" spans="6:27" x14ac:dyDescent="0.2">
      <c r="F486" s="165"/>
      <c r="U486" s="165"/>
      <c r="V486" s="165"/>
    </row>
    <row r="487" spans="6:27" x14ac:dyDescent="0.2">
      <c r="F487" s="165"/>
      <c r="U487" s="165"/>
      <c r="V487" s="165"/>
    </row>
    <row r="488" spans="6:27" x14ac:dyDescent="0.2">
      <c r="F488" s="165"/>
      <c r="U488" s="165"/>
      <c r="V488" s="165"/>
    </row>
    <row r="489" spans="6:27" x14ac:dyDescent="0.2">
      <c r="F489" s="165"/>
      <c r="U489" s="165"/>
      <c r="V489" s="165"/>
    </row>
    <row r="490" spans="6:27" x14ac:dyDescent="0.2">
      <c r="F490" s="165"/>
      <c r="U490" s="165"/>
      <c r="V490" s="165"/>
    </row>
    <row r="491" spans="6:27" x14ac:dyDescent="0.2">
      <c r="F491" s="165"/>
      <c r="U491" s="165"/>
      <c r="V491" s="165"/>
    </row>
    <row r="492" spans="6:27" x14ac:dyDescent="0.2">
      <c r="F492" s="165"/>
      <c r="U492" s="165"/>
      <c r="V492" s="165"/>
    </row>
    <row r="493" spans="6:27" x14ac:dyDescent="0.2">
      <c r="F493" s="165"/>
      <c r="U493" s="165"/>
      <c r="V493" s="165"/>
    </row>
    <row r="494" spans="6:27" x14ac:dyDescent="0.2">
      <c r="F494" s="165"/>
      <c r="U494" s="165"/>
      <c r="V494" s="165"/>
    </row>
    <row r="495" spans="6:27" x14ac:dyDescent="0.2">
      <c r="F495" s="165"/>
      <c r="U495" s="165"/>
      <c r="V495" s="165"/>
    </row>
    <row r="496" spans="6:27" x14ac:dyDescent="0.2">
      <c r="F496" s="165"/>
      <c r="U496" s="165"/>
      <c r="V496" s="165"/>
    </row>
    <row r="497" spans="6:22" x14ac:dyDescent="0.2">
      <c r="F497" s="165"/>
      <c r="U497" s="165"/>
      <c r="V497" s="165"/>
    </row>
    <row r="498" spans="6:22" x14ac:dyDescent="0.2">
      <c r="F498" s="165"/>
      <c r="U498" s="165"/>
      <c r="V498" s="165"/>
    </row>
    <row r="499" spans="6:22" x14ac:dyDescent="0.2">
      <c r="F499" s="165"/>
      <c r="U499" s="165"/>
      <c r="V499" s="165"/>
    </row>
    <row r="500" spans="6:22" x14ac:dyDescent="0.2">
      <c r="F500" s="165"/>
      <c r="U500" s="165"/>
      <c r="V500" s="165"/>
    </row>
  </sheetData>
  <autoFilter ref="A6:AQ356" xr:uid="{00000000-0001-0000-0000-000000000000}">
    <filterColumn colId="21">
      <filters>
        <filter val="Carrusel HQ sur"/>
        <filter val="LINEA HQ"/>
        <filter val="MAQUINA HQ NORTE"/>
        <filter val="MAQUINA HQ SUR"/>
        <filter val="TAMBORES LINEA HQ"/>
      </filters>
    </filterColumn>
  </autoFilter>
  <sortState xmlns:xlrd2="http://schemas.microsoft.com/office/spreadsheetml/2017/richdata2" ref="A8:AP74">
    <sortCondition ref="J8:J74"/>
  </sortState>
  <dataConsolidate/>
  <mergeCells count="1">
    <mergeCell ref="E1:O1"/>
  </mergeCells>
  <phoneticPr fontId="22" type="noConversion"/>
  <conditionalFormatting sqref="AC25">
    <cfRule type="containsText" dxfId="23" priority="29" operator="containsText" text="NO">
      <formula>NOT(ISERROR(SEARCH("NO",AC25)))</formula>
    </cfRule>
    <cfRule type="containsText" dxfId="22" priority="30" operator="containsText" text="SI">
      <formula>NOT(ISERROR(SEARCH("SI",AC25)))</formula>
    </cfRule>
  </conditionalFormatting>
  <conditionalFormatting sqref="AC108:AC109">
    <cfRule type="containsText" dxfId="21" priority="25" operator="containsText" text="NO">
      <formula>NOT(ISERROR(SEARCH("NO",AC108)))</formula>
    </cfRule>
    <cfRule type="containsText" dxfId="20" priority="26" operator="containsText" text="SI">
      <formula>NOT(ISERROR(SEARCH("SI",AC108)))</formula>
    </cfRule>
  </conditionalFormatting>
  <conditionalFormatting sqref="AC116">
    <cfRule type="containsText" dxfId="19" priority="23" operator="containsText" text="NO">
      <formula>NOT(ISERROR(SEARCH("NO",AC116)))</formula>
    </cfRule>
    <cfRule type="containsText" dxfId="18" priority="24" operator="containsText" text="SI">
      <formula>NOT(ISERROR(SEARCH("SI",AC116)))</formula>
    </cfRule>
  </conditionalFormatting>
  <conditionalFormatting sqref="AC119">
    <cfRule type="containsText" dxfId="17" priority="21" operator="containsText" text="NO">
      <formula>NOT(ISERROR(SEARCH("NO",AC119)))</formula>
    </cfRule>
    <cfRule type="containsText" dxfId="16" priority="22" operator="containsText" text="SI">
      <formula>NOT(ISERROR(SEARCH("SI",AC119)))</formula>
    </cfRule>
  </conditionalFormatting>
  <conditionalFormatting sqref="AC121">
    <cfRule type="containsText" dxfId="15" priority="19" operator="containsText" text="NO">
      <formula>NOT(ISERROR(SEARCH("NO",AC121)))</formula>
    </cfRule>
    <cfRule type="containsText" dxfId="14" priority="20" operator="containsText" text="SI">
      <formula>NOT(ISERROR(SEARCH("SI",AC121)))</formula>
    </cfRule>
  </conditionalFormatting>
  <conditionalFormatting sqref="AC123">
    <cfRule type="containsText" dxfId="13" priority="17" operator="containsText" text="NO">
      <formula>NOT(ISERROR(SEARCH("NO",AC123)))</formula>
    </cfRule>
    <cfRule type="containsText" dxfId="12" priority="18" operator="containsText" text="SI">
      <formula>NOT(ISERROR(SEARCH("SI",AC123)))</formula>
    </cfRule>
  </conditionalFormatting>
  <conditionalFormatting sqref="AC125">
    <cfRule type="containsText" dxfId="11" priority="15" operator="containsText" text="NO">
      <formula>NOT(ISERROR(SEARCH("NO",AC125)))</formula>
    </cfRule>
    <cfRule type="containsText" dxfId="10" priority="16" operator="containsText" text="SI">
      <formula>NOT(ISERROR(SEARCH("SI",AC125)))</formula>
    </cfRule>
  </conditionalFormatting>
  <conditionalFormatting sqref="AC129:AC130">
    <cfRule type="containsText" dxfId="9" priority="11" operator="containsText" text="NO">
      <formula>NOT(ISERROR(SEARCH("NO",AC129)))</formula>
    </cfRule>
    <cfRule type="containsText" dxfId="8" priority="12" operator="containsText" text="SI">
      <formula>NOT(ISERROR(SEARCH("SI",AC129)))</formula>
    </cfRule>
  </conditionalFormatting>
  <conditionalFormatting sqref="AC139">
    <cfRule type="containsText" dxfId="7" priority="9" operator="containsText" text="NO">
      <formula>NOT(ISERROR(SEARCH("NO",AC139)))</formula>
    </cfRule>
    <cfRule type="containsText" dxfId="6" priority="10" operator="containsText" text="SI">
      <formula>NOT(ISERROR(SEARCH("SI",AC139)))</formula>
    </cfRule>
  </conditionalFormatting>
  <conditionalFormatting sqref="AC142">
    <cfRule type="containsText" dxfId="5" priority="7" operator="containsText" text="NO">
      <formula>NOT(ISERROR(SEARCH("NO",AC142)))</formula>
    </cfRule>
    <cfRule type="containsText" dxfId="4" priority="8" operator="containsText" text="SI">
      <formula>NOT(ISERROR(SEARCH("SI",AC142)))</formula>
    </cfRule>
  </conditionalFormatting>
  <conditionalFormatting sqref="AC145">
    <cfRule type="containsText" dxfId="3" priority="5" operator="containsText" text="NO">
      <formula>NOT(ISERROR(SEARCH("NO",AC145)))</formula>
    </cfRule>
    <cfRule type="containsText" dxfId="2" priority="6" operator="containsText" text="SI">
      <formula>NOT(ISERROR(SEARCH("SI",AC145)))</formula>
    </cfRule>
  </conditionalFormatting>
  <conditionalFormatting sqref="AC147:AC148">
    <cfRule type="containsText" dxfId="1" priority="1" operator="containsText" text="NO">
      <formula>NOT(ISERROR(SEARCH("NO",AC147)))</formula>
    </cfRule>
    <cfRule type="containsText" dxfId="0" priority="2" operator="containsText" text="SI">
      <formula>NOT(ISERROR(SEARCH("SI",AC147)))</formula>
    </cfRule>
  </conditionalFormatting>
  <dataValidations count="3">
    <dataValidation type="list" allowBlank="1" showInputMessage="1" showErrorMessage="1" sqref="S6:S23 S159:S65557 S25:S157" xr:uid="{00000000-0002-0000-0000-000000000000}">
      <formula1>$L$464:$L$475</formula1>
    </dataValidation>
    <dataValidation type="list" allowBlank="1" showInputMessage="1" showErrorMessage="1" sqref="AH123 AI7:AI364" xr:uid="{709D1536-3A00-472A-98E8-FF20A3C8F719}">
      <formula1>$AD$465:$AD$472</formula1>
    </dataValidation>
    <dataValidation type="list" allowBlank="1" showInputMessage="1" showErrorMessage="1" sqref="S158" xr:uid="{D42621F0-8F78-4921-BC2B-C8B7613A36B9}">
      <formula1>$L$464:$L$476</formula1>
    </dataValidation>
  </dataValidations>
  <pageMargins left="0.25" right="0.25" top="0.75" bottom="0.75" header="0.3" footer="0.3"/>
  <pageSetup scale="10" orientation="landscape"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1B61B842-04A6-475C-B9D1-9091EE2EE73F}">
          <x14:formula1>
            <xm:f>'Datos Total'!$G$4:$G$16</xm:f>
          </x14:formula1>
          <xm:sqref>AG173 AH7:AH364</xm:sqref>
        </x14:dataValidation>
        <x14:dataValidation type="list" allowBlank="1" showInputMessage="1" showErrorMessage="1" xr:uid="{DAF2A00B-214B-4060-892B-56F616E06A4E}">
          <x14:formula1>
            <xm:f>'Datos Total'!$B$18:$B$33</xm:f>
          </x14:formula1>
          <xm:sqref>AJ7:AJ364</xm:sqref>
        </x14:dataValidation>
        <x14:dataValidation type="list" allowBlank="1" showInputMessage="1" showErrorMessage="1" xr:uid="{6D7B57F5-D7B9-4512-BFAC-2AE393E28D03}">
          <x14:formula1>
            <xm:f>'Datos Total'!$G$27:$G$46</xm:f>
          </x14:formula1>
          <xm:sqref>AG7:AG364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U35"/>
  <sheetViews>
    <sheetView showGridLines="0" zoomScale="90" zoomScaleNormal="90" workbookViewId="0">
      <selection activeCell="A9" sqref="A9:XFD9"/>
    </sheetView>
  </sheetViews>
  <sheetFormatPr baseColWidth="10" defaultColWidth="11.42578125" defaultRowHeight="15" x14ac:dyDescent="0.25"/>
  <cols>
    <col min="1" max="1" width="9.140625" style="6" customWidth="1"/>
    <col min="2" max="2" width="9.85546875" style="6" bestFit="1" customWidth="1"/>
    <col min="3" max="3" width="11.28515625" style="6" customWidth="1"/>
    <col min="4" max="4" width="9.28515625" style="6" bestFit="1" customWidth="1"/>
    <col min="5" max="5" width="18.7109375" style="6" bestFit="1" customWidth="1"/>
    <col min="6" max="6" width="18.140625" style="6" bestFit="1" customWidth="1"/>
    <col min="7" max="7" width="11.28515625" bestFit="1" customWidth="1"/>
    <col min="8" max="8" width="9.42578125" bestFit="1" customWidth="1"/>
    <col min="9" max="9" width="26.85546875" style="6" bestFit="1" customWidth="1"/>
    <col min="10" max="10" width="11.28515625" style="6" bestFit="1" customWidth="1"/>
    <col min="11" max="11" width="13.140625" style="6" bestFit="1" customWidth="1"/>
    <col min="12" max="12" width="16.5703125" bestFit="1" customWidth="1"/>
    <col min="13" max="13" width="21.42578125" bestFit="1" customWidth="1"/>
    <col min="14" max="14" width="33.85546875" style="6" bestFit="1" customWidth="1"/>
    <col min="15" max="15" width="32.28515625" style="6" bestFit="1" customWidth="1"/>
    <col min="16" max="16" width="37.140625" bestFit="1" customWidth="1"/>
    <col min="17" max="17" width="40.5703125" style="6" bestFit="1" customWidth="1"/>
    <col min="18" max="18" width="13.7109375" style="6" customWidth="1"/>
    <col min="19" max="19" width="14.28515625" style="6" customWidth="1"/>
    <col min="20" max="20" width="12.42578125" style="6" customWidth="1"/>
    <col min="21" max="21" width="151.140625" style="6" customWidth="1"/>
  </cols>
  <sheetData>
    <row r="5" spans="1:21" s="3" customFormat="1" ht="36" x14ac:dyDescent="0.2">
      <c r="A5" s="2" t="s">
        <v>3</v>
      </c>
      <c r="B5" s="2" t="s">
        <v>1</v>
      </c>
      <c r="C5" s="2" t="s">
        <v>2</v>
      </c>
      <c r="D5" s="2" t="s">
        <v>1308</v>
      </c>
      <c r="E5" s="2" t="s">
        <v>1309</v>
      </c>
      <c r="F5" s="2" t="s">
        <v>1310</v>
      </c>
      <c r="G5" s="2" t="s">
        <v>1311</v>
      </c>
      <c r="H5" s="2" t="s">
        <v>1312</v>
      </c>
      <c r="I5" s="2" t="s">
        <v>1313</v>
      </c>
      <c r="J5" s="2" t="s">
        <v>26</v>
      </c>
      <c r="K5" s="2" t="s">
        <v>1314</v>
      </c>
      <c r="L5" s="2" t="s">
        <v>30</v>
      </c>
      <c r="M5" s="2" t="s">
        <v>31</v>
      </c>
      <c r="N5" s="2" t="s">
        <v>1315</v>
      </c>
      <c r="O5" s="2" t="s">
        <v>1316</v>
      </c>
      <c r="P5" s="2" t="s">
        <v>1317</v>
      </c>
      <c r="Q5" s="2" t="s">
        <v>1318</v>
      </c>
      <c r="R5" s="2" t="s">
        <v>1319</v>
      </c>
      <c r="S5" s="2" t="s">
        <v>1320</v>
      </c>
      <c r="T5" s="2" t="s">
        <v>1321</v>
      </c>
      <c r="U5" s="2" t="s">
        <v>1322</v>
      </c>
    </row>
    <row r="6" spans="1:21" s="44" customFormat="1" ht="45" x14ac:dyDescent="0.25">
      <c r="A6" s="280" t="s">
        <v>1323</v>
      </c>
      <c r="B6" s="280">
        <v>2023</v>
      </c>
      <c r="C6" s="280" t="s">
        <v>306</v>
      </c>
      <c r="D6" s="311"/>
      <c r="E6" s="280" t="s">
        <v>1324</v>
      </c>
      <c r="F6" s="280" t="s">
        <v>1325</v>
      </c>
      <c r="G6" s="312">
        <v>44992</v>
      </c>
      <c r="H6" s="313">
        <v>0.875</v>
      </c>
      <c r="I6" s="312">
        <v>44992</v>
      </c>
      <c r="J6" s="280" t="s">
        <v>125</v>
      </c>
      <c r="K6" s="280" t="s">
        <v>173</v>
      </c>
      <c r="L6" s="280" t="s">
        <v>1326</v>
      </c>
      <c r="M6" s="280" t="s">
        <v>1055</v>
      </c>
      <c r="N6" s="280" t="s">
        <v>1327</v>
      </c>
      <c r="O6" s="280" t="s">
        <v>1328</v>
      </c>
      <c r="P6" s="280" t="s">
        <v>50</v>
      </c>
      <c r="Q6" s="280" t="s">
        <v>1329</v>
      </c>
      <c r="R6" s="280" t="s">
        <v>50</v>
      </c>
      <c r="S6" s="280" t="s">
        <v>66</v>
      </c>
      <c r="T6" s="280" t="s">
        <v>885</v>
      </c>
      <c r="U6" s="280" t="s">
        <v>1330</v>
      </c>
    </row>
    <row r="7" spans="1:21" s="44" customFormat="1" ht="45" x14ac:dyDescent="0.25">
      <c r="A7" s="280" t="s">
        <v>1323</v>
      </c>
      <c r="B7" s="280">
        <v>2023</v>
      </c>
      <c r="C7" s="280" t="s">
        <v>581</v>
      </c>
      <c r="D7" s="311" t="s">
        <v>1331</v>
      </c>
      <c r="E7" s="280" t="s">
        <v>1324</v>
      </c>
      <c r="F7" s="280" t="s">
        <v>1332</v>
      </c>
      <c r="G7" s="312">
        <v>45062</v>
      </c>
      <c r="H7" s="313">
        <v>0.54861111111111105</v>
      </c>
      <c r="I7" s="313">
        <v>0.54861111111111105</v>
      </c>
      <c r="J7" s="280" t="s">
        <v>125</v>
      </c>
      <c r="K7" s="280" t="s">
        <v>1333</v>
      </c>
      <c r="L7" s="280" t="s">
        <v>1334</v>
      </c>
      <c r="M7" s="280" t="s">
        <v>1335</v>
      </c>
      <c r="N7" s="280" t="s">
        <v>1336</v>
      </c>
      <c r="O7" s="280" t="s">
        <v>1337</v>
      </c>
      <c r="P7" s="280" t="s">
        <v>50</v>
      </c>
      <c r="Q7" s="280" t="s">
        <v>1338</v>
      </c>
      <c r="R7" s="280" t="s">
        <v>50</v>
      </c>
      <c r="S7" s="280" t="s">
        <v>65</v>
      </c>
      <c r="T7" s="280" t="s">
        <v>885</v>
      </c>
      <c r="U7" s="280" t="s">
        <v>1339</v>
      </c>
    </row>
    <row r="8" spans="1:21" s="44" customFormat="1" ht="30" x14ac:dyDescent="0.25">
      <c r="A8" s="280" t="s">
        <v>1323</v>
      </c>
      <c r="B8" s="280">
        <v>2023</v>
      </c>
      <c r="C8" s="280" t="s">
        <v>739</v>
      </c>
      <c r="D8" s="311" t="s">
        <v>1340</v>
      </c>
      <c r="E8" s="280" t="s">
        <v>1341</v>
      </c>
      <c r="F8" s="280" t="s">
        <v>1342</v>
      </c>
      <c r="G8" s="312" t="s">
        <v>1343</v>
      </c>
      <c r="H8" s="313">
        <v>0.125</v>
      </c>
      <c r="I8" s="313" t="s">
        <v>1343</v>
      </c>
      <c r="J8" s="280" t="s">
        <v>111</v>
      </c>
      <c r="K8" s="280" t="s">
        <v>235</v>
      </c>
      <c r="L8" s="280" t="s">
        <v>236</v>
      </c>
      <c r="M8" s="280" t="s">
        <v>276</v>
      </c>
      <c r="N8" s="280" t="s">
        <v>1344</v>
      </c>
      <c r="O8" s="280" t="s">
        <v>1345</v>
      </c>
      <c r="P8" s="280" t="s">
        <v>50</v>
      </c>
      <c r="Q8" s="280" t="s">
        <v>1346</v>
      </c>
      <c r="R8" s="280" t="s">
        <v>50</v>
      </c>
      <c r="S8" s="280" t="s">
        <v>66</v>
      </c>
      <c r="T8" s="280" t="s">
        <v>885</v>
      </c>
      <c r="U8" s="280" t="s">
        <v>1347</v>
      </c>
    </row>
    <row r="9" spans="1:21" s="303" customFormat="1" ht="60" x14ac:dyDescent="0.25">
      <c r="A9" s="37" t="s">
        <v>1323</v>
      </c>
      <c r="B9" s="37">
        <v>2023</v>
      </c>
      <c r="C9" s="37" t="s">
        <v>1092</v>
      </c>
      <c r="D9" s="16" t="s">
        <v>1348</v>
      </c>
      <c r="E9" s="37" t="s">
        <v>1349</v>
      </c>
      <c r="F9" s="280" t="s">
        <v>1350</v>
      </c>
      <c r="G9" s="304">
        <v>45177</v>
      </c>
      <c r="H9" s="281">
        <v>0.57638888888888895</v>
      </c>
      <c r="I9" s="351">
        <v>45177</v>
      </c>
      <c r="J9" s="37" t="s">
        <v>111</v>
      </c>
      <c r="K9" s="37" t="s">
        <v>235</v>
      </c>
      <c r="L9" s="37" t="s">
        <v>236</v>
      </c>
      <c r="M9" s="37" t="s">
        <v>276</v>
      </c>
      <c r="N9" s="37" t="s">
        <v>1351</v>
      </c>
      <c r="O9" s="37" t="s">
        <v>1352</v>
      </c>
      <c r="P9" s="37" t="s">
        <v>50</v>
      </c>
      <c r="Q9" s="37" t="s">
        <v>1353</v>
      </c>
      <c r="R9" s="37" t="s">
        <v>50</v>
      </c>
      <c r="S9" s="37" t="s">
        <v>65</v>
      </c>
      <c r="T9" s="37" t="s">
        <v>885</v>
      </c>
      <c r="U9" s="334" t="s">
        <v>1354</v>
      </c>
    </row>
    <row r="10" spans="1:21" s="303" customFormat="1" x14ac:dyDescent="0.25">
      <c r="A10" s="37" t="s">
        <v>1323</v>
      </c>
      <c r="B10" s="37">
        <v>2023</v>
      </c>
      <c r="C10" s="37"/>
      <c r="D10" s="16"/>
      <c r="E10" s="37"/>
      <c r="F10" s="280"/>
      <c r="G10" s="304"/>
      <c r="H10" s="281"/>
      <c r="I10" s="304"/>
      <c r="J10" s="37"/>
      <c r="K10" s="37"/>
      <c r="L10" s="37"/>
      <c r="M10" s="37"/>
      <c r="N10" s="37"/>
      <c r="O10" s="37"/>
      <c r="P10" s="37"/>
      <c r="Q10" s="37"/>
      <c r="R10" s="37"/>
      <c r="S10" s="37"/>
      <c r="T10" s="37"/>
      <c r="U10" s="280"/>
    </row>
    <row r="11" spans="1:21" s="303" customFormat="1" x14ac:dyDescent="0.25">
      <c r="A11" s="37" t="s">
        <v>1323</v>
      </c>
      <c r="B11" s="37">
        <v>2023</v>
      </c>
      <c r="C11" s="37"/>
      <c r="D11" s="16"/>
      <c r="E11" s="37"/>
      <c r="F11" s="280"/>
      <c r="G11" s="304"/>
      <c r="H11" s="281"/>
      <c r="I11" s="304"/>
      <c r="J11" s="37"/>
      <c r="K11" s="37"/>
      <c r="L11" s="37"/>
      <c r="M11" s="37"/>
      <c r="N11" s="37"/>
      <c r="O11" s="37"/>
      <c r="P11" s="37"/>
      <c r="Q11" s="37"/>
      <c r="R11" s="37"/>
      <c r="S11" s="37"/>
      <c r="T11" s="37"/>
      <c r="U11" s="280"/>
    </row>
    <row r="12" spans="1:21" s="303" customFormat="1" x14ac:dyDescent="0.25">
      <c r="A12" s="37" t="s">
        <v>1323</v>
      </c>
      <c r="B12" s="37">
        <v>2023</v>
      </c>
      <c r="C12" s="37"/>
      <c r="D12" s="16"/>
      <c r="E12" s="37"/>
      <c r="F12" s="280"/>
      <c r="G12" s="304"/>
      <c r="H12" s="281"/>
      <c r="I12" s="304"/>
      <c r="J12" s="37"/>
      <c r="K12" s="37"/>
      <c r="L12" s="37"/>
      <c r="M12" s="37"/>
      <c r="N12" s="37"/>
      <c r="O12" s="37"/>
      <c r="P12" s="37"/>
      <c r="Q12" s="37"/>
      <c r="R12" s="37"/>
      <c r="S12" s="37"/>
      <c r="T12" s="37"/>
      <c r="U12" s="280"/>
    </row>
    <row r="13" spans="1:21" s="303" customFormat="1" x14ac:dyDescent="0.25">
      <c r="A13" s="37" t="s">
        <v>1323</v>
      </c>
      <c r="B13" s="37">
        <v>2023</v>
      </c>
      <c r="C13" s="37"/>
      <c r="D13" s="16"/>
      <c r="E13" s="37"/>
      <c r="F13" s="280"/>
      <c r="G13" s="304"/>
      <c r="H13" s="281"/>
      <c r="I13" s="304"/>
      <c r="J13" s="37"/>
      <c r="K13" s="37"/>
      <c r="L13" s="37"/>
      <c r="M13" s="37"/>
      <c r="N13" s="37"/>
      <c r="O13" s="37"/>
      <c r="P13" s="37"/>
      <c r="Q13" s="37"/>
      <c r="R13" s="37"/>
      <c r="S13" s="37"/>
      <c r="T13" s="37"/>
      <c r="U13" s="280"/>
    </row>
    <row r="14" spans="1:21" s="303" customFormat="1" x14ac:dyDescent="0.25">
      <c r="A14" s="37" t="s">
        <v>1323</v>
      </c>
      <c r="B14" s="37">
        <v>2023</v>
      </c>
      <c r="C14" s="37"/>
      <c r="D14" s="16"/>
      <c r="E14" s="37"/>
      <c r="F14" s="280"/>
      <c r="G14" s="304"/>
      <c r="H14" s="281"/>
      <c r="I14" s="304"/>
      <c r="J14" s="37"/>
      <c r="K14" s="37"/>
      <c r="L14" s="37"/>
      <c r="M14" s="37"/>
      <c r="N14" s="37"/>
      <c r="O14" s="37"/>
      <c r="P14" s="37"/>
      <c r="Q14" s="37"/>
      <c r="R14" s="37"/>
      <c r="S14" s="37"/>
      <c r="T14" s="37"/>
      <c r="U14" s="280"/>
    </row>
    <row r="17" spans="5:10" x14ac:dyDescent="0.25">
      <c r="E17" s="5"/>
      <c r="F17" s="20" t="s">
        <v>44</v>
      </c>
      <c r="G17" s="5"/>
      <c r="H17" s="4" t="s">
        <v>1341</v>
      </c>
      <c r="I17" s="5" t="s">
        <v>1355</v>
      </c>
      <c r="J17" s="5"/>
    </row>
    <row r="18" spans="5:10" x14ac:dyDescent="0.25">
      <c r="E18" s="5"/>
      <c r="F18" s="20" t="s">
        <v>207</v>
      </c>
      <c r="G18" s="5"/>
      <c r="H18" s="4" t="s">
        <v>1356</v>
      </c>
      <c r="I18" s="5" t="s">
        <v>1357</v>
      </c>
      <c r="J18" s="5"/>
    </row>
    <row r="19" spans="5:10" x14ac:dyDescent="0.25">
      <c r="E19" s="5"/>
      <c r="F19" s="20" t="s">
        <v>306</v>
      </c>
      <c r="G19" s="5"/>
      <c r="H19" s="4" t="s">
        <v>108</v>
      </c>
      <c r="I19" s="5" t="s">
        <v>1358</v>
      </c>
      <c r="J19" s="5"/>
    </row>
    <row r="20" spans="5:10" x14ac:dyDescent="0.25">
      <c r="E20" s="5"/>
      <c r="F20" s="20" t="s">
        <v>456</v>
      </c>
      <c r="G20" s="5"/>
      <c r="H20" s="4" t="s">
        <v>1359</v>
      </c>
      <c r="I20" s="5" t="s">
        <v>1360</v>
      </c>
      <c r="J20" s="5"/>
    </row>
    <row r="21" spans="5:10" x14ac:dyDescent="0.25">
      <c r="E21" s="5"/>
      <c r="F21" s="20" t="s">
        <v>581</v>
      </c>
      <c r="G21" s="5"/>
      <c r="H21" s="4" t="s">
        <v>1324</v>
      </c>
      <c r="I21" s="5" t="s">
        <v>1361</v>
      </c>
      <c r="J21" s="5"/>
    </row>
    <row r="22" spans="5:10" x14ac:dyDescent="0.25">
      <c r="E22" s="5"/>
      <c r="F22" s="20" t="s">
        <v>739</v>
      </c>
      <c r="G22" s="5"/>
      <c r="H22" s="4" t="s">
        <v>1349</v>
      </c>
      <c r="I22" s="5" t="s">
        <v>1332</v>
      </c>
      <c r="J22" s="5"/>
    </row>
    <row r="23" spans="5:10" x14ac:dyDescent="0.25">
      <c r="E23" s="5"/>
      <c r="F23" s="20" t="s">
        <v>832</v>
      </c>
      <c r="G23" s="5"/>
      <c r="H23" s="4" t="s">
        <v>1362</v>
      </c>
      <c r="I23" s="5" t="s">
        <v>1363</v>
      </c>
      <c r="J23" s="5"/>
    </row>
    <row r="24" spans="5:10" x14ac:dyDescent="0.25">
      <c r="E24" s="5"/>
      <c r="F24" s="20" t="s">
        <v>919</v>
      </c>
      <c r="G24" s="5"/>
      <c r="H24" s="4" t="s">
        <v>1364</v>
      </c>
      <c r="I24" s="5" t="s">
        <v>1365</v>
      </c>
      <c r="J24" s="5"/>
    </row>
    <row r="25" spans="5:10" x14ac:dyDescent="0.25">
      <c r="E25" s="5"/>
      <c r="F25" s="20" t="s">
        <v>1092</v>
      </c>
      <c r="G25" s="5"/>
      <c r="H25" s="4"/>
      <c r="I25" s="5" t="s">
        <v>1366</v>
      </c>
      <c r="J25" s="5"/>
    </row>
    <row r="26" spans="5:10" x14ac:dyDescent="0.25">
      <c r="E26" s="5"/>
      <c r="F26" s="20" t="s">
        <v>1142</v>
      </c>
      <c r="G26" s="5"/>
      <c r="H26" s="4"/>
      <c r="I26" s="5" t="s">
        <v>1367</v>
      </c>
      <c r="J26" s="5"/>
    </row>
    <row r="27" spans="5:10" x14ac:dyDescent="0.25">
      <c r="E27" s="5"/>
      <c r="F27" s="20" t="s">
        <v>1183</v>
      </c>
      <c r="G27" s="5"/>
      <c r="H27" s="4"/>
      <c r="I27" s="5" t="s">
        <v>1368</v>
      </c>
      <c r="J27" s="5"/>
    </row>
    <row r="28" spans="5:10" x14ac:dyDescent="0.25">
      <c r="E28" s="5"/>
      <c r="F28" s="20" t="s">
        <v>1290</v>
      </c>
      <c r="G28" s="5"/>
      <c r="H28" s="4"/>
      <c r="I28" s="5" t="s">
        <v>1369</v>
      </c>
      <c r="J28" s="5"/>
    </row>
    <row r="29" spans="5:10" x14ac:dyDescent="0.25">
      <c r="E29" s="5"/>
      <c r="F29" s="5"/>
      <c r="G29" s="5"/>
      <c r="H29" s="4"/>
      <c r="I29" s="5" t="s">
        <v>1370</v>
      </c>
      <c r="J29" s="5"/>
    </row>
    <row r="30" spans="5:10" x14ac:dyDescent="0.25">
      <c r="E30" s="5"/>
      <c r="F30" s="5"/>
      <c r="G30" s="5"/>
      <c r="H30" s="4"/>
      <c r="I30" s="5" t="s">
        <v>1371</v>
      </c>
      <c r="J30" s="5"/>
    </row>
    <row r="31" spans="5:10" x14ac:dyDescent="0.25">
      <c r="E31" s="5"/>
      <c r="F31" s="5"/>
      <c r="G31" s="5"/>
      <c r="H31" s="4"/>
      <c r="I31" s="5" t="s">
        <v>1325</v>
      </c>
      <c r="J31" s="5"/>
    </row>
    <row r="32" spans="5:10" x14ac:dyDescent="0.25">
      <c r="E32" s="5"/>
      <c r="F32" s="5"/>
      <c r="G32" s="5"/>
      <c r="H32" s="4"/>
      <c r="I32" s="5" t="s">
        <v>1350</v>
      </c>
      <c r="J32" s="5"/>
    </row>
    <row r="33" spans="5:10" x14ac:dyDescent="0.25">
      <c r="E33" s="5"/>
      <c r="F33" s="5"/>
      <c r="G33" s="5"/>
      <c r="H33" s="4"/>
      <c r="I33" s="5" t="s">
        <v>1372</v>
      </c>
      <c r="J33" s="5"/>
    </row>
    <row r="34" spans="5:10" x14ac:dyDescent="0.25">
      <c r="E34" s="5"/>
      <c r="F34" s="5"/>
      <c r="G34" s="5"/>
      <c r="H34" s="4"/>
      <c r="I34" s="5" t="s">
        <v>1373</v>
      </c>
      <c r="J34" s="5"/>
    </row>
    <row r="35" spans="5:10" x14ac:dyDescent="0.25">
      <c r="E35" s="5"/>
      <c r="F35" s="5"/>
      <c r="G35" s="5"/>
      <c r="H35" s="4"/>
      <c r="I35" s="5" t="s">
        <v>1342</v>
      </c>
      <c r="J35" s="5"/>
    </row>
  </sheetData>
  <autoFilter ref="A5:U5" xr:uid="{00000000-0009-0000-0000-000001000000}"/>
  <dataValidations count="4">
    <dataValidation type="list" allowBlank="1" showInputMessage="1" showErrorMessage="1" sqref="E6:E14" xr:uid="{00000000-0002-0000-0100-000000000000}">
      <formula1>$H$17:$H$24</formula1>
    </dataValidation>
    <dataValidation type="list" allowBlank="1" showInputMessage="1" showErrorMessage="1" sqref="F6:F7 F9:F14" xr:uid="{00000000-0002-0000-0100-000001000000}">
      <formula1>$I$17:$I$34</formula1>
    </dataValidation>
    <dataValidation type="list" allowBlank="1" showInputMessage="1" showErrorMessage="1" sqref="C6:C14" xr:uid="{00000000-0002-0000-0100-000002000000}">
      <formula1>$F$17:$F$28</formula1>
    </dataValidation>
    <dataValidation type="list" allowBlank="1" showInputMessage="1" showErrorMessage="1" sqref="F8" xr:uid="{3620380C-5748-4699-AE5E-B52B33EFD63A}">
      <formula1>$I$17:$I$35</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A0CBA-1E94-4025-B845-B7B473BAE0A1}">
  <sheetPr filterMode="1"/>
  <dimension ref="A1:AP499"/>
  <sheetViews>
    <sheetView showGridLines="0" view="pageBreakPreview" topLeftCell="K1" zoomScaleNormal="98" zoomScaleSheetLayoutView="100" workbookViewId="0">
      <pane ySplit="6" topLeftCell="A49" activePane="bottomLeft" state="frozen"/>
      <selection activeCell="G1" sqref="G1"/>
      <selection pane="bottomLeft" activeCell="K368" sqref="K368"/>
    </sheetView>
  </sheetViews>
  <sheetFormatPr baseColWidth="10" defaultColWidth="11.42578125" defaultRowHeight="12.75" x14ac:dyDescent="0.2"/>
  <cols>
    <col min="1" max="1" width="9.5703125" style="163" bestFit="1" customWidth="1"/>
    <col min="2" max="2" width="10.42578125" style="163" bestFit="1" customWidth="1"/>
    <col min="3" max="3" width="11.42578125" style="163" bestFit="1" customWidth="1"/>
    <col min="4" max="4" width="21.28515625" style="163" bestFit="1" customWidth="1"/>
    <col min="5" max="5" width="19.42578125" style="163" bestFit="1" customWidth="1"/>
    <col min="6" max="6" width="18.28515625" style="163" bestFit="1" customWidth="1"/>
    <col min="7" max="7" width="11.85546875" style="163" bestFit="1" customWidth="1"/>
    <col min="8" max="8" width="15.5703125" style="165" customWidth="1"/>
    <col min="9" max="9" width="13.5703125" style="163" customWidth="1"/>
    <col min="10" max="10" width="16.42578125" style="180" customWidth="1"/>
    <col min="11" max="11" width="17.42578125" style="180" customWidth="1"/>
    <col min="12" max="12" width="28.7109375" style="163" bestFit="1" customWidth="1"/>
    <col min="13" max="13" width="11.85546875" style="163" bestFit="1" customWidth="1"/>
    <col min="14" max="14" width="16.5703125" style="163" bestFit="1" customWidth="1"/>
    <col min="15" max="15" width="6" style="163" customWidth="1"/>
    <col min="16" max="16" width="15.140625" style="163" customWidth="1"/>
    <col min="17" max="17" width="17.42578125" style="163" bestFit="1" customWidth="1"/>
    <col min="18" max="18" width="12.140625" style="163" customWidth="1"/>
    <col min="19" max="19" width="12.42578125" style="163" bestFit="1" customWidth="1"/>
    <col min="20" max="20" width="10.85546875" style="163" bestFit="1" customWidth="1"/>
    <col min="21" max="21" width="10.28515625" style="163" bestFit="1" customWidth="1"/>
    <col min="22" max="22" width="13.5703125" style="163" bestFit="1" customWidth="1"/>
    <col min="23" max="23" width="13" style="29" bestFit="1" customWidth="1"/>
    <col min="24" max="24" width="19.28515625" style="163" bestFit="1" customWidth="1"/>
    <col min="25" max="25" width="19.85546875" style="163" bestFit="1" customWidth="1"/>
    <col min="26" max="26" width="10.7109375" style="163" bestFit="1" customWidth="1"/>
    <col min="27" max="27" width="15.42578125" style="163" bestFit="1" customWidth="1"/>
    <col min="28" max="28" width="23.7109375" style="163" bestFit="1" customWidth="1"/>
    <col min="29" max="29" width="30.28515625" style="163" bestFit="1" customWidth="1"/>
    <col min="30" max="30" width="192.140625" style="164" customWidth="1"/>
    <col min="31" max="31" width="16.85546875" style="29" bestFit="1" customWidth="1"/>
    <col min="32" max="32" width="19.7109375" style="29" bestFit="1" customWidth="1"/>
    <col min="33" max="33" width="18" style="29" bestFit="1" customWidth="1"/>
    <col min="34" max="16384" width="11.42578125" style="165"/>
  </cols>
  <sheetData>
    <row r="1" spans="1:33" x14ac:dyDescent="0.2">
      <c r="E1" s="377" t="s">
        <v>0</v>
      </c>
      <c r="F1" s="377"/>
      <c r="G1" s="377"/>
      <c r="H1" s="377"/>
      <c r="I1" s="377"/>
      <c r="J1" s="378"/>
      <c r="K1" s="378"/>
      <c r="L1" s="377"/>
      <c r="M1" s="377"/>
      <c r="N1" s="377"/>
      <c r="O1" s="379"/>
    </row>
    <row r="2" spans="1:33" x14ac:dyDescent="0.2">
      <c r="E2" s="30"/>
      <c r="F2" s="29"/>
      <c r="J2" s="163"/>
      <c r="K2" s="163"/>
      <c r="W2" s="165"/>
    </row>
    <row r="3" spans="1:33" x14ac:dyDescent="0.2">
      <c r="E3" s="29"/>
      <c r="F3" s="29"/>
      <c r="J3" s="163"/>
      <c r="K3" s="163"/>
      <c r="W3" s="165"/>
      <c r="AD3" s="166"/>
    </row>
    <row r="4" spans="1:33" x14ac:dyDescent="0.2">
      <c r="E4" s="29"/>
      <c r="F4" s="29"/>
      <c r="J4" s="163"/>
      <c r="K4" s="163"/>
      <c r="W4" s="165"/>
    </row>
    <row r="5" spans="1:33" x14ac:dyDescent="0.2">
      <c r="E5" s="29"/>
      <c r="F5" s="29"/>
      <c r="J5" s="163"/>
      <c r="K5" s="163"/>
      <c r="W5" s="165"/>
    </row>
    <row r="6" spans="1:33" s="169" customFormat="1" ht="25.5" x14ac:dyDescent="0.2">
      <c r="A6" s="167" t="s">
        <v>1</v>
      </c>
      <c r="B6" s="167" t="s">
        <v>2</v>
      </c>
      <c r="C6" s="167" t="s">
        <v>3</v>
      </c>
      <c r="D6" s="167" t="s">
        <v>4</v>
      </c>
      <c r="E6" s="167" t="s">
        <v>5</v>
      </c>
      <c r="F6" s="167" t="s">
        <v>6</v>
      </c>
      <c r="G6" s="167" t="s">
        <v>7</v>
      </c>
      <c r="H6" s="269" t="s">
        <v>8</v>
      </c>
      <c r="I6" s="168" t="s">
        <v>9</v>
      </c>
      <c r="J6" s="167" t="s">
        <v>10</v>
      </c>
      <c r="K6" s="168" t="s">
        <v>11</v>
      </c>
      <c r="L6" s="167" t="s">
        <v>12</v>
      </c>
      <c r="M6" s="167" t="s">
        <v>13</v>
      </c>
      <c r="N6" s="167" t="s">
        <v>14</v>
      </c>
      <c r="O6" s="167" t="s">
        <v>15</v>
      </c>
      <c r="P6" s="167" t="s">
        <v>1374</v>
      </c>
      <c r="Q6" s="167" t="s">
        <v>19</v>
      </c>
      <c r="R6" s="167" t="s">
        <v>21</v>
      </c>
      <c r="S6" s="167" t="s">
        <v>24</v>
      </c>
      <c r="T6" s="167" t="s">
        <v>25</v>
      </c>
      <c r="U6" s="167" t="s">
        <v>26</v>
      </c>
      <c r="V6" s="167" t="s">
        <v>27</v>
      </c>
      <c r="W6" s="168" t="s">
        <v>28</v>
      </c>
      <c r="X6" s="167" t="s">
        <v>30</v>
      </c>
      <c r="Y6" s="167" t="s">
        <v>31</v>
      </c>
      <c r="Z6" s="167" t="s">
        <v>32</v>
      </c>
      <c r="AA6" s="167" t="s">
        <v>34</v>
      </c>
      <c r="AB6" s="167" t="s">
        <v>35</v>
      </c>
      <c r="AC6" s="167" t="s">
        <v>36</v>
      </c>
      <c r="AD6" s="167" t="s">
        <v>1375</v>
      </c>
      <c r="AE6" s="162" t="s">
        <v>40</v>
      </c>
      <c r="AF6" s="162" t="s">
        <v>41</v>
      </c>
      <c r="AG6" s="162" t="s">
        <v>42</v>
      </c>
    </row>
    <row r="7" spans="1:33" ht="15" hidden="1" x14ac:dyDescent="0.25">
      <c r="A7" s="177">
        <v>2022</v>
      </c>
      <c r="B7" s="235" t="s">
        <v>1092</v>
      </c>
      <c r="C7" s="177" t="s">
        <v>45</v>
      </c>
      <c r="D7" s="177" t="s">
        <v>1376</v>
      </c>
      <c r="E7" s="314" t="s">
        <v>1377</v>
      </c>
      <c r="F7" s="177" t="s">
        <v>71</v>
      </c>
      <c r="G7" s="1" t="s">
        <v>1378</v>
      </c>
      <c r="H7" s="10">
        <v>43668</v>
      </c>
      <c r="I7" s="177">
        <f>DATEDIF(H7,J7,"m")</f>
        <v>50</v>
      </c>
      <c r="J7" s="235">
        <v>45195</v>
      </c>
      <c r="K7" s="177" t="str">
        <f>IF(I18&lt;=18,"NUEVO",IF(I18&lt;=36,"INTERMEDIO","ANTIGUO"))</f>
        <v>ANTIGUO</v>
      </c>
      <c r="L7" s="235">
        <v>44936</v>
      </c>
      <c r="M7" s="235">
        <v>44946</v>
      </c>
      <c r="N7" s="235">
        <v>44951</v>
      </c>
      <c r="O7" s="177">
        <v>29</v>
      </c>
      <c r="P7" s="177" t="s">
        <v>1379</v>
      </c>
      <c r="Q7" s="178" t="s">
        <v>160</v>
      </c>
      <c r="R7" s="177" t="s">
        <v>53</v>
      </c>
      <c r="S7" s="177"/>
      <c r="T7" s="236"/>
      <c r="U7" s="177"/>
      <c r="V7" s="177"/>
      <c r="W7" s="178">
        <v>15284</v>
      </c>
      <c r="X7" s="177" t="s">
        <v>164</v>
      </c>
      <c r="Y7" s="177" t="s">
        <v>215</v>
      </c>
      <c r="Z7" s="9">
        <v>49</v>
      </c>
      <c r="AA7" s="177" t="s">
        <v>143</v>
      </c>
      <c r="AB7" s="177" t="s">
        <v>61</v>
      </c>
      <c r="AC7" s="178" t="s">
        <v>61</v>
      </c>
      <c r="AD7" s="179" t="s">
        <v>1380</v>
      </c>
      <c r="AE7" s="178" t="s">
        <v>65</v>
      </c>
      <c r="AF7" s="178" t="s">
        <v>83</v>
      </c>
      <c r="AG7" s="178" t="s">
        <v>84</v>
      </c>
    </row>
    <row r="8" spans="1:33" ht="12" hidden="1" customHeight="1" x14ac:dyDescent="0.25">
      <c r="A8" s="177">
        <v>2023</v>
      </c>
      <c r="B8" s="235" t="s">
        <v>44</v>
      </c>
      <c r="C8" s="177" t="s">
        <v>45</v>
      </c>
      <c r="D8" s="177" t="s">
        <v>1381</v>
      </c>
      <c r="E8" s="314" t="s">
        <v>1025</v>
      </c>
      <c r="F8" s="177" t="s">
        <v>48</v>
      </c>
      <c r="G8" s="1" t="s">
        <v>1382</v>
      </c>
      <c r="H8" s="10">
        <v>34681</v>
      </c>
      <c r="I8" s="177">
        <f t="shared" ref="I8:I16" si="0">DATEDIF(H8,J8,"m")</f>
        <v>336</v>
      </c>
      <c r="J8" s="235">
        <v>44929</v>
      </c>
      <c r="K8" s="177" t="str">
        <f t="shared" ref="K8:K17" si="1">IF(I19&lt;=18,"NUEVO",IF(I19&lt;=36,"INTERMEDIO","ANTIGUO"))</f>
        <v>ANTIGUO</v>
      </c>
      <c r="L8" s="235">
        <v>44929</v>
      </c>
      <c r="M8" s="235">
        <v>44932</v>
      </c>
      <c r="N8" s="177" t="s">
        <v>50</v>
      </c>
      <c r="O8" s="177">
        <v>4</v>
      </c>
      <c r="P8" s="177" t="s">
        <v>1383</v>
      </c>
      <c r="Q8" s="178" t="s">
        <v>91</v>
      </c>
      <c r="R8" s="177" t="s">
        <v>53</v>
      </c>
      <c r="S8" s="177" t="s">
        <v>1384</v>
      </c>
      <c r="T8" s="236">
        <v>0.13194444444444445</v>
      </c>
      <c r="U8" s="259" t="s">
        <v>111</v>
      </c>
      <c r="V8" s="177">
        <v>1</v>
      </c>
      <c r="W8" s="178">
        <v>9622</v>
      </c>
      <c r="X8" s="177" t="s">
        <v>97</v>
      </c>
      <c r="Y8" s="177" t="s">
        <v>437</v>
      </c>
      <c r="Z8" s="177">
        <v>48</v>
      </c>
      <c r="AA8" s="177" t="s">
        <v>60</v>
      </c>
      <c r="AB8" s="177" t="s">
        <v>80</v>
      </c>
      <c r="AC8" s="178" t="s">
        <v>61</v>
      </c>
      <c r="AD8" s="286" t="s">
        <v>1385</v>
      </c>
      <c r="AE8" s="178" t="s">
        <v>65</v>
      </c>
      <c r="AF8" s="178" t="s">
        <v>83</v>
      </c>
      <c r="AG8" s="178" t="s">
        <v>84</v>
      </c>
    </row>
    <row r="9" spans="1:33" ht="12" hidden="1" customHeight="1" x14ac:dyDescent="0.25">
      <c r="A9" s="177">
        <v>2023</v>
      </c>
      <c r="B9" s="177" t="s">
        <v>207</v>
      </c>
      <c r="C9" s="177" t="s">
        <v>45</v>
      </c>
      <c r="D9" s="177" t="s">
        <v>1386</v>
      </c>
      <c r="E9" s="314" t="s">
        <v>719</v>
      </c>
      <c r="F9" s="177" t="s">
        <v>48</v>
      </c>
      <c r="G9" s="1" t="s">
        <v>1387</v>
      </c>
      <c r="H9" s="10">
        <v>44230</v>
      </c>
      <c r="I9" s="177">
        <f t="shared" si="0"/>
        <v>24</v>
      </c>
      <c r="J9" s="235">
        <v>44960</v>
      </c>
      <c r="K9" s="177" t="str">
        <f t="shared" si="1"/>
        <v>ANTIGUO</v>
      </c>
      <c r="L9" s="235">
        <v>44960</v>
      </c>
      <c r="M9" s="235">
        <v>44968</v>
      </c>
      <c r="N9" s="235">
        <v>44973</v>
      </c>
      <c r="O9" s="177">
        <v>9</v>
      </c>
      <c r="P9" s="177" t="s">
        <v>1388</v>
      </c>
      <c r="Q9" s="178" t="s">
        <v>264</v>
      </c>
      <c r="R9" s="177" t="s">
        <v>53</v>
      </c>
      <c r="S9" s="177" t="s">
        <v>1389</v>
      </c>
      <c r="T9" s="236">
        <v>0.73611111111111116</v>
      </c>
      <c r="U9" s="235" t="s">
        <v>111</v>
      </c>
      <c r="V9" s="177">
        <v>5</v>
      </c>
      <c r="W9" s="178">
        <v>15462</v>
      </c>
      <c r="X9" s="177" t="s">
        <v>269</v>
      </c>
      <c r="Y9" s="177" t="s">
        <v>269</v>
      </c>
      <c r="Z9" s="177">
        <v>30</v>
      </c>
      <c r="AA9" s="177" t="s">
        <v>143</v>
      </c>
      <c r="AB9" s="177" t="s">
        <v>80</v>
      </c>
      <c r="AC9" s="178" t="s">
        <v>61</v>
      </c>
      <c r="AD9" s="179" t="s">
        <v>1390</v>
      </c>
      <c r="AE9" s="178" t="s">
        <v>65</v>
      </c>
      <c r="AF9" s="178" t="s">
        <v>83</v>
      </c>
      <c r="AG9" s="178" t="s">
        <v>84</v>
      </c>
    </row>
    <row r="10" spans="1:33" ht="12" hidden="1" customHeight="1" x14ac:dyDescent="0.25">
      <c r="A10" s="177">
        <v>2023</v>
      </c>
      <c r="B10" s="177" t="s">
        <v>207</v>
      </c>
      <c r="C10" s="177" t="s">
        <v>45</v>
      </c>
      <c r="D10" s="177" t="s">
        <v>1391</v>
      </c>
      <c r="E10" s="314" t="s">
        <v>1392</v>
      </c>
      <c r="F10" s="177" t="s">
        <v>71</v>
      </c>
      <c r="G10" s="9" t="s">
        <v>1393</v>
      </c>
      <c r="H10" s="235">
        <v>44522</v>
      </c>
      <c r="I10" s="177">
        <f t="shared" si="0"/>
        <v>14</v>
      </c>
      <c r="J10" s="235">
        <v>44974</v>
      </c>
      <c r="K10" s="177" t="str">
        <f t="shared" si="1"/>
        <v>NUEVO</v>
      </c>
      <c r="L10" s="235">
        <v>44974</v>
      </c>
      <c r="M10" s="235">
        <v>44974</v>
      </c>
      <c r="N10" s="235">
        <v>44979</v>
      </c>
      <c r="O10" s="177">
        <v>0</v>
      </c>
      <c r="P10" s="177" t="s">
        <v>1383</v>
      </c>
      <c r="Q10" s="178" t="s">
        <v>234</v>
      </c>
      <c r="R10" s="177" t="s">
        <v>53</v>
      </c>
      <c r="S10" s="177" t="s">
        <v>1384</v>
      </c>
      <c r="T10" s="236">
        <v>0.47916666666666669</v>
      </c>
      <c r="U10" s="177" t="s">
        <v>111</v>
      </c>
      <c r="V10" s="177">
        <v>7</v>
      </c>
      <c r="W10" s="178"/>
      <c r="X10" s="177" t="s">
        <v>236</v>
      </c>
      <c r="Y10" s="177" t="s">
        <v>1394</v>
      </c>
      <c r="Z10" s="177">
        <v>29</v>
      </c>
      <c r="AA10" s="177" t="s">
        <v>1395</v>
      </c>
      <c r="AB10" s="177" t="s">
        <v>61</v>
      </c>
      <c r="AC10" s="178" t="s">
        <v>61</v>
      </c>
      <c r="AD10" s="179" t="s">
        <v>1380</v>
      </c>
      <c r="AE10" s="178" t="s">
        <v>65</v>
      </c>
      <c r="AF10" s="178" t="s">
        <v>119</v>
      </c>
      <c r="AG10" s="178" t="s">
        <v>84</v>
      </c>
    </row>
    <row r="11" spans="1:33" ht="12" hidden="1" customHeight="1" x14ac:dyDescent="0.25">
      <c r="A11" s="177">
        <v>2023</v>
      </c>
      <c r="B11" s="177" t="s">
        <v>207</v>
      </c>
      <c r="C11" s="177" t="s">
        <v>45</v>
      </c>
      <c r="D11" s="177" t="s">
        <v>1396</v>
      </c>
      <c r="E11" s="314" t="s">
        <v>966</v>
      </c>
      <c r="F11" s="177" t="s">
        <v>48</v>
      </c>
      <c r="G11" s="177" t="s">
        <v>1397</v>
      </c>
      <c r="H11" s="10">
        <v>44690</v>
      </c>
      <c r="I11" s="177">
        <f t="shared" si="0"/>
        <v>9</v>
      </c>
      <c r="J11" s="235">
        <v>44975</v>
      </c>
      <c r="K11" s="177" t="str">
        <f t="shared" si="1"/>
        <v>ANTIGUO</v>
      </c>
      <c r="L11" s="235">
        <v>44977</v>
      </c>
      <c r="M11" s="235">
        <v>44978</v>
      </c>
      <c r="N11" s="177" t="s">
        <v>50</v>
      </c>
      <c r="O11" s="177">
        <v>3</v>
      </c>
      <c r="P11" s="177" t="s">
        <v>1388</v>
      </c>
      <c r="Q11" s="178" t="s">
        <v>1286</v>
      </c>
      <c r="R11" s="177" t="s">
        <v>1398</v>
      </c>
      <c r="S11" s="177" t="s">
        <v>1384</v>
      </c>
      <c r="T11" s="236">
        <v>0.39583333333333331</v>
      </c>
      <c r="U11" s="177" t="s">
        <v>95</v>
      </c>
      <c r="V11" s="177">
        <v>7</v>
      </c>
      <c r="W11" s="178">
        <v>15495</v>
      </c>
      <c r="X11" s="177" t="s">
        <v>119</v>
      </c>
      <c r="Y11" s="177" t="s">
        <v>119</v>
      </c>
      <c r="Z11" s="177">
        <v>26</v>
      </c>
      <c r="AA11" s="177" t="s">
        <v>450</v>
      </c>
      <c r="AB11" s="177" t="s">
        <v>80</v>
      </c>
      <c r="AC11" s="178" t="s">
        <v>61</v>
      </c>
      <c r="AD11" s="179" t="s">
        <v>1399</v>
      </c>
      <c r="AE11" s="178" t="s">
        <v>65</v>
      </c>
      <c r="AF11" s="178" t="s">
        <v>119</v>
      </c>
      <c r="AG11" s="178" t="s">
        <v>103</v>
      </c>
    </row>
    <row r="12" spans="1:33" ht="12" hidden="1" customHeight="1" x14ac:dyDescent="0.25">
      <c r="A12" s="177">
        <v>2023</v>
      </c>
      <c r="B12" s="177" t="s">
        <v>207</v>
      </c>
      <c r="C12" s="177" t="s">
        <v>45</v>
      </c>
      <c r="D12" s="177" t="s">
        <v>1400</v>
      </c>
      <c r="E12" s="314" t="s">
        <v>1401</v>
      </c>
      <c r="F12" s="177" t="s">
        <v>48</v>
      </c>
      <c r="G12" s="9" t="s">
        <v>1402</v>
      </c>
      <c r="H12" s="235">
        <v>39101</v>
      </c>
      <c r="I12" s="177">
        <f t="shared" si="0"/>
        <v>192</v>
      </c>
      <c r="J12" s="235">
        <v>44975</v>
      </c>
      <c r="K12" s="177" t="str">
        <f t="shared" si="1"/>
        <v>NUEVO</v>
      </c>
      <c r="L12" s="235">
        <v>44978</v>
      </c>
      <c r="M12" s="235">
        <v>44994</v>
      </c>
      <c r="N12" s="177" t="s">
        <v>50</v>
      </c>
      <c r="O12" s="177">
        <v>20</v>
      </c>
      <c r="P12" s="177" t="s">
        <v>1383</v>
      </c>
      <c r="Q12" s="178" t="s">
        <v>160</v>
      </c>
      <c r="R12" s="177" t="s">
        <v>53</v>
      </c>
      <c r="S12" s="177" t="s">
        <v>1384</v>
      </c>
      <c r="T12" s="236">
        <v>0.4458333333333333</v>
      </c>
      <c r="U12" s="177" t="s">
        <v>95</v>
      </c>
      <c r="V12" s="177">
        <v>7</v>
      </c>
      <c r="W12" s="178">
        <v>15523</v>
      </c>
      <c r="X12" s="177" t="s">
        <v>164</v>
      </c>
      <c r="Y12" s="177" t="s">
        <v>1403</v>
      </c>
      <c r="Z12" s="177">
        <v>36</v>
      </c>
      <c r="AA12" s="177"/>
      <c r="AB12" s="177"/>
      <c r="AC12" s="178"/>
      <c r="AD12" s="245" t="s">
        <v>1404</v>
      </c>
      <c r="AE12" s="178"/>
      <c r="AF12" s="178" t="s">
        <v>67</v>
      </c>
      <c r="AG12" s="178" t="s">
        <v>68</v>
      </c>
    </row>
    <row r="13" spans="1:33" ht="12" hidden="1" customHeight="1" x14ac:dyDescent="0.25">
      <c r="A13" s="177">
        <v>2023</v>
      </c>
      <c r="B13" s="177" t="s">
        <v>306</v>
      </c>
      <c r="C13" s="177" t="s">
        <v>45</v>
      </c>
      <c r="D13" s="177" t="s">
        <v>1405</v>
      </c>
      <c r="E13" s="314" t="s">
        <v>1406</v>
      </c>
      <c r="F13" s="177" t="s">
        <v>48</v>
      </c>
      <c r="G13" s="9" t="s">
        <v>1407</v>
      </c>
      <c r="H13" s="10">
        <v>39631</v>
      </c>
      <c r="I13" s="177">
        <f t="shared" si="0"/>
        <v>176</v>
      </c>
      <c r="J13" s="235">
        <v>44989</v>
      </c>
      <c r="K13" s="177" t="str">
        <f t="shared" si="1"/>
        <v>NUEVO</v>
      </c>
      <c r="L13" s="235">
        <v>44991</v>
      </c>
      <c r="M13" s="235">
        <v>44991</v>
      </c>
      <c r="N13" s="177" t="s">
        <v>50</v>
      </c>
      <c r="O13" s="177">
        <v>0</v>
      </c>
      <c r="P13" s="177" t="s">
        <v>1383</v>
      </c>
      <c r="Q13" s="178" t="s">
        <v>288</v>
      </c>
      <c r="R13" s="177" t="s">
        <v>53</v>
      </c>
      <c r="S13" s="177" t="s">
        <v>1384</v>
      </c>
      <c r="T13" s="236">
        <v>0.1875</v>
      </c>
      <c r="U13" s="177" t="s">
        <v>95</v>
      </c>
      <c r="V13" s="177">
        <v>9</v>
      </c>
      <c r="W13" s="178">
        <v>15538</v>
      </c>
      <c r="X13" s="177" t="s">
        <v>77</v>
      </c>
      <c r="Y13" s="177" t="s">
        <v>1408</v>
      </c>
      <c r="Z13" s="177">
        <v>56</v>
      </c>
      <c r="AA13" s="177" t="s">
        <v>60</v>
      </c>
      <c r="AB13" s="177" t="s">
        <v>80</v>
      </c>
      <c r="AC13" s="178" t="s">
        <v>61</v>
      </c>
      <c r="AD13" s="179" t="s">
        <v>1409</v>
      </c>
      <c r="AE13" s="178"/>
      <c r="AF13" s="178" t="s">
        <v>67</v>
      </c>
      <c r="AG13" s="178" t="s">
        <v>68</v>
      </c>
    </row>
    <row r="14" spans="1:33" ht="12" hidden="1" customHeight="1" x14ac:dyDescent="0.25">
      <c r="A14" s="177">
        <v>2023</v>
      </c>
      <c r="B14" s="177" t="s">
        <v>306</v>
      </c>
      <c r="C14" s="177" t="s">
        <v>45</v>
      </c>
      <c r="D14" s="177" t="s">
        <v>1410</v>
      </c>
      <c r="E14" s="285" t="s">
        <v>780</v>
      </c>
      <c r="F14" s="177" t="s">
        <v>71</v>
      </c>
      <c r="G14" s="177" t="s">
        <v>1411</v>
      </c>
      <c r="H14" s="10">
        <v>44515</v>
      </c>
      <c r="I14" s="177">
        <f>DATEDIF(H14,J14,"m")</f>
        <v>15</v>
      </c>
      <c r="J14" s="235">
        <v>44986</v>
      </c>
      <c r="K14" s="177" t="str">
        <f t="shared" si="1"/>
        <v>ANTIGUO</v>
      </c>
      <c r="L14" s="235">
        <v>44986</v>
      </c>
      <c r="M14" s="235">
        <v>45006</v>
      </c>
      <c r="N14" s="177" t="s">
        <v>50</v>
      </c>
      <c r="O14" s="177">
        <v>21</v>
      </c>
      <c r="P14" s="177" t="s">
        <v>1388</v>
      </c>
      <c r="Q14" s="178" t="s">
        <v>173</v>
      </c>
      <c r="R14" s="177" t="s">
        <v>1412</v>
      </c>
      <c r="S14" s="177" t="s">
        <v>1384</v>
      </c>
      <c r="T14" s="236">
        <v>0.70833333333333337</v>
      </c>
      <c r="U14" s="177" t="s">
        <v>55</v>
      </c>
      <c r="V14" s="177">
        <v>9</v>
      </c>
      <c r="W14" s="178">
        <v>15532</v>
      </c>
      <c r="X14" s="177" t="s">
        <v>390</v>
      </c>
      <c r="Y14" s="177" t="s">
        <v>1055</v>
      </c>
      <c r="Z14" s="177">
        <v>33</v>
      </c>
      <c r="AA14" s="177" t="s">
        <v>1395</v>
      </c>
      <c r="AB14" s="177" t="s">
        <v>61</v>
      </c>
      <c r="AC14" s="178" t="s">
        <v>61</v>
      </c>
      <c r="AD14" s="179" t="s">
        <v>1671</v>
      </c>
      <c r="AE14" s="178" t="s">
        <v>65</v>
      </c>
      <c r="AF14" s="178" t="s">
        <v>83</v>
      </c>
      <c r="AG14" s="178" t="s">
        <v>84</v>
      </c>
    </row>
    <row r="15" spans="1:33" ht="12" hidden="1" customHeight="1" x14ac:dyDescent="0.25">
      <c r="A15" s="177">
        <v>2023</v>
      </c>
      <c r="B15" s="177" t="s">
        <v>306</v>
      </c>
      <c r="C15" s="177" t="s">
        <v>45</v>
      </c>
      <c r="D15" s="177" t="s">
        <v>331</v>
      </c>
      <c r="E15" s="285" t="s">
        <v>453</v>
      </c>
      <c r="F15" s="177" t="s">
        <v>48</v>
      </c>
      <c r="G15" s="177" t="s">
        <v>333</v>
      </c>
      <c r="H15" s="10">
        <v>44876</v>
      </c>
      <c r="I15" s="177">
        <f t="shared" si="0"/>
        <v>3</v>
      </c>
      <c r="J15" s="235">
        <v>44995</v>
      </c>
      <c r="K15" s="177" t="str">
        <f t="shared" si="1"/>
        <v>NUEVO</v>
      </c>
      <c r="L15" s="235">
        <v>44995</v>
      </c>
      <c r="M15" s="235">
        <v>44995</v>
      </c>
      <c r="N15" s="177" t="s">
        <v>50</v>
      </c>
      <c r="O15" s="177">
        <v>0</v>
      </c>
      <c r="P15" s="177" t="s">
        <v>1388</v>
      </c>
      <c r="Q15" s="178" t="s">
        <v>73</v>
      </c>
      <c r="R15" s="177" t="s">
        <v>53</v>
      </c>
      <c r="S15" s="177" t="s">
        <v>1384</v>
      </c>
      <c r="T15" s="236">
        <v>0.25</v>
      </c>
      <c r="U15" s="177" t="s">
        <v>111</v>
      </c>
      <c r="V15" s="177">
        <v>10</v>
      </c>
      <c r="W15" s="178"/>
      <c r="X15" s="177" t="s">
        <v>77</v>
      </c>
      <c r="Y15" s="177" t="s">
        <v>323</v>
      </c>
      <c r="Z15" s="177">
        <v>33</v>
      </c>
      <c r="AA15" s="177" t="s">
        <v>450</v>
      </c>
      <c r="AB15" s="177" t="s">
        <v>80</v>
      </c>
      <c r="AC15" s="178" t="s">
        <v>180</v>
      </c>
      <c r="AD15" s="179" t="s">
        <v>1413</v>
      </c>
      <c r="AE15" s="178" t="s">
        <v>65</v>
      </c>
      <c r="AF15" s="178" t="s">
        <v>67</v>
      </c>
      <c r="AG15" s="178" t="s">
        <v>240</v>
      </c>
    </row>
    <row r="16" spans="1:33" ht="12" hidden="1" customHeight="1" x14ac:dyDescent="0.25">
      <c r="A16" s="177">
        <v>2023</v>
      </c>
      <c r="B16" s="177" t="s">
        <v>306</v>
      </c>
      <c r="C16" s="177" t="s">
        <v>45</v>
      </c>
      <c r="D16" s="177" t="s">
        <v>1414</v>
      </c>
      <c r="E16" s="285" t="s">
        <v>402</v>
      </c>
      <c r="F16" s="177" t="s">
        <v>48</v>
      </c>
      <c r="G16" s="177" t="s">
        <v>403</v>
      </c>
      <c r="H16" s="10">
        <v>44869</v>
      </c>
      <c r="I16" s="177">
        <f t="shared" si="0"/>
        <v>4</v>
      </c>
      <c r="J16" s="235">
        <v>45010</v>
      </c>
      <c r="K16" s="177" t="str">
        <f t="shared" si="1"/>
        <v>ANTIGUO</v>
      </c>
      <c r="L16" s="235">
        <v>45012</v>
      </c>
      <c r="M16" s="235">
        <v>45013</v>
      </c>
      <c r="N16" s="177" t="s">
        <v>50</v>
      </c>
      <c r="O16" s="177">
        <v>2</v>
      </c>
      <c r="P16" s="177" t="s">
        <v>1388</v>
      </c>
      <c r="Q16" s="178" t="s">
        <v>264</v>
      </c>
      <c r="R16" s="177" t="s">
        <v>1033</v>
      </c>
      <c r="S16" s="177" t="s">
        <v>1389</v>
      </c>
      <c r="T16" s="236">
        <v>0.98958333333333337</v>
      </c>
      <c r="U16" s="177" t="s">
        <v>95</v>
      </c>
      <c r="V16" s="177">
        <v>12</v>
      </c>
      <c r="W16" s="178"/>
      <c r="X16" s="177" t="s">
        <v>269</v>
      </c>
      <c r="Y16" s="177" t="s">
        <v>270</v>
      </c>
      <c r="Z16" s="177">
        <v>29</v>
      </c>
      <c r="AA16" s="177" t="s">
        <v>143</v>
      </c>
      <c r="AB16" s="177" t="s">
        <v>80</v>
      </c>
      <c r="AC16" s="178" t="s">
        <v>180</v>
      </c>
      <c r="AD16" s="179" t="s">
        <v>1415</v>
      </c>
      <c r="AE16" s="178" t="s">
        <v>65</v>
      </c>
      <c r="AF16" s="178" t="s">
        <v>67</v>
      </c>
      <c r="AG16" s="178" t="s">
        <v>84</v>
      </c>
    </row>
    <row r="17" spans="1:42" ht="12" hidden="1" customHeight="1" x14ac:dyDescent="0.25">
      <c r="A17" s="177">
        <v>2023</v>
      </c>
      <c r="B17" s="177" t="s">
        <v>456</v>
      </c>
      <c r="C17" s="177" t="s">
        <v>45</v>
      </c>
      <c r="D17" s="177" t="s">
        <v>1416</v>
      </c>
      <c r="E17" s="314" t="s">
        <v>1417</v>
      </c>
      <c r="F17" s="177" t="s">
        <v>48</v>
      </c>
      <c r="G17" s="177" t="s">
        <v>1418</v>
      </c>
      <c r="H17" s="10">
        <v>40667</v>
      </c>
      <c r="I17" s="177">
        <f>DATEDIF(H17,J17,"m")</f>
        <v>143</v>
      </c>
      <c r="J17" s="235">
        <v>45020</v>
      </c>
      <c r="K17" s="177" t="str">
        <f t="shared" si="1"/>
        <v>NUEVO</v>
      </c>
      <c r="L17" s="235" t="s">
        <v>50</v>
      </c>
      <c r="M17" s="235" t="s">
        <v>50</v>
      </c>
      <c r="N17" s="177" t="s">
        <v>50</v>
      </c>
      <c r="O17" s="177">
        <v>0</v>
      </c>
      <c r="P17" s="177" t="s">
        <v>1383</v>
      </c>
      <c r="Q17" s="178" t="s">
        <v>160</v>
      </c>
      <c r="R17" s="177" t="s">
        <v>53</v>
      </c>
      <c r="S17" s="177" t="s">
        <v>1389</v>
      </c>
      <c r="T17" s="236">
        <v>0.60416666666666663</v>
      </c>
      <c r="U17" s="177" t="s">
        <v>137</v>
      </c>
      <c r="V17" s="177">
        <v>14</v>
      </c>
      <c r="W17" s="178"/>
      <c r="X17" s="177" t="s">
        <v>164</v>
      </c>
      <c r="Y17" s="177" t="s">
        <v>215</v>
      </c>
      <c r="Z17" s="177">
        <v>47</v>
      </c>
      <c r="AA17" s="177" t="s">
        <v>143</v>
      </c>
      <c r="AB17" s="177" t="s">
        <v>80</v>
      </c>
      <c r="AC17" s="178" t="s">
        <v>180</v>
      </c>
      <c r="AD17" s="179" t="s">
        <v>1419</v>
      </c>
      <c r="AE17" s="178" t="s">
        <v>66</v>
      </c>
      <c r="AF17" s="178" t="s">
        <v>67</v>
      </c>
      <c r="AG17" s="178" t="s">
        <v>240</v>
      </c>
    </row>
    <row r="18" spans="1:42" ht="12" hidden="1" customHeight="1" x14ac:dyDescent="0.25">
      <c r="A18" s="177">
        <v>2023</v>
      </c>
      <c r="B18" s="177" t="s">
        <v>456</v>
      </c>
      <c r="C18" s="177" t="s">
        <v>45</v>
      </c>
      <c r="D18" s="177" t="s">
        <v>1376</v>
      </c>
      <c r="E18" s="314" t="s">
        <v>603</v>
      </c>
      <c r="F18" s="177" t="s">
        <v>71</v>
      </c>
      <c r="G18" s="177" t="s">
        <v>1378</v>
      </c>
      <c r="H18" s="10">
        <v>43668</v>
      </c>
      <c r="I18" s="177">
        <f>DATEDIF(H18,J18,"m")</f>
        <v>44</v>
      </c>
      <c r="J18" s="235">
        <v>45028</v>
      </c>
      <c r="K18" s="177" t="str">
        <f>IF(I18&lt;=18,"NUEVO",IF(I18&lt;=36,"INTERMEDIO","ANTIGUO"))</f>
        <v>ANTIGUO</v>
      </c>
      <c r="L18" s="235">
        <v>45028</v>
      </c>
      <c r="M18" s="235">
        <v>45028</v>
      </c>
      <c r="N18" s="177" t="s">
        <v>50</v>
      </c>
      <c r="O18" s="177">
        <v>0</v>
      </c>
      <c r="P18" s="177" t="s">
        <v>1383</v>
      </c>
      <c r="Q18" s="178" t="s">
        <v>160</v>
      </c>
      <c r="R18" s="177" t="s">
        <v>53</v>
      </c>
      <c r="S18" s="177" t="s">
        <v>1384</v>
      </c>
      <c r="T18" s="236">
        <v>0.39583333333333331</v>
      </c>
      <c r="U18" s="177" t="s">
        <v>55</v>
      </c>
      <c r="V18" s="177">
        <v>15</v>
      </c>
      <c r="W18" s="177"/>
      <c r="X18" s="177" t="s">
        <v>164</v>
      </c>
      <c r="Y18" s="236" t="s">
        <v>215</v>
      </c>
      <c r="Z18" s="177">
        <v>44</v>
      </c>
      <c r="AA18" s="177" t="s">
        <v>450</v>
      </c>
      <c r="AB18" s="177" t="s">
        <v>61</v>
      </c>
      <c r="AC18" s="178" t="s">
        <v>62</v>
      </c>
      <c r="AD18" s="286" t="s">
        <v>1420</v>
      </c>
      <c r="AE18" s="177" t="s">
        <v>65</v>
      </c>
      <c r="AF18" s="177" t="s">
        <v>83</v>
      </c>
      <c r="AG18" s="178" t="s">
        <v>103</v>
      </c>
      <c r="AH18" s="177"/>
      <c r="AI18" s="177" t="s">
        <v>61</v>
      </c>
      <c r="AJ18" s="178" t="s">
        <v>62</v>
      </c>
      <c r="AK18" s="179" t="s">
        <v>1421</v>
      </c>
      <c r="AL18" s="244" t="s">
        <v>64</v>
      </c>
      <c r="AM18" s="178" t="s">
        <v>65</v>
      </c>
      <c r="AN18" s="178" t="s">
        <v>65</v>
      </c>
      <c r="AO18" s="178" t="s">
        <v>83</v>
      </c>
      <c r="AP18" s="178" t="s">
        <v>103</v>
      </c>
    </row>
    <row r="19" spans="1:42" ht="12" hidden="1" customHeight="1" x14ac:dyDescent="0.25">
      <c r="A19" s="177">
        <v>2023</v>
      </c>
      <c r="B19" s="177" t="s">
        <v>456</v>
      </c>
      <c r="C19" s="177" t="s">
        <v>45</v>
      </c>
      <c r="D19" s="177" t="s">
        <v>1422</v>
      </c>
      <c r="E19" s="314" t="s">
        <v>453</v>
      </c>
      <c r="F19" s="177" t="s">
        <v>71</v>
      </c>
      <c r="G19" s="177" t="s">
        <v>1423</v>
      </c>
      <c r="H19" s="10">
        <v>38177</v>
      </c>
      <c r="I19" s="177">
        <f t="shared" ref="I19:I28" si="2">DATEDIF(H19,J19,"m")</f>
        <v>225</v>
      </c>
      <c r="J19" s="235">
        <v>45029</v>
      </c>
      <c r="K19" s="177" t="str">
        <f t="shared" ref="K19:K28" si="3">IF(I19&lt;=18,"NUEVO",IF(I19&lt;=36,"INTERMEDIO","ANTIGUO"))</f>
        <v>ANTIGUO</v>
      </c>
      <c r="L19" s="235">
        <v>45030</v>
      </c>
      <c r="M19" s="235">
        <v>45066</v>
      </c>
      <c r="N19" s="177" t="s">
        <v>50</v>
      </c>
      <c r="O19" s="177">
        <v>37</v>
      </c>
      <c r="P19" s="177" t="s">
        <v>1388</v>
      </c>
      <c r="Q19" s="178" t="s">
        <v>234</v>
      </c>
      <c r="R19" s="177" t="s">
        <v>742</v>
      </c>
      <c r="S19" s="177" t="s">
        <v>1389</v>
      </c>
      <c r="T19" s="236">
        <v>0.98611111111111116</v>
      </c>
      <c r="U19" s="177" t="s">
        <v>76</v>
      </c>
      <c r="V19" s="177">
        <v>15</v>
      </c>
      <c r="W19" s="178"/>
      <c r="X19" s="177" t="s">
        <v>236</v>
      </c>
      <c r="Y19" s="177" t="s">
        <v>276</v>
      </c>
      <c r="Z19" s="177">
        <v>38</v>
      </c>
      <c r="AA19" s="177" t="s">
        <v>143</v>
      </c>
      <c r="AB19" s="177" t="s">
        <v>80</v>
      </c>
      <c r="AC19" s="178" t="s">
        <v>180</v>
      </c>
      <c r="AD19" s="179" t="s">
        <v>1424</v>
      </c>
      <c r="AE19" s="178" t="s">
        <v>66</v>
      </c>
      <c r="AF19" s="178" t="s">
        <v>67</v>
      </c>
      <c r="AG19" s="178" t="s">
        <v>84</v>
      </c>
    </row>
    <row r="20" spans="1:42" ht="15" hidden="1" x14ac:dyDescent="0.25">
      <c r="A20" s="177">
        <v>2023</v>
      </c>
      <c r="B20" s="177" t="s">
        <v>456</v>
      </c>
      <c r="C20" s="177" t="s">
        <v>45</v>
      </c>
      <c r="D20" s="177" t="s">
        <v>1425</v>
      </c>
      <c r="E20" s="314" t="s">
        <v>471</v>
      </c>
      <c r="F20" s="177" t="s">
        <v>48</v>
      </c>
      <c r="G20" s="177" t="s">
        <v>472</v>
      </c>
      <c r="H20" s="10">
        <v>38153</v>
      </c>
      <c r="I20" s="177">
        <f t="shared" si="2"/>
        <v>225</v>
      </c>
      <c r="J20" s="235">
        <v>45028</v>
      </c>
      <c r="K20" s="177" t="str">
        <f t="shared" si="3"/>
        <v>ANTIGUO</v>
      </c>
      <c r="L20" s="177" t="s">
        <v>50</v>
      </c>
      <c r="M20" s="177" t="s">
        <v>50</v>
      </c>
      <c r="N20" s="177" t="s">
        <v>50</v>
      </c>
      <c r="O20" s="177">
        <v>0</v>
      </c>
      <c r="P20" s="177" t="s">
        <v>1379</v>
      </c>
      <c r="Q20" s="178" t="s">
        <v>73</v>
      </c>
      <c r="R20" s="177" t="s">
        <v>53</v>
      </c>
      <c r="S20" s="177"/>
      <c r="T20" s="236"/>
      <c r="U20" s="177" t="s">
        <v>55</v>
      </c>
      <c r="V20" s="177">
        <v>15</v>
      </c>
      <c r="W20" s="178"/>
      <c r="X20" s="177" t="s">
        <v>77</v>
      </c>
      <c r="Y20" s="177" t="s">
        <v>378</v>
      </c>
      <c r="Z20" s="177">
        <v>63</v>
      </c>
      <c r="AA20" s="177" t="s">
        <v>60</v>
      </c>
      <c r="AB20" s="177" t="s">
        <v>61</v>
      </c>
      <c r="AC20" s="178" t="s">
        <v>62</v>
      </c>
      <c r="AD20" s="179" t="s">
        <v>1426</v>
      </c>
      <c r="AE20" s="178" t="s">
        <v>66</v>
      </c>
      <c r="AF20" s="178" t="s">
        <v>67</v>
      </c>
      <c r="AG20" s="178" t="s">
        <v>250</v>
      </c>
    </row>
    <row r="21" spans="1:42" ht="15" hidden="1" x14ac:dyDescent="0.25">
      <c r="A21" s="177">
        <v>2023</v>
      </c>
      <c r="B21" s="177" t="s">
        <v>456</v>
      </c>
      <c r="C21" s="177" t="s">
        <v>45</v>
      </c>
      <c r="D21" s="177" t="s">
        <v>797</v>
      </c>
      <c r="E21" s="314" t="s">
        <v>798</v>
      </c>
      <c r="F21" s="177" t="s">
        <v>71</v>
      </c>
      <c r="G21" s="177" t="s">
        <v>799</v>
      </c>
      <c r="H21" s="10">
        <v>44705</v>
      </c>
      <c r="I21" s="177">
        <f t="shared" si="2"/>
        <v>11</v>
      </c>
      <c r="J21" s="235">
        <v>45040</v>
      </c>
      <c r="K21" s="177" t="str">
        <f t="shared" si="3"/>
        <v>NUEVO</v>
      </c>
      <c r="L21" s="177" t="s">
        <v>50</v>
      </c>
      <c r="M21" s="177" t="s">
        <v>50</v>
      </c>
      <c r="N21" s="177" t="s">
        <v>50</v>
      </c>
      <c r="O21" s="177">
        <v>0</v>
      </c>
      <c r="P21" s="177" t="s">
        <v>1388</v>
      </c>
      <c r="Q21" s="178" t="s">
        <v>134</v>
      </c>
      <c r="R21" s="177" t="s">
        <v>53</v>
      </c>
      <c r="S21" s="177" t="s">
        <v>1384</v>
      </c>
      <c r="T21" s="236">
        <v>0.25694444444444448</v>
      </c>
      <c r="U21" s="177" t="s">
        <v>137</v>
      </c>
      <c r="V21" s="177">
        <v>17</v>
      </c>
      <c r="W21" s="178"/>
      <c r="X21" s="177" t="s">
        <v>140</v>
      </c>
      <c r="Y21" s="177" t="s">
        <v>510</v>
      </c>
      <c r="Z21" s="177">
        <v>30</v>
      </c>
      <c r="AA21" s="177" t="s">
        <v>166</v>
      </c>
      <c r="AB21" s="177" t="s">
        <v>80</v>
      </c>
      <c r="AC21" s="178" t="s">
        <v>180</v>
      </c>
      <c r="AD21" s="179" t="s">
        <v>1427</v>
      </c>
      <c r="AE21" s="178" t="s">
        <v>66</v>
      </c>
      <c r="AF21" s="178" t="s">
        <v>83</v>
      </c>
      <c r="AG21" s="178" t="s">
        <v>103</v>
      </c>
    </row>
    <row r="22" spans="1:42" ht="15" hidden="1" x14ac:dyDescent="0.25">
      <c r="A22" s="177">
        <v>2023</v>
      </c>
      <c r="B22" s="177" t="s">
        <v>581</v>
      </c>
      <c r="C22" s="177" t="s">
        <v>45</v>
      </c>
      <c r="D22" s="177" t="s">
        <v>1428</v>
      </c>
      <c r="E22" s="314" t="s">
        <v>1429</v>
      </c>
      <c r="F22" s="177" t="s">
        <v>71</v>
      </c>
      <c r="G22" s="177" t="s">
        <v>1430</v>
      </c>
      <c r="H22" s="10">
        <v>43857</v>
      </c>
      <c r="I22" s="177">
        <f t="shared" si="2"/>
        <v>39</v>
      </c>
      <c r="J22" s="235">
        <v>45044</v>
      </c>
      <c r="K22" s="177" t="str">
        <f t="shared" si="3"/>
        <v>ANTIGUO</v>
      </c>
      <c r="L22" s="235">
        <v>45050</v>
      </c>
      <c r="M22" s="235">
        <v>45050</v>
      </c>
      <c r="N22" s="177" t="s">
        <v>50</v>
      </c>
      <c r="O22" s="177">
        <v>0</v>
      </c>
      <c r="P22" s="177" t="s">
        <v>1383</v>
      </c>
      <c r="Q22" s="178" t="s">
        <v>160</v>
      </c>
      <c r="R22" s="177" t="s">
        <v>1431</v>
      </c>
      <c r="S22" s="177" t="s">
        <v>1384</v>
      </c>
      <c r="T22" s="236"/>
      <c r="U22" s="177" t="s">
        <v>111</v>
      </c>
      <c r="V22" s="177"/>
      <c r="W22" s="178">
        <v>15680</v>
      </c>
      <c r="X22" s="177" t="s">
        <v>164</v>
      </c>
      <c r="Y22" s="177" t="s">
        <v>215</v>
      </c>
      <c r="Z22" s="177"/>
      <c r="AA22" s="177" t="s">
        <v>1395</v>
      </c>
      <c r="AB22" s="177" t="s">
        <v>61</v>
      </c>
      <c r="AC22" s="178" t="s">
        <v>61</v>
      </c>
      <c r="AD22" s="179" t="s">
        <v>1432</v>
      </c>
      <c r="AE22" s="178" t="s">
        <v>66</v>
      </c>
      <c r="AF22" s="178"/>
      <c r="AG22" s="178"/>
    </row>
    <row r="23" spans="1:42" ht="15" hidden="1" x14ac:dyDescent="0.25">
      <c r="A23" s="177">
        <v>2023</v>
      </c>
      <c r="B23" s="177" t="s">
        <v>581</v>
      </c>
      <c r="C23" s="177" t="s">
        <v>45</v>
      </c>
      <c r="D23" s="177" t="s">
        <v>506</v>
      </c>
      <c r="E23" s="314" t="s">
        <v>505</v>
      </c>
      <c r="F23" s="177" t="s">
        <v>71</v>
      </c>
      <c r="G23" s="177" t="s">
        <v>507</v>
      </c>
      <c r="H23" s="10">
        <v>45012</v>
      </c>
      <c r="I23" s="177">
        <f t="shared" si="2"/>
        <v>1</v>
      </c>
      <c r="J23" s="235">
        <v>45059</v>
      </c>
      <c r="K23" s="177" t="str">
        <f t="shared" si="3"/>
        <v>NUEVO</v>
      </c>
      <c r="L23" s="235">
        <v>45061</v>
      </c>
      <c r="M23" s="235" t="s">
        <v>50</v>
      </c>
      <c r="N23" s="177" t="s">
        <v>50</v>
      </c>
      <c r="O23" s="177">
        <v>89</v>
      </c>
      <c r="P23" s="177" t="s">
        <v>1388</v>
      </c>
      <c r="Q23" s="178" t="s">
        <v>134</v>
      </c>
      <c r="R23" s="177" t="s">
        <v>1431</v>
      </c>
      <c r="S23" s="177" t="s">
        <v>1384</v>
      </c>
      <c r="T23" s="236">
        <v>0.79166666666666663</v>
      </c>
      <c r="U23" s="177" t="s">
        <v>95</v>
      </c>
      <c r="V23" s="177">
        <v>19</v>
      </c>
      <c r="W23" s="178">
        <v>15696</v>
      </c>
      <c r="X23" s="177" t="s">
        <v>140</v>
      </c>
      <c r="Y23" s="177" t="s">
        <v>510</v>
      </c>
      <c r="Z23" s="177">
        <v>30</v>
      </c>
      <c r="AA23" s="177" t="s">
        <v>1395</v>
      </c>
      <c r="AB23" s="177" t="s">
        <v>61</v>
      </c>
      <c r="AC23" s="178" t="s">
        <v>61</v>
      </c>
      <c r="AD23" s="179" t="s">
        <v>1433</v>
      </c>
      <c r="AE23" s="178" t="s">
        <v>65</v>
      </c>
      <c r="AF23" s="178" t="s">
        <v>67</v>
      </c>
      <c r="AG23" s="178" t="s">
        <v>752</v>
      </c>
    </row>
    <row r="24" spans="1:42" ht="15" hidden="1" x14ac:dyDescent="0.25">
      <c r="A24" s="177">
        <v>2023</v>
      </c>
      <c r="B24" s="177" t="s">
        <v>581</v>
      </c>
      <c r="C24" s="177" t="s">
        <v>45</v>
      </c>
      <c r="D24" s="177" t="s">
        <v>863</v>
      </c>
      <c r="E24" s="314" t="s">
        <v>864</v>
      </c>
      <c r="F24" s="177" t="s">
        <v>48</v>
      </c>
      <c r="G24" s="177" t="s">
        <v>865</v>
      </c>
      <c r="H24" s="10">
        <v>45005</v>
      </c>
      <c r="I24" s="177">
        <f t="shared" si="2"/>
        <v>2</v>
      </c>
      <c r="J24" s="235">
        <v>45071</v>
      </c>
      <c r="K24" s="177" t="str">
        <f t="shared" si="3"/>
        <v>NUEVO</v>
      </c>
      <c r="L24" s="235">
        <v>45071</v>
      </c>
      <c r="M24" s="235">
        <v>45079</v>
      </c>
      <c r="N24" s="177" t="s">
        <v>50</v>
      </c>
      <c r="O24" s="177">
        <v>9</v>
      </c>
      <c r="P24" s="177" t="s">
        <v>1388</v>
      </c>
      <c r="Q24" s="178" t="s">
        <v>160</v>
      </c>
      <c r="R24" s="177" t="s">
        <v>53</v>
      </c>
      <c r="S24" s="177" t="s">
        <v>1384</v>
      </c>
      <c r="T24" s="236">
        <v>0.61805555555555558</v>
      </c>
      <c r="U24" s="177" t="s">
        <v>76</v>
      </c>
      <c r="V24" s="177">
        <v>21</v>
      </c>
      <c r="W24" s="178">
        <v>15712</v>
      </c>
      <c r="X24" s="177" t="s">
        <v>164</v>
      </c>
      <c r="Y24" s="177" t="s">
        <v>215</v>
      </c>
      <c r="Z24" s="177">
        <v>21</v>
      </c>
      <c r="AA24" s="177" t="s">
        <v>143</v>
      </c>
      <c r="AB24" s="177" t="s">
        <v>80</v>
      </c>
      <c r="AC24" s="178" t="s">
        <v>180</v>
      </c>
      <c r="AD24" s="179" t="s">
        <v>1434</v>
      </c>
      <c r="AE24" s="178"/>
      <c r="AF24" s="178" t="s">
        <v>83</v>
      </c>
      <c r="AG24" s="178" t="s">
        <v>66</v>
      </c>
    </row>
    <row r="25" spans="1:42" ht="15" hidden="1" x14ac:dyDescent="0.25">
      <c r="A25" s="177">
        <v>2023</v>
      </c>
      <c r="B25" s="177" t="s">
        <v>739</v>
      </c>
      <c r="C25" s="177" t="s">
        <v>45</v>
      </c>
      <c r="D25" s="177" t="s">
        <v>1435</v>
      </c>
      <c r="E25" s="314" t="s">
        <v>1436</v>
      </c>
      <c r="F25" s="177" t="s">
        <v>71</v>
      </c>
      <c r="G25" s="177" t="s">
        <v>1437</v>
      </c>
      <c r="H25" s="10">
        <v>42702</v>
      </c>
      <c r="I25" s="177">
        <f t="shared" si="2"/>
        <v>78</v>
      </c>
      <c r="J25" s="235">
        <v>45084</v>
      </c>
      <c r="K25" s="177" t="str">
        <f t="shared" si="3"/>
        <v>ANTIGUO</v>
      </c>
      <c r="L25" s="235">
        <v>45114</v>
      </c>
      <c r="M25" s="235">
        <v>45114</v>
      </c>
      <c r="N25" s="177" t="s">
        <v>50</v>
      </c>
      <c r="O25" s="177">
        <v>0</v>
      </c>
      <c r="P25" s="177" t="s">
        <v>1383</v>
      </c>
      <c r="Q25" s="178" t="s">
        <v>160</v>
      </c>
      <c r="R25" s="177" t="s">
        <v>53</v>
      </c>
      <c r="S25" s="177" t="s">
        <v>1384</v>
      </c>
      <c r="T25" s="236">
        <v>0.59444444444444444</v>
      </c>
      <c r="U25" s="177" t="s">
        <v>55</v>
      </c>
      <c r="V25" s="177">
        <v>23</v>
      </c>
      <c r="W25" s="178"/>
      <c r="X25" s="177" t="s">
        <v>164</v>
      </c>
      <c r="Y25" s="177" t="s">
        <v>215</v>
      </c>
      <c r="Z25" s="177">
        <v>49</v>
      </c>
      <c r="AA25" s="177" t="s">
        <v>450</v>
      </c>
      <c r="AB25" s="177" t="s">
        <v>61</v>
      </c>
      <c r="AC25" s="178" t="s">
        <v>62</v>
      </c>
      <c r="AD25" s="179" t="s">
        <v>1438</v>
      </c>
      <c r="AE25" s="178" t="s">
        <v>65</v>
      </c>
      <c r="AF25" s="178" t="s">
        <v>83</v>
      </c>
      <c r="AG25" s="178" t="s">
        <v>65</v>
      </c>
    </row>
    <row r="26" spans="1:42" ht="15" hidden="1" x14ac:dyDescent="0.25">
      <c r="A26" s="177">
        <v>2023</v>
      </c>
      <c r="B26" s="177" t="s">
        <v>739</v>
      </c>
      <c r="C26" s="177" t="s">
        <v>45</v>
      </c>
      <c r="D26" s="177" t="s">
        <v>940</v>
      </c>
      <c r="E26" s="314" t="s">
        <v>941</v>
      </c>
      <c r="F26" s="177" t="s">
        <v>71</v>
      </c>
      <c r="G26" s="177" t="s">
        <v>942</v>
      </c>
      <c r="H26" s="10">
        <v>44599</v>
      </c>
      <c r="I26" s="177">
        <f t="shared" si="2"/>
        <v>16</v>
      </c>
      <c r="J26" s="235">
        <v>45091</v>
      </c>
      <c r="K26" s="177" t="str">
        <f t="shared" si="3"/>
        <v>NUEVO</v>
      </c>
      <c r="L26" s="235">
        <v>45091</v>
      </c>
      <c r="M26" s="235">
        <v>45091</v>
      </c>
      <c r="N26" s="235">
        <v>45092</v>
      </c>
      <c r="O26" s="177">
        <v>0</v>
      </c>
      <c r="P26" s="177" t="s">
        <v>1388</v>
      </c>
      <c r="Q26" s="178" t="s">
        <v>134</v>
      </c>
      <c r="R26" s="177" t="s">
        <v>53</v>
      </c>
      <c r="S26" s="177" t="s">
        <v>1384</v>
      </c>
      <c r="T26" s="236">
        <v>0.21527777777777779</v>
      </c>
      <c r="U26" s="177" t="s">
        <v>55</v>
      </c>
      <c r="V26" s="177">
        <v>24</v>
      </c>
      <c r="W26" s="178">
        <v>15751</v>
      </c>
      <c r="X26" s="177" t="s">
        <v>140</v>
      </c>
      <c r="Y26" s="177" t="s">
        <v>344</v>
      </c>
      <c r="Z26" s="177">
        <v>36</v>
      </c>
      <c r="AA26" s="177" t="s">
        <v>642</v>
      </c>
      <c r="AB26" s="177" t="s">
        <v>61</v>
      </c>
      <c r="AC26" s="178" t="s">
        <v>61</v>
      </c>
      <c r="AD26" s="179" t="s">
        <v>1439</v>
      </c>
      <c r="AE26" s="178" t="s">
        <v>65</v>
      </c>
      <c r="AF26" s="178" t="s">
        <v>67</v>
      </c>
      <c r="AG26" s="178" t="s">
        <v>250</v>
      </c>
    </row>
    <row r="27" spans="1:42" ht="15" hidden="1" x14ac:dyDescent="0.25">
      <c r="A27" s="177">
        <v>2023</v>
      </c>
      <c r="B27" s="177" t="s">
        <v>739</v>
      </c>
      <c r="C27" s="177" t="s">
        <v>45</v>
      </c>
      <c r="D27" s="177" t="s">
        <v>1440</v>
      </c>
      <c r="E27" s="314" t="s">
        <v>1441</v>
      </c>
      <c r="F27" s="177" t="s">
        <v>71</v>
      </c>
      <c r="G27" s="177" t="s">
        <v>1442</v>
      </c>
      <c r="H27" s="10">
        <v>40689</v>
      </c>
      <c r="I27" s="177">
        <f t="shared" si="2"/>
        <v>144</v>
      </c>
      <c r="J27" s="235">
        <v>45096</v>
      </c>
      <c r="K27" s="177" t="str">
        <f t="shared" si="3"/>
        <v>ANTIGUO</v>
      </c>
      <c r="L27" s="235">
        <v>45096</v>
      </c>
      <c r="M27" s="235">
        <v>45097</v>
      </c>
      <c r="N27" s="177" t="s">
        <v>50</v>
      </c>
      <c r="O27" s="177">
        <v>2</v>
      </c>
      <c r="P27" s="177" t="s">
        <v>1388</v>
      </c>
      <c r="Q27" s="178" t="s">
        <v>288</v>
      </c>
      <c r="R27" s="177" t="s">
        <v>53</v>
      </c>
      <c r="S27" s="177" t="s">
        <v>1384</v>
      </c>
      <c r="T27" s="236">
        <v>0.23958333333333334</v>
      </c>
      <c r="U27" s="177" t="s">
        <v>137</v>
      </c>
      <c r="V27" s="177">
        <v>25</v>
      </c>
      <c r="W27" s="178">
        <v>15763</v>
      </c>
      <c r="X27" s="177" t="s">
        <v>77</v>
      </c>
      <c r="Y27" s="177" t="s">
        <v>1443</v>
      </c>
      <c r="Z27" s="177">
        <v>58</v>
      </c>
      <c r="AA27" s="177" t="s">
        <v>143</v>
      </c>
      <c r="AB27" s="177" t="s">
        <v>80</v>
      </c>
      <c r="AC27" s="178" t="s">
        <v>180</v>
      </c>
      <c r="AD27" s="179" t="s">
        <v>1444</v>
      </c>
      <c r="AE27" s="178" t="s">
        <v>65</v>
      </c>
      <c r="AF27" s="178" t="s">
        <v>83</v>
      </c>
      <c r="AG27" s="178" t="s">
        <v>103</v>
      </c>
    </row>
    <row r="28" spans="1:42" ht="15" hidden="1" x14ac:dyDescent="0.25">
      <c r="A28" s="177">
        <v>2023</v>
      </c>
      <c r="B28" s="177" t="s">
        <v>739</v>
      </c>
      <c r="C28" s="177" t="s">
        <v>45</v>
      </c>
      <c r="D28" s="177" t="s">
        <v>1414</v>
      </c>
      <c r="E28" s="177" t="s">
        <v>402</v>
      </c>
      <c r="F28" s="177" t="s">
        <v>48</v>
      </c>
      <c r="G28" s="177" t="s">
        <v>403</v>
      </c>
      <c r="H28" s="10">
        <v>44869</v>
      </c>
      <c r="I28" s="177">
        <f t="shared" si="2"/>
        <v>7</v>
      </c>
      <c r="J28" s="235">
        <v>45096</v>
      </c>
      <c r="K28" s="177" t="str">
        <f t="shared" si="3"/>
        <v>NUEVO</v>
      </c>
      <c r="L28" s="235">
        <v>45133</v>
      </c>
      <c r="M28" s="235">
        <v>45133</v>
      </c>
      <c r="N28" s="177" t="s">
        <v>50</v>
      </c>
      <c r="O28" s="177">
        <v>0</v>
      </c>
      <c r="P28" s="177" t="s">
        <v>1383</v>
      </c>
      <c r="Q28" s="178" t="s">
        <v>264</v>
      </c>
      <c r="R28" s="177" t="s">
        <v>1445</v>
      </c>
      <c r="S28" s="177" t="s">
        <v>1446</v>
      </c>
      <c r="T28" s="236">
        <v>0.91666666666666663</v>
      </c>
      <c r="U28" s="177" t="s">
        <v>404</v>
      </c>
      <c r="V28" s="177">
        <v>24</v>
      </c>
      <c r="W28" s="178"/>
      <c r="X28" s="177" t="s">
        <v>269</v>
      </c>
      <c r="Y28" s="177" t="s">
        <v>270</v>
      </c>
      <c r="Z28" s="177">
        <v>30</v>
      </c>
      <c r="AA28" s="177" t="s">
        <v>60</v>
      </c>
      <c r="AB28" s="177" t="s">
        <v>80</v>
      </c>
      <c r="AC28" s="178" t="s">
        <v>180</v>
      </c>
      <c r="AD28" s="179" t="s">
        <v>1447</v>
      </c>
      <c r="AE28" s="178" t="s">
        <v>66</v>
      </c>
      <c r="AF28" s="178" t="s">
        <v>67</v>
      </c>
      <c r="AG28" s="178" t="s">
        <v>103</v>
      </c>
    </row>
    <row r="29" spans="1:42" ht="15" hidden="1" x14ac:dyDescent="0.25">
      <c r="A29" s="177">
        <v>2023</v>
      </c>
      <c r="B29" s="177" t="s">
        <v>739</v>
      </c>
      <c r="C29" s="177" t="s">
        <v>45</v>
      </c>
      <c r="D29" s="177" t="s">
        <v>1448</v>
      </c>
      <c r="E29" s="177" t="s">
        <v>1449</v>
      </c>
      <c r="F29" s="177" t="s">
        <v>48</v>
      </c>
      <c r="G29" s="177" t="s">
        <v>1450</v>
      </c>
      <c r="H29" s="10">
        <v>42688</v>
      </c>
      <c r="I29" s="177">
        <f>DATEDIF(H29,J29,"m")</f>
        <v>79</v>
      </c>
      <c r="J29" s="235">
        <v>45099</v>
      </c>
      <c r="K29" s="177" t="str">
        <f>IF(I29&lt;=18,"NUEVO",IF(I29&lt;=36,"INTERMEDIO","ANTIGUO"))</f>
        <v>ANTIGUO</v>
      </c>
      <c r="L29" s="235">
        <v>45099</v>
      </c>
      <c r="M29" s="235">
        <v>45100</v>
      </c>
      <c r="N29" s="235">
        <v>45117</v>
      </c>
      <c r="O29" s="177">
        <v>2</v>
      </c>
      <c r="P29" s="177" t="s">
        <v>1388</v>
      </c>
      <c r="Q29" s="178" t="s">
        <v>173</v>
      </c>
      <c r="R29" s="177" t="s">
        <v>31</v>
      </c>
      <c r="S29" s="177" t="s">
        <v>1384</v>
      </c>
      <c r="T29" s="236">
        <v>0.28472222222222221</v>
      </c>
      <c r="U29" s="177" t="s">
        <v>76</v>
      </c>
      <c r="V29" s="177">
        <v>25</v>
      </c>
      <c r="W29" s="178">
        <v>15768</v>
      </c>
      <c r="X29" s="177" t="s">
        <v>390</v>
      </c>
      <c r="Y29" s="177" t="s">
        <v>390</v>
      </c>
      <c r="Z29" s="177">
        <v>28</v>
      </c>
      <c r="AA29" s="177" t="s">
        <v>153</v>
      </c>
      <c r="AB29" s="177" t="s">
        <v>167</v>
      </c>
      <c r="AC29" s="178" t="s">
        <v>61</v>
      </c>
      <c r="AD29" s="179" t="s">
        <v>1672</v>
      </c>
      <c r="AE29" s="178" t="s">
        <v>65</v>
      </c>
      <c r="AF29" s="178" t="s">
        <v>83</v>
      </c>
      <c r="AG29" s="178" t="s">
        <v>240</v>
      </c>
    </row>
    <row r="30" spans="1:42" ht="15" hidden="1" x14ac:dyDescent="0.25">
      <c r="A30" s="177">
        <v>2023</v>
      </c>
      <c r="B30" s="177" t="s">
        <v>832</v>
      </c>
      <c r="C30" s="177" t="s">
        <v>45</v>
      </c>
      <c r="D30" s="177" t="s">
        <v>1451</v>
      </c>
      <c r="E30" s="177" t="s">
        <v>769</v>
      </c>
      <c r="F30" s="177" t="s">
        <v>71</v>
      </c>
      <c r="G30" s="177" t="s">
        <v>1452</v>
      </c>
      <c r="H30" s="10">
        <v>43307</v>
      </c>
      <c r="I30" s="177">
        <f>DATEDIF(H30,J30,"m")</f>
        <v>59</v>
      </c>
      <c r="J30" s="235">
        <v>45121</v>
      </c>
      <c r="K30" s="177" t="str">
        <f>IF(I30&lt;=18,"NUEVO",IF(I30&lt;=36,"INTERMEDIO","ANTIGUO"))</f>
        <v>ANTIGUO</v>
      </c>
      <c r="L30" s="177" t="s">
        <v>50</v>
      </c>
      <c r="M30" s="177" t="s">
        <v>50</v>
      </c>
      <c r="N30" s="177" t="s">
        <v>50</v>
      </c>
      <c r="O30" s="177">
        <v>0</v>
      </c>
      <c r="P30" s="177" t="s">
        <v>1379</v>
      </c>
      <c r="Q30" s="178" t="s">
        <v>160</v>
      </c>
      <c r="R30" s="177" t="s">
        <v>53</v>
      </c>
      <c r="S30" s="177" t="s">
        <v>1389</v>
      </c>
      <c r="T30" s="236">
        <v>0.68333333333333324</v>
      </c>
      <c r="U30" s="177" t="s">
        <v>111</v>
      </c>
      <c r="V30" s="177">
        <v>28</v>
      </c>
      <c r="W30" s="178"/>
      <c r="X30" s="177" t="s">
        <v>164</v>
      </c>
      <c r="Y30" s="177" t="s">
        <v>215</v>
      </c>
      <c r="Z30" s="177">
        <v>42</v>
      </c>
      <c r="AA30" s="177" t="s">
        <v>60</v>
      </c>
      <c r="AB30" s="177" t="s">
        <v>61</v>
      </c>
      <c r="AC30" s="178" t="s">
        <v>62</v>
      </c>
      <c r="AD30" s="179" t="s">
        <v>1453</v>
      </c>
      <c r="AE30" s="178" t="s">
        <v>65</v>
      </c>
      <c r="AF30" s="178" t="s">
        <v>83</v>
      </c>
      <c r="AG30" s="178" t="s">
        <v>84</v>
      </c>
      <c r="AH30" s="178"/>
    </row>
    <row r="31" spans="1:42" ht="15" hidden="1" x14ac:dyDescent="0.25">
      <c r="A31" s="177">
        <v>2023</v>
      </c>
      <c r="B31" s="177" t="s">
        <v>919</v>
      </c>
      <c r="C31" s="177" t="s">
        <v>45</v>
      </c>
      <c r="D31" s="177" t="s">
        <v>1231</v>
      </c>
      <c r="E31" s="177" t="s">
        <v>1232</v>
      </c>
      <c r="F31" s="177" t="s">
        <v>71</v>
      </c>
      <c r="G31" s="177" t="s">
        <v>1233</v>
      </c>
      <c r="H31" s="10">
        <v>41408</v>
      </c>
      <c r="I31" s="177">
        <f t="shared" ref="I31:I95" si="4">DATEDIF(H31,J31,"m")</f>
        <v>123</v>
      </c>
      <c r="J31" s="235">
        <v>45156</v>
      </c>
      <c r="K31" s="177" t="str">
        <f t="shared" ref="K31:K95" si="5">IF(I31&lt;=18,"NUEVO",IF(I31&lt;=36,"INTERMEDIO","ANTIGUO"))</f>
        <v>ANTIGUO</v>
      </c>
      <c r="L31" s="235">
        <v>45156</v>
      </c>
      <c r="M31" s="235">
        <v>45157</v>
      </c>
      <c r="N31" s="177" t="s">
        <v>50</v>
      </c>
      <c r="O31" s="177">
        <v>2</v>
      </c>
      <c r="P31" s="177" t="s">
        <v>1388</v>
      </c>
      <c r="Q31" s="178" t="s">
        <v>73</v>
      </c>
      <c r="R31" s="177" t="s">
        <v>53</v>
      </c>
      <c r="S31" s="177" t="s">
        <v>1384</v>
      </c>
      <c r="T31" s="236">
        <v>0.31944444444444448</v>
      </c>
      <c r="U31" s="177" t="s">
        <v>111</v>
      </c>
      <c r="V31" s="177">
        <v>33</v>
      </c>
      <c r="W31" s="178">
        <v>15870</v>
      </c>
      <c r="X31" s="177" t="s">
        <v>236</v>
      </c>
      <c r="Y31" s="177" t="s">
        <v>78</v>
      </c>
      <c r="Z31" s="177">
        <v>34</v>
      </c>
      <c r="AA31" s="177" t="s">
        <v>166</v>
      </c>
      <c r="AB31" s="177" t="s">
        <v>80</v>
      </c>
      <c r="AC31" s="178" t="s">
        <v>180</v>
      </c>
      <c r="AD31" s="179" t="s">
        <v>1454</v>
      </c>
      <c r="AE31" s="178" t="s">
        <v>65</v>
      </c>
      <c r="AF31" s="178" t="s">
        <v>67</v>
      </c>
      <c r="AG31" s="178" t="s">
        <v>103</v>
      </c>
    </row>
    <row r="32" spans="1:42" ht="15" hidden="1" x14ac:dyDescent="0.25">
      <c r="A32" s="177">
        <v>2023</v>
      </c>
      <c r="B32" s="177" t="s">
        <v>919</v>
      </c>
      <c r="C32" s="177" t="s">
        <v>45</v>
      </c>
      <c r="D32" s="177" t="s">
        <v>1455</v>
      </c>
      <c r="E32" s="177" t="s">
        <v>1456</v>
      </c>
      <c r="F32" s="177" t="s">
        <v>71</v>
      </c>
      <c r="G32" s="177" t="s">
        <v>1457</v>
      </c>
      <c r="H32" s="10">
        <v>43843</v>
      </c>
      <c r="I32" s="177">
        <f t="shared" si="4"/>
        <v>43</v>
      </c>
      <c r="J32" s="235">
        <v>45169</v>
      </c>
      <c r="K32" s="177" t="str">
        <f t="shared" si="5"/>
        <v>ANTIGUO</v>
      </c>
      <c r="L32" s="235">
        <v>45169</v>
      </c>
      <c r="M32" s="235">
        <v>45169</v>
      </c>
      <c r="N32" s="177" t="s">
        <v>50</v>
      </c>
      <c r="O32" s="177">
        <v>0</v>
      </c>
      <c r="P32" s="177" t="s">
        <v>1379</v>
      </c>
      <c r="Q32" s="178" t="s">
        <v>173</v>
      </c>
      <c r="R32" s="177" t="s">
        <v>53</v>
      </c>
      <c r="S32" s="177" t="s">
        <v>1384</v>
      </c>
      <c r="T32" s="236">
        <v>0.51666666666666672</v>
      </c>
      <c r="U32" s="177" t="s">
        <v>76</v>
      </c>
      <c r="V32" s="177">
        <v>35</v>
      </c>
      <c r="W32" s="178">
        <v>15895</v>
      </c>
      <c r="X32" s="177" t="s">
        <v>178</v>
      </c>
      <c r="Y32" s="177" t="s">
        <v>903</v>
      </c>
      <c r="Z32" s="177">
        <v>54</v>
      </c>
      <c r="AA32" s="177" t="s">
        <v>450</v>
      </c>
      <c r="AB32" s="177" t="s">
        <v>61</v>
      </c>
      <c r="AC32" s="178" t="s">
        <v>62</v>
      </c>
      <c r="AD32" s="179" t="s">
        <v>1458</v>
      </c>
      <c r="AE32" s="178" t="s">
        <v>65</v>
      </c>
      <c r="AF32" s="178" t="s">
        <v>83</v>
      </c>
      <c r="AG32" s="178" t="s">
        <v>84</v>
      </c>
    </row>
    <row r="33" spans="1:33" ht="15" hidden="1" x14ac:dyDescent="0.25">
      <c r="A33" s="177">
        <v>2023</v>
      </c>
      <c r="B33" s="177" t="s">
        <v>919</v>
      </c>
      <c r="C33" s="177" t="s">
        <v>45</v>
      </c>
      <c r="D33" s="177" t="s">
        <v>1459</v>
      </c>
      <c r="E33" s="177" t="s">
        <v>1460</v>
      </c>
      <c r="F33" s="177" t="s">
        <v>48</v>
      </c>
      <c r="G33" s="177" t="s">
        <v>1461</v>
      </c>
      <c r="H33" s="10">
        <v>44697</v>
      </c>
      <c r="I33" s="177">
        <f t="shared" si="4"/>
        <v>15</v>
      </c>
      <c r="J33" s="235">
        <v>45166</v>
      </c>
      <c r="K33" s="177" t="str">
        <f t="shared" si="5"/>
        <v>NUEVO</v>
      </c>
      <c r="L33" s="235">
        <v>45166</v>
      </c>
      <c r="M33" s="235">
        <v>45166</v>
      </c>
      <c r="N33" s="235">
        <v>45169</v>
      </c>
      <c r="O33" s="177">
        <v>0</v>
      </c>
      <c r="P33" s="177" t="s">
        <v>1379</v>
      </c>
      <c r="Q33" s="178" t="s">
        <v>173</v>
      </c>
      <c r="R33" s="1" t="s">
        <v>53</v>
      </c>
      <c r="S33" s="177" t="s">
        <v>1384</v>
      </c>
      <c r="T33" s="236">
        <v>0.46319444444444446</v>
      </c>
      <c r="U33" s="177" t="s">
        <v>137</v>
      </c>
      <c r="V33" s="177">
        <v>35</v>
      </c>
      <c r="W33" s="178"/>
      <c r="X33" s="177" t="s">
        <v>178</v>
      </c>
      <c r="Y33" s="177" t="s">
        <v>903</v>
      </c>
      <c r="Z33" s="177">
        <v>25</v>
      </c>
      <c r="AA33" s="177" t="s">
        <v>1395</v>
      </c>
      <c r="AB33" s="177" t="s">
        <v>61</v>
      </c>
      <c r="AC33" s="178" t="s">
        <v>61</v>
      </c>
      <c r="AD33" s="179" t="s">
        <v>1462</v>
      </c>
      <c r="AE33" s="178" t="s">
        <v>65</v>
      </c>
      <c r="AF33" s="178"/>
      <c r="AG33" s="178"/>
    </row>
    <row r="34" spans="1:33" ht="26.25" hidden="1" x14ac:dyDescent="0.25">
      <c r="A34" s="177">
        <v>2023</v>
      </c>
      <c r="B34" s="177" t="s">
        <v>1092</v>
      </c>
      <c r="C34" s="177" t="s">
        <v>45</v>
      </c>
      <c r="D34" s="177" t="s">
        <v>1463</v>
      </c>
      <c r="E34" s="177" t="s">
        <v>1464</v>
      </c>
      <c r="F34" s="177" t="s">
        <v>48</v>
      </c>
      <c r="G34" s="177" t="s">
        <v>1465</v>
      </c>
      <c r="H34" s="10">
        <v>43467</v>
      </c>
      <c r="I34" s="177">
        <f t="shared" si="4"/>
        <v>56</v>
      </c>
      <c r="J34" s="235">
        <v>45177</v>
      </c>
      <c r="K34" s="177" t="str">
        <f t="shared" si="5"/>
        <v>ANTIGUO</v>
      </c>
      <c r="L34" s="235">
        <v>45178</v>
      </c>
      <c r="M34" s="235">
        <v>45181</v>
      </c>
      <c r="N34" s="177" t="s">
        <v>50</v>
      </c>
      <c r="O34" s="177">
        <v>4</v>
      </c>
      <c r="P34" s="177" t="s">
        <v>1388</v>
      </c>
      <c r="Q34" s="178" t="s">
        <v>234</v>
      </c>
      <c r="R34" s="1" t="s">
        <v>53</v>
      </c>
      <c r="S34" s="177" t="s">
        <v>1384</v>
      </c>
      <c r="T34" s="236">
        <v>0.64930555555555558</v>
      </c>
      <c r="U34" s="177" t="s">
        <v>111</v>
      </c>
      <c r="V34" s="177">
        <v>36</v>
      </c>
      <c r="W34" s="178"/>
      <c r="X34" s="177" t="s">
        <v>236</v>
      </c>
      <c r="Y34" s="177" t="s">
        <v>773</v>
      </c>
      <c r="Z34" s="177">
        <v>62</v>
      </c>
      <c r="AA34" s="177" t="s">
        <v>450</v>
      </c>
      <c r="AB34" s="177" t="s">
        <v>80</v>
      </c>
      <c r="AC34" s="178" t="s">
        <v>154</v>
      </c>
      <c r="AD34" s="179" t="s">
        <v>1466</v>
      </c>
      <c r="AE34" s="178" t="s">
        <v>65</v>
      </c>
      <c r="AF34" s="178" t="s">
        <v>67</v>
      </c>
      <c r="AG34" s="178" t="s">
        <v>250</v>
      </c>
    </row>
    <row r="35" spans="1:33" ht="15" hidden="1" x14ac:dyDescent="0.25">
      <c r="A35" s="177">
        <v>2023</v>
      </c>
      <c r="B35" s="177" t="s">
        <v>1092</v>
      </c>
      <c r="C35" s="177" t="s">
        <v>45</v>
      </c>
      <c r="D35" s="177" t="s">
        <v>1467</v>
      </c>
      <c r="E35" s="177" t="s">
        <v>1468</v>
      </c>
      <c r="F35" s="177" t="s">
        <v>71</v>
      </c>
      <c r="G35" s="177" t="s">
        <v>1469</v>
      </c>
      <c r="H35" s="10">
        <v>43892</v>
      </c>
      <c r="I35" s="177">
        <f t="shared" si="4"/>
        <v>42</v>
      </c>
      <c r="J35" s="235">
        <v>45180</v>
      </c>
      <c r="K35" s="177" t="str">
        <f t="shared" si="5"/>
        <v>ANTIGUO</v>
      </c>
      <c r="L35" s="177" t="s">
        <v>50</v>
      </c>
      <c r="M35" s="177" t="s">
        <v>50</v>
      </c>
      <c r="N35" s="177" t="s">
        <v>50</v>
      </c>
      <c r="O35" s="177">
        <v>0</v>
      </c>
      <c r="P35" s="177" t="s">
        <v>1388</v>
      </c>
      <c r="Q35" s="178" t="s">
        <v>173</v>
      </c>
      <c r="R35" s="1" t="s">
        <v>53</v>
      </c>
      <c r="S35" s="177" t="s">
        <v>1389</v>
      </c>
      <c r="T35" s="236">
        <v>0.55555555555555558</v>
      </c>
      <c r="U35" s="177" t="s">
        <v>137</v>
      </c>
      <c r="V35" s="177">
        <v>37</v>
      </c>
      <c r="W35" s="178"/>
      <c r="X35" s="177" t="s">
        <v>178</v>
      </c>
      <c r="Y35" s="177" t="s">
        <v>903</v>
      </c>
      <c r="Z35" s="177">
        <v>46</v>
      </c>
      <c r="AA35" s="177" t="s">
        <v>153</v>
      </c>
      <c r="AB35" s="177" t="s">
        <v>167</v>
      </c>
      <c r="AC35" s="178" t="s">
        <v>81</v>
      </c>
      <c r="AD35" s="179" t="s">
        <v>1470</v>
      </c>
      <c r="AE35" s="178" t="s">
        <v>65</v>
      </c>
      <c r="AF35" s="178" t="s">
        <v>67</v>
      </c>
      <c r="AG35" s="178" t="s">
        <v>84</v>
      </c>
    </row>
    <row r="36" spans="1:33" ht="15" hidden="1" x14ac:dyDescent="0.2">
      <c r="A36" s="177">
        <v>2023</v>
      </c>
      <c r="B36" s="177" t="s">
        <v>1092</v>
      </c>
      <c r="C36" s="177" t="s">
        <v>45</v>
      </c>
      <c r="D36" s="177" t="s">
        <v>1471</v>
      </c>
      <c r="E36" s="177" t="s">
        <v>1081</v>
      </c>
      <c r="F36" s="177" t="s">
        <v>48</v>
      </c>
      <c r="G36" s="177" t="s">
        <v>1472</v>
      </c>
      <c r="H36" s="304">
        <v>44876</v>
      </c>
      <c r="I36" s="177">
        <f t="shared" si="4"/>
        <v>10</v>
      </c>
      <c r="J36" s="235">
        <v>45198</v>
      </c>
      <c r="K36" s="177" t="str">
        <f t="shared" si="5"/>
        <v>NUEVO</v>
      </c>
      <c r="L36" s="235"/>
      <c r="M36" s="235"/>
      <c r="N36" s="177"/>
      <c r="O36" s="178"/>
      <c r="P36" s="177" t="s">
        <v>1388</v>
      </c>
      <c r="Q36" s="178" t="s">
        <v>91</v>
      </c>
      <c r="R36" s="177" t="s">
        <v>53</v>
      </c>
      <c r="S36" s="177" t="s">
        <v>1384</v>
      </c>
      <c r="T36" s="236">
        <v>0.13541666666666666</v>
      </c>
      <c r="U36" s="177" t="s">
        <v>111</v>
      </c>
      <c r="V36" s="177">
        <v>39</v>
      </c>
      <c r="W36" s="178">
        <v>15944</v>
      </c>
      <c r="X36" s="177" t="s">
        <v>97</v>
      </c>
      <c r="Y36" s="177" t="s">
        <v>98</v>
      </c>
      <c r="Z36" s="177">
        <v>21</v>
      </c>
      <c r="AA36" s="177" t="s">
        <v>642</v>
      </c>
      <c r="AB36" s="177" t="s">
        <v>80</v>
      </c>
      <c r="AC36" s="178" t="s">
        <v>61</v>
      </c>
      <c r="AD36" s="179" t="s">
        <v>1473</v>
      </c>
      <c r="AE36" s="178" t="s">
        <v>65</v>
      </c>
      <c r="AF36" s="178" t="s">
        <v>67</v>
      </c>
      <c r="AG36" s="178"/>
    </row>
    <row r="37" spans="1:33" ht="15" hidden="1" x14ac:dyDescent="0.25">
      <c r="A37" s="177">
        <v>2023</v>
      </c>
      <c r="B37" s="177" t="s">
        <v>1142</v>
      </c>
      <c r="C37" s="177" t="s">
        <v>45</v>
      </c>
      <c r="D37" s="177" t="s">
        <v>1474</v>
      </c>
      <c r="E37" s="177" t="s">
        <v>1436</v>
      </c>
      <c r="F37" s="177" t="s">
        <v>71</v>
      </c>
      <c r="G37" s="177" t="s">
        <v>1475</v>
      </c>
      <c r="H37" s="10">
        <v>41953</v>
      </c>
      <c r="I37" s="177">
        <f t="shared" si="4"/>
        <v>107</v>
      </c>
      <c r="J37" s="235">
        <v>45209</v>
      </c>
      <c r="K37" s="177" t="str">
        <f t="shared" si="5"/>
        <v>ANTIGUO</v>
      </c>
      <c r="L37" s="177" t="s">
        <v>50</v>
      </c>
      <c r="M37" s="177" t="s">
        <v>50</v>
      </c>
      <c r="N37" s="177" t="s">
        <v>50</v>
      </c>
      <c r="O37" s="177">
        <v>0</v>
      </c>
      <c r="P37" s="177" t="s">
        <v>1379</v>
      </c>
      <c r="Q37" s="178" t="s">
        <v>160</v>
      </c>
      <c r="R37" s="177" t="s">
        <v>53</v>
      </c>
      <c r="S37" s="177" t="s">
        <v>1384</v>
      </c>
      <c r="T37" s="236">
        <v>0.58333333333333337</v>
      </c>
      <c r="U37" s="177" t="s">
        <v>125</v>
      </c>
      <c r="V37" s="177">
        <v>41</v>
      </c>
      <c r="W37" s="178"/>
      <c r="X37" s="177" t="s">
        <v>164</v>
      </c>
      <c r="Y37" s="177" t="s">
        <v>215</v>
      </c>
      <c r="Z37" s="177">
        <v>35</v>
      </c>
      <c r="AA37" s="177" t="s">
        <v>450</v>
      </c>
      <c r="AB37" s="177" t="s">
        <v>61</v>
      </c>
      <c r="AC37" s="178" t="s">
        <v>62</v>
      </c>
      <c r="AD37" s="179" t="s">
        <v>1476</v>
      </c>
      <c r="AE37" s="178" t="s">
        <v>66</v>
      </c>
      <c r="AF37" s="178" t="s">
        <v>83</v>
      </c>
      <c r="AG37" s="178" t="s">
        <v>250</v>
      </c>
    </row>
    <row r="38" spans="1:33" ht="15" hidden="1" x14ac:dyDescent="0.25">
      <c r="A38" s="177">
        <v>2023</v>
      </c>
      <c r="B38" s="177" t="s">
        <v>1142</v>
      </c>
      <c r="C38" s="177" t="s">
        <v>45</v>
      </c>
      <c r="D38" s="177" t="s">
        <v>1665</v>
      </c>
      <c r="E38" s="177" t="s">
        <v>1666</v>
      </c>
      <c r="F38" s="177" t="s">
        <v>48</v>
      </c>
      <c r="G38" s="177" t="s">
        <v>1667</v>
      </c>
      <c r="H38" s="10">
        <v>41954</v>
      </c>
      <c r="I38" s="177">
        <f t="shared" si="4"/>
        <v>107</v>
      </c>
      <c r="J38" s="235">
        <v>45218</v>
      </c>
      <c r="K38" s="177" t="str">
        <f t="shared" si="5"/>
        <v>ANTIGUO</v>
      </c>
      <c r="L38" s="177" t="s">
        <v>50</v>
      </c>
      <c r="M38" s="177" t="s">
        <v>50</v>
      </c>
      <c r="N38" s="177" t="s">
        <v>50</v>
      </c>
      <c r="O38" s="177">
        <v>0</v>
      </c>
      <c r="P38" s="177" t="s">
        <v>1379</v>
      </c>
      <c r="Q38" s="178" t="s">
        <v>73</v>
      </c>
      <c r="R38" s="177" t="s">
        <v>53</v>
      </c>
      <c r="S38" s="177" t="s">
        <v>1668</v>
      </c>
      <c r="T38" s="236">
        <v>0.56874999999999998</v>
      </c>
      <c r="U38" s="177" t="s">
        <v>76</v>
      </c>
      <c r="V38" s="163">
        <v>42</v>
      </c>
      <c r="W38" s="178"/>
      <c r="X38" s="177" t="s">
        <v>236</v>
      </c>
      <c r="Y38" s="177" t="s">
        <v>1669</v>
      </c>
      <c r="Z38" s="177">
        <v>57</v>
      </c>
      <c r="AA38" s="177" t="s">
        <v>450</v>
      </c>
      <c r="AB38" s="177" t="s">
        <v>61</v>
      </c>
      <c r="AC38" s="178" t="s">
        <v>62</v>
      </c>
      <c r="AD38" s="179" t="s">
        <v>1670</v>
      </c>
      <c r="AE38" s="178" t="s">
        <v>66</v>
      </c>
      <c r="AF38" s="178" t="s">
        <v>67</v>
      </c>
      <c r="AG38" s="178" t="s">
        <v>250</v>
      </c>
    </row>
    <row r="39" spans="1:33" ht="15" hidden="1" x14ac:dyDescent="0.2">
      <c r="A39" s="177">
        <v>2023</v>
      </c>
      <c r="B39" s="177" t="s">
        <v>1142</v>
      </c>
      <c r="C39" s="177" t="s">
        <v>45</v>
      </c>
      <c r="D39" s="177" t="s">
        <v>1477</v>
      </c>
      <c r="E39" s="177" t="s">
        <v>1478</v>
      </c>
      <c r="F39" s="177" t="s">
        <v>48</v>
      </c>
      <c r="G39" s="177" t="s">
        <v>1479</v>
      </c>
      <c r="H39" s="304">
        <v>44872</v>
      </c>
      <c r="I39" s="177">
        <f t="shared" si="4"/>
        <v>11</v>
      </c>
      <c r="J39" s="235">
        <v>45225</v>
      </c>
      <c r="K39" s="177" t="str">
        <f t="shared" si="5"/>
        <v>NUEVO</v>
      </c>
      <c r="L39" s="177" t="s">
        <v>50</v>
      </c>
      <c r="M39" s="177" t="s">
        <v>50</v>
      </c>
      <c r="N39" s="177" t="s">
        <v>50</v>
      </c>
      <c r="O39" s="177">
        <v>0</v>
      </c>
      <c r="P39" s="177" t="s">
        <v>1379</v>
      </c>
      <c r="Q39" s="178" t="s">
        <v>160</v>
      </c>
      <c r="R39" s="177" t="s">
        <v>53</v>
      </c>
      <c r="S39" s="177" t="s">
        <v>1384</v>
      </c>
      <c r="T39" s="236">
        <v>0.40277777777777773</v>
      </c>
      <c r="U39" s="177" t="s">
        <v>76</v>
      </c>
      <c r="V39" s="177">
        <v>43</v>
      </c>
      <c r="W39" s="178"/>
      <c r="X39" s="177" t="s">
        <v>164</v>
      </c>
      <c r="Y39" s="177" t="s">
        <v>215</v>
      </c>
      <c r="Z39" s="177">
        <v>21</v>
      </c>
      <c r="AA39" s="177" t="s">
        <v>450</v>
      </c>
      <c r="AB39" s="177" t="s">
        <v>61</v>
      </c>
      <c r="AC39" s="178" t="s">
        <v>62</v>
      </c>
      <c r="AD39" s="179" t="s">
        <v>1480</v>
      </c>
      <c r="AE39" s="178" t="s">
        <v>66</v>
      </c>
      <c r="AF39" s="178" t="s">
        <v>67</v>
      </c>
      <c r="AG39" s="178" t="s">
        <v>84</v>
      </c>
    </row>
    <row r="40" spans="1:33" ht="15" hidden="1" x14ac:dyDescent="0.2">
      <c r="A40" s="177">
        <v>2023</v>
      </c>
      <c r="B40" s="177" t="s">
        <v>1183</v>
      </c>
      <c r="C40" s="177" t="s">
        <v>45</v>
      </c>
      <c r="D40" s="177" t="s">
        <v>1481</v>
      </c>
      <c r="E40" s="177" t="s">
        <v>1482</v>
      </c>
      <c r="F40" s="177" t="s">
        <v>71</v>
      </c>
      <c r="G40" s="177" t="s">
        <v>1483</v>
      </c>
      <c r="H40" s="304">
        <v>45124</v>
      </c>
      <c r="I40" s="177">
        <f t="shared" si="4"/>
        <v>3</v>
      </c>
      <c r="J40" s="235">
        <v>45233</v>
      </c>
      <c r="K40" s="177" t="str">
        <f t="shared" si="5"/>
        <v>NUEVO</v>
      </c>
      <c r="L40" s="235">
        <v>45233</v>
      </c>
      <c r="M40" s="235">
        <v>45234</v>
      </c>
      <c r="N40" s="235" t="s">
        <v>50</v>
      </c>
      <c r="O40" s="177">
        <v>2</v>
      </c>
      <c r="P40" s="177" t="s">
        <v>1388</v>
      </c>
      <c r="Q40" s="178" t="s">
        <v>73</v>
      </c>
      <c r="R40" s="177" t="s">
        <v>53</v>
      </c>
      <c r="S40" s="177" t="s">
        <v>1384</v>
      </c>
      <c r="T40" s="236">
        <v>0.21527777777777779</v>
      </c>
      <c r="U40" s="177" t="s">
        <v>111</v>
      </c>
      <c r="V40" s="177"/>
      <c r="W40" s="178">
        <v>15999</v>
      </c>
      <c r="X40" s="177" t="s">
        <v>236</v>
      </c>
      <c r="Y40" s="177" t="s">
        <v>1484</v>
      </c>
      <c r="Z40" s="177">
        <v>24</v>
      </c>
      <c r="AA40" s="177" t="s">
        <v>153</v>
      </c>
      <c r="AB40" s="177" t="s">
        <v>167</v>
      </c>
      <c r="AC40" s="178" t="s">
        <v>61</v>
      </c>
      <c r="AD40" s="179" t="s">
        <v>1485</v>
      </c>
      <c r="AE40" s="178" t="s">
        <v>65</v>
      </c>
      <c r="AF40" s="178" t="s">
        <v>83</v>
      </c>
      <c r="AG40" s="178" t="s">
        <v>84</v>
      </c>
    </row>
    <row r="41" spans="1:33" ht="15" hidden="1" x14ac:dyDescent="0.2">
      <c r="A41" s="177">
        <v>2023</v>
      </c>
      <c r="B41" s="177" t="s">
        <v>1183</v>
      </c>
      <c r="C41" s="177" t="s">
        <v>45</v>
      </c>
      <c r="D41" s="177" t="s">
        <v>1486</v>
      </c>
      <c r="E41" s="177" t="s">
        <v>1487</v>
      </c>
      <c r="F41" s="177" t="s">
        <v>71</v>
      </c>
      <c r="G41" s="177" t="s">
        <v>1488</v>
      </c>
      <c r="H41" s="304">
        <v>43185</v>
      </c>
      <c r="I41" s="177">
        <f t="shared" si="4"/>
        <v>67</v>
      </c>
      <c r="J41" s="235">
        <v>45233</v>
      </c>
      <c r="K41" s="177" t="str">
        <f t="shared" si="5"/>
        <v>ANTIGUO</v>
      </c>
      <c r="L41" s="235">
        <v>45233</v>
      </c>
      <c r="M41" s="177" t="s">
        <v>50</v>
      </c>
      <c r="N41" s="177" t="s">
        <v>50</v>
      </c>
      <c r="O41" s="177">
        <v>0</v>
      </c>
      <c r="P41" s="177" t="s">
        <v>1379</v>
      </c>
      <c r="Q41" s="178" t="s">
        <v>160</v>
      </c>
      <c r="R41" s="177" t="s">
        <v>53</v>
      </c>
      <c r="S41" s="177" t="s">
        <v>1389</v>
      </c>
      <c r="T41" s="236">
        <v>0.70833333333333337</v>
      </c>
      <c r="U41" s="177" t="s">
        <v>111</v>
      </c>
      <c r="V41" s="177"/>
      <c r="W41" s="177"/>
      <c r="X41" s="177" t="s">
        <v>164</v>
      </c>
      <c r="Y41" s="177" t="s">
        <v>485</v>
      </c>
      <c r="Z41" s="177">
        <v>42</v>
      </c>
      <c r="AA41" s="177" t="s">
        <v>450</v>
      </c>
      <c r="AB41" s="177" t="s">
        <v>61</v>
      </c>
      <c r="AC41" s="178" t="s">
        <v>62</v>
      </c>
      <c r="AD41" s="179" t="s">
        <v>1489</v>
      </c>
      <c r="AE41" s="178" t="s">
        <v>65</v>
      </c>
      <c r="AF41" s="178" t="s">
        <v>83</v>
      </c>
      <c r="AG41" s="178" t="s">
        <v>84</v>
      </c>
    </row>
    <row r="42" spans="1:33" ht="15" hidden="1" x14ac:dyDescent="0.2">
      <c r="A42" s="177">
        <v>2023</v>
      </c>
      <c r="B42" s="177" t="s">
        <v>1183</v>
      </c>
      <c r="C42" s="177" t="s">
        <v>45</v>
      </c>
      <c r="D42" s="177" t="s">
        <v>1490</v>
      </c>
      <c r="E42" s="177" t="s">
        <v>1491</v>
      </c>
      <c r="F42" s="177" t="s">
        <v>71</v>
      </c>
      <c r="G42" s="177" t="s">
        <v>1492</v>
      </c>
      <c r="H42" s="304">
        <v>33799</v>
      </c>
      <c r="I42" s="177">
        <f t="shared" si="4"/>
        <v>375</v>
      </c>
      <c r="J42" s="235">
        <v>45238</v>
      </c>
      <c r="K42" s="177" t="str">
        <f t="shared" si="5"/>
        <v>ANTIGUO</v>
      </c>
      <c r="L42" s="177"/>
      <c r="M42" s="177"/>
      <c r="N42" s="177"/>
      <c r="O42" s="177"/>
      <c r="P42" s="177" t="s">
        <v>1379</v>
      </c>
      <c r="Q42" s="178" t="s">
        <v>288</v>
      </c>
      <c r="R42" s="177" t="s">
        <v>53</v>
      </c>
      <c r="S42" s="177" t="s">
        <v>1384</v>
      </c>
      <c r="T42" s="236"/>
      <c r="U42" s="177" t="s">
        <v>55</v>
      </c>
      <c r="V42" s="177">
        <v>45</v>
      </c>
      <c r="W42" s="178"/>
      <c r="X42" s="177" t="s">
        <v>164</v>
      </c>
      <c r="Y42" s="177" t="s">
        <v>1443</v>
      </c>
      <c r="Z42" s="177">
        <v>55</v>
      </c>
      <c r="AA42" s="177" t="s">
        <v>166</v>
      </c>
      <c r="AB42" s="177" t="s">
        <v>61</v>
      </c>
      <c r="AC42" s="178" t="s">
        <v>62</v>
      </c>
      <c r="AD42" s="164" t="s">
        <v>1493</v>
      </c>
      <c r="AE42" s="178" t="s">
        <v>65</v>
      </c>
      <c r="AF42" s="178" t="s">
        <v>83</v>
      </c>
      <c r="AG42" s="178" t="s">
        <v>84</v>
      </c>
    </row>
    <row r="43" spans="1:33" ht="15" hidden="1" x14ac:dyDescent="0.2">
      <c r="A43" s="177">
        <v>2023</v>
      </c>
      <c r="B43" s="177" t="s">
        <v>1183</v>
      </c>
      <c r="C43" s="177" t="s">
        <v>45</v>
      </c>
      <c r="D43" s="177" t="s">
        <v>1494</v>
      </c>
      <c r="E43" s="177" t="s">
        <v>1495</v>
      </c>
      <c r="F43" s="177" t="s">
        <v>71</v>
      </c>
      <c r="G43" s="177" t="s">
        <v>1496</v>
      </c>
      <c r="H43" s="304">
        <v>42658</v>
      </c>
      <c r="I43" s="177">
        <f t="shared" si="4"/>
        <v>84</v>
      </c>
      <c r="J43" s="235">
        <v>45244</v>
      </c>
      <c r="K43" s="177" t="str">
        <f t="shared" si="5"/>
        <v>ANTIGUO</v>
      </c>
      <c r="L43" s="235">
        <v>45244</v>
      </c>
      <c r="M43" s="177"/>
      <c r="N43" s="177"/>
      <c r="O43" s="177"/>
      <c r="P43" s="177" t="s">
        <v>1388</v>
      </c>
      <c r="Q43" s="178" t="s">
        <v>160</v>
      </c>
      <c r="R43" s="177" t="s">
        <v>53</v>
      </c>
      <c r="S43" s="177" t="s">
        <v>1384</v>
      </c>
      <c r="T43" s="236">
        <v>0.27083333333333331</v>
      </c>
      <c r="U43" s="177" t="s">
        <v>125</v>
      </c>
      <c r="V43" s="177">
        <v>46</v>
      </c>
      <c r="W43" s="178"/>
      <c r="X43" s="177" t="s">
        <v>164</v>
      </c>
      <c r="Y43" s="177" t="s">
        <v>958</v>
      </c>
      <c r="Z43" s="177">
        <v>32</v>
      </c>
      <c r="AA43" s="177" t="s">
        <v>143</v>
      </c>
      <c r="AB43" s="177" t="s">
        <v>80</v>
      </c>
      <c r="AC43" s="178" t="s">
        <v>180</v>
      </c>
      <c r="AD43" s="179" t="s">
        <v>1497</v>
      </c>
      <c r="AE43" s="178" t="s">
        <v>65</v>
      </c>
      <c r="AF43" s="178" t="s">
        <v>67</v>
      </c>
      <c r="AG43" s="178" t="s">
        <v>103</v>
      </c>
    </row>
    <row r="44" spans="1:33" ht="15" hidden="1" x14ac:dyDescent="0.2">
      <c r="A44" s="177">
        <v>2023</v>
      </c>
      <c r="B44" s="177" t="s">
        <v>1183</v>
      </c>
      <c r="C44" s="177" t="s">
        <v>45</v>
      </c>
      <c r="D44" s="177" t="s">
        <v>1620</v>
      </c>
      <c r="E44" s="177" t="s">
        <v>523</v>
      </c>
      <c r="F44" s="177" t="s">
        <v>48</v>
      </c>
      <c r="G44" s="177" t="s">
        <v>1621</v>
      </c>
      <c r="H44" s="304">
        <v>43922</v>
      </c>
      <c r="I44" s="177">
        <f t="shared" si="4"/>
        <v>43</v>
      </c>
      <c r="J44" s="235">
        <v>45250</v>
      </c>
      <c r="K44" s="177" t="str">
        <f t="shared" si="5"/>
        <v>ANTIGUO</v>
      </c>
      <c r="L44" s="235">
        <v>45250</v>
      </c>
      <c r="M44" s="235">
        <v>45250</v>
      </c>
      <c r="N44" s="235">
        <v>45251</v>
      </c>
      <c r="O44" s="177">
        <v>5</v>
      </c>
      <c r="P44" s="177" t="s">
        <v>1379</v>
      </c>
      <c r="Q44" s="178" t="s">
        <v>173</v>
      </c>
      <c r="R44" s="177" t="s">
        <v>53</v>
      </c>
      <c r="S44" s="177" t="s">
        <v>1384</v>
      </c>
      <c r="T44" s="236"/>
      <c r="U44" s="177" t="s">
        <v>137</v>
      </c>
      <c r="V44" s="177">
        <v>47</v>
      </c>
      <c r="W44" s="178"/>
      <c r="X44" s="177" t="s">
        <v>390</v>
      </c>
      <c r="Y44" s="177" t="s">
        <v>980</v>
      </c>
      <c r="Z44" s="177">
        <v>55</v>
      </c>
      <c r="AA44" s="177" t="s">
        <v>450</v>
      </c>
      <c r="AB44" s="177" t="s">
        <v>61</v>
      </c>
      <c r="AC44" s="178" t="s">
        <v>61</v>
      </c>
      <c r="AD44" s="179" t="s">
        <v>1622</v>
      </c>
      <c r="AE44" s="178" t="s">
        <v>65</v>
      </c>
      <c r="AF44" s="178" t="s">
        <v>67</v>
      </c>
      <c r="AG44" s="178" t="s">
        <v>250</v>
      </c>
    </row>
    <row r="45" spans="1:33" ht="15" hidden="1" x14ac:dyDescent="0.2">
      <c r="A45" s="177">
        <v>2023</v>
      </c>
      <c r="B45" s="177" t="s">
        <v>1183</v>
      </c>
      <c r="C45" s="177" t="s">
        <v>45</v>
      </c>
      <c r="D45" s="177" t="s">
        <v>1686</v>
      </c>
      <c r="E45" s="177" t="s">
        <v>286</v>
      </c>
      <c r="F45" s="177" t="s">
        <v>48</v>
      </c>
      <c r="G45" s="177" t="s">
        <v>1687</v>
      </c>
      <c r="H45" s="304">
        <v>45250</v>
      </c>
      <c r="I45" s="177">
        <f t="shared" si="4"/>
        <v>0</v>
      </c>
      <c r="J45" s="235">
        <v>45259</v>
      </c>
      <c r="K45" s="177" t="str">
        <f t="shared" si="5"/>
        <v>NUEVO</v>
      </c>
      <c r="L45" s="177" t="s">
        <v>50</v>
      </c>
      <c r="M45" s="177" t="s">
        <v>50</v>
      </c>
      <c r="N45" s="177" t="s">
        <v>50</v>
      </c>
      <c r="O45" s="177">
        <v>0</v>
      </c>
      <c r="P45" s="177" t="s">
        <v>1388</v>
      </c>
      <c r="Q45" s="178" t="s">
        <v>160</v>
      </c>
      <c r="R45" s="177" t="s">
        <v>53</v>
      </c>
      <c r="S45" s="177" t="s">
        <v>1384</v>
      </c>
      <c r="T45" s="236">
        <v>0.43402777777777773</v>
      </c>
      <c r="U45" s="177" t="s">
        <v>55</v>
      </c>
      <c r="V45" s="177">
        <v>48</v>
      </c>
      <c r="W45" s="178"/>
      <c r="X45" s="177" t="s">
        <v>164</v>
      </c>
      <c r="Y45" s="177" t="s">
        <v>215</v>
      </c>
      <c r="Z45" s="177">
        <v>32</v>
      </c>
      <c r="AA45" s="177" t="s">
        <v>1395</v>
      </c>
      <c r="AB45" s="177" t="s">
        <v>61</v>
      </c>
      <c r="AC45" s="178" t="s">
        <v>61</v>
      </c>
      <c r="AD45" s="179" t="s">
        <v>1688</v>
      </c>
      <c r="AE45" s="178" t="s">
        <v>66</v>
      </c>
      <c r="AF45" s="178" t="s">
        <v>83</v>
      </c>
      <c r="AG45" s="178" t="s">
        <v>240</v>
      </c>
    </row>
    <row r="46" spans="1:33" ht="15" hidden="1" x14ac:dyDescent="0.2">
      <c r="A46" s="177">
        <v>2023</v>
      </c>
      <c r="B46" s="177" t="s">
        <v>1183</v>
      </c>
      <c r="C46" s="177" t="s">
        <v>45</v>
      </c>
      <c r="D46" s="177" t="s">
        <v>1694</v>
      </c>
      <c r="E46" s="314" t="s">
        <v>1695</v>
      </c>
      <c r="F46" s="177" t="s">
        <v>71</v>
      </c>
      <c r="G46" s="177" t="s">
        <v>1696</v>
      </c>
      <c r="H46" s="357">
        <v>41493</v>
      </c>
      <c r="I46" s="177">
        <f t="shared" si="4"/>
        <v>123</v>
      </c>
      <c r="J46" s="235">
        <v>45260</v>
      </c>
      <c r="K46" s="177" t="str">
        <f t="shared" si="5"/>
        <v>ANTIGUO</v>
      </c>
      <c r="L46" s="235">
        <v>45260</v>
      </c>
      <c r="M46" s="235"/>
      <c r="N46" s="177" t="s">
        <v>50</v>
      </c>
      <c r="O46" s="177"/>
      <c r="P46" s="177" t="s">
        <v>1379</v>
      </c>
      <c r="Q46" s="178" t="s">
        <v>234</v>
      </c>
      <c r="R46" s="177" t="s">
        <v>53</v>
      </c>
      <c r="S46" s="177" t="s">
        <v>1384</v>
      </c>
      <c r="T46" s="236"/>
      <c r="U46" s="177" t="s">
        <v>76</v>
      </c>
      <c r="V46" s="177">
        <v>48</v>
      </c>
      <c r="W46" s="178">
        <v>16042</v>
      </c>
      <c r="X46" s="177" t="s">
        <v>236</v>
      </c>
      <c r="Y46" s="177" t="s">
        <v>237</v>
      </c>
      <c r="Z46" s="177">
        <v>9</v>
      </c>
      <c r="AA46" s="177" t="s">
        <v>450</v>
      </c>
      <c r="AB46" s="177" t="s">
        <v>61</v>
      </c>
      <c r="AC46" s="178" t="s">
        <v>62</v>
      </c>
      <c r="AD46" s="179" t="s">
        <v>1697</v>
      </c>
      <c r="AE46" s="178" t="s">
        <v>65</v>
      </c>
      <c r="AF46" s="178" t="s">
        <v>83</v>
      </c>
      <c r="AG46" s="178"/>
    </row>
    <row r="47" spans="1:33" ht="15" hidden="1" x14ac:dyDescent="0.2">
      <c r="A47" s="177">
        <v>2023</v>
      </c>
      <c r="B47" s="177" t="s">
        <v>1290</v>
      </c>
      <c r="C47" s="177" t="s">
        <v>45</v>
      </c>
      <c r="D47" s="177" t="s">
        <v>1231</v>
      </c>
      <c r="E47" s="177" t="s">
        <v>1232</v>
      </c>
      <c r="F47" s="177" t="s">
        <v>71</v>
      </c>
      <c r="G47" s="177" t="s">
        <v>1233</v>
      </c>
      <c r="H47" s="304">
        <v>41408</v>
      </c>
      <c r="I47" s="177">
        <f t="shared" si="4"/>
        <v>127</v>
      </c>
      <c r="J47" s="235">
        <v>45274</v>
      </c>
      <c r="K47" s="177" t="str">
        <f t="shared" si="5"/>
        <v>ANTIGUO</v>
      </c>
      <c r="L47" s="235">
        <v>45274</v>
      </c>
      <c r="M47" s="235">
        <v>45274</v>
      </c>
      <c r="N47" s="177"/>
      <c r="O47" s="177">
        <v>0</v>
      </c>
      <c r="P47" s="177" t="s">
        <v>1388</v>
      </c>
      <c r="Q47" s="178" t="s">
        <v>73</v>
      </c>
      <c r="R47" s="177" t="s">
        <v>53</v>
      </c>
      <c r="S47" s="177" t="s">
        <v>1384</v>
      </c>
      <c r="T47" s="236">
        <v>0.3125</v>
      </c>
      <c r="U47" s="177" t="s">
        <v>76</v>
      </c>
      <c r="V47" s="177">
        <v>50</v>
      </c>
      <c r="W47" s="178">
        <v>16066</v>
      </c>
      <c r="X47" s="177" t="s">
        <v>1229</v>
      </c>
      <c r="Y47" s="177" t="s">
        <v>1484</v>
      </c>
      <c r="Z47" s="177">
        <v>34</v>
      </c>
      <c r="AA47" s="177" t="s">
        <v>143</v>
      </c>
      <c r="AB47" s="177" t="s">
        <v>80</v>
      </c>
      <c r="AC47" s="178" t="s">
        <v>180</v>
      </c>
      <c r="AD47" s="179" t="s">
        <v>1728</v>
      </c>
      <c r="AE47" s="178" t="s">
        <v>65</v>
      </c>
      <c r="AF47" s="178" t="s">
        <v>67</v>
      </c>
      <c r="AG47" s="178" t="s">
        <v>250</v>
      </c>
    </row>
    <row r="48" spans="1:33" ht="15" hidden="1" x14ac:dyDescent="0.2">
      <c r="A48" s="170">
        <v>2023</v>
      </c>
      <c r="B48" s="170" t="s">
        <v>1290</v>
      </c>
      <c r="C48" s="170" t="s">
        <v>45</v>
      </c>
      <c r="D48" s="170" t="s">
        <v>1729</v>
      </c>
      <c r="E48" s="170" t="s">
        <v>874</v>
      </c>
      <c r="F48" s="170" t="s">
        <v>71</v>
      </c>
      <c r="G48" s="170" t="s">
        <v>1730</v>
      </c>
      <c r="H48" s="304">
        <v>43654</v>
      </c>
      <c r="I48" s="177">
        <f>DATEDIF(H48,J48,"m")</f>
        <v>53</v>
      </c>
      <c r="J48" s="171">
        <v>45273</v>
      </c>
      <c r="K48" s="170" t="str">
        <f>IF(I48&lt;=6,"NUEVO",IF(I48&lt;=18,"INTERMEDIO","ANTIGUO"))</f>
        <v>ANTIGUO</v>
      </c>
      <c r="L48" s="171">
        <v>45274</v>
      </c>
      <c r="M48" s="170"/>
      <c r="N48" s="170"/>
      <c r="O48" s="170"/>
      <c r="P48" s="170" t="s">
        <v>1388</v>
      </c>
      <c r="Q48" s="170" t="s">
        <v>73</v>
      </c>
      <c r="R48" s="172" t="s">
        <v>53</v>
      </c>
      <c r="S48" s="177" t="s">
        <v>1389</v>
      </c>
      <c r="T48" s="170"/>
      <c r="U48" s="177" t="s">
        <v>55</v>
      </c>
      <c r="V48" s="177">
        <v>50</v>
      </c>
      <c r="W48" s="178">
        <v>16067</v>
      </c>
      <c r="X48" s="177" t="s">
        <v>1229</v>
      </c>
      <c r="Y48" s="177" t="s">
        <v>78</v>
      </c>
      <c r="Z48" s="177">
        <v>50</v>
      </c>
      <c r="AA48" s="177" t="s">
        <v>153</v>
      </c>
      <c r="AB48" s="177" t="s">
        <v>167</v>
      </c>
      <c r="AC48" s="178" t="s">
        <v>180</v>
      </c>
      <c r="AD48" s="179" t="s">
        <v>1731</v>
      </c>
      <c r="AE48" s="178" t="s">
        <v>65</v>
      </c>
      <c r="AF48" s="178" t="s">
        <v>67</v>
      </c>
      <c r="AG48" s="178" t="s">
        <v>250</v>
      </c>
    </row>
    <row r="49" spans="1:33" x14ac:dyDescent="0.2">
      <c r="A49" s="177">
        <v>2023</v>
      </c>
      <c r="B49" s="177" t="s">
        <v>1290</v>
      </c>
      <c r="C49" s="177" t="s">
        <v>45</v>
      </c>
      <c r="D49" s="177" t="s">
        <v>1757</v>
      </c>
      <c r="E49" s="177" t="s">
        <v>1766</v>
      </c>
      <c r="F49" s="177" t="s">
        <v>48</v>
      </c>
      <c r="G49" s="177" t="s">
        <v>1756</v>
      </c>
      <c r="H49" s="251">
        <v>45029</v>
      </c>
      <c r="I49" s="177">
        <v>9</v>
      </c>
      <c r="J49" s="235">
        <v>45282</v>
      </c>
      <c r="K49" s="177" t="str">
        <f t="shared" si="5"/>
        <v>NUEVO</v>
      </c>
      <c r="L49" s="235">
        <v>45282</v>
      </c>
      <c r="M49" s="177"/>
      <c r="N49" s="177"/>
      <c r="O49" s="177"/>
      <c r="P49" s="177" t="s">
        <v>1379</v>
      </c>
      <c r="Q49" s="178" t="s">
        <v>160</v>
      </c>
      <c r="R49" s="172" t="s">
        <v>53</v>
      </c>
      <c r="S49" s="177" t="s">
        <v>1384</v>
      </c>
      <c r="T49" s="236">
        <v>0.60416666666666663</v>
      </c>
      <c r="U49" s="177" t="s">
        <v>111</v>
      </c>
      <c r="V49" s="177">
        <v>51</v>
      </c>
      <c r="W49" s="178"/>
      <c r="X49" s="177" t="s">
        <v>164</v>
      </c>
      <c r="Y49" s="177" t="s">
        <v>485</v>
      </c>
      <c r="Z49" s="177">
        <v>31</v>
      </c>
      <c r="AA49" s="177" t="s">
        <v>450</v>
      </c>
      <c r="AB49" s="177" t="s">
        <v>61</v>
      </c>
      <c r="AC49" s="178" t="s">
        <v>62</v>
      </c>
      <c r="AD49" s="179" t="s">
        <v>1758</v>
      </c>
      <c r="AE49" s="178" t="s">
        <v>65</v>
      </c>
      <c r="AF49" s="178" t="s">
        <v>67</v>
      </c>
      <c r="AG49" s="178" t="s">
        <v>250</v>
      </c>
    </row>
    <row r="50" spans="1:33" ht="15" hidden="1" x14ac:dyDescent="0.2">
      <c r="A50" s="177">
        <v>2023</v>
      </c>
      <c r="B50" s="177" t="s">
        <v>1290</v>
      </c>
      <c r="C50" s="177" t="s">
        <v>45</v>
      </c>
      <c r="D50" s="177" t="s">
        <v>1762</v>
      </c>
      <c r="E50" s="177" t="s">
        <v>1763</v>
      </c>
      <c r="F50" s="177" t="s">
        <v>71</v>
      </c>
      <c r="G50" s="177" t="s">
        <v>1764</v>
      </c>
      <c r="H50" s="304">
        <v>43689</v>
      </c>
      <c r="I50" s="177">
        <f t="shared" si="4"/>
        <v>52</v>
      </c>
      <c r="J50" s="235">
        <v>45288</v>
      </c>
      <c r="K50" s="177" t="str">
        <f t="shared" si="5"/>
        <v>ANTIGUO</v>
      </c>
      <c r="L50" s="235">
        <v>45288</v>
      </c>
      <c r="M50" s="235"/>
      <c r="N50" s="177"/>
      <c r="O50" s="177"/>
      <c r="P50" s="177" t="s">
        <v>1388</v>
      </c>
      <c r="Q50" s="178" t="s">
        <v>160</v>
      </c>
      <c r="R50" s="177" t="s">
        <v>53</v>
      </c>
      <c r="S50" s="177" t="s">
        <v>1384</v>
      </c>
      <c r="T50" s="236">
        <v>0.24652777777777779</v>
      </c>
      <c r="U50" s="177" t="s">
        <v>76</v>
      </c>
      <c r="V50" s="177">
        <v>52</v>
      </c>
      <c r="W50" s="178">
        <v>16085</v>
      </c>
      <c r="X50" s="177" t="s">
        <v>164</v>
      </c>
      <c r="Y50" s="177" t="s">
        <v>165</v>
      </c>
      <c r="Z50" s="177">
        <v>32</v>
      </c>
      <c r="AA50" s="177" t="s">
        <v>143</v>
      </c>
      <c r="AB50" s="177" t="s">
        <v>80</v>
      </c>
      <c r="AC50" s="178" t="s">
        <v>180</v>
      </c>
      <c r="AD50" s="179" t="s">
        <v>1765</v>
      </c>
      <c r="AE50" s="178" t="s">
        <v>65</v>
      </c>
      <c r="AF50" s="178" t="s">
        <v>67</v>
      </c>
      <c r="AG50" s="178" t="s">
        <v>103</v>
      </c>
    </row>
    <row r="51" spans="1:33" hidden="1" x14ac:dyDescent="0.2">
      <c r="A51" s="177">
        <v>2023</v>
      </c>
      <c r="B51" s="177"/>
      <c r="C51" s="177" t="s">
        <v>45</v>
      </c>
      <c r="D51" s="177"/>
      <c r="E51" s="177"/>
      <c r="F51" s="177"/>
      <c r="G51" s="177"/>
      <c r="H51" s="268"/>
      <c r="I51" s="177">
        <f t="shared" si="4"/>
        <v>0</v>
      </c>
      <c r="J51" s="235"/>
      <c r="K51" s="177" t="str">
        <f t="shared" si="5"/>
        <v>NUEVO</v>
      </c>
      <c r="L51" s="177"/>
      <c r="M51" s="177"/>
      <c r="N51" s="177"/>
      <c r="O51" s="177"/>
      <c r="P51" s="177"/>
      <c r="Q51" s="178"/>
      <c r="R51" s="177"/>
      <c r="S51" s="177"/>
      <c r="T51" s="236"/>
      <c r="U51" s="177"/>
      <c r="V51" s="177"/>
      <c r="W51" s="178"/>
      <c r="X51" s="177"/>
      <c r="Y51" s="177"/>
      <c r="Z51" s="177"/>
      <c r="AA51" s="177"/>
      <c r="AB51" s="177"/>
      <c r="AC51" s="178"/>
      <c r="AD51" s="179"/>
      <c r="AE51" s="178"/>
      <c r="AF51" s="178"/>
      <c r="AG51" s="178"/>
    </row>
    <row r="52" spans="1:33" hidden="1" x14ac:dyDescent="0.2">
      <c r="A52" s="177">
        <v>2023</v>
      </c>
      <c r="B52" s="177"/>
      <c r="C52" s="177" t="s">
        <v>45</v>
      </c>
      <c r="D52" s="177"/>
      <c r="E52" s="177"/>
      <c r="F52" s="177"/>
      <c r="G52" s="177"/>
      <c r="H52" s="268"/>
      <c r="I52" s="177">
        <f t="shared" si="4"/>
        <v>0</v>
      </c>
      <c r="J52" s="235"/>
      <c r="K52" s="177" t="str">
        <f t="shared" si="5"/>
        <v>NUEVO</v>
      </c>
      <c r="L52" s="235"/>
      <c r="M52" s="235"/>
      <c r="N52" s="177"/>
      <c r="O52" s="177"/>
      <c r="P52" s="177"/>
      <c r="Q52" s="178"/>
      <c r="R52" s="177"/>
      <c r="S52" s="177"/>
      <c r="T52" s="236"/>
      <c r="U52" s="177"/>
      <c r="V52" s="177"/>
      <c r="W52" s="178"/>
      <c r="X52" s="177"/>
      <c r="Y52" s="177"/>
      <c r="Z52" s="177"/>
      <c r="AA52" s="177"/>
      <c r="AB52" s="177"/>
      <c r="AC52" s="178"/>
      <c r="AD52" s="179"/>
      <c r="AE52" s="178"/>
      <c r="AF52" s="178"/>
      <c r="AG52" s="178"/>
    </row>
    <row r="53" spans="1:33" hidden="1" x14ac:dyDescent="0.2">
      <c r="A53" s="177">
        <v>2023</v>
      </c>
      <c r="B53" s="177"/>
      <c r="C53" s="177" t="s">
        <v>45</v>
      </c>
      <c r="D53" s="177"/>
      <c r="E53" s="177"/>
      <c r="F53" s="177"/>
      <c r="G53" s="177"/>
      <c r="H53" s="268"/>
      <c r="I53" s="177">
        <f t="shared" si="4"/>
        <v>0</v>
      </c>
      <c r="J53" s="235"/>
      <c r="K53" s="177" t="str">
        <f t="shared" si="5"/>
        <v>NUEVO</v>
      </c>
      <c r="L53" s="177"/>
      <c r="M53" s="177"/>
      <c r="N53" s="177"/>
      <c r="O53" s="177"/>
      <c r="P53" s="177"/>
      <c r="Q53" s="178"/>
      <c r="R53" s="177"/>
      <c r="S53" s="177"/>
      <c r="T53" s="236"/>
      <c r="U53" s="177"/>
      <c r="V53" s="177"/>
      <c r="W53" s="178"/>
      <c r="X53" s="177"/>
      <c r="Y53" s="177"/>
      <c r="Z53" s="177"/>
      <c r="AA53" s="177"/>
      <c r="AB53" s="177"/>
      <c r="AC53" s="178"/>
      <c r="AD53" s="179"/>
      <c r="AE53" s="178"/>
      <c r="AF53" s="178"/>
      <c r="AG53" s="178"/>
    </row>
    <row r="54" spans="1:33" hidden="1" x14ac:dyDescent="0.2">
      <c r="A54" s="177">
        <v>2023</v>
      </c>
      <c r="B54" s="177"/>
      <c r="C54" s="177" t="s">
        <v>45</v>
      </c>
      <c r="D54" s="177"/>
      <c r="E54" s="177"/>
      <c r="F54" s="177"/>
      <c r="G54" s="177"/>
      <c r="H54" s="268"/>
      <c r="I54" s="177">
        <f t="shared" si="4"/>
        <v>0</v>
      </c>
      <c r="J54" s="235"/>
      <c r="K54" s="177" t="str">
        <f t="shared" si="5"/>
        <v>NUEVO</v>
      </c>
      <c r="L54" s="177"/>
      <c r="M54" s="177"/>
      <c r="N54" s="177"/>
      <c r="O54" s="177"/>
      <c r="P54" s="177"/>
      <c r="Q54" s="178"/>
      <c r="R54" s="177"/>
      <c r="S54" s="177"/>
      <c r="T54" s="236"/>
      <c r="U54" s="177"/>
      <c r="V54" s="177"/>
      <c r="W54" s="178"/>
      <c r="X54" s="177"/>
      <c r="Y54" s="177"/>
      <c r="Z54" s="177"/>
      <c r="AA54" s="177"/>
      <c r="AB54" s="177"/>
      <c r="AC54" s="178"/>
      <c r="AD54" s="179"/>
      <c r="AE54" s="178"/>
      <c r="AF54" s="178"/>
      <c r="AG54" s="178"/>
    </row>
    <row r="55" spans="1:33" hidden="1" x14ac:dyDescent="0.2">
      <c r="A55" s="177">
        <v>2023</v>
      </c>
      <c r="B55" s="177"/>
      <c r="C55" s="177" t="s">
        <v>45</v>
      </c>
      <c r="D55" s="177"/>
      <c r="E55" s="177"/>
      <c r="F55" s="177"/>
      <c r="G55" s="177"/>
      <c r="H55" s="268"/>
      <c r="I55" s="177">
        <f t="shared" si="4"/>
        <v>0</v>
      </c>
      <c r="J55" s="235"/>
      <c r="K55" s="177" t="str">
        <f t="shared" si="5"/>
        <v>NUEVO</v>
      </c>
      <c r="L55" s="177"/>
      <c r="M55" s="177"/>
      <c r="N55" s="177"/>
      <c r="O55" s="177"/>
      <c r="P55" s="177"/>
      <c r="Q55" s="178"/>
      <c r="R55" s="177"/>
      <c r="S55" s="177"/>
      <c r="T55" s="236"/>
      <c r="U55" s="177"/>
      <c r="V55" s="177"/>
      <c r="W55" s="178"/>
      <c r="X55" s="177"/>
      <c r="Y55" s="177"/>
      <c r="Z55" s="177"/>
      <c r="AA55" s="177"/>
      <c r="AB55" s="177"/>
      <c r="AC55" s="178"/>
      <c r="AD55" s="179"/>
      <c r="AE55" s="178"/>
      <c r="AF55" s="178"/>
      <c r="AG55" s="178"/>
    </row>
    <row r="56" spans="1:33" hidden="1" x14ac:dyDescent="0.2">
      <c r="A56" s="177">
        <v>2023</v>
      </c>
      <c r="B56" s="177"/>
      <c r="C56" s="177" t="s">
        <v>45</v>
      </c>
      <c r="D56" s="177"/>
      <c r="E56" s="177"/>
      <c r="F56" s="177"/>
      <c r="G56" s="177"/>
      <c r="H56" s="268"/>
      <c r="I56" s="177">
        <f t="shared" si="4"/>
        <v>0</v>
      </c>
      <c r="J56" s="235"/>
      <c r="K56" s="177" t="str">
        <f t="shared" si="5"/>
        <v>NUEVO</v>
      </c>
      <c r="L56" s="177"/>
      <c r="M56" s="177"/>
      <c r="N56" s="177"/>
      <c r="O56" s="177"/>
      <c r="P56" s="177"/>
      <c r="Q56" s="178"/>
      <c r="R56" s="177"/>
      <c r="S56" s="177"/>
      <c r="T56" s="236"/>
      <c r="U56" s="177"/>
      <c r="V56" s="177"/>
      <c r="W56" s="178"/>
      <c r="X56" s="177"/>
      <c r="Y56" s="177"/>
      <c r="Z56" s="177"/>
      <c r="AA56" s="177"/>
      <c r="AB56" s="177"/>
      <c r="AC56" s="178"/>
      <c r="AD56" s="179"/>
      <c r="AE56" s="178"/>
      <c r="AF56" s="178"/>
      <c r="AG56" s="178"/>
    </row>
    <row r="57" spans="1:33" hidden="1" x14ac:dyDescent="0.2">
      <c r="A57" s="177">
        <v>2023</v>
      </c>
      <c r="B57" s="177"/>
      <c r="C57" s="177" t="s">
        <v>45</v>
      </c>
      <c r="D57" s="177"/>
      <c r="E57" s="177"/>
      <c r="F57" s="177"/>
      <c r="G57" s="177"/>
      <c r="H57" s="268"/>
      <c r="I57" s="177">
        <f t="shared" si="4"/>
        <v>0</v>
      </c>
      <c r="J57" s="235"/>
      <c r="K57" s="177" t="str">
        <f t="shared" si="5"/>
        <v>NUEVO</v>
      </c>
      <c r="L57" s="235"/>
      <c r="M57" s="235"/>
      <c r="N57" s="177"/>
      <c r="O57" s="177"/>
      <c r="P57" s="177"/>
      <c r="Q57" s="178"/>
      <c r="R57" s="177"/>
      <c r="S57" s="177"/>
      <c r="T57" s="236"/>
      <c r="U57" s="177"/>
      <c r="V57" s="177"/>
      <c r="W57" s="178"/>
      <c r="X57" s="177"/>
      <c r="Y57" s="177"/>
      <c r="Z57" s="177"/>
      <c r="AA57" s="177"/>
      <c r="AB57" s="177"/>
      <c r="AC57" s="178"/>
      <c r="AD57" s="179"/>
      <c r="AE57" s="178"/>
      <c r="AF57" s="178"/>
      <c r="AG57" s="178"/>
    </row>
    <row r="58" spans="1:33" hidden="1" x14ac:dyDescent="0.2">
      <c r="A58" s="177">
        <v>2023</v>
      </c>
      <c r="B58" s="177"/>
      <c r="C58" s="177" t="s">
        <v>45</v>
      </c>
      <c r="D58" s="177"/>
      <c r="E58" s="177"/>
      <c r="F58" s="177"/>
      <c r="G58" s="177"/>
      <c r="H58" s="268"/>
      <c r="I58" s="177">
        <f t="shared" si="4"/>
        <v>0</v>
      </c>
      <c r="J58" s="235"/>
      <c r="K58" s="177" t="str">
        <f t="shared" si="5"/>
        <v>NUEVO</v>
      </c>
      <c r="L58" s="177"/>
      <c r="M58" s="177"/>
      <c r="N58" s="177"/>
      <c r="O58" s="177"/>
      <c r="P58" s="177"/>
      <c r="Q58" s="178"/>
      <c r="R58" s="177"/>
      <c r="S58" s="177"/>
      <c r="T58" s="236"/>
      <c r="U58" s="177"/>
      <c r="V58" s="177"/>
      <c r="W58" s="178"/>
      <c r="X58" s="177"/>
      <c r="Y58" s="177"/>
      <c r="Z58" s="177"/>
      <c r="AA58" s="177"/>
      <c r="AB58" s="177"/>
      <c r="AC58" s="178"/>
      <c r="AD58" s="179"/>
      <c r="AE58" s="178"/>
      <c r="AF58" s="178"/>
      <c r="AG58" s="178"/>
    </row>
    <row r="59" spans="1:33" hidden="1" x14ac:dyDescent="0.2">
      <c r="A59" s="177">
        <v>2023</v>
      </c>
      <c r="B59" s="177"/>
      <c r="C59" s="177" t="s">
        <v>45</v>
      </c>
      <c r="D59" s="177"/>
      <c r="E59" s="177"/>
      <c r="F59" s="177"/>
      <c r="G59" s="177"/>
      <c r="H59" s="268"/>
      <c r="I59" s="177">
        <f t="shared" si="4"/>
        <v>0</v>
      </c>
      <c r="J59" s="235"/>
      <c r="K59" s="177" t="str">
        <f t="shared" si="5"/>
        <v>NUEVO</v>
      </c>
      <c r="L59" s="177"/>
      <c r="M59" s="177"/>
      <c r="N59" s="177"/>
      <c r="O59" s="177"/>
      <c r="P59" s="177"/>
      <c r="Q59" s="178"/>
      <c r="R59" s="177"/>
      <c r="S59" s="177"/>
      <c r="T59" s="236"/>
      <c r="U59" s="177"/>
      <c r="V59" s="177"/>
      <c r="W59" s="178"/>
      <c r="X59" s="177"/>
      <c r="Y59" s="177"/>
      <c r="Z59" s="177"/>
      <c r="AA59" s="177"/>
      <c r="AB59" s="177"/>
      <c r="AC59" s="178"/>
      <c r="AD59" s="179"/>
      <c r="AE59" s="178"/>
      <c r="AF59" s="178"/>
      <c r="AG59" s="178"/>
    </row>
    <row r="60" spans="1:33" hidden="1" x14ac:dyDescent="0.2">
      <c r="A60" s="177">
        <v>2023</v>
      </c>
      <c r="B60" s="177"/>
      <c r="C60" s="177" t="s">
        <v>45</v>
      </c>
      <c r="D60" s="177"/>
      <c r="E60" s="177"/>
      <c r="F60" s="177"/>
      <c r="G60" s="177"/>
      <c r="H60" s="268"/>
      <c r="I60" s="177">
        <f t="shared" si="4"/>
        <v>0</v>
      </c>
      <c r="J60" s="235"/>
      <c r="K60" s="177" t="str">
        <f t="shared" si="5"/>
        <v>NUEVO</v>
      </c>
      <c r="L60" s="177"/>
      <c r="M60" s="177"/>
      <c r="N60" s="177"/>
      <c r="O60" s="177"/>
      <c r="P60" s="177"/>
      <c r="Q60" s="178"/>
      <c r="R60" s="177"/>
      <c r="S60" s="177"/>
      <c r="T60" s="236"/>
      <c r="U60" s="177"/>
      <c r="V60" s="177"/>
      <c r="W60" s="178"/>
      <c r="X60" s="177"/>
      <c r="Y60" s="177"/>
      <c r="Z60" s="177"/>
      <c r="AA60" s="177"/>
      <c r="AB60" s="177"/>
      <c r="AC60" s="178"/>
      <c r="AD60" s="179"/>
      <c r="AE60" s="178"/>
      <c r="AF60" s="178"/>
      <c r="AG60" s="178"/>
    </row>
    <row r="61" spans="1:33" hidden="1" x14ac:dyDescent="0.2">
      <c r="A61" s="177">
        <v>2023</v>
      </c>
      <c r="B61" s="177"/>
      <c r="C61" s="177" t="s">
        <v>45</v>
      </c>
      <c r="D61" s="177"/>
      <c r="E61" s="177"/>
      <c r="F61" s="177"/>
      <c r="G61" s="177"/>
      <c r="H61" s="268"/>
      <c r="I61" s="177">
        <f t="shared" si="4"/>
        <v>0</v>
      </c>
      <c r="J61" s="235"/>
      <c r="K61" s="177" t="str">
        <f t="shared" si="5"/>
        <v>NUEVO</v>
      </c>
      <c r="L61" s="235"/>
      <c r="M61" s="235"/>
      <c r="N61" s="177"/>
      <c r="O61" s="177"/>
      <c r="P61" s="177"/>
      <c r="Q61" s="178"/>
      <c r="R61" s="177"/>
      <c r="S61" s="177"/>
      <c r="T61" s="236"/>
      <c r="U61" s="177"/>
      <c r="V61" s="177"/>
      <c r="W61" s="178"/>
      <c r="X61" s="177"/>
      <c r="Y61" s="177"/>
      <c r="Z61" s="177"/>
      <c r="AA61" s="177"/>
      <c r="AB61" s="177"/>
      <c r="AC61" s="178"/>
      <c r="AD61" s="179"/>
      <c r="AE61" s="178"/>
      <c r="AF61" s="178"/>
      <c r="AG61" s="178"/>
    </row>
    <row r="62" spans="1:33" hidden="1" x14ac:dyDescent="0.2">
      <c r="A62" s="177">
        <v>2023</v>
      </c>
      <c r="B62" s="177"/>
      <c r="C62" s="177" t="s">
        <v>45</v>
      </c>
      <c r="D62" s="177"/>
      <c r="E62" s="177"/>
      <c r="F62" s="177"/>
      <c r="G62" s="177"/>
      <c r="H62" s="268"/>
      <c r="I62" s="177">
        <f t="shared" si="4"/>
        <v>0</v>
      </c>
      <c r="J62" s="235"/>
      <c r="K62" s="177" t="str">
        <f t="shared" si="5"/>
        <v>NUEVO</v>
      </c>
      <c r="L62" s="177"/>
      <c r="M62" s="177"/>
      <c r="N62" s="177"/>
      <c r="O62" s="177"/>
      <c r="P62" s="177"/>
      <c r="Q62" s="178"/>
      <c r="R62" s="177"/>
      <c r="S62" s="177"/>
      <c r="T62" s="236"/>
      <c r="U62" s="177"/>
      <c r="V62" s="177"/>
      <c r="W62" s="178"/>
      <c r="X62" s="177"/>
      <c r="Y62" s="177"/>
      <c r="Z62" s="177"/>
      <c r="AA62" s="177"/>
      <c r="AB62" s="177"/>
      <c r="AC62" s="178"/>
      <c r="AD62" s="179"/>
      <c r="AE62" s="178"/>
      <c r="AF62" s="178"/>
      <c r="AG62" s="178"/>
    </row>
    <row r="63" spans="1:33" hidden="1" x14ac:dyDescent="0.2">
      <c r="A63" s="177">
        <v>2023</v>
      </c>
      <c r="B63" s="177"/>
      <c r="C63" s="177" t="s">
        <v>45</v>
      </c>
      <c r="D63" s="177"/>
      <c r="E63" s="177"/>
      <c r="F63" s="177"/>
      <c r="G63" s="177"/>
      <c r="H63" s="268"/>
      <c r="I63" s="177">
        <f t="shared" si="4"/>
        <v>0</v>
      </c>
      <c r="J63" s="235"/>
      <c r="K63" s="177" t="str">
        <f t="shared" si="5"/>
        <v>NUEVO</v>
      </c>
      <c r="L63" s="235"/>
      <c r="M63" s="235"/>
      <c r="N63" s="177"/>
      <c r="O63" s="177"/>
      <c r="P63" s="177"/>
      <c r="Q63" s="178"/>
      <c r="R63" s="177"/>
      <c r="S63" s="177"/>
      <c r="T63" s="236"/>
      <c r="U63" s="177"/>
      <c r="V63" s="177"/>
      <c r="W63" s="178"/>
      <c r="X63" s="177"/>
      <c r="Y63" s="177"/>
      <c r="Z63" s="177"/>
      <c r="AA63" s="177"/>
      <c r="AB63" s="177"/>
      <c r="AC63" s="178"/>
      <c r="AD63" s="179"/>
      <c r="AE63" s="178"/>
      <c r="AF63" s="178"/>
      <c r="AG63" s="178"/>
    </row>
    <row r="64" spans="1:33" hidden="1" x14ac:dyDescent="0.2">
      <c r="A64" s="177">
        <v>2023</v>
      </c>
      <c r="B64" s="177"/>
      <c r="C64" s="177" t="s">
        <v>45</v>
      </c>
      <c r="D64" s="177"/>
      <c r="E64" s="177"/>
      <c r="F64" s="177"/>
      <c r="G64" s="177"/>
      <c r="H64" s="268"/>
      <c r="I64" s="177">
        <f t="shared" si="4"/>
        <v>0</v>
      </c>
      <c r="J64" s="235"/>
      <c r="K64" s="177" t="str">
        <f t="shared" si="5"/>
        <v>NUEVO</v>
      </c>
      <c r="L64" s="177"/>
      <c r="M64" s="177"/>
      <c r="N64" s="177"/>
      <c r="O64" s="177"/>
      <c r="P64" s="177"/>
      <c r="Q64" s="178"/>
      <c r="R64" s="177"/>
      <c r="S64" s="177"/>
      <c r="T64" s="236"/>
      <c r="U64" s="177"/>
      <c r="V64" s="177"/>
      <c r="W64" s="178"/>
      <c r="X64" s="177"/>
      <c r="Y64" s="177"/>
      <c r="Z64" s="177"/>
      <c r="AA64" s="177"/>
      <c r="AB64" s="177"/>
      <c r="AC64" s="178"/>
      <c r="AD64" s="179"/>
      <c r="AE64" s="178"/>
      <c r="AF64" s="178"/>
      <c r="AG64" s="178"/>
    </row>
    <row r="65" spans="1:33" hidden="1" x14ac:dyDescent="0.2">
      <c r="A65" s="177">
        <v>2023</v>
      </c>
      <c r="B65" s="177"/>
      <c r="C65" s="177" t="s">
        <v>45</v>
      </c>
      <c r="D65" s="177"/>
      <c r="E65" s="177"/>
      <c r="F65" s="177"/>
      <c r="G65" s="177"/>
      <c r="H65" s="268"/>
      <c r="I65" s="177">
        <f t="shared" si="4"/>
        <v>0</v>
      </c>
      <c r="J65" s="235"/>
      <c r="K65" s="177" t="str">
        <f t="shared" si="5"/>
        <v>NUEVO</v>
      </c>
      <c r="L65" s="177"/>
      <c r="M65" s="177"/>
      <c r="N65" s="177"/>
      <c r="O65" s="177"/>
      <c r="P65" s="177"/>
      <c r="Q65" s="178"/>
      <c r="R65" s="177"/>
      <c r="S65" s="177"/>
      <c r="T65" s="236"/>
      <c r="U65" s="177"/>
      <c r="V65" s="177"/>
      <c r="W65" s="178"/>
      <c r="X65" s="177"/>
      <c r="Y65" s="177"/>
      <c r="Z65" s="177"/>
      <c r="AA65" s="177"/>
      <c r="AB65" s="177"/>
      <c r="AC65" s="178"/>
      <c r="AD65" s="179"/>
      <c r="AE65" s="178"/>
      <c r="AF65" s="178"/>
      <c r="AG65" s="178"/>
    </row>
    <row r="66" spans="1:33" hidden="1" x14ac:dyDescent="0.2">
      <c r="A66" s="177">
        <v>2023</v>
      </c>
      <c r="B66" s="177"/>
      <c r="C66" s="177" t="s">
        <v>45</v>
      </c>
      <c r="D66" s="177"/>
      <c r="E66" s="177"/>
      <c r="F66" s="177"/>
      <c r="G66" s="177"/>
      <c r="H66" s="268"/>
      <c r="I66" s="177">
        <f t="shared" si="4"/>
        <v>0</v>
      </c>
      <c r="J66" s="235"/>
      <c r="K66" s="177" t="str">
        <f t="shared" si="5"/>
        <v>NUEVO</v>
      </c>
      <c r="L66" s="235"/>
      <c r="M66" s="235"/>
      <c r="N66" s="177"/>
      <c r="O66" s="177"/>
      <c r="P66" s="177"/>
      <c r="Q66" s="178"/>
      <c r="R66" s="177"/>
      <c r="S66" s="177"/>
      <c r="T66" s="236"/>
      <c r="U66" s="177"/>
      <c r="V66" s="177"/>
      <c r="W66" s="178"/>
      <c r="X66" s="177"/>
      <c r="Y66" s="177"/>
      <c r="Z66" s="177"/>
      <c r="AA66" s="177"/>
      <c r="AB66" s="177"/>
      <c r="AC66" s="178"/>
      <c r="AD66" s="179"/>
      <c r="AE66" s="178"/>
      <c r="AF66" s="178"/>
      <c r="AG66" s="178"/>
    </row>
    <row r="67" spans="1:33" hidden="1" x14ac:dyDescent="0.2">
      <c r="A67" s="177">
        <v>2023</v>
      </c>
      <c r="B67" s="177"/>
      <c r="C67" s="177" t="s">
        <v>45</v>
      </c>
      <c r="D67" s="177"/>
      <c r="E67" s="177"/>
      <c r="F67" s="177"/>
      <c r="G67" s="177"/>
      <c r="H67" s="268"/>
      <c r="I67" s="177">
        <f t="shared" si="4"/>
        <v>0</v>
      </c>
      <c r="J67" s="235"/>
      <c r="K67" s="177" t="str">
        <f t="shared" si="5"/>
        <v>NUEVO</v>
      </c>
      <c r="L67" s="177"/>
      <c r="M67" s="177"/>
      <c r="N67" s="177"/>
      <c r="O67" s="177"/>
      <c r="P67" s="177"/>
      <c r="Q67" s="178"/>
      <c r="R67" s="177"/>
      <c r="S67" s="177"/>
      <c r="T67" s="236"/>
      <c r="U67" s="177"/>
      <c r="V67" s="177"/>
      <c r="W67" s="178"/>
      <c r="X67" s="177"/>
      <c r="Y67" s="177"/>
      <c r="Z67" s="177"/>
      <c r="AA67" s="177"/>
      <c r="AB67" s="177"/>
      <c r="AC67" s="178"/>
      <c r="AD67" s="179"/>
      <c r="AE67" s="178"/>
      <c r="AF67" s="178"/>
      <c r="AG67" s="178"/>
    </row>
    <row r="68" spans="1:33" hidden="1" x14ac:dyDescent="0.2">
      <c r="A68" s="177">
        <v>2023</v>
      </c>
      <c r="B68" s="177"/>
      <c r="C68" s="177" t="s">
        <v>45</v>
      </c>
      <c r="D68" s="177"/>
      <c r="E68" s="177"/>
      <c r="F68" s="177"/>
      <c r="G68" s="177"/>
      <c r="H68" s="268"/>
      <c r="I68" s="177">
        <f t="shared" si="4"/>
        <v>0</v>
      </c>
      <c r="J68" s="235"/>
      <c r="K68" s="177" t="str">
        <f t="shared" si="5"/>
        <v>NUEVO</v>
      </c>
      <c r="L68" s="177"/>
      <c r="M68" s="177"/>
      <c r="N68" s="177"/>
      <c r="O68" s="177"/>
      <c r="P68" s="177"/>
      <c r="Q68" s="178"/>
      <c r="R68" s="177"/>
      <c r="S68" s="177"/>
      <c r="T68" s="236"/>
      <c r="U68" s="177"/>
      <c r="V68" s="177"/>
      <c r="W68" s="178"/>
      <c r="X68" s="177"/>
      <c r="Y68" s="177"/>
      <c r="Z68" s="177"/>
      <c r="AA68" s="177"/>
      <c r="AB68" s="177"/>
      <c r="AC68" s="178"/>
      <c r="AD68" s="179"/>
      <c r="AE68" s="178"/>
      <c r="AF68" s="178"/>
      <c r="AG68" s="178"/>
    </row>
    <row r="69" spans="1:33" hidden="1" x14ac:dyDescent="0.2">
      <c r="A69" s="177">
        <v>2023</v>
      </c>
      <c r="B69" s="177"/>
      <c r="C69" s="177" t="s">
        <v>45</v>
      </c>
      <c r="D69" s="177"/>
      <c r="E69" s="177"/>
      <c r="F69" s="177"/>
      <c r="G69" s="177"/>
      <c r="H69" s="268"/>
      <c r="I69" s="177">
        <f t="shared" si="4"/>
        <v>0</v>
      </c>
      <c r="J69" s="235"/>
      <c r="K69" s="177" t="str">
        <f t="shared" si="5"/>
        <v>NUEVO</v>
      </c>
      <c r="L69" s="177"/>
      <c r="M69" s="177"/>
      <c r="N69" s="177"/>
      <c r="O69" s="177"/>
      <c r="P69" s="177"/>
      <c r="Q69" s="178"/>
      <c r="R69" s="177"/>
      <c r="S69" s="177"/>
      <c r="T69" s="236"/>
      <c r="U69" s="177"/>
      <c r="V69" s="177"/>
      <c r="W69" s="178"/>
      <c r="X69" s="177"/>
      <c r="Y69" s="177"/>
      <c r="Z69" s="177"/>
      <c r="AA69" s="177"/>
      <c r="AB69" s="177"/>
      <c r="AC69" s="178"/>
      <c r="AD69" s="179"/>
      <c r="AE69" s="178"/>
      <c r="AF69" s="178"/>
      <c r="AG69" s="178"/>
    </row>
    <row r="70" spans="1:33" hidden="1" x14ac:dyDescent="0.2">
      <c r="A70" s="177">
        <v>2023</v>
      </c>
      <c r="B70" s="177"/>
      <c r="C70" s="177" t="s">
        <v>45</v>
      </c>
      <c r="D70" s="177"/>
      <c r="E70" s="177"/>
      <c r="F70" s="177"/>
      <c r="G70" s="177"/>
      <c r="H70" s="268"/>
      <c r="I70" s="177">
        <f t="shared" si="4"/>
        <v>0</v>
      </c>
      <c r="J70" s="235"/>
      <c r="K70" s="177" t="str">
        <f t="shared" si="5"/>
        <v>NUEVO</v>
      </c>
      <c r="L70" s="177"/>
      <c r="M70" s="177"/>
      <c r="N70" s="177"/>
      <c r="O70" s="177"/>
      <c r="P70" s="177"/>
      <c r="Q70" s="178"/>
      <c r="R70" s="177"/>
      <c r="S70" s="177"/>
      <c r="T70" s="236"/>
      <c r="U70" s="177"/>
      <c r="V70" s="177"/>
      <c r="W70" s="178"/>
      <c r="X70" s="177"/>
      <c r="Y70" s="177"/>
      <c r="Z70" s="177"/>
      <c r="AA70" s="177"/>
      <c r="AB70" s="177"/>
      <c r="AC70" s="178"/>
      <c r="AD70" s="179"/>
      <c r="AE70" s="178"/>
      <c r="AF70" s="178"/>
      <c r="AG70" s="178"/>
    </row>
    <row r="71" spans="1:33" hidden="1" x14ac:dyDescent="0.2">
      <c r="A71" s="177">
        <v>2023</v>
      </c>
      <c r="B71" s="177"/>
      <c r="C71" s="177" t="s">
        <v>45</v>
      </c>
      <c r="D71" s="177"/>
      <c r="E71" s="177"/>
      <c r="F71" s="177"/>
      <c r="G71" s="177"/>
      <c r="H71" s="268"/>
      <c r="I71" s="177">
        <f t="shared" si="4"/>
        <v>0</v>
      </c>
      <c r="J71" s="235"/>
      <c r="K71" s="177" t="str">
        <f t="shared" si="5"/>
        <v>NUEVO</v>
      </c>
      <c r="L71" s="235"/>
      <c r="M71" s="235"/>
      <c r="N71" s="177"/>
      <c r="O71" s="177"/>
      <c r="P71" s="177"/>
      <c r="Q71" s="178"/>
      <c r="R71" s="177"/>
      <c r="S71" s="177"/>
      <c r="T71" s="236"/>
      <c r="U71" s="177"/>
      <c r="V71" s="177"/>
      <c r="W71" s="178"/>
      <c r="X71" s="177"/>
      <c r="Y71" s="177"/>
      <c r="Z71" s="177"/>
      <c r="AA71" s="177"/>
      <c r="AB71" s="177"/>
      <c r="AC71" s="178"/>
      <c r="AD71" s="179"/>
      <c r="AE71" s="178"/>
      <c r="AF71" s="178"/>
      <c r="AG71" s="178"/>
    </row>
    <row r="72" spans="1:33" hidden="1" x14ac:dyDescent="0.2">
      <c r="A72" s="177">
        <v>2023</v>
      </c>
      <c r="B72" s="177"/>
      <c r="C72" s="177" t="s">
        <v>45</v>
      </c>
      <c r="D72" s="177"/>
      <c r="E72" s="177"/>
      <c r="F72" s="177"/>
      <c r="G72" s="177"/>
      <c r="H72" s="268"/>
      <c r="I72" s="177">
        <f t="shared" si="4"/>
        <v>0</v>
      </c>
      <c r="J72" s="235"/>
      <c r="K72" s="177" t="str">
        <f t="shared" si="5"/>
        <v>NUEVO</v>
      </c>
      <c r="L72" s="177"/>
      <c r="M72" s="177"/>
      <c r="N72" s="177"/>
      <c r="O72" s="177"/>
      <c r="P72" s="177"/>
      <c r="Q72" s="178"/>
      <c r="R72" s="177"/>
      <c r="S72" s="177"/>
      <c r="T72" s="236"/>
      <c r="U72" s="177"/>
      <c r="V72" s="177"/>
      <c r="W72" s="178"/>
      <c r="X72" s="177"/>
      <c r="Y72" s="177"/>
      <c r="Z72" s="177"/>
      <c r="AA72" s="177"/>
      <c r="AB72" s="177"/>
      <c r="AC72" s="178"/>
      <c r="AD72" s="179"/>
      <c r="AE72" s="178"/>
      <c r="AF72" s="178"/>
      <c r="AG72" s="178"/>
    </row>
    <row r="73" spans="1:33" hidden="1" x14ac:dyDescent="0.2">
      <c r="A73" s="177">
        <v>2023</v>
      </c>
      <c r="B73" s="177"/>
      <c r="C73" s="177" t="s">
        <v>45</v>
      </c>
      <c r="D73" s="177"/>
      <c r="E73" s="177"/>
      <c r="F73" s="177"/>
      <c r="G73" s="177"/>
      <c r="H73" s="268"/>
      <c r="I73" s="177">
        <f t="shared" si="4"/>
        <v>0</v>
      </c>
      <c r="J73" s="235"/>
      <c r="K73" s="177" t="str">
        <f t="shared" si="5"/>
        <v>NUEVO</v>
      </c>
      <c r="L73" s="235"/>
      <c r="M73" s="235"/>
      <c r="N73" s="177"/>
      <c r="O73" s="177"/>
      <c r="P73" s="177"/>
      <c r="Q73" s="178"/>
      <c r="R73" s="177"/>
      <c r="S73" s="177"/>
      <c r="T73" s="236"/>
      <c r="U73" s="177"/>
      <c r="V73" s="177"/>
      <c r="W73" s="178"/>
      <c r="X73" s="177"/>
      <c r="Y73" s="177"/>
      <c r="Z73" s="177"/>
      <c r="AA73" s="177"/>
      <c r="AB73" s="177"/>
      <c r="AC73" s="178"/>
      <c r="AD73" s="179"/>
      <c r="AE73" s="178"/>
      <c r="AF73" s="178"/>
      <c r="AG73" s="178"/>
    </row>
    <row r="74" spans="1:33" hidden="1" x14ac:dyDescent="0.2">
      <c r="A74" s="177">
        <v>2023</v>
      </c>
      <c r="B74" s="177"/>
      <c r="C74" s="177" t="s">
        <v>45</v>
      </c>
      <c r="D74" s="177"/>
      <c r="E74" s="177"/>
      <c r="F74" s="177"/>
      <c r="G74" s="177"/>
      <c r="H74" s="268"/>
      <c r="I74" s="177">
        <f t="shared" si="4"/>
        <v>0</v>
      </c>
      <c r="J74" s="235"/>
      <c r="K74" s="177" t="str">
        <f t="shared" si="5"/>
        <v>NUEVO</v>
      </c>
      <c r="L74" s="235"/>
      <c r="M74" s="235"/>
      <c r="N74" s="177"/>
      <c r="O74" s="177"/>
      <c r="P74" s="177"/>
      <c r="Q74" s="178"/>
      <c r="R74" s="177"/>
      <c r="S74" s="177"/>
      <c r="T74" s="236"/>
      <c r="U74" s="177"/>
      <c r="V74" s="177"/>
      <c r="W74" s="178"/>
      <c r="X74" s="177"/>
      <c r="Y74" s="177"/>
      <c r="Z74" s="177"/>
      <c r="AA74" s="177"/>
      <c r="AB74" s="177"/>
      <c r="AC74" s="178"/>
      <c r="AD74" s="238"/>
      <c r="AE74" s="178"/>
      <c r="AF74" s="178"/>
      <c r="AG74" s="178"/>
    </row>
    <row r="75" spans="1:33" hidden="1" x14ac:dyDescent="0.2">
      <c r="A75" s="177">
        <v>2023</v>
      </c>
      <c r="B75" s="177"/>
      <c r="C75" s="177" t="s">
        <v>45</v>
      </c>
      <c r="D75" s="177"/>
      <c r="E75" s="177"/>
      <c r="F75" s="177"/>
      <c r="G75" s="177"/>
      <c r="H75" s="268"/>
      <c r="I75" s="177">
        <f t="shared" si="4"/>
        <v>0</v>
      </c>
      <c r="J75" s="235"/>
      <c r="K75" s="177" t="str">
        <f t="shared" si="5"/>
        <v>NUEVO</v>
      </c>
      <c r="L75" s="235"/>
      <c r="M75" s="235"/>
      <c r="N75" s="177"/>
      <c r="O75" s="177"/>
      <c r="P75" s="177"/>
      <c r="Q75" s="178"/>
      <c r="R75" s="177"/>
      <c r="S75" s="177"/>
      <c r="T75" s="236"/>
      <c r="U75" s="177"/>
      <c r="V75" s="177"/>
      <c r="W75" s="178"/>
      <c r="X75" s="177"/>
      <c r="Y75" s="177"/>
      <c r="Z75" s="177"/>
      <c r="AA75" s="177"/>
      <c r="AB75" s="177"/>
      <c r="AC75" s="178"/>
      <c r="AD75" s="238"/>
      <c r="AE75" s="178"/>
      <c r="AF75" s="178"/>
      <c r="AG75" s="178"/>
    </row>
    <row r="76" spans="1:33" hidden="1" x14ac:dyDescent="0.2">
      <c r="A76" s="177">
        <v>2023</v>
      </c>
      <c r="B76" s="177"/>
      <c r="C76" s="177" t="s">
        <v>45</v>
      </c>
      <c r="D76" s="177"/>
      <c r="E76" s="177"/>
      <c r="F76" s="177"/>
      <c r="G76" s="177"/>
      <c r="H76" s="268"/>
      <c r="I76" s="177">
        <f t="shared" si="4"/>
        <v>0</v>
      </c>
      <c r="J76" s="235"/>
      <c r="K76" s="177" t="str">
        <f t="shared" si="5"/>
        <v>NUEVO</v>
      </c>
      <c r="L76" s="177"/>
      <c r="M76" s="177"/>
      <c r="N76" s="177"/>
      <c r="O76" s="177"/>
      <c r="P76" s="177"/>
      <c r="Q76" s="178"/>
      <c r="R76" s="177"/>
      <c r="S76" s="177"/>
      <c r="T76" s="236"/>
      <c r="U76" s="177"/>
      <c r="V76" s="177"/>
      <c r="W76" s="178"/>
      <c r="X76" s="177"/>
      <c r="Y76" s="177"/>
      <c r="Z76" s="177"/>
      <c r="AA76" s="177"/>
      <c r="AB76" s="177"/>
      <c r="AC76" s="178"/>
      <c r="AD76" s="179"/>
      <c r="AE76" s="178"/>
      <c r="AF76" s="178"/>
      <c r="AG76" s="178"/>
    </row>
    <row r="77" spans="1:33" hidden="1" x14ac:dyDescent="0.2">
      <c r="A77" s="177">
        <v>2023</v>
      </c>
      <c r="B77" s="177"/>
      <c r="C77" s="177" t="s">
        <v>45</v>
      </c>
      <c r="D77" s="177"/>
      <c r="E77" s="177"/>
      <c r="F77" s="177"/>
      <c r="G77" s="177"/>
      <c r="H77" s="268"/>
      <c r="I77" s="177">
        <f t="shared" si="4"/>
        <v>0</v>
      </c>
      <c r="J77" s="235"/>
      <c r="K77" s="177" t="str">
        <f t="shared" si="5"/>
        <v>NUEVO</v>
      </c>
      <c r="L77" s="177"/>
      <c r="M77" s="177"/>
      <c r="N77" s="177"/>
      <c r="O77" s="177"/>
      <c r="P77" s="177"/>
      <c r="Q77" s="178"/>
      <c r="R77" s="177"/>
      <c r="S77" s="177"/>
      <c r="T77" s="236"/>
      <c r="U77" s="177"/>
      <c r="V77" s="177"/>
      <c r="W77" s="178"/>
      <c r="X77" s="177"/>
      <c r="Y77" s="177"/>
      <c r="Z77" s="177"/>
      <c r="AA77" s="177"/>
      <c r="AB77" s="177"/>
      <c r="AC77" s="178"/>
      <c r="AD77" s="179"/>
      <c r="AE77" s="178"/>
      <c r="AF77" s="178"/>
      <c r="AG77" s="178"/>
    </row>
    <row r="78" spans="1:33" hidden="1" x14ac:dyDescent="0.2">
      <c r="A78" s="177">
        <v>2023</v>
      </c>
      <c r="B78" s="177"/>
      <c r="C78" s="177" t="s">
        <v>45</v>
      </c>
      <c r="D78" s="177"/>
      <c r="E78" s="177"/>
      <c r="F78" s="177"/>
      <c r="G78" s="177"/>
      <c r="H78" s="268"/>
      <c r="I78" s="177">
        <f t="shared" si="4"/>
        <v>0</v>
      </c>
      <c r="J78" s="235"/>
      <c r="K78" s="177" t="str">
        <f t="shared" si="5"/>
        <v>NUEVO</v>
      </c>
      <c r="L78" s="177"/>
      <c r="M78" s="177"/>
      <c r="N78" s="177"/>
      <c r="O78" s="177"/>
      <c r="P78" s="177"/>
      <c r="Q78" s="178"/>
      <c r="R78" s="177"/>
      <c r="S78" s="177"/>
      <c r="T78" s="236"/>
      <c r="U78" s="177"/>
      <c r="V78" s="177"/>
      <c r="W78" s="178"/>
      <c r="X78" s="177"/>
      <c r="Y78" s="177"/>
      <c r="Z78" s="177"/>
      <c r="AA78" s="177"/>
      <c r="AB78" s="177"/>
      <c r="AC78" s="178"/>
      <c r="AD78" s="179"/>
      <c r="AE78" s="178"/>
      <c r="AF78" s="178"/>
      <c r="AG78" s="178"/>
    </row>
    <row r="79" spans="1:33" hidden="1" x14ac:dyDescent="0.2">
      <c r="A79" s="177">
        <v>2023</v>
      </c>
      <c r="B79" s="177"/>
      <c r="C79" s="177" t="s">
        <v>45</v>
      </c>
      <c r="D79" s="177"/>
      <c r="E79" s="177"/>
      <c r="F79" s="177"/>
      <c r="G79" s="177"/>
      <c r="H79" s="268"/>
      <c r="I79" s="177">
        <f t="shared" si="4"/>
        <v>0</v>
      </c>
      <c r="J79" s="235"/>
      <c r="K79" s="177" t="str">
        <f t="shared" si="5"/>
        <v>NUEVO</v>
      </c>
      <c r="L79" s="177"/>
      <c r="M79" s="177"/>
      <c r="N79" s="177"/>
      <c r="O79" s="177"/>
      <c r="P79" s="177"/>
      <c r="Q79" s="178"/>
      <c r="R79" s="177"/>
      <c r="S79" s="177"/>
      <c r="T79" s="236"/>
      <c r="U79" s="177"/>
      <c r="V79" s="177"/>
      <c r="W79" s="178"/>
      <c r="X79" s="177"/>
      <c r="Y79" s="177"/>
      <c r="Z79" s="177"/>
      <c r="AA79" s="177"/>
      <c r="AB79" s="177"/>
      <c r="AC79" s="178"/>
      <c r="AD79" s="179"/>
      <c r="AE79" s="178"/>
      <c r="AF79" s="178"/>
      <c r="AG79" s="178"/>
    </row>
    <row r="80" spans="1:33" hidden="1" x14ac:dyDescent="0.2">
      <c r="A80" s="177">
        <v>2023</v>
      </c>
      <c r="B80" s="177"/>
      <c r="C80" s="177" t="s">
        <v>45</v>
      </c>
      <c r="D80" s="177"/>
      <c r="E80" s="177"/>
      <c r="F80" s="177"/>
      <c r="G80" s="177"/>
      <c r="H80" s="268"/>
      <c r="I80" s="177">
        <f t="shared" si="4"/>
        <v>0</v>
      </c>
      <c r="J80" s="235"/>
      <c r="K80" s="177" t="str">
        <f t="shared" si="5"/>
        <v>NUEVO</v>
      </c>
      <c r="L80" s="177"/>
      <c r="M80" s="177"/>
      <c r="N80" s="177"/>
      <c r="O80" s="177"/>
      <c r="P80" s="177"/>
      <c r="Q80" s="178"/>
      <c r="R80" s="177"/>
      <c r="S80" s="177"/>
      <c r="T80" s="236"/>
      <c r="U80" s="177"/>
      <c r="V80" s="177"/>
      <c r="W80" s="178"/>
      <c r="X80" s="177"/>
      <c r="Y80" s="177"/>
      <c r="Z80" s="177"/>
      <c r="AA80" s="177"/>
      <c r="AB80" s="177"/>
      <c r="AC80" s="178"/>
      <c r="AD80" s="179"/>
      <c r="AE80" s="178"/>
      <c r="AF80" s="178"/>
      <c r="AG80" s="178"/>
    </row>
    <row r="81" spans="1:33" hidden="1" x14ac:dyDescent="0.2">
      <c r="A81" s="177">
        <v>2023</v>
      </c>
      <c r="B81" s="177"/>
      <c r="C81" s="177" t="s">
        <v>45</v>
      </c>
      <c r="D81" s="177"/>
      <c r="E81" s="177"/>
      <c r="F81" s="177"/>
      <c r="G81" s="177"/>
      <c r="H81" s="268"/>
      <c r="I81" s="177">
        <f t="shared" si="4"/>
        <v>0</v>
      </c>
      <c r="J81" s="235"/>
      <c r="K81" s="177" t="str">
        <f t="shared" si="5"/>
        <v>NUEVO</v>
      </c>
      <c r="L81" s="177"/>
      <c r="M81" s="177"/>
      <c r="N81" s="177"/>
      <c r="O81" s="177"/>
      <c r="P81" s="177"/>
      <c r="Q81" s="178"/>
      <c r="R81" s="177"/>
      <c r="S81" s="177"/>
      <c r="T81" s="236"/>
      <c r="U81" s="177"/>
      <c r="V81" s="177"/>
      <c r="W81" s="178"/>
      <c r="X81" s="177"/>
      <c r="Y81" s="177"/>
      <c r="Z81" s="177"/>
      <c r="AA81" s="177"/>
      <c r="AB81" s="177"/>
      <c r="AC81" s="178"/>
      <c r="AD81" s="179"/>
      <c r="AE81" s="178"/>
      <c r="AF81" s="178"/>
      <c r="AG81" s="178"/>
    </row>
    <row r="82" spans="1:33" hidden="1" x14ac:dyDescent="0.2">
      <c r="A82" s="177">
        <v>2023</v>
      </c>
      <c r="B82" s="177"/>
      <c r="C82" s="177" t="s">
        <v>45</v>
      </c>
      <c r="D82" s="177"/>
      <c r="E82" s="177"/>
      <c r="F82" s="177"/>
      <c r="G82" s="177"/>
      <c r="H82" s="268"/>
      <c r="I82" s="177">
        <f t="shared" si="4"/>
        <v>0</v>
      </c>
      <c r="J82" s="235"/>
      <c r="K82" s="177" t="str">
        <f t="shared" si="5"/>
        <v>NUEVO</v>
      </c>
      <c r="L82" s="235"/>
      <c r="M82" s="235"/>
      <c r="N82" s="177"/>
      <c r="O82" s="177"/>
      <c r="P82" s="177"/>
      <c r="Q82" s="178"/>
      <c r="R82" s="177"/>
      <c r="S82" s="177"/>
      <c r="T82" s="236"/>
      <c r="U82" s="177"/>
      <c r="V82" s="177"/>
      <c r="W82" s="178"/>
      <c r="X82" s="177"/>
      <c r="Y82" s="177"/>
      <c r="Z82" s="177"/>
      <c r="AA82" s="177"/>
      <c r="AB82" s="177"/>
      <c r="AC82" s="178"/>
      <c r="AD82" s="238"/>
      <c r="AE82" s="178"/>
      <c r="AF82" s="178"/>
      <c r="AG82" s="178"/>
    </row>
    <row r="83" spans="1:33" hidden="1" x14ac:dyDescent="0.2">
      <c r="A83" s="177">
        <v>2023</v>
      </c>
      <c r="B83" s="177"/>
      <c r="C83" s="177" t="s">
        <v>45</v>
      </c>
      <c r="D83" s="177"/>
      <c r="E83" s="177"/>
      <c r="F83" s="177"/>
      <c r="G83" s="177"/>
      <c r="H83" s="268"/>
      <c r="I83" s="177">
        <f t="shared" si="4"/>
        <v>0</v>
      </c>
      <c r="J83" s="235"/>
      <c r="K83" s="177" t="str">
        <f t="shared" si="5"/>
        <v>NUEVO</v>
      </c>
      <c r="L83" s="177"/>
      <c r="M83" s="177"/>
      <c r="N83" s="177"/>
      <c r="O83" s="177"/>
      <c r="P83" s="177"/>
      <c r="Q83" s="178"/>
      <c r="R83" s="177"/>
      <c r="S83" s="177"/>
      <c r="T83" s="236"/>
      <c r="U83" s="177"/>
      <c r="V83" s="177"/>
      <c r="W83" s="178"/>
      <c r="X83" s="177"/>
      <c r="Y83" s="177"/>
      <c r="Z83" s="177"/>
      <c r="AA83" s="177"/>
      <c r="AB83" s="177"/>
      <c r="AC83" s="178"/>
      <c r="AD83" s="179"/>
      <c r="AE83" s="178"/>
      <c r="AF83" s="178"/>
      <c r="AG83" s="178"/>
    </row>
    <row r="84" spans="1:33" hidden="1" x14ac:dyDescent="0.2">
      <c r="A84" s="177">
        <v>2023</v>
      </c>
      <c r="B84" s="177"/>
      <c r="C84" s="177" t="s">
        <v>45</v>
      </c>
      <c r="D84" s="177"/>
      <c r="E84" s="177"/>
      <c r="F84" s="177"/>
      <c r="G84" s="177"/>
      <c r="H84" s="268"/>
      <c r="I84" s="177">
        <f t="shared" si="4"/>
        <v>0</v>
      </c>
      <c r="J84" s="235"/>
      <c r="K84" s="177" t="str">
        <f t="shared" si="5"/>
        <v>NUEVO</v>
      </c>
      <c r="L84" s="177"/>
      <c r="M84" s="177"/>
      <c r="N84" s="177"/>
      <c r="O84" s="177"/>
      <c r="P84" s="177"/>
      <c r="Q84" s="178"/>
      <c r="R84" s="177"/>
      <c r="S84" s="177"/>
      <c r="T84" s="236"/>
      <c r="U84" s="177"/>
      <c r="V84" s="177"/>
      <c r="W84" s="178"/>
      <c r="X84" s="177"/>
      <c r="Y84" s="177"/>
      <c r="Z84" s="177"/>
      <c r="AA84" s="177"/>
      <c r="AB84" s="177"/>
      <c r="AC84" s="178"/>
      <c r="AD84" s="179"/>
      <c r="AE84" s="178"/>
      <c r="AF84" s="178"/>
      <c r="AG84" s="178"/>
    </row>
    <row r="85" spans="1:33" hidden="1" x14ac:dyDescent="0.2">
      <c r="A85" s="177">
        <v>2023</v>
      </c>
      <c r="B85" s="177"/>
      <c r="C85" s="177" t="s">
        <v>45</v>
      </c>
      <c r="D85" s="177"/>
      <c r="E85" s="177"/>
      <c r="F85" s="177"/>
      <c r="G85" s="177"/>
      <c r="H85" s="268"/>
      <c r="I85" s="177">
        <f t="shared" si="4"/>
        <v>0</v>
      </c>
      <c r="J85" s="235"/>
      <c r="K85" s="177" t="str">
        <f t="shared" si="5"/>
        <v>NUEVO</v>
      </c>
      <c r="L85" s="177"/>
      <c r="M85" s="177"/>
      <c r="N85" s="177"/>
      <c r="O85" s="177"/>
      <c r="P85" s="177"/>
      <c r="Q85" s="178"/>
      <c r="R85" s="177"/>
      <c r="S85" s="177"/>
      <c r="T85" s="236"/>
      <c r="U85" s="177"/>
      <c r="V85" s="177"/>
      <c r="W85" s="178"/>
      <c r="X85" s="177"/>
      <c r="Y85" s="177"/>
      <c r="Z85" s="177"/>
      <c r="AA85" s="177"/>
      <c r="AB85" s="177"/>
      <c r="AC85" s="178"/>
      <c r="AD85" s="179"/>
      <c r="AE85" s="178"/>
      <c r="AF85" s="178"/>
      <c r="AG85" s="178"/>
    </row>
    <row r="86" spans="1:33" hidden="1" x14ac:dyDescent="0.2">
      <c r="A86" s="177">
        <v>2023</v>
      </c>
      <c r="B86" s="177"/>
      <c r="C86" s="177" t="s">
        <v>45</v>
      </c>
      <c r="D86" s="177"/>
      <c r="E86" s="177"/>
      <c r="F86" s="177"/>
      <c r="G86" s="177"/>
      <c r="H86" s="268"/>
      <c r="I86" s="177">
        <f t="shared" si="4"/>
        <v>0</v>
      </c>
      <c r="J86" s="235"/>
      <c r="K86" s="177" t="str">
        <f t="shared" si="5"/>
        <v>NUEVO</v>
      </c>
      <c r="L86" s="177"/>
      <c r="M86" s="177"/>
      <c r="N86" s="177"/>
      <c r="O86" s="177"/>
      <c r="P86" s="177"/>
      <c r="Q86" s="178"/>
      <c r="R86" s="177"/>
      <c r="S86" s="177"/>
      <c r="T86" s="236"/>
      <c r="U86" s="177"/>
      <c r="V86" s="177"/>
      <c r="W86" s="178"/>
      <c r="X86" s="177"/>
      <c r="Y86" s="177"/>
      <c r="Z86" s="177"/>
      <c r="AA86" s="177"/>
      <c r="AB86" s="177"/>
      <c r="AC86" s="178"/>
      <c r="AD86" s="179"/>
      <c r="AE86" s="178"/>
      <c r="AF86" s="178"/>
      <c r="AG86" s="178"/>
    </row>
    <row r="87" spans="1:33" hidden="1" x14ac:dyDescent="0.2">
      <c r="A87" s="177">
        <v>2023</v>
      </c>
      <c r="B87" s="177"/>
      <c r="C87" s="177" t="s">
        <v>45</v>
      </c>
      <c r="D87" s="177"/>
      <c r="E87" s="177"/>
      <c r="F87" s="177"/>
      <c r="G87" s="177"/>
      <c r="H87" s="268"/>
      <c r="I87" s="177">
        <f t="shared" si="4"/>
        <v>0</v>
      </c>
      <c r="J87" s="235"/>
      <c r="K87" s="177" t="str">
        <f t="shared" si="5"/>
        <v>NUEVO</v>
      </c>
      <c r="L87" s="177"/>
      <c r="M87" s="177"/>
      <c r="N87" s="177"/>
      <c r="O87" s="177"/>
      <c r="P87" s="177"/>
      <c r="Q87" s="178"/>
      <c r="R87" s="177"/>
      <c r="S87" s="177"/>
      <c r="T87" s="236"/>
      <c r="U87" s="177"/>
      <c r="V87" s="177"/>
      <c r="W87" s="178"/>
      <c r="X87" s="177"/>
      <c r="Y87" s="177"/>
      <c r="Z87" s="177"/>
      <c r="AA87" s="177"/>
      <c r="AB87" s="177"/>
      <c r="AC87" s="178"/>
      <c r="AD87" s="179"/>
      <c r="AE87" s="178"/>
      <c r="AF87" s="178"/>
      <c r="AG87" s="178"/>
    </row>
    <row r="88" spans="1:33" hidden="1" x14ac:dyDescent="0.2">
      <c r="A88" s="177">
        <v>2023</v>
      </c>
      <c r="B88" s="177"/>
      <c r="C88" s="177" t="s">
        <v>45</v>
      </c>
      <c r="D88" s="177"/>
      <c r="E88" s="177"/>
      <c r="F88" s="177"/>
      <c r="G88" s="177"/>
      <c r="H88" s="268"/>
      <c r="I88" s="177">
        <f t="shared" si="4"/>
        <v>0</v>
      </c>
      <c r="J88" s="235"/>
      <c r="K88" s="177" t="str">
        <f t="shared" si="5"/>
        <v>NUEVO</v>
      </c>
      <c r="L88" s="177"/>
      <c r="M88" s="177"/>
      <c r="N88" s="177"/>
      <c r="O88" s="177"/>
      <c r="P88" s="177"/>
      <c r="Q88" s="178"/>
      <c r="R88" s="177"/>
      <c r="S88" s="177"/>
      <c r="T88" s="236"/>
      <c r="U88" s="177"/>
      <c r="V88" s="177"/>
      <c r="W88" s="178"/>
      <c r="X88" s="177"/>
      <c r="Y88" s="177"/>
      <c r="Z88" s="177"/>
      <c r="AA88" s="177"/>
      <c r="AB88" s="177"/>
      <c r="AC88" s="178"/>
      <c r="AD88" s="179"/>
      <c r="AE88" s="178"/>
      <c r="AF88" s="178"/>
      <c r="AG88" s="178"/>
    </row>
    <row r="89" spans="1:33" hidden="1" x14ac:dyDescent="0.2">
      <c r="A89" s="177">
        <v>2023</v>
      </c>
      <c r="B89" s="177"/>
      <c r="C89" s="177" t="s">
        <v>45</v>
      </c>
      <c r="D89" s="177"/>
      <c r="E89" s="177"/>
      <c r="F89" s="177"/>
      <c r="G89" s="177"/>
      <c r="H89" s="268"/>
      <c r="I89" s="177">
        <f t="shared" si="4"/>
        <v>0</v>
      </c>
      <c r="J89" s="235"/>
      <c r="K89" s="177" t="str">
        <f t="shared" si="5"/>
        <v>NUEVO</v>
      </c>
      <c r="L89" s="177"/>
      <c r="M89" s="177"/>
      <c r="N89" s="177"/>
      <c r="O89" s="177"/>
      <c r="P89" s="177"/>
      <c r="Q89" s="178"/>
      <c r="R89" s="177"/>
      <c r="S89" s="177"/>
      <c r="T89" s="236"/>
      <c r="U89" s="177"/>
      <c r="V89" s="177"/>
      <c r="W89" s="178"/>
      <c r="X89" s="177"/>
      <c r="Y89" s="177"/>
      <c r="Z89" s="177"/>
      <c r="AA89" s="177"/>
      <c r="AB89" s="177"/>
      <c r="AC89" s="178"/>
      <c r="AD89" s="245"/>
      <c r="AE89" s="178"/>
      <c r="AF89" s="178"/>
      <c r="AG89" s="178"/>
    </row>
    <row r="90" spans="1:33" hidden="1" x14ac:dyDescent="0.2">
      <c r="A90" s="177">
        <v>2023</v>
      </c>
      <c r="B90" s="177"/>
      <c r="C90" s="177" t="s">
        <v>45</v>
      </c>
      <c r="D90" s="177"/>
      <c r="E90" s="177"/>
      <c r="F90" s="177"/>
      <c r="G90" s="177"/>
      <c r="H90" s="268"/>
      <c r="I90" s="177">
        <f t="shared" si="4"/>
        <v>0</v>
      </c>
      <c r="J90" s="235"/>
      <c r="K90" s="177" t="str">
        <f t="shared" si="5"/>
        <v>NUEVO</v>
      </c>
      <c r="L90" s="177"/>
      <c r="M90" s="177"/>
      <c r="N90" s="177"/>
      <c r="O90" s="177"/>
      <c r="P90" s="177"/>
      <c r="Q90" s="178"/>
      <c r="R90" s="177"/>
      <c r="S90" s="177"/>
      <c r="T90" s="236"/>
      <c r="U90" s="177"/>
      <c r="V90" s="177"/>
      <c r="W90" s="178"/>
      <c r="X90" s="177"/>
      <c r="Y90" s="177"/>
      <c r="Z90" s="177"/>
      <c r="AA90" s="177"/>
      <c r="AB90" s="177"/>
      <c r="AC90" s="178"/>
      <c r="AD90" s="245"/>
      <c r="AE90" s="178"/>
      <c r="AF90" s="178"/>
      <c r="AG90" s="178"/>
    </row>
    <row r="91" spans="1:33" hidden="1" x14ac:dyDescent="0.2">
      <c r="A91" s="177">
        <v>2023</v>
      </c>
      <c r="B91" s="177"/>
      <c r="C91" s="177" t="s">
        <v>45</v>
      </c>
      <c r="D91" s="177"/>
      <c r="E91" s="177"/>
      <c r="F91" s="177"/>
      <c r="G91" s="177"/>
      <c r="H91" s="268"/>
      <c r="I91" s="177">
        <f t="shared" si="4"/>
        <v>0</v>
      </c>
      <c r="J91" s="235"/>
      <c r="K91" s="177" t="str">
        <f t="shared" si="5"/>
        <v>NUEVO</v>
      </c>
      <c r="L91" s="177"/>
      <c r="M91" s="177"/>
      <c r="N91" s="177"/>
      <c r="O91" s="177"/>
      <c r="P91" s="177"/>
      <c r="Q91" s="178"/>
      <c r="R91" s="177"/>
      <c r="S91" s="177"/>
      <c r="T91" s="236"/>
      <c r="U91" s="177"/>
      <c r="V91" s="177"/>
      <c r="W91" s="178"/>
      <c r="X91" s="177"/>
      <c r="Y91" s="177"/>
      <c r="Z91" s="177"/>
      <c r="AA91" s="177"/>
      <c r="AB91" s="177"/>
      <c r="AC91" s="178"/>
      <c r="AD91" s="179"/>
      <c r="AE91" s="178"/>
      <c r="AF91" s="178"/>
      <c r="AG91" s="178"/>
    </row>
    <row r="92" spans="1:33" hidden="1" x14ac:dyDescent="0.2">
      <c r="A92" s="177">
        <v>2023</v>
      </c>
      <c r="B92" s="177"/>
      <c r="C92" s="177" t="s">
        <v>45</v>
      </c>
      <c r="D92" s="177"/>
      <c r="E92" s="177"/>
      <c r="F92" s="177"/>
      <c r="G92" s="177"/>
      <c r="H92" s="268"/>
      <c r="I92" s="177">
        <f t="shared" si="4"/>
        <v>0</v>
      </c>
      <c r="J92" s="235"/>
      <c r="K92" s="177" t="str">
        <f t="shared" si="5"/>
        <v>NUEVO</v>
      </c>
      <c r="L92" s="177"/>
      <c r="M92" s="177"/>
      <c r="N92" s="177"/>
      <c r="O92" s="177"/>
      <c r="P92" s="177"/>
      <c r="Q92" s="178"/>
      <c r="R92" s="177"/>
      <c r="S92" s="177"/>
      <c r="T92" s="236"/>
      <c r="U92" s="177"/>
      <c r="V92" s="177"/>
      <c r="W92" s="178"/>
      <c r="X92" s="177"/>
      <c r="Y92" s="177"/>
      <c r="Z92" s="177"/>
      <c r="AA92" s="177"/>
      <c r="AB92" s="177"/>
      <c r="AC92" s="178"/>
      <c r="AD92" s="179"/>
      <c r="AE92" s="178"/>
      <c r="AF92" s="178"/>
      <c r="AG92" s="178"/>
    </row>
    <row r="93" spans="1:33" hidden="1" x14ac:dyDescent="0.2">
      <c r="A93" s="177">
        <v>2023</v>
      </c>
      <c r="B93" s="177"/>
      <c r="C93" s="177" t="s">
        <v>45</v>
      </c>
      <c r="D93" s="177"/>
      <c r="E93" s="177"/>
      <c r="F93" s="177"/>
      <c r="G93" s="177"/>
      <c r="H93" s="268"/>
      <c r="I93" s="177">
        <f t="shared" si="4"/>
        <v>0</v>
      </c>
      <c r="J93" s="235"/>
      <c r="K93" s="177" t="str">
        <f t="shared" si="5"/>
        <v>NUEVO</v>
      </c>
      <c r="L93" s="177"/>
      <c r="M93" s="177"/>
      <c r="N93" s="177"/>
      <c r="O93" s="177"/>
      <c r="P93" s="177"/>
      <c r="Q93" s="178"/>
      <c r="R93" s="177"/>
      <c r="S93" s="177"/>
      <c r="T93" s="236"/>
      <c r="U93" s="177"/>
      <c r="V93" s="177"/>
      <c r="W93" s="178"/>
      <c r="X93" s="177"/>
      <c r="Y93" s="177"/>
      <c r="Z93" s="177"/>
      <c r="AA93" s="177"/>
      <c r="AB93" s="177"/>
      <c r="AC93" s="178"/>
      <c r="AD93" s="179"/>
      <c r="AE93" s="178"/>
      <c r="AF93" s="178"/>
      <c r="AG93" s="178"/>
    </row>
    <row r="94" spans="1:33" hidden="1" x14ac:dyDescent="0.2">
      <c r="A94" s="177">
        <v>2023</v>
      </c>
      <c r="B94" s="177"/>
      <c r="C94" s="177" t="s">
        <v>45</v>
      </c>
      <c r="D94" s="177"/>
      <c r="E94" s="177"/>
      <c r="F94" s="177"/>
      <c r="G94" s="177"/>
      <c r="H94" s="268"/>
      <c r="I94" s="177">
        <f t="shared" si="4"/>
        <v>0</v>
      </c>
      <c r="J94" s="235"/>
      <c r="K94" s="177" t="str">
        <f t="shared" si="5"/>
        <v>NUEVO</v>
      </c>
      <c r="L94" s="177"/>
      <c r="M94" s="177"/>
      <c r="N94" s="177"/>
      <c r="O94" s="177"/>
      <c r="P94" s="177"/>
      <c r="Q94" s="178"/>
      <c r="R94" s="177"/>
      <c r="S94" s="177"/>
      <c r="T94" s="236"/>
      <c r="U94" s="177"/>
      <c r="V94" s="177"/>
      <c r="W94" s="178"/>
      <c r="X94" s="177"/>
      <c r="Y94" s="177"/>
      <c r="Z94" s="177"/>
      <c r="AA94" s="177"/>
      <c r="AB94" s="177"/>
      <c r="AC94" s="178"/>
      <c r="AD94" s="179"/>
      <c r="AE94" s="178"/>
      <c r="AF94" s="178"/>
      <c r="AG94" s="178"/>
    </row>
    <row r="95" spans="1:33" hidden="1" x14ac:dyDescent="0.2">
      <c r="A95" s="177">
        <v>2023</v>
      </c>
      <c r="B95" s="177"/>
      <c r="C95" s="177" t="s">
        <v>45</v>
      </c>
      <c r="D95" s="177"/>
      <c r="E95" s="177"/>
      <c r="F95" s="177"/>
      <c r="G95" s="177"/>
      <c r="H95" s="268"/>
      <c r="I95" s="177">
        <f t="shared" si="4"/>
        <v>0</v>
      </c>
      <c r="J95" s="235"/>
      <c r="K95" s="177" t="str">
        <f t="shared" si="5"/>
        <v>NUEVO</v>
      </c>
      <c r="L95" s="177"/>
      <c r="M95" s="177"/>
      <c r="N95" s="177"/>
      <c r="O95" s="177"/>
      <c r="P95" s="177"/>
      <c r="Q95" s="178"/>
      <c r="R95" s="177"/>
      <c r="S95" s="177"/>
      <c r="T95" s="236"/>
      <c r="U95" s="177"/>
      <c r="V95" s="177"/>
      <c r="W95" s="178"/>
      <c r="X95" s="177"/>
      <c r="Y95" s="177"/>
      <c r="Z95" s="177"/>
      <c r="AA95" s="177"/>
      <c r="AB95" s="177"/>
      <c r="AC95" s="178"/>
      <c r="AD95" s="238"/>
      <c r="AE95" s="178"/>
      <c r="AF95" s="178"/>
      <c r="AG95" s="178"/>
    </row>
    <row r="96" spans="1:33" hidden="1" x14ac:dyDescent="0.2">
      <c r="A96" s="177">
        <v>2023</v>
      </c>
      <c r="B96" s="177"/>
      <c r="C96" s="177" t="s">
        <v>45</v>
      </c>
      <c r="D96" s="177"/>
      <c r="E96" s="177"/>
      <c r="F96" s="177"/>
      <c r="G96" s="177"/>
      <c r="H96" s="268"/>
      <c r="I96" s="177">
        <f t="shared" ref="I96:I159" si="6">DATEDIF(H96,J96,"m")</f>
        <v>0</v>
      </c>
      <c r="J96" s="235"/>
      <c r="K96" s="177" t="str">
        <f t="shared" ref="K96:K159" si="7">IF(I96&lt;=18,"NUEVO",IF(I96&lt;=36,"INTERMEDIO","ANTIGUO"))</f>
        <v>NUEVO</v>
      </c>
      <c r="L96" s="177"/>
      <c r="M96" s="177"/>
      <c r="N96" s="177"/>
      <c r="O96" s="177"/>
      <c r="P96" s="177"/>
      <c r="Q96" s="178"/>
      <c r="R96" s="177"/>
      <c r="S96" s="177"/>
      <c r="T96" s="236"/>
      <c r="U96" s="177"/>
      <c r="V96" s="177"/>
      <c r="W96" s="178"/>
      <c r="X96" s="177"/>
      <c r="Y96" s="177"/>
      <c r="Z96" s="177"/>
      <c r="AA96" s="177"/>
      <c r="AB96" s="177"/>
      <c r="AC96" s="178"/>
      <c r="AD96" s="238"/>
      <c r="AE96" s="178"/>
      <c r="AF96" s="178"/>
      <c r="AG96" s="178"/>
    </row>
    <row r="97" spans="1:33" hidden="1" x14ac:dyDescent="0.2">
      <c r="A97" s="177">
        <v>2023</v>
      </c>
      <c r="B97" s="177"/>
      <c r="C97" s="177" t="s">
        <v>45</v>
      </c>
      <c r="D97" s="177"/>
      <c r="E97" s="177"/>
      <c r="F97" s="177"/>
      <c r="G97" s="177"/>
      <c r="H97" s="268"/>
      <c r="I97" s="177">
        <f t="shared" si="6"/>
        <v>0</v>
      </c>
      <c r="J97" s="235"/>
      <c r="K97" s="177" t="str">
        <f t="shared" si="7"/>
        <v>NUEVO</v>
      </c>
      <c r="L97" s="177"/>
      <c r="M97" s="177"/>
      <c r="N97" s="177"/>
      <c r="O97" s="177"/>
      <c r="P97" s="177"/>
      <c r="Q97" s="178"/>
      <c r="R97" s="177"/>
      <c r="S97" s="177"/>
      <c r="T97" s="236"/>
      <c r="U97" s="177"/>
      <c r="V97" s="177"/>
      <c r="W97" s="178"/>
      <c r="X97" s="177"/>
      <c r="Y97" s="177"/>
      <c r="Z97" s="177"/>
      <c r="AA97" s="177"/>
      <c r="AB97" s="177"/>
      <c r="AC97" s="178"/>
      <c r="AD97" s="179"/>
      <c r="AE97" s="178"/>
      <c r="AF97" s="178"/>
      <c r="AG97" s="178"/>
    </row>
    <row r="98" spans="1:33" hidden="1" x14ac:dyDescent="0.2">
      <c r="A98" s="177">
        <v>2023</v>
      </c>
      <c r="B98" s="177"/>
      <c r="C98" s="177" t="s">
        <v>45</v>
      </c>
      <c r="D98" s="177"/>
      <c r="E98" s="177"/>
      <c r="F98" s="177"/>
      <c r="G98" s="177"/>
      <c r="H98" s="268"/>
      <c r="I98" s="177">
        <f t="shared" si="6"/>
        <v>0</v>
      </c>
      <c r="J98" s="235"/>
      <c r="K98" s="177" t="str">
        <f t="shared" si="7"/>
        <v>NUEVO</v>
      </c>
      <c r="L98" s="177"/>
      <c r="M98" s="177"/>
      <c r="N98" s="177"/>
      <c r="O98" s="177"/>
      <c r="P98" s="177"/>
      <c r="Q98" s="178"/>
      <c r="R98" s="177"/>
      <c r="S98" s="177"/>
      <c r="T98" s="236"/>
      <c r="U98" s="177"/>
      <c r="V98" s="177"/>
      <c r="W98" s="178"/>
      <c r="X98" s="177"/>
      <c r="Y98" s="177"/>
      <c r="Z98" s="177"/>
      <c r="AA98" s="177"/>
      <c r="AB98" s="177"/>
      <c r="AC98" s="178"/>
      <c r="AD98" s="238"/>
      <c r="AE98" s="178"/>
      <c r="AF98" s="178"/>
      <c r="AG98" s="178"/>
    </row>
    <row r="99" spans="1:33" hidden="1" x14ac:dyDescent="0.2">
      <c r="A99" s="177">
        <v>2023</v>
      </c>
      <c r="B99" s="177"/>
      <c r="C99" s="177" t="s">
        <v>45</v>
      </c>
      <c r="D99" s="177"/>
      <c r="E99" s="177"/>
      <c r="F99" s="177"/>
      <c r="G99" s="177"/>
      <c r="H99" s="268"/>
      <c r="I99" s="177">
        <f t="shared" si="6"/>
        <v>0</v>
      </c>
      <c r="J99" s="235"/>
      <c r="K99" s="177" t="str">
        <f t="shared" si="7"/>
        <v>NUEVO</v>
      </c>
      <c r="L99" s="177"/>
      <c r="M99" s="177"/>
      <c r="N99" s="177"/>
      <c r="O99" s="177"/>
      <c r="P99" s="177"/>
      <c r="Q99" s="178"/>
      <c r="R99" s="177"/>
      <c r="S99" s="177"/>
      <c r="T99" s="236"/>
      <c r="U99" s="177"/>
      <c r="V99" s="177"/>
      <c r="W99" s="178"/>
      <c r="X99" s="177"/>
      <c r="Y99" s="177"/>
      <c r="Z99" s="177"/>
      <c r="AA99" s="177"/>
      <c r="AB99" s="177"/>
      <c r="AC99" s="178"/>
      <c r="AD99" s="179"/>
      <c r="AE99" s="178"/>
      <c r="AF99" s="178"/>
      <c r="AG99" s="178"/>
    </row>
    <row r="100" spans="1:33" hidden="1" x14ac:dyDescent="0.2">
      <c r="A100" s="177">
        <v>2023</v>
      </c>
      <c r="B100" s="177"/>
      <c r="C100" s="177" t="s">
        <v>45</v>
      </c>
      <c r="D100" s="177"/>
      <c r="E100" s="177"/>
      <c r="F100" s="177"/>
      <c r="G100" s="177"/>
      <c r="H100" s="268"/>
      <c r="I100" s="177">
        <f t="shared" si="6"/>
        <v>0</v>
      </c>
      <c r="J100" s="235"/>
      <c r="K100" s="177" t="str">
        <f t="shared" si="7"/>
        <v>NUEVO</v>
      </c>
      <c r="L100" s="177"/>
      <c r="M100" s="177"/>
      <c r="N100" s="177"/>
      <c r="O100" s="177"/>
      <c r="P100" s="177"/>
      <c r="Q100" s="178"/>
      <c r="R100" s="177"/>
      <c r="S100" s="177"/>
      <c r="T100" s="236"/>
      <c r="U100" s="177"/>
      <c r="V100" s="177"/>
      <c r="W100" s="178"/>
      <c r="X100" s="177"/>
      <c r="Y100" s="177"/>
      <c r="Z100" s="177"/>
      <c r="AA100" s="177"/>
      <c r="AB100" s="177"/>
      <c r="AC100" s="178"/>
      <c r="AD100" s="179"/>
      <c r="AE100" s="178"/>
      <c r="AF100" s="178"/>
      <c r="AG100" s="178"/>
    </row>
    <row r="101" spans="1:33" hidden="1" x14ac:dyDescent="0.2">
      <c r="A101" s="177">
        <v>2023</v>
      </c>
      <c r="B101" s="177"/>
      <c r="C101" s="177" t="s">
        <v>45</v>
      </c>
      <c r="D101" s="177"/>
      <c r="E101" s="177"/>
      <c r="F101" s="177"/>
      <c r="G101" s="177"/>
      <c r="H101" s="268"/>
      <c r="I101" s="177">
        <f t="shared" si="6"/>
        <v>0</v>
      </c>
      <c r="J101" s="235"/>
      <c r="K101" s="177" t="str">
        <f t="shared" si="7"/>
        <v>NUEVO</v>
      </c>
      <c r="L101" s="177"/>
      <c r="M101" s="177"/>
      <c r="N101" s="177"/>
      <c r="O101" s="177"/>
      <c r="P101" s="177"/>
      <c r="Q101" s="178"/>
      <c r="R101" s="177"/>
      <c r="S101" s="177"/>
      <c r="T101" s="236"/>
      <c r="U101" s="177"/>
      <c r="V101" s="177"/>
      <c r="W101" s="178"/>
      <c r="X101" s="177"/>
      <c r="Y101" s="177"/>
      <c r="Z101" s="177"/>
      <c r="AA101" s="177"/>
      <c r="AB101" s="177"/>
      <c r="AC101" s="178"/>
      <c r="AD101" s="179"/>
      <c r="AE101" s="178"/>
      <c r="AF101" s="178"/>
      <c r="AG101" s="178"/>
    </row>
    <row r="102" spans="1:33" hidden="1" x14ac:dyDescent="0.2">
      <c r="A102" s="177"/>
      <c r="B102" s="177"/>
      <c r="C102" s="177"/>
      <c r="D102" s="177"/>
      <c r="E102" s="177"/>
      <c r="F102" s="177"/>
      <c r="G102" s="177"/>
      <c r="H102" s="268"/>
      <c r="I102" s="177">
        <f t="shared" si="6"/>
        <v>0</v>
      </c>
      <c r="J102" s="235"/>
      <c r="K102" s="177" t="str">
        <f t="shared" si="7"/>
        <v>NUEVO</v>
      </c>
      <c r="L102" s="177"/>
      <c r="M102" s="177"/>
      <c r="N102" s="177"/>
      <c r="O102" s="177"/>
      <c r="P102" s="177"/>
      <c r="Q102" s="178"/>
      <c r="R102" s="177"/>
      <c r="S102" s="177"/>
      <c r="T102" s="236"/>
      <c r="U102" s="177"/>
      <c r="V102" s="177"/>
      <c r="W102" s="178"/>
      <c r="X102" s="177"/>
      <c r="Y102" s="177"/>
      <c r="Z102" s="177"/>
      <c r="AA102" s="177"/>
      <c r="AB102" s="177"/>
      <c r="AC102" s="178"/>
      <c r="AD102" s="179"/>
      <c r="AE102" s="178"/>
      <c r="AF102" s="178"/>
      <c r="AG102" s="178"/>
    </row>
    <row r="103" spans="1:33" hidden="1" x14ac:dyDescent="0.2">
      <c r="A103" s="177"/>
      <c r="B103" s="177"/>
      <c r="C103" s="177"/>
      <c r="D103" s="177"/>
      <c r="E103" s="177"/>
      <c r="F103" s="177"/>
      <c r="G103" s="177"/>
      <c r="H103" s="268"/>
      <c r="I103" s="177">
        <f t="shared" si="6"/>
        <v>0</v>
      </c>
      <c r="J103" s="235"/>
      <c r="K103" s="177" t="str">
        <f t="shared" si="7"/>
        <v>NUEVO</v>
      </c>
      <c r="L103" s="177"/>
      <c r="M103" s="177"/>
      <c r="N103" s="177"/>
      <c r="O103" s="177"/>
      <c r="P103" s="177"/>
      <c r="Q103" s="178"/>
      <c r="R103" s="177"/>
      <c r="S103" s="177"/>
      <c r="T103" s="236"/>
      <c r="U103" s="177"/>
      <c r="V103" s="177"/>
      <c r="W103" s="178"/>
      <c r="X103" s="177"/>
      <c r="Y103" s="177"/>
      <c r="Z103" s="177"/>
      <c r="AA103" s="177"/>
      <c r="AB103" s="177"/>
      <c r="AC103" s="178"/>
      <c r="AD103" s="179"/>
      <c r="AE103" s="178"/>
      <c r="AF103" s="178"/>
      <c r="AG103" s="178"/>
    </row>
    <row r="104" spans="1:33" hidden="1" x14ac:dyDescent="0.2">
      <c r="A104" s="177"/>
      <c r="B104" s="177"/>
      <c r="C104" s="177"/>
      <c r="D104" s="177"/>
      <c r="E104" s="177"/>
      <c r="F104" s="177"/>
      <c r="G104" s="177"/>
      <c r="H104" s="268"/>
      <c r="I104" s="177">
        <f t="shared" si="6"/>
        <v>0</v>
      </c>
      <c r="J104" s="235"/>
      <c r="K104" s="177" t="str">
        <f t="shared" si="7"/>
        <v>NUEVO</v>
      </c>
      <c r="L104" s="177"/>
      <c r="M104" s="177"/>
      <c r="N104" s="177"/>
      <c r="O104" s="177"/>
      <c r="P104" s="177"/>
      <c r="Q104" s="178"/>
      <c r="R104" s="177"/>
      <c r="S104" s="177"/>
      <c r="T104" s="236"/>
      <c r="U104" s="177"/>
      <c r="V104" s="177"/>
      <c r="W104" s="178"/>
      <c r="X104" s="177"/>
      <c r="Y104" s="177"/>
      <c r="Z104" s="177"/>
      <c r="AA104" s="177"/>
      <c r="AB104" s="177"/>
      <c r="AC104" s="178"/>
      <c r="AD104" s="179"/>
      <c r="AE104" s="178"/>
      <c r="AF104" s="178"/>
      <c r="AG104" s="178"/>
    </row>
    <row r="105" spans="1:33" hidden="1" x14ac:dyDescent="0.2">
      <c r="A105" s="177"/>
      <c r="B105" s="177"/>
      <c r="C105" s="177"/>
      <c r="D105" s="177"/>
      <c r="E105" s="177"/>
      <c r="F105" s="177"/>
      <c r="G105" s="177"/>
      <c r="H105" s="268"/>
      <c r="I105" s="177">
        <f t="shared" si="6"/>
        <v>0</v>
      </c>
      <c r="J105" s="235"/>
      <c r="K105" s="177" t="str">
        <f t="shared" si="7"/>
        <v>NUEVO</v>
      </c>
      <c r="L105" s="177"/>
      <c r="M105" s="177"/>
      <c r="N105" s="177"/>
      <c r="O105" s="177"/>
      <c r="P105" s="177"/>
      <c r="Q105" s="178"/>
      <c r="R105" s="177"/>
      <c r="S105" s="177"/>
      <c r="T105" s="236"/>
      <c r="U105" s="177"/>
      <c r="V105" s="177"/>
      <c r="W105" s="178"/>
      <c r="X105" s="177"/>
      <c r="Y105" s="177"/>
      <c r="Z105" s="177"/>
      <c r="AA105" s="177"/>
      <c r="AB105" s="177"/>
      <c r="AC105" s="178"/>
      <c r="AD105" s="238"/>
      <c r="AE105" s="178"/>
      <c r="AF105" s="178"/>
      <c r="AG105" s="178"/>
    </row>
    <row r="106" spans="1:33" hidden="1" x14ac:dyDescent="0.2">
      <c r="A106" s="177"/>
      <c r="B106" s="177"/>
      <c r="C106" s="177"/>
      <c r="D106" s="177"/>
      <c r="E106" s="177"/>
      <c r="F106" s="177"/>
      <c r="G106" s="177"/>
      <c r="H106" s="268"/>
      <c r="I106" s="177">
        <f t="shared" si="6"/>
        <v>0</v>
      </c>
      <c r="J106" s="235"/>
      <c r="K106" s="177" t="str">
        <f t="shared" si="7"/>
        <v>NUEVO</v>
      </c>
      <c r="L106" s="177"/>
      <c r="M106" s="177"/>
      <c r="N106" s="177"/>
      <c r="O106" s="177"/>
      <c r="P106" s="177"/>
      <c r="Q106" s="178"/>
      <c r="R106" s="177"/>
      <c r="S106" s="177"/>
      <c r="T106" s="236"/>
      <c r="U106" s="177"/>
      <c r="V106" s="177"/>
      <c r="W106" s="178"/>
      <c r="X106" s="177"/>
      <c r="Y106" s="177"/>
      <c r="Z106" s="177"/>
      <c r="AA106" s="177"/>
      <c r="AB106" s="177"/>
      <c r="AC106" s="178"/>
      <c r="AD106" s="179"/>
      <c r="AE106" s="178"/>
      <c r="AF106" s="178"/>
      <c r="AG106" s="178"/>
    </row>
    <row r="107" spans="1:33" hidden="1" x14ac:dyDescent="0.2">
      <c r="A107" s="177"/>
      <c r="B107" s="177"/>
      <c r="C107" s="177"/>
      <c r="D107" s="177"/>
      <c r="E107" s="177"/>
      <c r="F107" s="177"/>
      <c r="G107" s="177"/>
      <c r="H107" s="268"/>
      <c r="I107" s="177">
        <f t="shared" si="6"/>
        <v>0</v>
      </c>
      <c r="J107" s="235"/>
      <c r="K107" s="177" t="str">
        <f t="shared" si="7"/>
        <v>NUEVO</v>
      </c>
      <c r="L107" s="177"/>
      <c r="M107" s="177"/>
      <c r="N107" s="177"/>
      <c r="O107" s="177"/>
      <c r="P107" s="177"/>
      <c r="Q107" s="178"/>
      <c r="R107" s="177"/>
      <c r="S107" s="177"/>
      <c r="T107" s="236"/>
      <c r="U107" s="177"/>
      <c r="V107" s="177"/>
      <c r="W107" s="178"/>
      <c r="X107" s="177"/>
      <c r="Y107" s="177"/>
      <c r="Z107" s="177"/>
      <c r="AA107" s="177"/>
      <c r="AB107" s="177"/>
      <c r="AC107" s="178"/>
      <c r="AD107" s="179"/>
      <c r="AE107" s="178"/>
      <c r="AF107" s="178"/>
      <c r="AG107" s="178"/>
    </row>
    <row r="108" spans="1:33" hidden="1" x14ac:dyDescent="0.2">
      <c r="A108" s="177"/>
      <c r="B108" s="177"/>
      <c r="C108" s="177"/>
      <c r="D108" s="177"/>
      <c r="E108" s="177"/>
      <c r="F108" s="177"/>
      <c r="G108" s="177"/>
      <c r="H108" s="268"/>
      <c r="I108" s="177">
        <f t="shared" si="6"/>
        <v>0</v>
      </c>
      <c r="J108" s="235"/>
      <c r="K108" s="177" t="str">
        <f t="shared" si="7"/>
        <v>NUEVO</v>
      </c>
      <c r="L108" s="177"/>
      <c r="M108" s="177"/>
      <c r="N108" s="177"/>
      <c r="O108" s="177"/>
      <c r="P108" s="177"/>
      <c r="Q108" s="178"/>
      <c r="R108" s="177"/>
      <c r="S108" s="177"/>
      <c r="T108" s="236"/>
      <c r="U108" s="177"/>
      <c r="V108" s="177"/>
      <c r="W108" s="178"/>
      <c r="X108" s="177"/>
      <c r="Y108" s="177"/>
      <c r="Z108" s="177"/>
      <c r="AA108" s="177"/>
      <c r="AB108" s="177"/>
      <c r="AC108" s="178"/>
      <c r="AD108" s="179"/>
      <c r="AE108" s="178"/>
      <c r="AF108" s="178"/>
      <c r="AG108" s="178"/>
    </row>
    <row r="109" spans="1:33" hidden="1" x14ac:dyDescent="0.2">
      <c r="A109" s="177"/>
      <c r="B109" s="177"/>
      <c r="C109" s="177"/>
      <c r="D109" s="177"/>
      <c r="E109" s="177"/>
      <c r="F109" s="177"/>
      <c r="G109" s="177"/>
      <c r="H109" s="268"/>
      <c r="I109" s="177">
        <f t="shared" si="6"/>
        <v>0</v>
      </c>
      <c r="J109" s="235"/>
      <c r="K109" s="177" t="str">
        <f t="shared" si="7"/>
        <v>NUEVO</v>
      </c>
      <c r="L109" s="177"/>
      <c r="M109" s="177"/>
      <c r="N109" s="177"/>
      <c r="O109" s="177"/>
      <c r="P109" s="177"/>
      <c r="Q109" s="178"/>
      <c r="R109" s="177"/>
      <c r="S109" s="177"/>
      <c r="T109" s="236"/>
      <c r="U109" s="177"/>
      <c r="V109" s="177"/>
      <c r="W109" s="178"/>
      <c r="X109" s="177"/>
      <c r="Y109" s="177"/>
      <c r="Z109" s="177"/>
      <c r="AA109" s="177"/>
      <c r="AB109" s="177"/>
      <c r="AC109" s="178"/>
      <c r="AD109" s="179"/>
      <c r="AE109" s="178"/>
      <c r="AF109" s="178"/>
      <c r="AG109" s="178"/>
    </row>
    <row r="110" spans="1:33" hidden="1" x14ac:dyDescent="0.2">
      <c r="A110" s="177"/>
      <c r="B110" s="177"/>
      <c r="C110" s="177"/>
      <c r="D110" s="177"/>
      <c r="E110" s="177"/>
      <c r="F110" s="177"/>
      <c r="G110" s="177"/>
      <c r="H110" s="268"/>
      <c r="I110" s="177">
        <f t="shared" si="6"/>
        <v>0</v>
      </c>
      <c r="J110" s="235"/>
      <c r="K110" s="177" t="str">
        <f t="shared" si="7"/>
        <v>NUEVO</v>
      </c>
      <c r="L110" s="177"/>
      <c r="M110" s="177"/>
      <c r="N110" s="177"/>
      <c r="O110" s="177"/>
      <c r="P110" s="177"/>
      <c r="Q110" s="178"/>
      <c r="R110" s="177"/>
      <c r="S110" s="177"/>
      <c r="T110" s="236"/>
      <c r="U110" s="177"/>
      <c r="V110" s="177"/>
      <c r="W110" s="178"/>
      <c r="X110" s="177"/>
      <c r="Y110" s="177"/>
      <c r="Z110" s="177"/>
      <c r="AA110" s="177"/>
      <c r="AB110" s="177"/>
      <c r="AC110" s="178"/>
      <c r="AD110" s="179"/>
      <c r="AE110" s="178"/>
      <c r="AF110" s="178"/>
      <c r="AG110" s="178"/>
    </row>
    <row r="111" spans="1:33" hidden="1" x14ac:dyDescent="0.2">
      <c r="A111" s="177"/>
      <c r="B111" s="177"/>
      <c r="C111" s="177"/>
      <c r="D111" s="177"/>
      <c r="E111" s="177"/>
      <c r="F111" s="177"/>
      <c r="G111" s="177"/>
      <c r="H111" s="268"/>
      <c r="I111" s="177">
        <f t="shared" si="6"/>
        <v>0</v>
      </c>
      <c r="J111" s="235"/>
      <c r="K111" s="177" t="str">
        <f t="shared" si="7"/>
        <v>NUEVO</v>
      </c>
      <c r="L111" s="177"/>
      <c r="M111" s="177"/>
      <c r="N111" s="177"/>
      <c r="O111" s="177"/>
      <c r="P111" s="177"/>
      <c r="Q111" s="178"/>
      <c r="R111" s="177"/>
      <c r="S111" s="177"/>
      <c r="T111" s="236"/>
      <c r="U111" s="177"/>
      <c r="V111" s="177"/>
      <c r="W111" s="178"/>
      <c r="X111" s="177"/>
      <c r="Y111" s="177"/>
      <c r="Z111" s="177"/>
      <c r="AA111" s="177"/>
      <c r="AB111" s="177"/>
      <c r="AC111" s="178"/>
      <c r="AD111" s="238"/>
      <c r="AE111" s="178"/>
      <c r="AF111" s="178"/>
      <c r="AG111" s="178"/>
    </row>
    <row r="112" spans="1:33" hidden="1" x14ac:dyDescent="0.2">
      <c r="A112" s="177"/>
      <c r="B112" s="177"/>
      <c r="C112" s="177"/>
      <c r="D112" s="177"/>
      <c r="E112" s="177"/>
      <c r="F112" s="177"/>
      <c r="G112" s="177"/>
      <c r="H112" s="268"/>
      <c r="I112" s="177">
        <f t="shared" si="6"/>
        <v>0</v>
      </c>
      <c r="J112" s="235"/>
      <c r="K112" s="177" t="str">
        <f t="shared" si="7"/>
        <v>NUEVO</v>
      </c>
      <c r="L112" s="177"/>
      <c r="M112" s="177"/>
      <c r="N112" s="177"/>
      <c r="O112" s="177"/>
      <c r="P112" s="177"/>
      <c r="Q112" s="178"/>
      <c r="R112" s="177"/>
      <c r="S112" s="177"/>
      <c r="T112" s="236"/>
      <c r="U112" s="177"/>
      <c r="V112" s="177"/>
      <c r="W112" s="178"/>
      <c r="X112" s="177"/>
      <c r="Y112" s="177"/>
      <c r="Z112" s="177"/>
      <c r="AA112" s="177"/>
      <c r="AB112" s="177"/>
      <c r="AC112" s="178"/>
      <c r="AD112" s="179"/>
      <c r="AE112" s="178"/>
      <c r="AF112" s="178"/>
      <c r="AG112" s="178"/>
    </row>
    <row r="113" spans="1:33" hidden="1" x14ac:dyDescent="0.2">
      <c r="A113" s="177"/>
      <c r="B113" s="177"/>
      <c r="C113" s="177"/>
      <c r="D113" s="177"/>
      <c r="E113" s="177"/>
      <c r="F113" s="177"/>
      <c r="G113" s="177"/>
      <c r="H113" s="268"/>
      <c r="I113" s="177">
        <f t="shared" si="6"/>
        <v>0</v>
      </c>
      <c r="J113" s="235"/>
      <c r="K113" s="177" t="str">
        <f t="shared" si="7"/>
        <v>NUEVO</v>
      </c>
      <c r="L113" s="235"/>
      <c r="M113" s="177"/>
      <c r="N113" s="177"/>
      <c r="O113" s="177"/>
      <c r="P113" s="177"/>
      <c r="Q113" s="178"/>
      <c r="R113" s="177"/>
      <c r="S113" s="177"/>
      <c r="T113" s="236"/>
      <c r="U113" s="177"/>
      <c r="V113" s="177"/>
      <c r="W113" s="178"/>
      <c r="X113" s="177"/>
      <c r="Y113" s="177"/>
      <c r="Z113" s="177"/>
      <c r="AA113" s="177"/>
      <c r="AB113" s="177"/>
      <c r="AC113" s="178"/>
      <c r="AD113" s="238"/>
      <c r="AE113" s="178"/>
      <c r="AF113" s="178"/>
      <c r="AG113" s="178"/>
    </row>
    <row r="114" spans="1:33" hidden="1" x14ac:dyDescent="0.2">
      <c r="A114" s="177"/>
      <c r="B114" s="177"/>
      <c r="C114" s="177"/>
      <c r="D114" s="177"/>
      <c r="E114" s="177"/>
      <c r="F114" s="177"/>
      <c r="G114" s="177"/>
      <c r="H114" s="268"/>
      <c r="I114" s="177">
        <f t="shared" si="6"/>
        <v>0</v>
      </c>
      <c r="J114" s="235"/>
      <c r="K114" s="177" t="str">
        <f t="shared" si="7"/>
        <v>NUEVO</v>
      </c>
      <c r="L114" s="235"/>
      <c r="M114" s="177"/>
      <c r="N114" s="177"/>
      <c r="O114" s="177"/>
      <c r="P114" s="177"/>
      <c r="Q114" s="178"/>
      <c r="R114" s="177"/>
      <c r="S114" s="177"/>
      <c r="T114" s="236"/>
      <c r="U114" s="177"/>
      <c r="V114" s="177"/>
      <c r="W114" s="178"/>
      <c r="X114" s="177"/>
      <c r="Y114" s="177"/>
      <c r="Z114" s="177"/>
      <c r="AA114" s="177"/>
      <c r="AB114" s="177"/>
      <c r="AC114" s="178"/>
      <c r="AD114" s="238"/>
      <c r="AE114" s="178"/>
      <c r="AF114" s="178"/>
      <c r="AG114" s="178"/>
    </row>
    <row r="115" spans="1:33" hidden="1" x14ac:dyDescent="0.2">
      <c r="A115" s="177"/>
      <c r="B115" s="177"/>
      <c r="C115" s="177"/>
      <c r="D115" s="177"/>
      <c r="E115" s="177"/>
      <c r="F115" s="177"/>
      <c r="G115" s="177"/>
      <c r="H115" s="268"/>
      <c r="I115" s="177">
        <f t="shared" si="6"/>
        <v>0</v>
      </c>
      <c r="J115" s="235"/>
      <c r="K115" s="177" t="str">
        <f t="shared" si="7"/>
        <v>NUEVO</v>
      </c>
      <c r="L115" s="235"/>
      <c r="M115" s="177"/>
      <c r="N115" s="177"/>
      <c r="O115" s="177"/>
      <c r="P115" s="177"/>
      <c r="Q115" s="178"/>
      <c r="R115" s="177"/>
      <c r="S115" s="177"/>
      <c r="T115" s="236"/>
      <c r="U115" s="177"/>
      <c r="V115" s="177"/>
      <c r="W115" s="178"/>
      <c r="X115" s="177"/>
      <c r="Y115" s="177"/>
      <c r="Z115" s="177"/>
      <c r="AA115" s="177"/>
      <c r="AB115" s="177"/>
      <c r="AC115" s="178"/>
      <c r="AD115" s="248"/>
      <c r="AE115" s="178"/>
      <c r="AF115" s="178"/>
      <c r="AG115" s="178"/>
    </row>
    <row r="116" spans="1:33" hidden="1" x14ac:dyDescent="0.2">
      <c r="A116" s="177"/>
      <c r="B116" s="177"/>
      <c r="C116" s="177"/>
      <c r="D116" s="177"/>
      <c r="E116" s="177"/>
      <c r="F116" s="177"/>
      <c r="G116" s="177"/>
      <c r="H116" s="271"/>
      <c r="I116" s="177">
        <f t="shared" si="6"/>
        <v>0</v>
      </c>
      <c r="J116" s="235"/>
      <c r="K116" s="177" t="str">
        <f t="shared" si="7"/>
        <v>NUEVO</v>
      </c>
      <c r="L116" s="235"/>
      <c r="M116" s="177"/>
      <c r="N116" s="177"/>
      <c r="O116" s="177"/>
      <c r="P116" s="177"/>
      <c r="Q116" s="178"/>
      <c r="R116" s="177"/>
      <c r="S116" s="177"/>
      <c r="T116" s="236"/>
      <c r="U116" s="177"/>
      <c r="V116" s="177"/>
      <c r="W116" s="178"/>
      <c r="X116" s="177"/>
      <c r="Y116" s="177"/>
      <c r="Z116" s="177"/>
      <c r="AA116" s="177"/>
      <c r="AB116" s="177"/>
      <c r="AC116" s="178"/>
      <c r="AD116" s="249"/>
      <c r="AE116" s="250"/>
      <c r="AF116" s="178"/>
      <c r="AG116" s="178"/>
    </row>
    <row r="117" spans="1:33" hidden="1" x14ac:dyDescent="0.2">
      <c r="A117" s="177"/>
      <c r="B117" s="177"/>
      <c r="C117" s="177"/>
      <c r="D117" s="177"/>
      <c r="E117" s="177"/>
      <c r="F117" s="177"/>
      <c r="G117" s="177"/>
      <c r="H117" s="268"/>
      <c r="I117" s="177">
        <f t="shared" si="6"/>
        <v>0</v>
      </c>
      <c r="J117" s="235"/>
      <c r="K117" s="177" t="str">
        <f t="shared" si="7"/>
        <v>NUEVO</v>
      </c>
      <c r="L117" s="235"/>
      <c r="M117" s="235"/>
      <c r="N117" s="177"/>
      <c r="O117" s="177"/>
      <c r="P117" s="177"/>
      <c r="Q117" s="178"/>
      <c r="R117" s="177"/>
      <c r="S117" s="177"/>
      <c r="T117" s="236"/>
      <c r="U117" s="177"/>
      <c r="V117" s="177"/>
      <c r="W117" s="178"/>
      <c r="X117" s="177"/>
      <c r="Y117" s="177"/>
      <c r="Z117" s="177"/>
      <c r="AA117" s="177"/>
      <c r="AB117" s="177"/>
      <c r="AC117" s="178"/>
      <c r="AD117" s="249"/>
      <c r="AE117" s="250"/>
      <c r="AF117" s="178"/>
      <c r="AG117" s="178"/>
    </row>
    <row r="118" spans="1:33" ht="15" hidden="1" x14ac:dyDescent="0.25">
      <c r="A118" s="177"/>
      <c r="B118" s="177"/>
      <c r="C118" s="177"/>
      <c r="D118" s="177"/>
      <c r="E118" s="177"/>
      <c r="F118" s="243"/>
      <c r="G118" s="243"/>
      <c r="H118" s="271"/>
      <c r="I118" s="177">
        <f t="shared" si="6"/>
        <v>0</v>
      </c>
      <c r="J118" s="235"/>
      <c r="K118" s="177" t="str">
        <f t="shared" si="7"/>
        <v>NUEVO</v>
      </c>
      <c r="L118" s="9"/>
      <c r="M118" s="9"/>
      <c r="N118" s="177"/>
      <c r="O118" s="177"/>
      <c r="P118" s="177"/>
      <c r="Q118" s="178"/>
      <c r="R118" s="177"/>
      <c r="S118" s="177"/>
      <c r="T118" s="236"/>
      <c r="U118" s="177"/>
      <c r="V118" s="177"/>
      <c r="W118" s="178"/>
      <c r="X118" s="177"/>
      <c r="Y118" s="177"/>
      <c r="Z118" s="177"/>
      <c r="AA118" s="177"/>
      <c r="AB118" s="177"/>
      <c r="AC118" s="178"/>
      <c r="AD118" s="249"/>
      <c r="AE118" s="250"/>
      <c r="AF118" s="178"/>
      <c r="AG118" s="178"/>
    </row>
    <row r="119" spans="1:33" hidden="1" x14ac:dyDescent="0.2">
      <c r="A119" s="177"/>
      <c r="B119" s="177"/>
      <c r="C119" s="177"/>
      <c r="D119" s="177"/>
      <c r="E119" s="177"/>
      <c r="F119" s="177"/>
      <c r="G119" s="177"/>
      <c r="H119" s="268"/>
      <c r="I119" s="177">
        <f t="shared" si="6"/>
        <v>0</v>
      </c>
      <c r="J119" s="235"/>
      <c r="K119" s="177" t="str">
        <f t="shared" si="7"/>
        <v>NUEVO</v>
      </c>
      <c r="L119" s="235"/>
      <c r="M119" s="235"/>
      <c r="N119" s="177"/>
      <c r="O119" s="177"/>
      <c r="P119" s="177"/>
      <c r="Q119" s="178"/>
      <c r="R119" s="177"/>
      <c r="S119" s="177"/>
      <c r="T119" s="236"/>
      <c r="U119" s="177"/>
      <c r="V119" s="177"/>
      <c r="W119" s="178"/>
      <c r="X119" s="177"/>
      <c r="Y119" s="177"/>
      <c r="Z119" s="177"/>
      <c r="AA119" s="177"/>
      <c r="AB119" s="177"/>
      <c r="AC119" s="178"/>
      <c r="AD119" s="248"/>
      <c r="AE119" s="178"/>
      <c r="AF119" s="178"/>
      <c r="AG119" s="178"/>
    </row>
    <row r="120" spans="1:33" ht="15" hidden="1" x14ac:dyDescent="0.25">
      <c r="A120" s="177"/>
      <c r="B120" s="177"/>
      <c r="C120" s="177"/>
      <c r="D120" s="177"/>
      <c r="E120" s="177"/>
      <c r="F120" s="177"/>
      <c r="G120" s="177"/>
      <c r="H120" s="268"/>
      <c r="I120" s="177">
        <f t="shared" si="6"/>
        <v>0</v>
      </c>
      <c r="J120" s="235"/>
      <c r="K120" s="177" t="str">
        <f t="shared" si="7"/>
        <v>NUEVO</v>
      </c>
      <c r="L120" s="177"/>
      <c r="M120" s="9"/>
      <c r="N120" s="177"/>
      <c r="O120" s="177"/>
      <c r="P120" s="177"/>
      <c r="Q120" s="178"/>
      <c r="R120" s="177"/>
      <c r="S120" s="177"/>
      <c r="T120" s="236"/>
      <c r="U120" s="177"/>
      <c r="V120" s="177"/>
      <c r="W120" s="178"/>
      <c r="X120" s="177"/>
      <c r="Y120" s="177"/>
      <c r="Z120" s="177"/>
      <c r="AA120" s="177"/>
      <c r="AB120" s="177"/>
      <c r="AC120" s="178"/>
      <c r="AD120" s="248"/>
      <c r="AE120" s="178"/>
      <c r="AF120" s="178"/>
      <c r="AG120" s="178"/>
    </row>
    <row r="121" spans="1:33" ht="15" hidden="1" x14ac:dyDescent="0.25">
      <c r="A121" s="177"/>
      <c r="B121" s="177"/>
      <c r="C121" s="177"/>
      <c r="D121" s="177"/>
      <c r="E121" s="177"/>
      <c r="F121" s="177"/>
      <c r="G121" s="177"/>
      <c r="H121" s="268"/>
      <c r="I121" s="177">
        <f t="shared" si="6"/>
        <v>0</v>
      </c>
      <c r="J121" s="235"/>
      <c r="K121" s="177" t="str">
        <f t="shared" si="7"/>
        <v>NUEVO</v>
      </c>
      <c r="L121" s="9"/>
      <c r="M121" s="9"/>
      <c r="N121" s="177"/>
      <c r="O121" s="177"/>
      <c r="P121" s="177"/>
      <c r="Q121" s="178"/>
      <c r="R121" s="177"/>
      <c r="S121" s="177"/>
      <c r="T121" s="236"/>
      <c r="U121" s="177"/>
      <c r="V121" s="177"/>
      <c r="W121" s="178"/>
      <c r="X121" s="177"/>
      <c r="Y121" s="177"/>
      <c r="Z121" s="177"/>
      <c r="AA121" s="177"/>
      <c r="AB121" s="177"/>
      <c r="AC121" s="178"/>
      <c r="AD121" s="248"/>
      <c r="AE121" s="178"/>
      <c r="AF121" s="178"/>
      <c r="AG121" s="178"/>
    </row>
    <row r="122" spans="1:33" hidden="1" x14ac:dyDescent="0.2">
      <c r="A122" s="177"/>
      <c r="B122" s="177"/>
      <c r="C122" s="177"/>
      <c r="D122" s="177"/>
      <c r="E122" s="177"/>
      <c r="F122" s="177"/>
      <c r="G122" s="177"/>
      <c r="H122" s="268"/>
      <c r="I122" s="177">
        <f t="shared" si="6"/>
        <v>0</v>
      </c>
      <c r="J122" s="235"/>
      <c r="K122" s="177" t="str">
        <f t="shared" si="7"/>
        <v>NUEVO</v>
      </c>
      <c r="L122" s="235"/>
      <c r="M122" s="235"/>
      <c r="N122" s="177"/>
      <c r="O122" s="177"/>
      <c r="P122" s="177"/>
      <c r="Q122" s="178"/>
      <c r="R122" s="177"/>
      <c r="S122" s="177"/>
      <c r="T122" s="236"/>
      <c r="U122" s="177"/>
      <c r="V122" s="177"/>
      <c r="W122" s="178"/>
      <c r="X122" s="177"/>
      <c r="Y122" s="177"/>
      <c r="Z122" s="177"/>
      <c r="AA122" s="177"/>
      <c r="AB122" s="177"/>
      <c r="AC122" s="178"/>
      <c r="AD122" s="249"/>
      <c r="AE122" s="178"/>
      <c r="AF122" s="178"/>
      <c r="AG122" s="178"/>
    </row>
    <row r="123" spans="1:33" ht="15" hidden="1" x14ac:dyDescent="0.25">
      <c r="A123" s="177"/>
      <c r="B123" s="177"/>
      <c r="C123" s="177"/>
      <c r="D123" s="177"/>
      <c r="E123" s="177"/>
      <c r="F123" s="177"/>
      <c r="G123" s="177"/>
      <c r="H123" s="11"/>
      <c r="I123" s="177">
        <f t="shared" si="6"/>
        <v>0</v>
      </c>
      <c r="J123" s="235"/>
      <c r="K123" s="177" t="str">
        <f t="shared" si="7"/>
        <v>NUEVO</v>
      </c>
      <c r="L123" s="235"/>
      <c r="M123" s="235"/>
      <c r="N123" s="177"/>
      <c r="O123" s="177"/>
      <c r="P123" s="177"/>
      <c r="Q123" s="178"/>
      <c r="R123" s="177"/>
      <c r="S123" s="177"/>
      <c r="T123" s="236"/>
      <c r="U123" s="177"/>
      <c r="V123" s="177"/>
      <c r="W123" s="178"/>
      <c r="X123" s="177"/>
      <c r="Y123" s="177"/>
      <c r="Z123" s="177"/>
      <c r="AA123" s="177"/>
      <c r="AB123" s="177"/>
      <c r="AC123" s="178"/>
      <c r="AD123" s="179"/>
      <c r="AE123" s="178"/>
      <c r="AF123" s="178"/>
      <c r="AG123" s="178"/>
    </row>
    <row r="124" spans="1:33" ht="15" hidden="1" x14ac:dyDescent="0.25">
      <c r="A124" s="177"/>
      <c r="B124" s="177"/>
      <c r="C124" s="177"/>
      <c r="D124" s="177"/>
      <c r="E124" s="177"/>
      <c r="F124" s="177"/>
      <c r="G124" s="177"/>
      <c r="H124" s="11"/>
      <c r="I124" s="177">
        <f t="shared" si="6"/>
        <v>0</v>
      </c>
      <c r="J124" s="235"/>
      <c r="K124" s="177" t="str">
        <f t="shared" si="7"/>
        <v>NUEVO</v>
      </c>
      <c r="L124" s="9"/>
      <c r="M124" s="9"/>
      <c r="N124" s="177"/>
      <c r="O124" s="177"/>
      <c r="P124" s="177"/>
      <c r="Q124" s="178"/>
      <c r="R124" s="177"/>
      <c r="S124" s="177"/>
      <c r="T124" s="236"/>
      <c r="U124" s="177"/>
      <c r="V124" s="177"/>
      <c r="W124" s="178"/>
      <c r="X124" s="177"/>
      <c r="Y124" s="177"/>
      <c r="Z124" s="177"/>
      <c r="AA124" s="177"/>
      <c r="AB124" s="177"/>
      <c r="AC124" s="178"/>
      <c r="AD124" s="1"/>
      <c r="AE124" s="178"/>
      <c r="AF124" s="178"/>
      <c r="AG124" s="178"/>
    </row>
    <row r="125" spans="1:33" hidden="1" x14ac:dyDescent="0.2">
      <c r="A125" s="177"/>
      <c r="B125" s="177"/>
      <c r="C125" s="177"/>
      <c r="D125" s="177"/>
      <c r="E125" s="177"/>
      <c r="F125" s="177"/>
      <c r="G125" s="177"/>
      <c r="H125" s="268"/>
      <c r="I125" s="177">
        <f t="shared" si="6"/>
        <v>0</v>
      </c>
      <c r="J125" s="235"/>
      <c r="K125" s="177" t="str">
        <f t="shared" si="7"/>
        <v>NUEVO</v>
      </c>
      <c r="L125" s="235"/>
      <c r="M125" s="235"/>
      <c r="N125" s="177"/>
      <c r="O125" s="177"/>
      <c r="P125" s="177"/>
      <c r="Q125" s="178"/>
      <c r="R125" s="177"/>
      <c r="S125" s="177"/>
      <c r="T125" s="236"/>
      <c r="U125" s="177"/>
      <c r="V125" s="177"/>
      <c r="W125" s="178"/>
      <c r="X125" s="177"/>
      <c r="Y125" s="177"/>
      <c r="Z125" s="177"/>
      <c r="AA125" s="177"/>
      <c r="AB125" s="177"/>
      <c r="AC125" s="178"/>
      <c r="AD125" s="179"/>
      <c r="AE125" s="178"/>
      <c r="AF125" s="178"/>
      <c r="AG125" s="178"/>
    </row>
    <row r="126" spans="1:33" ht="15" hidden="1" x14ac:dyDescent="0.25">
      <c r="A126" s="177"/>
      <c r="B126" s="177"/>
      <c r="C126" s="177"/>
      <c r="D126" s="177"/>
      <c r="E126" s="177"/>
      <c r="F126" s="177"/>
      <c r="G126" s="177"/>
      <c r="H126" s="268"/>
      <c r="I126" s="177">
        <f t="shared" si="6"/>
        <v>0</v>
      </c>
      <c r="J126" s="235"/>
      <c r="K126" s="177" t="str">
        <f t="shared" si="7"/>
        <v>NUEVO</v>
      </c>
      <c r="L126" s="235"/>
      <c r="M126" s="9"/>
      <c r="N126" s="177"/>
      <c r="O126" s="177"/>
      <c r="P126" s="177"/>
      <c r="Q126" s="178"/>
      <c r="R126" s="177"/>
      <c r="S126" s="177"/>
      <c r="T126" s="236"/>
      <c r="U126" s="177"/>
      <c r="V126" s="177"/>
      <c r="W126" s="178"/>
      <c r="X126" s="177"/>
      <c r="Y126" s="177"/>
      <c r="Z126" s="177"/>
      <c r="AA126" s="177"/>
      <c r="AB126" s="177"/>
      <c r="AC126" s="178"/>
      <c r="AD126" s="238"/>
      <c r="AE126" s="178"/>
      <c r="AF126" s="178"/>
      <c r="AG126" s="178"/>
    </row>
    <row r="127" spans="1:33" hidden="1" x14ac:dyDescent="0.2">
      <c r="A127" s="177"/>
      <c r="B127" s="177"/>
      <c r="C127" s="177"/>
      <c r="D127" s="177"/>
      <c r="E127" s="177"/>
      <c r="F127" s="177"/>
      <c r="G127" s="177"/>
      <c r="H127" s="271"/>
      <c r="I127" s="177">
        <f t="shared" si="6"/>
        <v>0</v>
      </c>
      <c r="J127" s="235"/>
      <c r="K127" s="177" t="str">
        <f t="shared" si="7"/>
        <v>NUEVO</v>
      </c>
      <c r="L127" s="235"/>
      <c r="M127" s="177"/>
      <c r="N127" s="177"/>
      <c r="O127" s="177"/>
      <c r="P127" s="177"/>
      <c r="Q127" s="178"/>
      <c r="R127" s="177"/>
      <c r="S127" s="177"/>
      <c r="T127" s="236"/>
      <c r="U127" s="177"/>
      <c r="V127" s="177"/>
      <c r="W127" s="178"/>
      <c r="X127" s="177"/>
      <c r="Y127" s="177"/>
      <c r="Z127" s="177"/>
      <c r="AA127" s="177"/>
      <c r="AB127" s="177"/>
      <c r="AC127" s="178"/>
      <c r="AD127" s="179"/>
      <c r="AE127" s="178"/>
      <c r="AF127" s="178"/>
      <c r="AG127" s="178"/>
    </row>
    <row r="128" spans="1:33" ht="15" hidden="1" x14ac:dyDescent="0.25">
      <c r="A128" s="177"/>
      <c r="B128" s="177"/>
      <c r="C128" s="177"/>
      <c r="D128" s="177"/>
      <c r="E128" s="177"/>
      <c r="F128" s="177"/>
      <c r="H128" s="268"/>
      <c r="I128" s="177">
        <f t="shared" si="6"/>
        <v>0</v>
      </c>
      <c r="J128" s="235"/>
      <c r="K128" s="177" t="str">
        <f t="shared" si="7"/>
        <v>NUEVO</v>
      </c>
      <c r="L128" s="9"/>
      <c r="M128" s="235"/>
      <c r="N128" s="177"/>
      <c r="O128" s="177"/>
      <c r="P128" s="177"/>
      <c r="Q128" s="178"/>
      <c r="R128" s="177"/>
      <c r="S128" s="177"/>
      <c r="T128" s="236"/>
      <c r="U128" s="177"/>
      <c r="V128" s="177"/>
      <c r="W128" s="178"/>
      <c r="X128" s="177"/>
      <c r="Y128" s="177"/>
      <c r="Z128" s="177"/>
      <c r="AA128" s="177"/>
      <c r="AB128" s="177"/>
      <c r="AC128" s="178"/>
      <c r="AD128" s="179"/>
      <c r="AE128" s="178"/>
      <c r="AF128" s="178"/>
      <c r="AG128" s="178"/>
    </row>
    <row r="129" spans="1:33" ht="15" hidden="1" x14ac:dyDescent="0.25">
      <c r="A129" s="177"/>
      <c r="B129" s="177"/>
      <c r="C129" s="177"/>
      <c r="D129" s="177"/>
      <c r="E129" s="177"/>
      <c r="F129" s="177"/>
      <c r="G129" s="1"/>
      <c r="H129" s="11"/>
      <c r="I129" s="177">
        <f t="shared" si="6"/>
        <v>0</v>
      </c>
      <c r="J129" s="235"/>
      <c r="K129" s="177" t="str">
        <f t="shared" si="7"/>
        <v>NUEVO</v>
      </c>
      <c r="L129" s="235"/>
      <c r="M129" s="177"/>
      <c r="N129" s="177"/>
      <c r="O129" s="177"/>
      <c r="P129" s="177"/>
      <c r="Q129" s="178"/>
      <c r="R129" s="177"/>
      <c r="S129" s="177"/>
      <c r="T129" s="236"/>
      <c r="U129" s="177"/>
      <c r="V129" s="177"/>
      <c r="W129" s="178"/>
      <c r="X129" s="177"/>
      <c r="Y129" s="177"/>
      <c r="Z129" s="177"/>
      <c r="AA129" s="177"/>
      <c r="AB129" s="177"/>
      <c r="AC129" s="178"/>
      <c r="AD129" s="179"/>
      <c r="AE129" s="178"/>
      <c r="AF129" s="178"/>
      <c r="AG129" s="178"/>
    </row>
    <row r="130" spans="1:33" ht="15" hidden="1" x14ac:dyDescent="0.2">
      <c r="A130" s="177"/>
      <c r="B130" s="177"/>
      <c r="C130" s="177"/>
      <c r="D130" s="177"/>
      <c r="E130" s="177"/>
      <c r="F130" s="177"/>
      <c r="G130" s="177"/>
      <c r="H130" s="272"/>
      <c r="I130" s="177">
        <f t="shared" si="6"/>
        <v>0</v>
      </c>
      <c r="J130" s="235"/>
      <c r="K130" s="177" t="str">
        <f t="shared" si="7"/>
        <v>NUEVO</v>
      </c>
      <c r="L130" s="235"/>
      <c r="M130" s="177"/>
      <c r="N130" s="177"/>
      <c r="O130" s="177"/>
      <c r="P130" s="177"/>
      <c r="Q130" s="178"/>
      <c r="R130" s="177"/>
      <c r="S130" s="177"/>
      <c r="T130" s="236"/>
      <c r="U130" s="177"/>
      <c r="V130" s="177"/>
      <c r="W130" s="178"/>
      <c r="X130" s="177"/>
      <c r="Y130" s="177"/>
      <c r="Z130" s="177"/>
      <c r="AA130" s="177"/>
      <c r="AB130" s="177"/>
      <c r="AC130" s="178"/>
      <c r="AD130" s="238"/>
      <c r="AE130" s="178"/>
      <c r="AF130" s="178"/>
      <c r="AG130" s="178"/>
    </row>
    <row r="131" spans="1:33" ht="15" hidden="1" x14ac:dyDescent="0.25">
      <c r="A131" s="177"/>
      <c r="B131" s="177"/>
      <c r="C131" s="177"/>
      <c r="D131" s="177"/>
      <c r="E131" s="177"/>
      <c r="F131" s="177"/>
      <c r="G131" s="1"/>
      <c r="H131" s="272"/>
      <c r="I131" s="177">
        <f t="shared" si="6"/>
        <v>0</v>
      </c>
      <c r="J131" s="235"/>
      <c r="K131" s="177" t="str">
        <f t="shared" si="7"/>
        <v>NUEVO</v>
      </c>
      <c r="L131" s="235"/>
      <c r="M131" s="177"/>
      <c r="N131" s="177"/>
      <c r="O131" s="177"/>
      <c r="P131" s="177"/>
      <c r="Q131" s="178"/>
      <c r="R131" s="177"/>
      <c r="S131" s="177"/>
      <c r="T131" s="236"/>
      <c r="U131" s="177"/>
      <c r="V131" s="177"/>
      <c r="W131" s="178"/>
      <c r="X131" s="177"/>
      <c r="Y131" s="177"/>
      <c r="Z131" s="177"/>
      <c r="AA131" s="177"/>
      <c r="AB131" s="177"/>
      <c r="AC131" s="178"/>
      <c r="AD131" s="238"/>
      <c r="AE131" s="178"/>
      <c r="AF131" s="178"/>
      <c r="AG131" s="178"/>
    </row>
    <row r="132" spans="1:33" ht="15" hidden="1" x14ac:dyDescent="0.2">
      <c r="A132" s="177"/>
      <c r="B132" s="177"/>
      <c r="C132" s="177"/>
      <c r="D132" s="177"/>
      <c r="E132" s="177"/>
      <c r="F132" s="243"/>
      <c r="G132" s="243"/>
      <c r="H132" s="273"/>
      <c r="I132" s="177">
        <f t="shared" si="6"/>
        <v>0</v>
      </c>
      <c r="J132" s="235"/>
      <c r="K132" s="177" t="str">
        <f t="shared" si="7"/>
        <v>NUEVO</v>
      </c>
      <c r="L132" s="235"/>
      <c r="M132" s="177"/>
      <c r="N132" s="177"/>
      <c r="O132" s="177"/>
      <c r="P132" s="177"/>
      <c r="Q132" s="178"/>
      <c r="R132" s="177"/>
      <c r="S132" s="177"/>
      <c r="T132" s="236"/>
      <c r="U132" s="177"/>
      <c r="V132" s="177"/>
      <c r="W132" s="178"/>
      <c r="X132" s="177"/>
      <c r="Y132" s="177"/>
      <c r="Z132" s="177"/>
      <c r="AA132" s="177"/>
      <c r="AB132" s="177"/>
      <c r="AC132" s="178"/>
      <c r="AD132" s="238"/>
      <c r="AE132" s="178"/>
      <c r="AF132" s="178"/>
      <c r="AG132" s="178"/>
    </row>
    <row r="133" spans="1:33" hidden="1" x14ac:dyDescent="0.2">
      <c r="A133" s="177"/>
      <c r="B133" s="177"/>
      <c r="C133" s="177"/>
      <c r="D133" s="177"/>
      <c r="E133" s="177"/>
      <c r="F133" s="177"/>
      <c r="G133" s="177"/>
      <c r="H133" s="274"/>
      <c r="I133" s="177">
        <f t="shared" si="6"/>
        <v>0</v>
      </c>
      <c r="J133" s="235"/>
      <c r="K133" s="177" t="str">
        <f t="shared" si="7"/>
        <v>NUEVO</v>
      </c>
      <c r="L133" s="235"/>
      <c r="M133" s="177"/>
      <c r="N133" s="177"/>
      <c r="O133" s="177"/>
      <c r="P133" s="177"/>
      <c r="Q133" s="178"/>
      <c r="R133" s="177"/>
      <c r="S133" s="177"/>
      <c r="T133" s="236"/>
      <c r="U133" s="177"/>
      <c r="V133" s="177"/>
      <c r="W133" s="178"/>
      <c r="X133" s="177"/>
      <c r="Y133" s="177"/>
      <c r="Z133" s="177"/>
      <c r="AA133" s="177"/>
      <c r="AB133" s="177"/>
      <c r="AC133" s="178"/>
      <c r="AD133" s="179"/>
      <c r="AE133" s="178"/>
      <c r="AF133" s="178"/>
      <c r="AG133" s="178"/>
    </row>
    <row r="134" spans="1:33" ht="15" hidden="1" x14ac:dyDescent="0.25">
      <c r="A134" s="177"/>
      <c r="B134" s="177"/>
      <c r="C134" s="177"/>
      <c r="D134" s="177"/>
      <c r="E134" s="177"/>
      <c r="F134" s="177"/>
      <c r="G134" s="1"/>
      <c r="H134" s="272"/>
      <c r="I134" s="177">
        <f t="shared" si="6"/>
        <v>0</v>
      </c>
      <c r="J134" s="235"/>
      <c r="K134" s="177" t="str">
        <f t="shared" si="7"/>
        <v>NUEVO</v>
      </c>
      <c r="L134" s="235"/>
      <c r="M134" s="235"/>
      <c r="N134" s="177"/>
      <c r="O134" s="177"/>
      <c r="P134" s="177"/>
      <c r="Q134" s="178"/>
      <c r="R134" s="177"/>
      <c r="S134" s="177"/>
      <c r="T134" s="236"/>
      <c r="U134" s="177"/>
      <c r="V134" s="177"/>
      <c r="W134" s="178"/>
      <c r="X134" s="177"/>
      <c r="Y134" s="177"/>
      <c r="Z134" s="177"/>
      <c r="AA134" s="177"/>
      <c r="AB134" s="177"/>
      <c r="AC134" s="178"/>
      <c r="AD134" s="179"/>
      <c r="AE134" s="250"/>
      <c r="AF134" s="178"/>
      <c r="AG134" s="178"/>
    </row>
    <row r="135" spans="1:33" hidden="1" x14ac:dyDescent="0.2">
      <c r="A135" s="177"/>
      <c r="B135" s="177"/>
      <c r="C135" s="177"/>
      <c r="D135" s="177"/>
      <c r="E135" s="177"/>
      <c r="F135" s="177"/>
      <c r="G135" s="177"/>
      <c r="H135" s="268"/>
      <c r="I135" s="177">
        <f t="shared" si="6"/>
        <v>0</v>
      </c>
      <c r="J135" s="235"/>
      <c r="K135" s="177" t="str">
        <f t="shared" si="7"/>
        <v>NUEVO</v>
      </c>
      <c r="L135" s="235"/>
      <c r="M135" s="177"/>
      <c r="N135" s="177"/>
      <c r="O135" s="177"/>
      <c r="P135" s="177"/>
      <c r="Q135" s="178"/>
      <c r="R135" s="177"/>
      <c r="S135" s="177"/>
      <c r="T135" s="236"/>
      <c r="U135" s="177"/>
      <c r="V135" s="177"/>
      <c r="W135" s="178"/>
      <c r="X135" s="177"/>
      <c r="Y135" s="177"/>
      <c r="Z135" s="177"/>
      <c r="AA135" s="177"/>
      <c r="AB135" s="177"/>
      <c r="AC135" s="178"/>
      <c r="AD135" s="179"/>
      <c r="AE135" s="250"/>
      <c r="AF135" s="178"/>
      <c r="AG135" s="178"/>
    </row>
    <row r="136" spans="1:33" hidden="1" x14ac:dyDescent="0.2">
      <c r="A136" s="177"/>
      <c r="B136" s="177"/>
      <c r="C136" s="177"/>
      <c r="D136" s="177"/>
      <c r="E136" s="177"/>
      <c r="F136" s="177"/>
      <c r="G136" s="177"/>
      <c r="H136" s="271"/>
      <c r="I136" s="177">
        <f t="shared" si="6"/>
        <v>0</v>
      </c>
      <c r="J136" s="235"/>
      <c r="K136" s="177" t="str">
        <f t="shared" si="7"/>
        <v>NUEVO</v>
      </c>
      <c r="L136" s="235"/>
      <c r="M136" s="177"/>
      <c r="N136" s="177"/>
      <c r="O136" s="177"/>
      <c r="P136" s="177"/>
      <c r="Q136" s="178"/>
      <c r="R136" s="177"/>
      <c r="S136" s="177"/>
      <c r="T136" s="236"/>
      <c r="U136" s="177"/>
      <c r="V136" s="177"/>
      <c r="W136" s="178"/>
      <c r="X136" s="177"/>
      <c r="Y136" s="177"/>
      <c r="Z136" s="177"/>
      <c r="AA136" s="177"/>
      <c r="AB136" s="177"/>
      <c r="AC136" s="178"/>
      <c r="AD136" s="179"/>
      <c r="AE136" s="250"/>
      <c r="AF136" s="178"/>
      <c r="AG136" s="178"/>
    </row>
    <row r="137" spans="1:33" hidden="1" x14ac:dyDescent="0.2">
      <c r="A137" s="177"/>
      <c r="B137" s="177"/>
      <c r="C137" s="177"/>
      <c r="D137" s="177"/>
      <c r="E137" s="177"/>
      <c r="F137" s="177"/>
      <c r="G137" s="177"/>
      <c r="H137" s="268"/>
      <c r="I137" s="177">
        <f t="shared" si="6"/>
        <v>0</v>
      </c>
      <c r="J137" s="235"/>
      <c r="K137" s="177" t="str">
        <f t="shared" si="7"/>
        <v>NUEVO</v>
      </c>
      <c r="L137" s="235"/>
      <c r="M137" s="177"/>
      <c r="N137" s="177"/>
      <c r="O137" s="177"/>
      <c r="P137" s="177"/>
      <c r="Q137" s="178"/>
      <c r="R137" s="177"/>
      <c r="S137" s="177"/>
      <c r="T137" s="236"/>
      <c r="U137" s="177"/>
      <c r="V137" s="177"/>
      <c r="W137" s="178"/>
      <c r="X137" s="177"/>
      <c r="Y137" s="177"/>
      <c r="Z137" s="177"/>
      <c r="AA137" s="177"/>
      <c r="AB137" s="177"/>
      <c r="AC137" s="178"/>
      <c r="AD137" s="238"/>
      <c r="AE137" s="250"/>
      <c r="AF137" s="178"/>
      <c r="AG137" s="178"/>
    </row>
    <row r="138" spans="1:33" hidden="1" x14ac:dyDescent="0.2">
      <c r="A138" s="177"/>
      <c r="B138" s="177"/>
      <c r="C138" s="177"/>
      <c r="D138" s="177"/>
      <c r="E138" s="177"/>
      <c r="F138" s="177"/>
      <c r="G138" s="177"/>
      <c r="H138" s="268"/>
      <c r="I138" s="177">
        <f t="shared" si="6"/>
        <v>0</v>
      </c>
      <c r="J138" s="235"/>
      <c r="K138" s="177" t="str">
        <f t="shared" si="7"/>
        <v>NUEVO</v>
      </c>
      <c r="L138" s="235"/>
      <c r="M138" s="177"/>
      <c r="N138" s="177"/>
      <c r="O138" s="177"/>
      <c r="P138" s="177"/>
      <c r="Q138" s="178"/>
      <c r="R138" s="177"/>
      <c r="S138" s="177"/>
      <c r="T138" s="236"/>
      <c r="U138" s="177"/>
      <c r="V138" s="177"/>
      <c r="W138" s="178"/>
      <c r="X138" s="177"/>
      <c r="Y138" s="177"/>
      <c r="Z138" s="177"/>
      <c r="AA138" s="177"/>
      <c r="AB138" s="177"/>
      <c r="AC138" s="178"/>
      <c r="AD138" s="238"/>
      <c r="AE138" s="250"/>
      <c r="AF138" s="178"/>
      <c r="AG138" s="178"/>
    </row>
    <row r="139" spans="1:33" hidden="1" x14ac:dyDescent="0.2">
      <c r="A139" s="177"/>
      <c r="B139" s="177"/>
      <c r="C139" s="177"/>
      <c r="D139" s="177"/>
      <c r="E139" s="177"/>
      <c r="F139" s="177"/>
      <c r="G139" s="177"/>
      <c r="H139" s="268"/>
      <c r="I139" s="177">
        <f t="shared" si="6"/>
        <v>0</v>
      </c>
      <c r="J139" s="235"/>
      <c r="K139" s="177" t="str">
        <f t="shared" si="7"/>
        <v>NUEVO</v>
      </c>
      <c r="L139" s="235"/>
      <c r="M139" s="177"/>
      <c r="N139" s="177"/>
      <c r="O139" s="177"/>
      <c r="P139" s="177"/>
      <c r="Q139" s="178"/>
      <c r="R139" s="177"/>
      <c r="S139" s="177"/>
      <c r="T139" s="236"/>
      <c r="U139" s="177"/>
      <c r="V139" s="177"/>
      <c r="W139" s="178"/>
      <c r="X139" s="177"/>
      <c r="Y139" s="177"/>
      <c r="Z139" s="177"/>
      <c r="AA139" s="177"/>
      <c r="AB139" s="177"/>
      <c r="AC139" s="178"/>
      <c r="AD139" s="238"/>
      <c r="AE139" s="250"/>
      <c r="AF139" s="178"/>
      <c r="AG139" s="178"/>
    </row>
    <row r="140" spans="1:33" hidden="1" x14ac:dyDescent="0.2">
      <c r="A140" s="177"/>
      <c r="B140" s="177"/>
      <c r="C140" s="177"/>
      <c r="D140" s="177"/>
      <c r="E140" s="177"/>
      <c r="F140" s="177"/>
      <c r="G140" s="177"/>
      <c r="H140" s="268"/>
      <c r="I140" s="177">
        <f t="shared" si="6"/>
        <v>0</v>
      </c>
      <c r="J140" s="235"/>
      <c r="K140" s="177" t="str">
        <f t="shared" si="7"/>
        <v>NUEVO</v>
      </c>
      <c r="L140" s="177"/>
      <c r="M140" s="177"/>
      <c r="N140" s="177"/>
      <c r="O140" s="177"/>
      <c r="P140" s="177"/>
      <c r="Q140" s="178"/>
      <c r="R140" s="177"/>
      <c r="S140" s="177"/>
      <c r="T140" s="236"/>
      <c r="U140" s="177"/>
      <c r="V140" s="177"/>
      <c r="W140" s="178"/>
      <c r="X140" s="177"/>
      <c r="Y140" s="177"/>
      <c r="Z140" s="177"/>
      <c r="AA140" s="177"/>
      <c r="AB140" s="177"/>
      <c r="AC140" s="178"/>
      <c r="AD140" s="179"/>
      <c r="AE140" s="250"/>
      <c r="AF140" s="178"/>
      <c r="AG140" s="178"/>
    </row>
    <row r="141" spans="1:33" hidden="1" x14ac:dyDescent="0.2">
      <c r="A141" s="177"/>
      <c r="B141" s="177"/>
      <c r="C141" s="177"/>
      <c r="D141" s="177"/>
      <c r="E141" s="177"/>
      <c r="F141" s="177"/>
      <c r="G141" s="177"/>
      <c r="H141" s="268"/>
      <c r="I141" s="177">
        <f t="shared" si="6"/>
        <v>0</v>
      </c>
      <c r="J141" s="235"/>
      <c r="K141" s="177" t="str">
        <f t="shared" si="7"/>
        <v>NUEVO</v>
      </c>
      <c r="L141" s="235"/>
      <c r="M141" s="177"/>
      <c r="N141" s="177"/>
      <c r="O141" s="177"/>
      <c r="P141" s="177"/>
      <c r="Q141" s="178"/>
      <c r="R141" s="177"/>
      <c r="S141" s="177"/>
      <c r="T141" s="236"/>
      <c r="U141" s="177"/>
      <c r="V141" s="177"/>
      <c r="W141" s="178"/>
      <c r="X141" s="177"/>
      <c r="Y141" s="177"/>
      <c r="Z141" s="177"/>
      <c r="AA141" s="177"/>
      <c r="AB141" s="177"/>
      <c r="AC141" s="178"/>
      <c r="AD141" s="238"/>
      <c r="AE141" s="250"/>
      <c r="AF141" s="178"/>
      <c r="AG141" s="178"/>
    </row>
    <row r="142" spans="1:33" s="29" customFormat="1" hidden="1" x14ac:dyDescent="0.2">
      <c r="A142" s="177"/>
      <c r="B142" s="177"/>
      <c r="C142" s="177"/>
      <c r="D142" s="177"/>
      <c r="E142" s="177"/>
      <c r="F142" s="177"/>
      <c r="G142" s="243"/>
      <c r="H142" s="271"/>
      <c r="I142" s="177">
        <f t="shared" si="6"/>
        <v>0</v>
      </c>
      <c r="J142" s="235"/>
      <c r="K142" s="177" t="str">
        <f t="shared" si="7"/>
        <v>NUEVO</v>
      </c>
      <c r="L142" s="235"/>
      <c r="M142" s="177"/>
      <c r="N142" s="177"/>
      <c r="O142" s="177"/>
      <c r="P142" s="177"/>
      <c r="Q142" s="178"/>
      <c r="R142" s="177"/>
      <c r="S142" s="177"/>
      <c r="T142" s="236"/>
      <c r="U142" s="177"/>
      <c r="V142" s="177"/>
      <c r="W142" s="178"/>
      <c r="X142" s="177"/>
      <c r="Y142" s="177"/>
      <c r="Z142" s="177"/>
      <c r="AA142" s="177"/>
      <c r="AB142" s="177"/>
      <c r="AC142" s="178"/>
      <c r="AD142" s="238"/>
      <c r="AE142" s="250"/>
      <c r="AF142" s="178"/>
      <c r="AG142" s="178"/>
    </row>
    <row r="143" spans="1:33" hidden="1" x14ac:dyDescent="0.2">
      <c r="A143" s="177"/>
      <c r="B143" s="177"/>
      <c r="C143" s="177"/>
      <c r="D143" s="177"/>
      <c r="E143" s="177"/>
      <c r="F143" s="177"/>
      <c r="G143" s="177"/>
      <c r="H143" s="268"/>
      <c r="I143" s="177">
        <f t="shared" si="6"/>
        <v>0</v>
      </c>
      <c r="J143" s="235"/>
      <c r="K143" s="177" t="str">
        <f t="shared" si="7"/>
        <v>NUEVO</v>
      </c>
      <c r="L143" s="235"/>
      <c r="M143" s="177"/>
      <c r="N143" s="177"/>
      <c r="O143" s="177"/>
      <c r="P143" s="177"/>
      <c r="Q143" s="178"/>
      <c r="R143" s="177"/>
      <c r="S143" s="177"/>
      <c r="T143" s="236"/>
      <c r="U143" s="177"/>
      <c r="V143" s="177"/>
      <c r="W143" s="178"/>
      <c r="X143" s="177"/>
      <c r="Y143" s="177"/>
      <c r="Z143" s="177"/>
      <c r="AA143" s="177"/>
      <c r="AB143" s="177"/>
      <c r="AC143" s="178"/>
      <c r="AD143" s="238"/>
      <c r="AE143" s="250"/>
      <c r="AF143" s="178"/>
      <c r="AG143" s="178"/>
    </row>
    <row r="144" spans="1:33" hidden="1" x14ac:dyDescent="0.2">
      <c r="A144" s="177"/>
      <c r="B144" s="177"/>
      <c r="C144" s="177"/>
      <c r="D144" s="177"/>
      <c r="E144" s="177"/>
      <c r="F144" s="177"/>
      <c r="G144" s="177"/>
      <c r="H144" s="268"/>
      <c r="I144" s="177">
        <f t="shared" si="6"/>
        <v>0</v>
      </c>
      <c r="J144" s="235"/>
      <c r="K144" s="177" t="str">
        <f t="shared" si="7"/>
        <v>NUEVO</v>
      </c>
      <c r="L144" s="235"/>
      <c r="M144" s="235"/>
      <c r="N144" s="235"/>
      <c r="O144" s="177"/>
      <c r="P144" s="177"/>
      <c r="Q144" s="178"/>
      <c r="R144" s="177"/>
      <c r="S144" s="177"/>
      <c r="T144" s="236"/>
      <c r="U144" s="177"/>
      <c r="V144" s="177"/>
      <c r="W144" s="178"/>
      <c r="X144" s="177"/>
      <c r="Y144" s="177"/>
      <c r="Z144" s="177"/>
      <c r="AA144" s="177"/>
      <c r="AB144" s="177"/>
      <c r="AC144" s="178"/>
      <c r="AD144" s="238"/>
      <c r="AE144" s="250"/>
      <c r="AF144" s="178"/>
      <c r="AG144" s="178"/>
    </row>
    <row r="145" spans="1:33" hidden="1" x14ac:dyDescent="0.2">
      <c r="A145" s="177"/>
      <c r="B145" s="177"/>
      <c r="C145" s="177"/>
      <c r="D145" s="177"/>
      <c r="E145" s="177"/>
      <c r="F145" s="177"/>
      <c r="G145" s="177"/>
      <c r="H145" s="268"/>
      <c r="I145" s="177">
        <f t="shared" si="6"/>
        <v>0</v>
      </c>
      <c r="J145" s="235"/>
      <c r="K145" s="177" t="str">
        <f t="shared" si="7"/>
        <v>NUEVO</v>
      </c>
      <c r="L145" s="177"/>
      <c r="M145" s="177"/>
      <c r="N145" s="177"/>
      <c r="O145" s="177"/>
      <c r="P145" s="177"/>
      <c r="Q145" s="178"/>
      <c r="R145" s="177"/>
      <c r="S145" s="177"/>
      <c r="T145" s="236"/>
      <c r="U145" s="177"/>
      <c r="V145" s="177"/>
      <c r="W145" s="178"/>
      <c r="X145" s="177"/>
      <c r="Y145" s="177"/>
      <c r="Z145" s="177"/>
      <c r="AA145" s="177"/>
      <c r="AB145" s="177"/>
      <c r="AC145" s="178"/>
      <c r="AD145" s="179"/>
      <c r="AE145" s="250"/>
      <c r="AF145" s="178"/>
      <c r="AG145" s="178"/>
    </row>
    <row r="146" spans="1:33" hidden="1" x14ac:dyDescent="0.2">
      <c r="A146" s="177"/>
      <c r="B146" s="177"/>
      <c r="C146" s="177"/>
      <c r="D146" s="177"/>
      <c r="E146" s="177"/>
      <c r="F146" s="177"/>
      <c r="G146" s="177"/>
      <c r="H146" s="268"/>
      <c r="I146" s="177">
        <f t="shared" si="6"/>
        <v>0</v>
      </c>
      <c r="J146" s="235"/>
      <c r="K146" s="177" t="str">
        <f t="shared" si="7"/>
        <v>NUEVO</v>
      </c>
      <c r="L146" s="177"/>
      <c r="M146" s="177"/>
      <c r="N146" s="177"/>
      <c r="O146" s="177"/>
      <c r="P146" s="177"/>
      <c r="Q146" s="178"/>
      <c r="R146" s="177"/>
      <c r="S146" s="177"/>
      <c r="T146" s="236"/>
      <c r="U146" s="177"/>
      <c r="V146" s="177"/>
      <c r="W146" s="178"/>
      <c r="X146" s="177"/>
      <c r="Y146" s="177"/>
      <c r="Z146" s="177"/>
      <c r="AA146" s="177"/>
      <c r="AB146" s="177"/>
      <c r="AC146" s="178"/>
      <c r="AD146" s="179"/>
      <c r="AE146" s="250"/>
      <c r="AF146" s="178"/>
      <c r="AG146" s="178"/>
    </row>
    <row r="147" spans="1:33" hidden="1" x14ac:dyDescent="0.2">
      <c r="A147" s="177"/>
      <c r="B147" s="177"/>
      <c r="C147" s="177"/>
      <c r="D147" s="177"/>
      <c r="E147" s="177"/>
      <c r="F147" s="177"/>
      <c r="G147" s="177"/>
      <c r="H147" s="268"/>
      <c r="I147" s="177">
        <f t="shared" si="6"/>
        <v>0</v>
      </c>
      <c r="J147" s="235"/>
      <c r="K147" s="177" t="str">
        <f t="shared" si="7"/>
        <v>NUEVO</v>
      </c>
      <c r="L147" s="177"/>
      <c r="M147" s="177"/>
      <c r="N147" s="177"/>
      <c r="O147" s="177"/>
      <c r="P147" s="177"/>
      <c r="Q147" s="178"/>
      <c r="R147" s="177"/>
      <c r="S147" s="177"/>
      <c r="T147" s="236"/>
      <c r="U147" s="177"/>
      <c r="V147" s="177"/>
      <c r="W147" s="178"/>
      <c r="X147" s="177"/>
      <c r="Y147" s="177"/>
      <c r="Z147" s="177"/>
      <c r="AA147" s="177"/>
      <c r="AB147" s="177"/>
      <c r="AC147" s="178"/>
      <c r="AD147" s="179"/>
      <c r="AE147" s="178"/>
      <c r="AF147" s="178"/>
      <c r="AG147" s="178"/>
    </row>
    <row r="148" spans="1:33" hidden="1" x14ac:dyDescent="0.2">
      <c r="A148" s="177"/>
      <c r="B148" s="177"/>
      <c r="C148" s="177"/>
      <c r="D148" s="177"/>
      <c r="E148" s="177"/>
      <c r="F148" s="177"/>
      <c r="G148" s="177"/>
      <c r="H148" s="268"/>
      <c r="I148" s="177">
        <f t="shared" si="6"/>
        <v>0</v>
      </c>
      <c r="J148" s="235"/>
      <c r="K148" s="177" t="str">
        <f t="shared" si="7"/>
        <v>NUEVO</v>
      </c>
      <c r="L148" s="235"/>
      <c r="M148" s="177"/>
      <c r="N148" s="177"/>
      <c r="O148" s="177"/>
      <c r="P148" s="177"/>
      <c r="Q148" s="178"/>
      <c r="R148" s="177"/>
      <c r="S148" s="177"/>
      <c r="T148" s="236"/>
      <c r="U148" s="177"/>
      <c r="V148" s="177"/>
      <c r="W148" s="178"/>
      <c r="X148" s="177"/>
      <c r="Y148" s="177"/>
      <c r="Z148" s="177"/>
      <c r="AA148" s="177"/>
      <c r="AB148" s="177"/>
      <c r="AC148" s="178"/>
      <c r="AD148" s="179"/>
      <c r="AE148" s="178"/>
      <c r="AF148" s="178"/>
      <c r="AG148" s="178"/>
    </row>
    <row r="149" spans="1:33" hidden="1" x14ac:dyDescent="0.2">
      <c r="A149" s="177"/>
      <c r="B149" s="177"/>
      <c r="C149" s="177"/>
      <c r="D149" s="177"/>
      <c r="E149" s="177"/>
      <c r="F149" s="177"/>
      <c r="G149" s="177"/>
      <c r="H149" s="268"/>
      <c r="I149" s="177">
        <f t="shared" si="6"/>
        <v>0</v>
      </c>
      <c r="J149" s="235"/>
      <c r="K149" s="177" t="str">
        <f t="shared" si="7"/>
        <v>NUEVO</v>
      </c>
      <c r="L149" s="235"/>
      <c r="M149" s="177"/>
      <c r="N149" s="177"/>
      <c r="O149" s="177"/>
      <c r="P149" s="177"/>
      <c r="Q149" s="178"/>
      <c r="R149" s="177"/>
      <c r="S149" s="177"/>
      <c r="T149" s="236"/>
      <c r="U149" s="177"/>
      <c r="V149" s="177"/>
      <c r="W149" s="178"/>
      <c r="X149" s="177"/>
      <c r="Y149" s="177"/>
      <c r="Z149" s="177"/>
      <c r="AA149" s="177"/>
      <c r="AB149" s="177"/>
      <c r="AC149" s="178"/>
      <c r="AD149" s="179"/>
      <c r="AE149" s="178"/>
      <c r="AF149" s="178"/>
      <c r="AG149" s="178"/>
    </row>
    <row r="150" spans="1:33" hidden="1" x14ac:dyDescent="0.2">
      <c r="A150" s="177"/>
      <c r="B150" s="177"/>
      <c r="C150" s="177"/>
      <c r="D150" s="177"/>
      <c r="E150" s="177"/>
      <c r="F150" s="177"/>
      <c r="G150" s="177"/>
      <c r="H150" s="268"/>
      <c r="I150" s="177">
        <f t="shared" si="6"/>
        <v>0</v>
      </c>
      <c r="J150" s="235"/>
      <c r="K150" s="177" t="str">
        <f t="shared" si="7"/>
        <v>NUEVO</v>
      </c>
      <c r="L150" s="177"/>
      <c r="M150" s="177"/>
      <c r="N150" s="177"/>
      <c r="O150" s="177"/>
      <c r="P150" s="177"/>
      <c r="Q150" s="178"/>
      <c r="R150" s="177"/>
      <c r="S150" s="177"/>
      <c r="T150" s="236"/>
      <c r="U150" s="177"/>
      <c r="V150" s="177"/>
      <c r="W150" s="178"/>
      <c r="X150" s="177"/>
      <c r="Y150" s="177"/>
      <c r="Z150" s="177"/>
      <c r="AA150" s="177"/>
      <c r="AB150" s="177"/>
      <c r="AC150" s="178"/>
      <c r="AD150" s="179"/>
      <c r="AE150" s="178"/>
      <c r="AF150" s="178"/>
      <c r="AG150" s="178"/>
    </row>
    <row r="151" spans="1:33" hidden="1" x14ac:dyDescent="0.2">
      <c r="A151" s="177"/>
      <c r="B151" s="177"/>
      <c r="C151" s="177"/>
      <c r="D151" s="177"/>
      <c r="E151" s="177"/>
      <c r="F151" s="177"/>
      <c r="G151" s="177"/>
      <c r="H151" s="268"/>
      <c r="I151" s="177">
        <f t="shared" si="6"/>
        <v>0</v>
      </c>
      <c r="J151" s="235"/>
      <c r="K151" s="177" t="str">
        <f t="shared" si="7"/>
        <v>NUEVO</v>
      </c>
      <c r="L151" s="177"/>
      <c r="M151" s="177"/>
      <c r="N151" s="177"/>
      <c r="O151" s="177"/>
      <c r="P151" s="177"/>
      <c r="Q151" s="178"/>
      <c r="R151" s="177"/>
      <c r="S151" s="177"/>
      <c r="T151" s="236"/>
      <c r="U151" s="177"/>
      <c r="V151" s="177"/>
      <c r="W151" s="178"/>
      <c r="X151" s="177"/>
      <c r="Y151" s="177"/>
      <c r="Z151" s="177"/>
      <c r="AA151" s="177"/>
      <c r="AB151" s="177"/>
      <c r="AC151" s="178"/>
      <c r="AD151" s="179"/>
      <c r="AE151" s="178"/>
      <c r="AF151" s="178"/>
      <c r="AG151" s="178"/>
    </row>
    <row r="152" spans="1:33" hidden="1" x14ac:dyDescent="0.2">
      <c r="A152" s="177"/>
      <c r="B152" s="177"/>
      <c r="C152" s="177"/>
      <c r="D152" s="177"/>
      <c r="E152" s="177"/>
      <c r="F152" s="177"/>
      <c r="G152" s="177"/>
      <c r="H152" s="268"/>
      <c r="I152" s="177">
        <f t="shared" si="6"/>
        <v>0</v>
      </c>
      <c r="J152" s="235"/>
      <c r="K152" s="177" t="str">
        <f t="shared" si="7"/>
        <v>NUEVO</v>
      </c>
      <c r="L152" s="177"/>
      <c r="M152" s="177"/>
      <c r="N152" s="177"/>
      <c r="O152" s="177"/>
      <c r="P152" s="177"/>
      <c r="Q152" s="178"/>
      <c r="R152" s="177"/>
      <c r="S152" s="177"/>
      <c r="T152" s="236"/>
      <c r="U152" s="177"/>
      <c r="V152" s="177"/>
      <c r="W152" s="178"/>
      <c r="X152" s="177"/>
      <c r="Y152" s="177"/>
      <c r="Z152" s="177"/>
      <c r="AA152" s="177"/>
      <c r="AB152" s="177"/>
      <c r="AC152" s="178"/>
      <c r="AD152" s="179"/>
      <c r="AE152" s="178"/>
      <c r="AF152" s="178"/>
      <c r="AG152" s="178"/>
    </row>
    <row r="153" spans="1:33" hidden="1" x14ac:dyDescent="0.2">
      <c r="A153" s="177"/>
      <c r="B153" s="177"/>
      <c r="C153" s="177"/>
      <c r="D153" s="177"/>
      <c r="E153" s="177"/>
      <c r="F153" s="177"/>
      <c r="G153" s="177"/>
      <c r="H153" s="268"/>
      <c r="I153" s="177">
        <f t="shared" si="6"/>
        <v>0</v>
      </c>
      <c r="J153" s="235"/>
      <c r="K153" s="177" t="str">
        <f t="shared" si="7"/>
        <v>NUEVO</v>
      </c>
      <c r="L153" s="235"/>
      <c r="M153" s="177"/>
      <c r="N153" s="177"/>
      <c r="O153" s="177"/>
      <c r="P153" s="177"/>
      <c r="Q153" s="178"/>
      <c r="R153" s="177"/>
      <c r="S153" s="177"/>
      <c r="T153" s="236"/>
      <c r="U153" s="177"/>
      <c r="V153" s="177"/>
      <c r="W153" s="178"/>
      <c r="X153" s="177"/>
      <c r="Y153" s="177"/>
      <c r="Z153" s="177"/>
      <c r="AA153" s="177"/>
      <c r="AB153" s="177"/>
      <c r="AC153" s="178"/>
      <c r="AD153" s="179"/>
      <c r="AE153" s="178"/>
      <c r="AF153" s="178"/>
      <c r="AG153" s="178"/>
    </row>
    <row r="154" spans="1:33" hidden="1" x14ac:dyDescent="0.2">
      <c r="A154" s="177"/>
      <c r="B154" s="177"/>
      <c r="C154" s="177"/>
      <c r="D154" s="177"/>
      <c r="E154" s="177"/>
      <c r="F154" s="177"/>
      <c r="G154" s="177"/>
      <c r="H154" s="268"/>
      <c r="I154" s="177">
        <f t="shared" si="6"/>
        <v>0</v>
      </c>
      <c r="J154" s="235"/>
      <c r="K154" s="177" t="str">
        <f t="shared" si="7"/>
        <v>NUEVO</v>
      </c>
      <c r="L154" s="177"/>
      <c r="M154" s="177"/>
      <c r="N154" s="177"/>
      <c r="O154" s="177"/>
      <c r="P154" s="177"/>
      <c r="Q154" s="178"/>
      <c r="R154" s="177"/>
      <c r="S154" s="177"/>
      <c r="T154" s="236"/>
      <c r="U154" s="177"/>
      <c r="V154" s="177"/>
      <c r="W154" s="178"/>
      <c r="X154" s="177"/>
      <c r="Y154" s="177"/>
      <c r="Z154" s="177"/>
      <c r="AA154" s="177"/>
      <c r="AB154" s="177"/>
      <c r="AC154" s="178"/>
      <c r="AD154" s="179"/>
      <c r="AE154" s="178"/>
      <c r="AF154" s="178"/>
      <c r="AG154" s="178"/>
    </row>
    <row r="155" spans="1:33" hidden="1" x14ac:dyDescent="0.2">
      <c r="A155" s="177"/>
      <c r="B155" s="177"/>
      <c r="C155" s="177"/>
      <c r="D155" s="177"/>
      <c r="E155" s="177"/>
      <c r="F155" s="177"/>
      <c r="G155" s="177"/>
      <c r="H155" s="268"/>
      <c r="I155" s="177">
        <f t="shared" si="6"/>
        <v>0</v>
      </c>
      <c r="J155" s="235"/>
      <c r="K155" s="177" t="str">
        <f t="shared" si="7"/>
        <v>NUEVO</v>
      </c>
      <c r="L155" s="177"/>
      <c r="M155" s="177"/>
      <c r="N155" s="177"/>
      <c r="O155" s="177"/>
      <c r="P155" s="177"/>
      <c r="Q155" s="178"/>
      <c r="R155" s="177"/>
      <c r="S155" s="177"/>
      <c r="T155" s="236"/>
      <c r="U155" s="177"/>
      <c r="V155" s="177"/>
      <c r="W155" s="178"/>
      <c r="X155" s="177"/>
      <c r="Y155" s="177"/>
      <c r="Z155" s="177"/>
      <c r="AA155" s="177"/>
      <c r="AB155" s="177"/>
      <c r="AC155" s="178"/>
      <c r="AD155" s="179"/>
      <c r="AE155" s="178"/>
      <c r="AF155" s="178"/>
      <c r="AG155" s="178"/>
    </row>
    <row r="156" spans="1:33" hidden="1" x14ac:dyDescent="0.2">
      <c r="A156" s="177"/>
      <c r="B156" s="177"/>
      <c r="C156" s="177"/>
      <c r="D156" s="177"/>
      <c r="E156" s="177"/>
      <c r="F156" s="177"/>
      <c r="G156" s="177"/>
      <c r="H156" s="268"/>
      <c r="I156" s="177">
        <f t="shared" si="6"/>
        <v>0</v>
      </c>
      <c r="J156" s="235"/>
      <c r="K156" s="177" t="str">
        <f t="shared" si="7"/>
        <v>NUEVO</v>
      </c>
      <c r="L156" s="177"/>
      <c r="M156" s="177"/>
      <c r="N156" s="177"/>
      <c r="O156" s="177"/>
      <c r="P156" s="177"/>
      <c r="Q156" s="178"/>
      <c r="R156" s="177"/>
      <c r="S156" s="177"/>
      <c r="T156" s="236"/>
      <c r="U156" s="177"/>
      <c r="V156" s="177"/>
      <c r="W156" s="178"/>
      <c r="X156" s="177"/>
      <c r="Y156" s="177"/>
      <c r="Z156" s="177"/>
      <c r="AA156" s="177"/>
      <c r="AB156" s="177"/>
      <c r="AC156" s="178"/>
      <c r="AD156" s="179"/>
      <c r="AE156" s="178"/>
      <c r="AF156" s="178"/>
      <c r="AG156" s="178"/>
    </row>
    <row r="157" spans="1:33" hidden="1" x14ac:dyDescent="0.2">
      <c r="A157" s="178"/>
      <c r="B157" s="178"/>
      <c r="C157" s="178"/>
      <c r="D157" s="178"/>
      <c r="E157" s="178"/>
      <c r="F157" s="178"/>
      <c r="G157" s="178"/>
      <c r="H157" s="274"/>
      <c r="I157" s="177">
        <f t="shared" si="6"/>
        <v>0</v>
      </c>
      <c r="J157" s="251"/>
      <c r="K157" s="177" t="str">
        <f t="shared" si="7"/>
        <v>NUEVO</v>
      </c>
      <c r="L157" s="178"/>
      <c r="M157" s="178"/>
      <c r="N157" s="178"/>
      <c r="O157" s="178"/>
      <c r="P157" s="178"/>
      <c r="Q157" s="178"/>
      <c r="R157" s="178"/>
      <c r="S157" s="178"/>
      <c r="T157" s="253"/>
      <c r="U157" s="178"/>
      <c r="V157" s="178"/>
      <c r="W157" s="178"/>
      <c r="X157" s="178"/>
      <c r="Y157" s="178"/>
      <c r="Z157" s="178"/>
      <c r="AA157" s="177"/>
      <c r="AB157" s="177"/>
      <c r="AC157" s="178"/>
      <c r="AD157" s="254"/>
      <c r="AE157" s="178"/>
      <c r="AF157" s="178"/>
      <c r="AG157" s="178"/>
    </row>
    <row r="158" spans="1:33" hidden="1" x14ac:dyDescent="0.2">
      <c r="A158" s="177"/>
      <c r="B158" s="177"/>
      <c r="C158" s="177"/>
      <c r="D158" s="177"/>
      <c r="E158" s="177"/>
      <c r="F158" s="177"/>
      <c r="G158" s="177"/>
      <c r="H158" s="268"/>
      <c r="I158" s="177">
        <f t="shared" si="6"/>
        <v>0</v>
      </c>
      <c r="J158" s="235"/>
      <c r="K158" s="177" t="str">
        <f t="shared" si="7"/>
        <v>NUEVO</v>
      </c>
      <c r="L158" s="235"/>
      <c r="M158" s="177"/>
      <c r="N158" s="177"/>
      <c r="O158" s="177"/>
      <c r="P158" s="177"/>
      <c r="Q158" s="178"/>
      <c r="R158" s="177"/>
      <c r="S158" s="177"/>
      <c r="T158" s="236"/>
      <c r="U158" s="177"/>
      <c r="V158" s="177"/>
      <c r="W158" s="178"/>
      <c r="X158" s="177"/>
      <c r="Y158" s="177"/>
      <c r="Z158" s="177"/>
      <c r="AA158" s="177"/>
      <c r="AB158" s="177"/>
      <c r="AC158" s="178"/>
      <c r="AD158" s="179"/>
      <c r="AE158" s="178"/>
      <c r="AF158" s="178"/>
      <c r="AG158" s="178"/>
    </row>
    <row r="159" spans="1:33" hidden="1" x14ac:dyDescent="0.2">
      <c r="A159" s="177"/>
      <c r="B159" s="177"/>
      <c r="C159" s="177"/>
      <c r="D159" s="177"/>
      <c r="E159" s="177"/>
      <c r="F159" s="177"/>
      <c r="G159" s="177"/>
      <c r="H159" s="268"/>
      <c r="I159" s="177">
        <f t="shared" si="6"/>
        <v>0</v>
      </c>
      <c r="J159" s="235"/>
      <c r="K159" s="177" t="str">
        <f t="shared" si="7"/>
        <v>NUEVO</v>
      </c>
      <c r="L159" s="235"/>
      <c r="M159" s="177"/>
      <c r="N159" s="177"/>
      <c r="O159" s="177"/>
      <c r="P159" s="177"/>
      <c r="Q159" s="178"/>
      <c r="R159" s="177"/>
      <c r="S159" s="177"/>
      <c r="T159" s="236"/>
      <c r="U159" s="177"/>
      <c r="V159" s="177"/>
      <c r="W159" s="178"/>
      <c r="X159" s="177"/>
      <c r="Y159" s="177"/>
      <c r="Z159" s="177"/>
      <c r="AA159" s="177"/>
      <c r="AB159" s="177"/>
      <c r="AC159" s="178"/>
      <c r="AD159" s="179"/>
      <c r="AE159" s="178"/>
      <c r="AF159" s="178"/>
      <c r="AG159" s="178"/>
    </row>
    <row r="160" spans="1:33" hidden="1" x14ac:dyDescent="0.2">
      <c r="A160" s="178"/>
      <c r="B160" s="178"/>
      <c r="C160" s="178"/>
      <c r="D160" s="177"/>
      <c r="E160" s="177"/>
      <c r="F160" s="177"/>
      <c r="G160" s="177"/>
      <c r="H160" s="268"/>
      <c r="I160" s="177">
        <f t="shared" ref="I160:I194" si="8">DATEDIF(H160,J160,"m")</f>
        <v>0</v>
      </c>
      <c r="J160" s="235"/>
      <c r="K160" s="177" t="str">
        <f t="shared" ref="K160:K194" si="9">IF(I160&lt;=18,"NUEVO",IF(I160&lt;=36,"INTERMEDIO","ANTIGUO"))</f>
        <v>NUEVO</v>
      </c>
      <c r="L160" s="177"/>
      <c r="M160" s="177"/>
      <c r="N160" s="177"/>
      <c r="O160" s="177"/>
      <c r="P160" s="177"/>
      <c r="Q160" s="178"/>
      <c r="R160" s="177"/>
      <c r="S160" s="177"/>
      <c r="T160" s="236"/>
      <c r="U160" s="177"/>
      <c r="V160" s="177"/>
      <c r="W160" s="178"/>
      <c r="X160" s="177"/>
      <c r="Y160" s="177"/>
      <c r="Z160" s="177"/>
      <c r="AA160" s="177"/>
      <c r="AB160" s="177"/>
      <c r="AC160" s="178"/>
      <c r="AD160" s="179"/>
      <c r="AE160" s="178"/>
      <c r="AF160" s="178"/>
      <c r="AG160" s="178"/>
    </row>
    <row r="161" spans="1:33" hidden="1" x14ac:dyDescent="0.2">
      <c r="A161" s="178"/>
      <c r="B161" s="178"/>
      <c r="C161" s="178"/>
      <c r="D161" s="177"/>
      <c r="E161" s="177"/>
      <c r="F161" s="177"/>
      <c r="G161" s="177"/>
      <c r="H161" s="268"/>
      <c r="I161" s="177">
        <f t="shared" si="8"/>
        <v>0</v>
      </c>
      <c r="J161" s="235"/>
      <c r="K161" s="177" t="str">
        <f t="shared" si="9"/>
        <v>NUEVO</v>
      </c>
      <c r="L161" s="177"/>
      <c r="M161" s="177"/>
      <c r="N161" s="177"/>
      <c r="O161" s="177"/>
      <c r="P161" s="177"/>
      <c r="Q161" s="178"/>
      <c r="R161" s="177"/>
      <c r="S161" s="177"/>
      <c r="T161" s="236"/>
      <c r="U161" s="177"/>
      <c r="V161" s="177"/>
      <c r="W161" s="178"/>
      <c r="X161" s="177"/>
      <c r="Y161" s="177"/>
      <c r="Z161" s="177"/>
      <c r="AA161" s="177"/>
      <c r="AB161" s="177"/>
      <c r="AC161" s="178"/>
      <c r="AD161" s="179"/>
      <c r="AE161" s="178"/>
      <c r="AF161" s="178"/>
      <c r="AG161" s="178"/>
    </row>
    <row r="162" spans="1:33" hidden="1" x14ac:dyDescent="0.2">
      <c r="A162" s="177"/>
      <c r="B162" s="177"/>
      <c r="C162" s="177"/>
      <c r="D162" s="177"/>
      <c r="E162" s="177"/>
      <c r="F162" s="177"/>
      <c r="G162" s="177"/>
      <c r="H162" s="268"/>
      <c r="I162" s="177">
        <f t="shared" si="8"/>
        <v>0</v>
      </c>
      <c r="J162" s="235"/>
      <c r="K162" s="177" t="str">
        <f t="shared" si="9"/>
        <v>NUEVO</v>
      </c>
      <c r="L162" s="177"/>
      <c r="M162" s="177"/>
      <c r="N162" s="177"/>
      <c r="O162" s="177"/>
      <c r="P162" s="177"/>
      <c r="Q162" s="178"/>
      <c r="R162" s="177"/>
      <c r="S162" s="177"/>
      <c r="T162" s="236"/>
      <c r="U162" s="177"/>
      <c r="V162" s="177"/>
      <c r="W162" s="178"/>
      <c r="X162" s="177"/>
      <c r="Y162" s="177"/>
      <c r="Z162" s="177"/>
      <c r="AA162" s="177"/>
      <c r="AB162" s="177"/>
      <c r="AC162" s="178"/>
      <c r="AD162" s="179"/>
      <c r="AE162" s="178"/>
      <c r="AF162" s="178"/>
      <c r="AG162" s="178"/>
    </row>
    <row r="163" spans="1:33" hidden="1" x14ac:dyDescent="0.2">
      <c r="A163" s="178"/>
      <c r="B163" s="178"/>
      <c r="C163" s="178"/>
      <c r="D163" s="177"/>
      <c r="E163" s="177"/>
      <c r="F163" s="177"/>
      <c r="G163" s="177"/>
      <c r="H163" s="268"/>
      <c r="I163" s="177">
        <f t="shared" si="8"/>
        <v>0</v>
      </c>
      <c r="J163" s="235"/>
      <c r="K163" s="177" t="str">
        <f t="shared" si="9"/>
        <v>NUEVO</v>
      </c>
      <c r="L163" s="177"/>
      <c r="M163" s="177"/>
      <c r="N163" s="177"/>
      <c r="O163" s="177"/>
      <c r="P163" s="177"/>
      <c r="Q163" s="178"/>
      <c r="R163" s="177"/>
      <c r="S163" s="177"/>
      <c r="T163" s="236"/>
      <c r="U163" s="177"/>
      <c r="V163" s="177"/>
      <c r="W163" s="178"/>
      <c r="X163" s="177"/>
      <c r="Y163" s="177"/>
      <c r="Z163" s="177"/>
      <c r="AA163" s="177"/>
      <c r="AB163" s="177"/>
      <c r="AC163" s="178"/>
      <c r="AD163" s="179"/>
      <c r="AE163" s="178"/>
      <c r="AF163" s="178"/>
      <c r="AG163" s="178"/>
    </row>
    <row r="164" spans="1:33" hidden="1" x14ac:dyDescent="0.2">
      <c r="A164" s="177"/>
      <c r="B164" s="177"/>
      <c r="C164" s="177"/>
      <c r="D164" s="177"/>
      <c r="E164" s="177"/>
      <c r="F164" s="177"/>
      <c r="G164" s="177"/>
      <c r="H164" s="268"/>
      <c r="I164" s="177">
        <f t="shared" si="8"/>
        <v>0</v>
      </c>
      <c r="J164" s="235"/>
      <c r="K164" s="177" t="str">
        <f t="shared" si="9"/>
        <v>NUEVO</v>
      </c>
      <c r="L164" s="235"/>
      <c r="M164" s="177"/>
      <c r="N164" s="177"/>
      <c r="O164" s="177"/>
      <c r="P164" s="177"/>
      <c r="Q164" s="178"/>
      <c r="R164" s="177"/>
      <c r="S164" s="177"/>
      <c r="T164" s="236"/>
      <c r="U164" s="177"/>
      <c r="V164" s="177"/>
      <c r="W164" s="178"/>
      <c r="X164" s="177"/>
      <c r="Y164" s="177"/>
      <c r="Z164" s="177"/>
      <c r="AA164" s="177"/>
      <c r="AB164" s="177"/>
      <c r="AC164" s="178"/>
      <c r="AD164" s="179"/>
      <c r="AE164" s="178"/>
      <c r="AF164" s="178"/>
      <c r="AG164" s="178"/>
    </row>
    <row r="165" spans="1:33" s="255" customFormat="1" hidden="1" x14ac:dyDescent="0.2">
      <c r="A165" s="178"/>
      <c r="B165" s="178"/>
      <c r="C165" s="178"/>
      <c r="D165" s="178"/>
      <c r="E165" s="178"/>
      <c r="F165" s="178"/>
      <c r="G165" s="178"/>
      <c r="H165" s="274"/>
      <c r="I165" s="177">
        <f t="shared" si="8"/>
        <v>0</v>
      </c>
      <c r="J165" s="251"/>
      <c r="K165" s="177" t="str">
        <f t="shared" si="9"/>
        <v>NUEVO</v>
      </c>
      <c r="L165" s="235"/>
      <c r="M165" s="178"/>
      <c r="N165" s="178"/>
      <c r="O165" s="178"/>
      <c r="P165" s="178"/>
      <c r="Q165" s="178"/>
      <c r="R165" s="178"/>
      <c r="S165" s="178"/>
      <c r="T165" s="253"/>
      <c r="U165" s="178"/>
      <c r="V165" s="178"/>
      <c r="W165" s="178"/>
      <c r="X165" s="178"/>
      <c r="Y165" s="178"/>
      <c r="Z165" s="178"/>
      <c r="AA165" s="177"/>
      <c r="AB165" s="177"/>
      <c r="AC165" s="178"/>
      <c r="AD165" s="254"/>
      <c r="AE165" s="178"/>
      <c r="AF165" s="178"/>
      <c r="AG165" s="178"/>
    </row>
    <row r="166" spans="1:33" hidden="1" x14ac:dyDescent="0.2">
      <c r="A166" s="178"/>
      <c r="B166" s="178"/>
      <c r="C166" s="178"/>
      <c r="D166" s="177"/>
      <c r="E166" s="177"/>
      <c r="F166" s="177"/>
      <c r="G166" s="177"/>
      <c r="H166" s="268"/>
      <c r="I166" s="177">
        <f t="shared" si="8"/>
        <v>0</v>
      </c>
      <c r="J166" s="235"/>
      <c r="K166" s="177" t="str">
        <f t="shared" si="9"/>
        <v>NUEVO</v>
      </c>
      <c r="L166" s="177"/>
      <c r="M166" s="177"/>
      <c r="N166" s="177"/>
      <c r="O166" s="177"/>
      <c r="P166" s="177"/>
      <c r="Q166" s="177"/>
      <c r="R166" s="177"/>
      <c r="S166" s="177"/>
      <c r="T166" s="236"/>
      <c r="U166" s="177"/>
      <c r="V166" s="177"/>
      <c r="W166" s="178"/>
      <c r="X166" s="177"/>
      <c r="Y166" s="177"/>
      <c r="Z166" s="177"/>
      <c r="AA166" s="177"/>
      <c r="AB166" s="177"/>
      <c r="AC166" s="177"/>
      <c r="AD166" s="179"/>
      <c r="AE166" s="178"/>
      <c r="AF166" s="178"/>
      <c r="AG166" s="178"/>
    </row>
    <row r="167" spans="1:33" ht="15" hidden="1" x14ac:dyDescent="0.25">
      <c r="A167" s="177"/>
      <c r="B167" s="177"/>
      <c r="C167" s="177"/>
      <c r="D167" s="177"/>
      <c r="E167" s="177"/>
      <c r="F167" s="177"/>
      <c r="G167" s="245"/>
      <c r="H167" s="11"/>
      <c r="I167" s="177">
        <f t="shared" si="8"/>
        <v>0</v>
      </c>
      <c r="J167" s="235"/>
      <c r="K167" s="177" t="str">
        <f t="shared" si="9"/>
        <v>NUEVO</v>
      </c>
      <c r="L167" s="177"/>
      <c r="M167" s="177"/>
      <c r="N167" s="177"/>
      <c r="O167" s="177"/>
      <c r="P167" s="177"/>
      <c r="Q167" s="177"/>
      <c r="R167" s="177"/>
      <c r="S167" s="177"/>
      <c r="T167" s="236"/>
      <c r="U167" s="177"/>
      <c r="V167" s="178"/>
      <c r="W167" s="178"/>
      <c r="X167" s="177"/>
      <c r="Y167" s="177"/>
      <c r="Z167" s="177"/>
      <c r="AA167" s="177"/>
      <c r="AB167" s="177"/>
      <c r="AC167" s="177"/>
      <c r="AD167" s="179"/>
      <c r="AE167" s="178"/>
      <c r="AF167" s="178"/>
      <c r="AG167" s="178"/>
    </row>
    <row r="168" spans="1:33" ht="15" hidden="1" x14ac:dyDescent="0.25">
      <c r="A168" s="177"/>
      <c r="B168" s="177"/>
      <c r="C168" s="177"/>
      <c r="D168" s="177"/>
      <c r="E168" s="177"/>
      <c r="F168" s="177"/>
      <c r="G168" s="245"/>
      <c r="H168" s="11"/>
      <c r="I168" s="177">
        <f t="shared" si="8"/>
        <v>0</v>
      </c>
      <c r="J168" s="235"/>
      <c r="K168" s="177" t="str">
        <f t="shared" si="9"/>
        <v>NUEVO</v>
      </c>
      <c r="L168" s="177"/>
      <c r="M168" s="177"/>
      <c r="N168" s="177"/>
      <c r="O168" s="177"/>
      <c r="P168" s="177"/>
      <c r="Q168" s="177"/>
      <c r="R168" s="177"/>
      <c r="S168" s="177"/>
      <c r="T168" s="236"/>
      <c r="U168" s="177"/>
      <c r="V168" s="178"/>
      <c r="W168" s="178"/>
      <c r="X168" s="177"/>
      <c r="Y168" s="177"/>
      <c r="Z168" s="177"/>
      <c r="AA168" s="177"/>
      <c r="AB168" s="177"/>
      <c r="AC168" s="177"/>
      <c r="AD168" s="179"/>
      <c r="AE168" s="178"/>
      <c r="AF168" s="178"/>
      <c r="AG168" s="178"/>
    </row>
    <row r="169" spans="1:33" ht="15" hidden="1" x14ac:dyDescent="0.25">
      <c r="A169" s="177"/>
      <c r="B169" s="177"/>
      <c r="C169" s="177"/>
      <c r="D169" s="177"/>
      <c r="E169" s="177"/>
      <c r="F169" s="177"/>
      <c r="G169" s="245"/>
      <c r="H169" s="11"/>
      <c r="I169" s="177">
        <f t="shared" si="8"/>
        <v>0</v>
      </c>
      <c r="J169" s="235"/>
      <c r="K169" s="177" t="str">
        <f t="shared" si="9"/>
        <v>NUEVO</v>
      </c>
      <c r="L169" s="235"/>
      <c r="M169" s="235"/>
      <c r="N169" s="177"/>
      <c r="O169" s="177"/>
      <c r="P169" s="177"/>
      <c r="Q169" s="177"/>
      <c r="R169" s="177"/>
      <c r="S169" s="177"/>
      <c r="T169" s="236"/>
      <c r="U169" s="177"/>
      <c r="V169" s="178"/>
      <c r="W169" s="178"/>
      <c r="X169" s="177"/>
      <c r="Y169" s="177"/>
      <c r="Z169" s="177"/>
      <c r="AA169" s="177"/>
      <c r="AB169" s="177"/>
      <c r="AC169" s="177"/>
      <c r="AD169" s="179"/>
      <c r="AE169" s="178"/>
      <c r="AF169" s="178"/>
      <c r="AG169" s="178"/>
    </row>
    <row r="170" spans="1:33" ht="15" hidden="1" x14ac:dyDescent="0.25">
      <c r="A170" s="177"/>
      <c r="B170" s="177"/>
      <c r="C170" s="177"/>
      <c r="D170" s="177"/>
      <c r="E170" s="177"/>
      <c r="F170" s="177"/>
      <c r="G170" s="245"/>
      <c r="H170" s="11"/>
      <c r="I170" s="177">
        <f t="shared" si="8"/>
        <v>0</v>
      </c>
      <c r="J170" s="235"/>
      <c r="K170" s="177" t="str">
        <f t="shared" si="9"/>
        <v>NUEVO</v>
      </c>
      <c r="L170" s="177"/>
      <c r="M170" s="177"/>
      <c r="N170" s="177"/>
      <c r="O170" s="177"/>
      <c r="P170" s="177"/>
      <c r="Q170" s="177"/>
      <c r="R170" s="177"/>
      <c r="S170" s="177"/>
      <c r="T170" s="236"/>
      <c r="U170" s="177"/>
      <c r="V170" s="178"/>
      <c r="W170" s="178"/>
      <c r="X170" s="177"/>
      <c r="Y170" s="177"/>
      <c r="Z170" s="177"/>
      <c r="AA170" s="177"/>
      <c r="AB170" s="177"/>
      <c r="AC170" s="177"/>
      <c r="AD170" s="179"/>
      <c r="AE170" s="178"/>
      <c r="AF170" s="178"/>
      <c r="AG170" s="178"/>
    </row>
    <row r="171" spans="1:33" ht="15" hidden="1" x14ac:dyDescent="0.25">
      <c r="A171" s="177"/>
      <c r="B171" s="177"/>
      <c r="C171" s="177"/>
      <c r="D171" s="177"/>
      <c r="E171" s="177"/>
      <c r="F171" s="177"/>
      <c r="G171" s="1"/>
      <c r="H171" s="11"/>
      <c r="I171" s="177">
        <f t="shared" si="8"/>
        <v>0</v>
      </c>
      <c r="J171" s="235"/>
      <c r="K171" s="177" t="str">
        <f t="shared" si="9"/>
        <v>NUEVO</v>
      </c>
      <c r="L171" s="177"/>
      <c r="M171" s="177"/>
      <c r="N171" s="177"/>
      <c r="O171" s="177"/>
      <c r="P171" s="177"/>
      <c r="Q171" s="177"/>
      <c r="R171" s="177"/>
      <c r="S171" s="177"/>
      <c r="T171" s="236"/>
      <c r="U171" s="177"/>
      <c r="V171" s="178"/>
      <c r="W171" s="178"/>
      <c r="X171" s="177"/>
      <c r="Y171" s="177"/>
      <c r="Z171" s="177"/>
      <c r="AA171" s="177"/>
      <c r="AB171" s="177"/>
      <c r="AC171" s="177"/>
      <c r="AD171" s="179"/>
      <c r="AE171" s="178"/>
      <c r="AF171" s="178"/>
      <c r="AG171" s="178"/>
    </row>
    <row r="172" spans="1:33" s="29" customFormat="1" ht="15" hidden="1" x14ac:dyDescent="0.25">
      <c r="A172" s="177"/>
      <c r="B172" s="177"/>
      <c r="C172" s="177"/>
      <c r="D172" s="177"/>
      <c r="E172" s="177"/>
      <c r="F172" s="177"/>
      <c r="G172" s="1"/>
      <c r="H172" s="11"/>
      <c r="I172" s="177">
        <f t="shared" si="8"/>
        <v>0</v>
      </c>
      <c r="J172" s="235"/>
      <c r="K172" s="177" t="str">
        <f t="shared" si="9"/>
        <v>NUEVO</v>
      </c>
      <c r="L172" s="177"/>
      <c r="M172" s="177"/>
      <c r="N172" s="177"/>
      <c r="O172" s="177"/>
      <c r="P172" s="177"/>
      <c r="Q172" s="177"/>
      <c r="R172" s="177"/>
      <c r="S172" s="177"/>
      <c r="T172" s="236"/>
      <c r="U172" s="177"/>
      <c r="V172" s="178"/>
      <c r="W172" s="178"/>
      <c r="X172" s="177"/>
      <c r="Y172" s="177"/>
      <c r="Z172" s="177"/>
      <c r="AA172" s="177"/>
      <c r="AB172" s="177"/>
      <c r="AC172" s="177"/>
      <c r="AD172" s="179"/>
      <c r="AE172" s="178"/>
      <c r="AF172" s="178"/>
      <c r="AG172" s="178"/>
    </row>
    <row r="173" spans="1:33" ht="15" hidden="1" x14ac:dyDescent="0.25">
      <c r="A173" s="177"/>
      <c r="B173" s="177"/>
      <c r="C173" s="177"/>
      <c r="D173" s="177"/>
      <c r="E173" s="177"/>
      <c r="F173" s="177"/>
      <c r="G173" s="256"/>
      <c r="H173" s="268"/>
      <c r="I173" s="177">
        <f t="shared" si="8"/>
        <v>0</v>
      </c>
      <c r="J173" s="235"/>
      <c r="K173" s="177" t="str">
        <f t="shared" si="9"/>
        <v>NUEVO</v>
      </c>
      <c r="L173" s="177"/>
      <c r="M173" s="177"/>
      <c r="N173" s="177"/>
      <c r="O173" s="177"/>
      <c r="P173" s="177"/>
      <c r="Q173" s="177"/>
      <c r="R173" s="177"/>
      <c r="S173" s="177"/>
      <c r="T173" s="236"/>
      <c r="U173" s="177"/>
      <c r="V173" s="177"/>
      <c r="W173" s="178"/>
      <c r="X173" s="177"/>
      <c r="Y173" s="177"/>
      <c r="Z173" s="177"/>
      <c r="AA173" s="177"/>
      <c r="AB173" s="177"/>
      <c r="AC173" s="177"/>
      <c r="AD173" s="179"/>
      <c r="AE173" s="178"/>
      <c r="AF173" s="178"/>
      <c r="AG173" s="178"/>
    </row>
    <row r="174" spans="1:33" s="255" customFormat="1" ht="15" hidden="1" x14ac:dyDescent="0.25">
      <c r="A174" s="177"/>
      <c r="B174" s="177"/>
      <c r="C174" s="177"/>
      <c r="D174" s="177"/>
      <c r="E174" s="177"/>
      <c r="F174" s="177"/>
      <c r="G174" s="1"/>
      <c r="H174" s="11"/>
      <c r="I174" s="177">
        <f t="shared" si="8"/>
        <v>0</v>
      </c>
      <c r="J174" s="235"/>
      <c r="K174" s="177" t="str">
        <f t="shared" si="9"/>
        <v>NUEVO</v>
      </c>
      <c r="L174" s="177"/>
      <c r="M174" s="177"/>
      <c r="N174" s="177"/>
      <c r="O174" s="177"/>
      <c r="P174" s="177"/>
      <c r="Q174" s="177"/>
      <c r="R174" s="177"/>
      <c r="S174" s="177"/>
      <c r="T174" s="236"/>
      <c r="U174" s="177"/>
      <c r="V174" s="178"/>
      <c r="W174" s="178"/>
      <c r="X174" s="177"/>
      <c r="Y174" s="177"/>
      <c r="Z174" s="177"/>
      <c r="AA174" s="177"/>
      <c r="AB174" s="177"/>
      <c r="AC174" s="177"/>
      <c r="AD174" s="179"/>
      <c r="AE174" s="178"/>
      <c r="AF174" s="178"/>
      <c r="AG174" s="178"/>
    </row>
    <row r="175" spans="1:33" ht="15" hidden="1" x14ac:dyDescent="0.25">
      <c r="A175" s="177"/>
      <c r="B175" s="177"/>
      <c r="C175" s="177"/>
      <c r="D175" s="177"/>
      <c r="E175" s="177"/>
      <c r="F175" s="177"/>
      <c r="G175" s="1"/>
      <c r="H175" s="270"/>
      <c r="I175" s="177">
        <f t="shared" si="8"/>
        <v>0</v>
      </c>
      <c r="J175" s="235"/>
      <c r="K175" s="177" t="str">
        <f t="shared" si="9"/>
        <v>NUEVO</v>
      </c>
      <c r="L175" s="177"/>
      <c r="M175" s="177"/>
      <c r="N175" s="177"/>
      <c r="O175" s="177"/>
      <c r="P175" s="177"/>
      <c r="Q175" s="177"/>
      <c r="R175" s="177"/>
      <c r="S175" s="177"/>
      <c r="T175" s="236"/>
      <c r="U175" s="177"/>
      <c r="V175" s="178"/>
      <c r="W175" s="178"/>
      <c r="X175" s="177"/>
      <c r="Y175" s="177"/>
      <c r="Z175" s="177"/>
      <c r="AA175" s="177"/>
      <c r="AB175" s="177"/>
      <c r="AC175" s="177"/>
      <c r="AD175" s="257"/>
      <c r="AE175" s="178"/>
      <c r="AF175" s="178"/>
      <c r="AG175" s="178"/>
    </row>
    <row r="176" spans="1:33" ht="15" hidden="1" x14ac:dyDescent="0.25">
      <c r="A176" s="177"/>
      <c r="B176" s="177"/>
      <c r="C176" s="177"/>
      <c r="D176" s="177"/>
      <c r="E176" s="177"/>
      <c r="F176" s="177"/>
      <c r="G176"/>
      <c r="H176" s="275"/>
      <c r="I176" s="177">
        <f t="shared" si="8"/>
        <v>0</v>
      </c>
      <c r="J176" s="235"/>
      <c r="K176" s="177" t="str">
        <f t="shared" si="9"/>
        <v>NUEVO</v>
      </c>
      <c r="L176" s="177"/>
      <c r="M176" s="177"/>
      <c r="N176" s="177"/>
      <c r="O176" s="177"/>
      <c r="P176" s="177"/>
      <c r="Q176" s="177"/>
      <c r="R176" s="177"/>
      <c r="S176" s="177"/>
      <c r="T176" s="236"/>
      <c r="U176" s="177"/>
      <c r="V176" s="178"/>
      <c r="W176" s="178"/>
      <c r="X176" s="177"/>
      <c r="Y176" s="177"/>
      <c r="Z176" s="177"/>
      <c r="AA176" s="177"/>
      <c r="AB176" s="177"/>
      <c r="AC176" s="177"/>
      <c r="AD176" s="179"/>
      <c r="AE176" s="178"/>
      <c r="AF176" s="178"/>
      <c r="AG176" s="178"/>
    </row>
    <row r="177" spans="1:33" ht="15" hidden="1" x14ac:dyDescent="0.25">
      <c r="A177" s="177"/>
      <c r="B177" s="177"/>
      <c r="C177" s="177"/>
      <c r="D177" s="177"/>
      <c r="E177" s="177"/>
      <c r="F177" s="177"/>
      <c r="G177" s="1"/>
      <c r="H177" s="11"/>
      <c r="I177" s="177">
        <f t="shared" si="8"/>
        <v>0</v>
      </c>
      <c r="J177" s="235"/>
      <c r="K177" s="177" t="str">
        <f t="shared" si="9"/>
        <v>NUEVO</v>
      </c>
      <c r="L177" s="177"/>
      <c r="M177" s="177"/>
      <c r="N177" s="177"/>
      <c r="O177" s="177"/>
      <c r="P177" s="177"/>
      <c r="Q177" s="177"/>
      <c r="R177" s="177"/>
      <c r="S177" s="177"/>
      <c r="T177" s="236"/>
      <c r="U177" s="177"/>
      <c r="V177" s="178"/>
      <c r="W177" s="178"/>
      <c r="X177" s="177"/>
      <c r="Y177" s="177"/>
      <c r="Z177" s="177"/>
      <c r="AA177" s="177"/>
      <c r="AB177" s="177"/>
      <c r="AC177" s="177"/>
      <c r="AD177" s="179"/>
      <c r="AE177" s="178"/>
      <c r="AF177" s="178"/>
      <c r="AG177" s="178"/>
    </row>
    <row r="178" spans="1:33" ht="15" hidden="1" x14ac:dyDescent="0.25">
      <c r="A178" s="177"/>
      <c r="B178" s="177"/>
      <c r="C178" s="177"/>
      <c r="D178" s="177"/>
      <c r="E178" s="177"/>
      <c r="F178" s="177"/>
      <c r="G178" s="1"/>
      <c r="H178" s="11"/>
      <c r="I178" s="177">
        <f t="shared" si="8"/>
        <v>0</v>
      </c>
      <c r="J178" s="235"/>
      <c r="K178" s="177" t="str">
        <f t="shared" si="9"/>
        <v>NUEVO</v>
      </c>
      <c r="L178" s="177"/>
      <c r="M178" s="177"/>
      <c r="N178" s="177"/>
      <c r="O178" s="177"/>
      <c r="P178" s="177"/>
      <c r="Q178" s="177"/>
      <c r="R178" s="177"/>
      <c r="S178" s="177"/>
      <c r="T178" s="236"/>
      <c r="U178" s="177"/>
      <c r="V178" s="178"/>
      <c r="W178" s="178"/>
      <c r="X178" s="177"/>
      <c r="Y178" s="177"/>
      <c r="Z178" s="177"/>
      <c r="AA178" s="177"/>
      <c r="AB178" s="177"/>
      <c r="AC178" s="177"/>
      <c r="AD178" s="258"/>
      <c r="AE178" s="178"/>
      <c r="AF178" s="178"/>
      <c r="AG178" s="178"/>
    </row>
    <row r="179" spans="1:33" ht="15" hidden="1" x14ac:dyDescent="0.25">
      <c r="A179" s="177"/>
      <c r="B179" s="177"/>
      <c r="C179" s="177"/>
      <c r="D179" s="177"/>
      <c r="E179" s="177"/>
      <c r="F179" s="177"/>
      <c r="G179" s="1"/>
      <c r="H179" s="11"/>
      <c r="I179" s="177">
        <f t="shared" si="8"/>
        <v>0</v>
      </c>
      <c r="J179" s="235"/>
      <c r="K179" s="177" t="str">
        <f t="shared" si="9"/>
        <v>NUEVO</v>
      </c>
      <c r="L179" s="177"/>
      <c r="M179" s="177"/>
      <c r="N179" s="177"/>
      <c r="O179" s="177"/>
      <c r="P179" s="177"/>
      <c r="Q179" s="177"/>
      <c r="R179" s="177"/>
      <c r="S179" s="177"/>
      <c r="T179" s="236"/>
      <c r="U179" s="177"/>
      <c r="V179" s="178"/>
      <c r="W179" s="178"/>
      <c r="X179" s="177"/>
      <c r="Y179" s="177"/>
      <c r="Z179" s="177"/>
      <c r="AA179" s="177"/>
      <c r="AB179" s="177"/>
      <c r="AC179" s="177"/>
      <c r="AD179" s="179"/>
      <c r="AE179" s="178"/>
      <c r="AF179" s="178"/>
      <c r="AG179" s="178"/>
    </row>
    <row r="180" spans="1:33" ht="15" hidden="1" x14ac:dyDescent="0.25">
      <c r="A180" s="177"/>
      <c r="B180" s="177"/>
      <c r="C180" s="177"/>
      <c r="D180" s="177"/>
      <c r="E180" s="177"/>
      <c r="F180" s="177"/>
      <c r="G180" s="1"/>
      <c r="H180" s="11"/>
      <c r="I180" s="177">
        <f t="shared" si="8"/>
        <v>0</v>
      </c>
      <c r="J180" s="235"/>
      <c r="K180" s="177" t="str">
        <f t="shared" si="9"/>
        <v>NUEVO</v>
      </c>
      <c r="L180" s="177"/>
      <c r="M180" s="177"/>
      <c r="N180" s="177"/>
      <c r="O180" s="177"/>
      <c r="P180" s="177"/>
      <c r="Q180" s="177"/>
      <c r="R180" s="177"/>
      <c r="S180" s="177"/>
      <c r="T180" s="236"/>
      <c r="U180" s="177"/>
      <c r="V180" s="177"/>
      <c r="W180" s="178"/>
      <c r="X180" s="177"/>
      <c r="Y180" s="177"/>
      <c r="Z180" s="177"/>
      <c r="AA180" s="177"/>
      <c r="AB180" s="177"/>
      <c r="AC180" s="177"/>
      <c r="AD180" s="1"/>
      <c r="AE180" s="178"/>
      <c r="AF180" s="178"/>
      <c r="AG180" s="178"/>
    </row>
    <row r="181" spans="1:33" ht="15" hidden="1" x14ac:dyDescent="0.25">
      <c r="A181" s="177"/>
      <c r="B181" s="177"/>
      <c r="C181" s="177"/>
      <c r="D181" s="177"/>
      <c r="E181" s="177"/>
      <c r="F181" s="177"/>
      <c r="G181" s="1"/>
      <c r="H181" s="11"/>
      <c r="I181" s="177">
        <f t="shared" si="8"/>
        <v>0</v>
      </c>
      <c r="J181" s="235"/>
      <c r="K181" s="177" t="str">
        <f t="shared" si="9"/>
        <v>NUEVO</v>
      </c>
      <c r="L181" s="177"/>
      <c r="M181" s="177"/>
      <c r="N181" s="177"/>
      <c r="O181" s="177"/>
      <c r="P181" s="177"/>
      <c r="Q181" s="177"/>
      <c r="R181" s="177"/>
      <c r="S181" s="177"/>
      <c r="T181" s="236"/>
      <c r="U181" s="177"/>
      <c r="V181" s="177"/>
      <c r="W181" s="178"/>
      <c r="X181" s="177"/>
      <c r="Y181" s="177"/>
      <c r="Z181" s="177"/>
      <c r="AA181" s="177"/>
      <c r="AB181" s="177"/>
      <c r="AC181" s="177"/>
      <c r="AD181" s="179"/>
      <c r="AE181" s="178"/>
      <c r="AF181" s="178"/>
      <c r="AG181" s="178"/>
    </row>
    <row r="182" spans="1:33" ht="15" hidden="1" x14ac:dyDescent="0.25">
      <c r="A182" s="177"/>
      <c r="B182" s="177"/>
      <c r="C182" s="177"/>
      <c r="D182" s="177"/>
      <c r="E182" s="177"/>
      <c r="F182" s="177"/>
      <c r="G182" s="1"/>
      <c r="H182" s="11"/>
      <c r="I182" s="177">
        <f t="shared" si="8"/>
        <v>0</v>
      </c>
      <c r="J182" s="235"/>
      <c r="K182" s="177" t="str">
        <f t="shared" si="9"/>
        <v>NUEVO</v>
      </c>
      <c r="L182" s="177"/>
      <c r="M182" s="177"/>
      <c r="N182" s="177"/>
      <c r="O182" s="177"/>
      <c r="P182" s="177"/>
      <c r="Q182" s="177"/>
      <c r="R182" s="177"/>
      <c r="S182" s="177"/>
      <c r="T182" s="236"/>
      <c r="U182" s="177"/>
      <c r="V182" s="177"/>
      <c r="W182" s="178"/>
      <c r="X182" s="177"/>
      <c r="Y182" s="177"/>
      <c r="Z182" s="177"/>
      <c r="AA182" s="177"/>
      <c r="AB182" s="177"/>
      <c r="AC182" s="177"/>
      <c r="AD182" s="179"/>
      <c r="AE182" s="178"/>
      <c r="AF182" s="178"/>
      <c r="AG182" s="178"/>
    </row>
    <row r="183" spans="1:33" ht="15" hidden="1" x14ac:dyDescent="0.25">
      <c r="A183" s="177"/>
      <c r="B183" s="177"/>
      <c r="C183" s="177"/>
      <c r="D183" s="177"/>
      <c r="E183" s="177"/>
      <c r="F183" s="177"/>
      <c r="G183" s="1"/>
      <c r="H183" s="11"/>
      <c r="I183" s="177">
        <f t="shared" si="8"/>
        <v>0</v>
      </c>
      <c r="J183" s="235"/>
      <c r="K183" s="177" t="str">
        <f t="shared" si="9"/>
        <v>NUEVO</v>
      </c>
      <c r="L183" s="177"/>
      <c r="M183" s="177"/>
      <c r="N183" s="177"/>
      <c r="O183" s="177"/>
      <c r="P183" s="177"/>
      <c r="Q183" s="177"/>
      <c r="R183" s="177"/>
      <c r="S183" s="177"/>
      <c r="T183" s="236"/>
      <c r="U183" s="177"/>
      <c r="V183" s="177"/>
      <c r="W183" s="178"/>
      <c r="X183" s="177"/>
      <c r="Y183" s="177"/>
      <c r="Z183" s="177"/>
      <c r="AA183" s="177"/>
      <c r="AB183" s="177"/>
      <c r="AC183" s="177"/>
      <c r="AE183" s="178"/>
      <c r="AF183" s="178"/>
      <c r="AG183" s="178"/>
    </row>
    <row r="184" spans="1:33" ht="15" hidden="1" x14ac:dyDescent="0.25">
      <c r="A184" s="177"/>
      <c r="B184" s="177"/>
      <c r="C184" s="177"/>
      <c r="D184" s="177"/>
      <c r="E184" s="177"/>
      <c r="F184" s="177"/>
      <c r="G184" s="1"/>
      <c r="H184" s="11"/>
      <c r="I184" s="177">
        <f t="shared" si="8"/>
        <v>0</v>
      </c>
      <c r="J184" s="235"/>
      <c r="K184" s="177" t="str">
        <f t="shared" si="9"/>
        <v>NUEVO</v>
      </c>
      <c r="L184" s="177"/>
      <c r="M184" s="177"/>
      <c r="N184" s="177"/>
      <c r="O184" s="177"/>
      <c r="P184" s="177"/>
      <c r="Q184" s="177"/>
      <c r="R184" s="177"/>
      <c r="S184" s="177"/>
      <c r="T184" s="236"/>
      <c r="U184" s="177"/>
      <c r="V184" s="177"/>
      <c r="W184" s="178"/>
      <c r="X184" s="177"/>
      <c r="Y184" s="177"/>
      <c r="Z184" s="177"/>
      <c r="AA184" s="177"/>
      <c r="AB184" s="177"/>
      <c r="AC184" s="177"/>
      <c r="AD184" s="179"/>
      <c r="AE184" s="178"/>
      <c r="AF184" s="178"/>
      <c r="AG184" s="178"/>
    </row>
    <row r="185" spans="1:33" ht="15" hidden="1" x14ac:dyDescent="0.25">
      <c r="A185" s="177"/>
      <c r="B185" s="177"/>
      <c r="C185" s="177"/>
      <c r="D185" s="177"/>
      <c r="E185" s="177"/>
      <c r="F185" s="177"/>
      <c r="G185" s="1"/>
      <c r="H185" s="11"/>
      <c r="I185" s="177">
        <f t="shared" si="8"/>
        <v>0</v>
      </c>
      <c r="J185" s="235"/>
      <c r="K185" s="177" t="str">
        <f t="shared" si="9"/>
        <v>NUEVO</v>
      </c>
      <c r="L185" s="177"/>
      <c r="M185" s="177"/>
      <c r="N185" s="177"/>
      <c r="O185" s="177"/>
      <c r="P185" s="177"/>
      <c r="Q185" s="177"/>
      <c r="R185" s="177"/>
      <c r="S185" s="177"/>
      <c r="T185" s="236"/>
      <c r="U185" s="177"/>
      <c r="V185" s="177"/>
      <c r="W185" s="178"/>
      <c r="X185" s="177"/>
      <c r="Y185" s="177"/>
      <c r="Z185" s="177"/>
      <c r="AA185" s="177"/>
      <c r="AB185" s="177"/>
      <c r="AC185" s="177"/>
      <c r="AD185" s="179"/>
      <c r="AE185" s="178"/>
      <c r="AF185" s="178"/>
      <c r="AG185" s="178"/>
    </row>
    <row r="186" spans="1:33" ht="15" hidden="1" x14ac:dyDescent="0.25">
      <c r="A186" s="177"/>
      <c r="B186" s="177"/>
      <c r="C186" s="177"/>
      <c r="D186" s="177"/>
      <c r="E186" s="177"/>
      <c r="F186" s="177"/>
      <c r="G186" s="1"/>
      <c r="H186" s="11"/>
      <c r="I186" s="177">
        <f t="shared" si="8"/>
        <v>0</v>
      </c>
      <c r="J186" s="235"/>
      <c r="K186" s="177" t="str">
        <f t="shared" si="9"/>
        <v>NUEVO</v>
      </c>
      <c r="L186" s="177"/>
      <c r="M186" s="177"/>
      <c r="N186" s="177"/>
      <c r="O186" s="177"/>
      <c r="P186" s="177"/>
      <c r="Q186" s="177"/>
      <c r="R186" s="177"/>
      <c r="S186" s="177"/>
      <c r="T186" s="236"/>
      <c r="U186" s="177"/>
      <c r="V186" s="177"/>
      <c r="W186" s="178"/>
      <c r="X186" s="177"/>
      <c r="Y186" s="177"/>
      <c r="Z186" s="177"/>
      <c r="AA186" s="177"/>
      <c r="AB186" s="177"/>
      <c r="AC186" s="177"/>
      <c r="AE186" s="178"/>
      <c r="AF186" s="178"/>
      <c r="AG186" s="178"/>
    </row>
    <row r="187" spans="1:33" ht="15" hidden="1" x14ac:dyDescent="0.25">
      <c r="A187" s="177"/>
      <c r="B187" s="177"/>
      <c r="C187" s="177"/>
      <c r="D187" s="177"/>
      <c r="E187" s="177"/>
      <c r="F187" s="177"/>
      <c r="G187" s="1"/>
      <c r="H187" s="11"/>
      <c r="I187" s="177">
        <f t="shared" si="8"/>
        <v>0</v>
      </c>
      <c r="J187" s="235"/>
      <c r="K187" s="177" t="str">
        <f t="shared" si="9"/>
        <v>NUEVO</v>
      </c>
      <c r="L187" s="177"/>
      <c r="M187" s="177"/>
      <c r="N187" s="177"/>
      <c r="O187" s="177"/>
      <c r="P187" s="177"/>
      <c r="Q187" s="177"/>
      <c r="R187" s="177"/>
      <c r="S187" s="177"/>
      <c r="T187" s="236"/>
      <c r="U187" s="177"/>
      <c r="V187" s="177"/>
      <c r="W187" s="178"/>
      <c r="X187" s="177"/>
      <c r="Y187" s="177"/>
      <c r="Z187" s="177"/>
      <c r="AA187" s="177"/>
      <c r="AB187" s="177"/>
      <c r="AC187" s="177"/>
      <c r="AD187" s="179"/>
      <c r="AE187" s="178"/>
      <c r="AF187" s="178"/>
      <c r="AG187" s="178"/>
    </row>
    <row r="188" spans="1:33" ht="15" hidden="1" x14ac:dyDescent="0.25">
      <c r="A188" s="177"/>
      <c r="B188" s="177"/>
      <c r="C188" s="177"/>
      <c r="D188" s="177"/>
      <c r="E188" s="177"/>
      <c r="F188" s="177"/>
      <c r="G188" s="1"/>
      <c r="H188" s="11"/>
      <c r="I188" s="177">
        <f t="shared" si="8"/>
        <v>0</v>
      </c>
      <c r="J188" s="235"/>
      <c r="K188" s="177" t="str">
        <f t="shared" si="9"/>
        <v>NUEVO</v>
      </c>
      <c r="L188" s="177"/>
      <c r="M188" s="177"/>
      <c r="N188" s="177"/>
      <c r="O188" s="177"/>
      <c r="P188" s="177"/>
      <c r="Q188" s="177"/>
      <c r="S188" s="177"/>
      <c r="T188" s="236"/>
      <c r="U188" s="177"/>
      <c r="V188" s="177"/>
      <c r="W188" s="178"/>
      <c r="X188" s="177"/>
      <c r="Y188" s="177"/>
      <c r="Z188" s="177"/>
      <c r="AA188" s="177"/>
      <c r="AB188" s="177"/>
      <c r="AC188" s="177"/>
      <c r="AE188" s="178"/>
      <c r="AF188" s="178"/>
      <c r="AG188" s="178"/>
    </row>
    <row r="189" spans="1:33" ht="15" hidden="1" x14ac:dyDescent="0.25">
      <c r="A189" s="177"/>
      <c r="B189" s="177"/>
      <c r="C189" s="177"/>
      <c r="D189" s="177"/>
      <c r="E189" s="177"/>
      <c r="F189" s="177"/>
      <c r="G189" s="1"/>
      <c r="H189" s="11"/>
      <c r="I189" s="177">
        <f t="shared" si="8"/>
        <v>0</v>
      </c>
      <c r="J189" s="235"/>
      <c r="K189" s="177" t="str">
        <f t="shared" si="9"/>
        <v>NUEVO</v>
      </c>
      <c r="L189" s="177"/>
      <c r="M189" s="177"/>
      <c r="N189" s="177"/>
      <c r="O189" s="177"/>
      <c r="P189" s="177"/>
      <c r="Q189" s="177"/>
      <c r="R189" s="177"/>
      <c r="S189" s="177"/>
      <c r="T189" s="236"/>
      <c r="U189" s="177"/>
      <c r="V189" s="177"/>
      <c r="W189" s="178"/>
      <c r="X189" s="177"/>
      <c r="Y189" s="177"/>
      <c r="Z189" s="177"/>
      <c r="AA189" s="177"/>
      <c r="AB189" s="177"/>
      <c r="AC189" s="177"/>
      <c r="AD189"/>
      <c r="AE189" s="178"/>
      <c r="AF189" s="178"/>
      <c r="AG189" s="178"/>
    </row>
    <row r="190" spans="1:33" ht="15" hidden="1" x14ac:dyDescent="0.25">
      <c r="A190" s="177"/>
      <c r="B190" s="177"/>
      <c r="C190" s="177"/>
      <c r="D190" s="177"/>
      <c r="E190" s="177"/>
      <c r="F190" s="177"/>
      <c r="G190" s="9"/>
      <c r="H190" s="11"/>
      <c r="I190" s="177">
        <f t="shared" si="8"/>
        <v>0</v>
      </c>
      <c r="J190" s="235"/>
      <c r="K190" s="177" t="str">
        <f t="shared" si="9"/>
        <v>NUEVO</v>
      </c>
      <c r="L190" s="177"/>
      <c r="M190" s="177"/>
      <c r="N190" s="177"/>
      <c r="O190" s="177"/>
      <c r="P190" s="177"/>
      <c r="Q190" s="177"/>
      <c r="R190" s="177"/>
      <c r="S190" s="177"/>
      <c r="T190" s="236"/>
      <c r="U190" s="177"/>
      <c r="V190" s="177"/>
      <c r="W190" s="178"/>
      <c r="X190" s="177"/>
      <c r="Y190" s="177"/>
      <c r="Z190" s="177"/>
      <c r="AA190" s="177"/>
      <c r="AB190" s="177"/>
      <c r="AC190" s="177"/>
      <c r="AD190"/>
      <c r="AE190" s="178"/>
      <c r="AF190" s="178"/>
      <c r="AG190" s="178"/>
    </row>
    <row r="191" spans="1:33" ht="15" hidden="1" x14ac:dyDescent="0.25">
      <c r="A191" s="177"/>
      <c r="B191" s="177"/>
      <c r="C191" s="177"/>
      <c r="D191" s="177"/>
      <c r="E191" s="177"/>
      <c r="F191" s="177"/>
      <c r="G191" s="9"/>
      <c r="H191" s="268"/>
      <c r="I191" s="177">
        <f t="shared" si="8"/>
        <v>0</v>
      </c>
      <c r="J191" s="235"/>
      <c r="K191" s="177" t="str">
        <f t="shared" si="9"/>
        <v>NUEVO</v>
      </c>
      <c r="L191" s="177"/>
      <c r="M191" s="177"/>
      <c r="N191" s="177"/>
      <c r="O191" s="177"/>
      <c r="P191" s="177"/>
      <c r="Q191" s="177"/>
      <c r="R191" s="177"/>
      <c r="S191" s="177"/>
      <c r="T191" s="236"/>
      <c r="U191" s="177"/>
      <c r="V191" s="177"/>
      <c r="W191" s="178"/>
      <c r="X191" s="177"/>
      <c r="Y191" s="177"/>
      <c r="Z191" s="177"/>
      <c r="AA191" s="177"/>
      <c r="AB191" s="177"/>
      <c r="AC191" s="177"/>
      <c r="AD191" s="179"/>
      <c r="AE191" s="178"/>
      <c r="AF191" s="178"/>
      <c r="AG191" s="178"/>
    </row>
    <row r="192" spans="1:33" ht="15" hidden="1" x14ac:dyDescent="0.25">
      <c r="A192" s="177"/>
      <c r="B192" s="177"/>
      <c r="C192" s="177"/>
      <c r="D192" s="177"/>
      <c r="E192" s="177"/>
      <c r="F192" s="177"/>
      <c r="G192" s="9"/>
      <c r="H192" s="11"/>
      <c r="I192" s="177">
        <f t="shared" si="8"/>
        <v>0</v>
      </c>
      <c r="J192" s="235"/>
      <c r="K192" s="177" t="str">
        <f t="shared" si="9"/>
        <v>NUEVO</v>
      </c>
      <c r="L192" s="177"/>
      <c r="M192" s="177"/>
      <c r="N192" s="177"/>
      <c r="O192" s="177"/>
      <c r="P192" s="177"/>
      <c r="Q192" s="177"/>
      <c r="R192" s="177"/>
      <c r="S192" s="177"/>
      <c r="T192" s="236"/>
      <c r="U192" s="177"/>
      <c r="V192" s="177"/>
      <c r="W192" s="178"/>
      <c r="X192" s="177"/>
      <c r="Y192" s="177"/>
      <c r="Z192" s="177"/>
      <c r="AA192" s="177"/>
      <c r="AB192" s="177"/>
      <c r="AC192" s="177"/>
      <c r="AD192" s="179"/>
      <c r="AE192" s="178"/>
      <c r="AF192" s="178"/>
      <c r="AG192" s="178"/>
    </row>
    <row r="193" spans="1:33" ht="15" hidden="1" x14ac:dyDescent="0.25">
      <c r="A193" s="177"/>
      <c r="B193" s="177"/>
      <c r="C193" s="177"/>
      <c r="D193" s="177"/>
      <c r="E193" s="177"/>
      <c r="F193" s="177"/>
      <c r="G193" s="177"/>
      <c r="H193" s="268"/>
      <c r="I193" s="177">
        <f t="shared" si="8"/>
        <v>0</v>
      </c>
      <c r="J193" s="235"/>
      <c r="K193" s="177" t="str">
        <f t="shared" si="9"/>
        <v>NUEVO</v>
      </c>
      <c r="L193" s="235"/>
      <c r="M193" s="177"/>
      <c r="N193" s="177"/>
      <c r="O193" s="177"/>
      <c r="P193" s="177"/>
      <c r="Q193" s="177"/>
      <c r="R193" s="177"/>
      <c r="S193" s="177"/>
      <c r="T193" s="236"/>
      <c r="U193" s="177"/>
      <c r="V193" s="177"/>
      <c r="W193" s="178"/>
      <c r="X193" s="177"/>
      <c r="Y193" s="177"/>
      <c r="Z193" s="177"/>
      <c r="AA193" s="177"/>
      <c r="AB193" s="177"/>
      <c r="AC193" s="177"/>
      <c r="AD193" s="1"/>
      <c r="AE193" s="178"/>
      <c r="AF193" s="178"/>
      <c r="AG193" s="178"/>
    </row>
    <row r="194" spans="1:33" hidden="1" x14ac:dyDescent="0.2">
      <c r="A194" s="177"/>
      <c r="B194" s="177"/>
      <c r="C194" s="177"/>
      <c r="D194" s="177"/>
      <c r="E194" s="177"/>
      <c r="F194" s="177"/>
      <c r="G194" s="177"/>
      <c r="H194" s="268"/>
      <c r="I194" s="177">
        <f t="shared" si="8"/>
        <v>0</v>
      </c>
      <c r="J194" s="235"/>
      <c r="K194" s="177" t="str">
        <f t="shared" si="9"/>
        <v>NUEVO</v>
      </c>
      <c r="L194" s="235"/>
      <c r="M194" s="177"/>
      <c r="N194" s="177"/>
      <c r="O194" s="177"/>
      <c r="P194" s="177"/>
      <c r="Q194" s="177"/>
      <c r="R194" s="177"/>
      <c r="S194" s="177"/>
      <c r="T194" s="236"/>
      <c r="U194" s="177"/>
      <c r="V194" s="177"/>
      <c r="W194" s="178"/>
      <c r="X194" s="177"/>
      <c r="Y194" s="177"/>
      <c r="Z194" s="177"/>
      <c r="AA194" s="177"/>
      <c r="AB194" s="177"/>
      <c r="AC194" s="177"/>
      <c r="AD194" s="179"/>
      <c r="AE194" s="178"/>
      <c r="AF194" s="178"/>
      <c r="AG194" s="178"/>
    </row>
    <row r="195" spans="1:33" hidden="1" x14ac:dyDescent="0.2">
      <c r="A195" s="177"/>
      <c r="B195" s="177"/>
      <c r="C195" s="177"/>
      <c r="D195" s="177" t="s">
        <v>1240</v>
      </c>
      <c r="E195" s="177" t="s">
        <v>1240</v>
      </c>
      <c r="F195" s="177" t="s">
        <v>1240</v>
      </c>
      <c r="G195" s="177" t="s">
        <v>1240</v>
      </c>
      <c r="H195" s="268" t="s">
        <v>1240</v>
      </c>
      <c r="I195" s="177" t="e">
        <f t="shared" ref="I195:I258" si="10">DATEDIF(H195,J195,"m")</f>
        <v>#VALUE!</v>
      </c>
      <c r="J195" s="235" t="s">
        <v>1240</v>
      </c>
      <c r="K195" s="177" t="e">
        <f t="shared" ref="K195:K258" si="11">IF(I195&lt;=18,"NUEVO",IF(I195&lt;=36,"INTERMEDIO","ANTIGUO"))</f>
        <v>#VALUE!</v>
      </c>
      <c r="L195" s="177"/>
      <c r="M195" s="177"/>
      <c r="N195" s="177"/>
      <c r="O195" s="177" t="s">
        <v>1240</v>
      </c>
      <c r="P195" s="177" t="s">
        <v>1240</v>
      </c>
      <c r="Q195" s="177"/>
      <c r="R195" s="177"/>
      <c r="S195" s="177"/>
      <c r="T195" s="236"/>
      <c r="U195" s="177"/>
      <c r="V195" s="177"/>
      <c r="W195" s="178"/>
      <c r="X195" s="177" t="s">
        <v>1240</v>
      </c>
      <c r="Y195" s="177" t="s">
        <v>1240</v>
      </c>
      <c r="Z195" s="177" t="s">
        <v>1240</v>
      </c>
      <c r="AA195" s="177" t="s">
        <v>1240</v>
      </c>
      <c r="AB195" s="177" t="s">
        <v>1240</v>
      </c>
      <c r="AC195" s="177" t="s">
        <v>1240</v>
      </c>
      <c r="AD195" s="179" t="s">
        <v>1240</v>
      </c>
      <c r="AE195" s="178" t="s">
        <v>1240</v>
      </c>
      <c r="AF195" s="178"/>
      <c r="AG195" s="178"/>
    </row>
    <row r="196" spans="1:33" hidden="1" x14ac:dyDescent="0.2">
      <c r="A196" s="177" t="s">
        <v>1240</v>
      </c>
      <c r="B196" s="177" t="s">
        <v>1240</v>
      </c>
      <c r="C196" s="177" t="s">
        <v>1240</v>
      </c>
      <c r="D196" s="177" t="s">
        <v>1240</v>
      </c>
      <c r="E196" s="177" t="s">
        <v>1240</v>
      </c>
      <c r="F196" s="177" t="s">
        <v>1240</v>
      </c>
      <c r="G196" s="177" t="s">
        <v>1240</v>
      </c>
      <c r="H196" s="268" t="s">
        <v>1240</v>
      </c>
      <c r="I196" s="177" t="e">
        <f t="shared" si="10"/>
        <v>#VALUE!</v>
      </c>
      <c r="J196" s="235" t="s">
        <v>1240</v>
      </c>
      <c r="K196" s="177" t="e">
        <f t="shared" si="11"/>
        <v>#VALUE!</v>
      </c>
      <c r="L196" s="177"/>
      <c r="M196" s="177"/>
      <c r="N196" s="177"/>
      <c r="O196" s="177" t="s">
        <v>1240</v>
      </c>
      <c r="P196" s="177" t="s">
        <v>1240</v>
      </c>
      <c r="Q196" s="177"/>
      <c r="R196" s="177"/>
      <c r="S196" s="177"/>
      <c r="T196" s="236"/>
      <c r="U196" s="177"/>
      <c r="V196" s="177"/>
      <c r="W196" s="178"/>
      <c r="X196" s="177" t="s">
        <v>1240</v>
      </c>
      <c r="Y196" s="177" t="s">
        <v>1240</v>
      </c>
      <c r="Z196" s="177" t="s">
        <v>1240</v>
      </c>
      <c r="AA196" s="177" t="s">
        <v>1240</v>
      </c>
      <c r="AB196" s="177" t="s">
        <v>1240</v>
      </c>
      <c r="AC196" s="177" t="s">
        <v>1240</v>
      </c>
      <c r="AD196" s="179" t="s">
        <v>1240</v>
      </c>
      <c r="AE196" s="178" t="s">
        <v>1240</v>
      </c>
      <c r="AF196" s="178"/>
      <c r="AG196" s="178"/>
    </row>
    <row r="197" spans="1:33" s="233" customFormat="1" hidden="1" x14ac:dyDescent="0.2">
      <c r="A197" s="170" t="s">
        <v>1240</v>
      </c>
      <c r="B197" s="170" t="s">
        <v>1240</v>
      </c>
      <c r="C197" s="170" t="s">
        <v>1240</v>
      </c>
      <c r="D197" s="170" t="s">
        <v>1240</v>
      </c>
      <c r="E197" s="170" t="s">
        <v>1240</v>
      </c>
      <c r="F197" s="170" t="s">
        <v>1240</v>
      </c>
      <c r="G197" s="170" t="s">
        <v>1240</v>
      </c>
      <c r="H197" s="276" t="s">
        <v>1240</v>
      </c>
      <c r="I197" s="170" t="e">
        <f t="shared" si="10"/>
        <v>#VALUE!</v>
      </c>
      <c r="J197" s="171" t="s">
        <v>1240</v>
      </c>
      <c r="K197" s="170" t="e">
        <f t="shared" si="11"/>
        <v>#VALUE!</v>
      </c>
      <c r="L197" s="170"/>
      <c r="M197" s="170"/>
      <c r="N197" s="170"/>
      <c r="O197" s="170" t="s">
        <v>1240</v>
      </c>
      <c r="P197" s="170" t="s">
        <v>1240</v>
      </c>
      <c r="Q197" s="170"/>
      <c r="R197" s="170"/>
      <c r="S197" s="170"/>
      <c r="T197" s="173"/>
      <c r="U197" s="170"/>
      <c r="V197" s="170"/>
      <c r="W197" s="172"/>
      <c r="X197" s="170" t="s">
        <v>1240</v>
      </c>
      <c r="Y197" s="170" t="s">
        <v>1240</v>
      </c>
      <c r="Z197" s="170" t="s">
        <v>1240</v>
      </c>
      <c r="AA197" s="170" t="s">
        <v>1240</v>
      </c>
      <c r="AB197" s="170" t="s">
        <v>1240</v>
      </c>
      <c r="AC197" s="170" t="s">
        <v>1240</v>
      </c>
      <c r="AD197" s="174" t="s">
        <v>1240</v>
      </c>
      <c r="AE197" s="172" t="s">
        <v>1240</v>
      </c>
      <c r="AF197" s="172"/>
      <c r="AG197" s="172"/>
    </row>
    <row r="198" spans="1:33" s="175" customFormat="1" hidden="1" x14ac:dyDescent="0.2">
      <c r="A198" s="170" t="s">
        <v>1240</v>
      </c>
      <c r="B198" s="170" t="s">
        <v>1240</v>
      </c>
      <c r="C198" s="170" t="s">
        <v>1240</v>
      </c>
      <c r="D198" s="170" t="s">
        <v>1240</v>
      </c>
      <c r="E198" s="170" t="s">
        <v>1240</v>
      </c>
      <c r="F198" s="170" t="s">
        <v>1240</v>
      </c>
      <c r="G198" s="170" t="s">
        <v>1240</v>
      </c>
      <c r="H198" s="276" t="s">
        <v>1240</v>
      </c>
      <c r="I198" s="170" t="e">
        <f t="shared" si="10"/>
        <v>#VALUE!</v>
      </c>
      <c r="J198" s="171" t="s">
        <v>1240</v>
      </c>
      <c r="K198" s="170" t="e">
        <f t="shared" si="11"/>
        <v>#VALUE!</v>
      </c>
      <c r="L198" s="170"/>
      <c r="M198" s="170"/>
      <c r="N198" s="170"/>
      <c r="O198" s="170" t="s">
        <v>1240</v>
      </c>
      <c r="P198" s="170" t="s">
        <v>1240</v>
      </c>
      <c r="Q198" s="170"/>
      <c r="R198" s="170"/>
      <c r="S198" s="170"/>
      <c r="T198" s="173"/>
      <c r="U198" s="170"/>
      <c r="V198" s="170"/>
      <c r="W198" s="172"/>
      <c r="X198" s="170" t="s">
        <v>1240</v>
      </c>
      <c r="Y198" s="170" t="s">
        <v>1240</v>
      </c>
      <c r="Z198" s="170" t="s">
        <v>1240</v>
      </c>
      <c r="AA198" s="170" t="s">
        <v>1240</v>
      </c>
      <c r="AB198" s="170" t="s">
        <v>1240</v>
      </c>
      <c r="AC198" s="170" t="s">
        <v>1240</v>
      </c>
      <c r="AD198" s="174" t="s">
        <v>1240</v>
      </c>
      <c r="AE198" s="172" t="s">
        <v>1240</v>
      </c>
      <c r="AF198" s="172"/>
      <c r="AG198" s="172"/>
    </row>
    <row r="199" spans="1:33" s="175" customFormat="1" hidden="1" x14ac:dyDescent="0.2">
      <c r="A199" s="170" t="s">
        <v>1240</v>
      </c>
      <c r="B199" s="170" t="s">
        <v>1240</v>
      </c>
      <c r="C199" s="170" t="s">
        <v>1240</v>
      </c>
      <c r="D199" s="170" t="s">
        <v>1240</v>
      </c>
      <c r="E199" s="170" t="s">
        <v>1240</v>
      </c>
      <c r="F199" s="170" t="s">
        <v>1240</v>
      </c>
      <c r="G199" s="170" t="s">
        <v>1240</v>
      </c>
      <c r="H199" s="276" t="s">
        <v>1240</v>
      </c>
      <c r="I199" s="170" t="e">
        <f t="shared" si="10"/>
        <v>#VALUE!</v>
      </c>
      <c r="J199" s="171" t="s">
        <v>1240</v>
      </c>
      <c r="K199" s="170" t="e">
        <f t="shared" si="11"/>
        <v>#VALUE!</v>
      </c>
      <c r="L199" s="170"/>
      <c r="M199" s="170"/>
      <c r="N199" s="170"/>
      <c r="O199" s="170" t="s">
        <v>1240</v>
      </c>
      <c r="P199" s="170" t="s">
        <v>1240</v>
      </c>
      <c r="Q199" s="170"/>
      <c r="R199" s="170"/>
      <c r="S199" s="170"/>
      <c r="T199" s="173"/>
      <c r="U199" s="170"/>
      <c r="V199" s="170"/>
      <c r="W199" s="172"/>
      <c r="X199" s="170" t="s">
        <v>1240</v>
      </c>
      <c r="Y199" s="170" t="s">
        <v>1240</v>
      </c>
      <c r="Z199" s="170" t="s">
        <v>1240</v>
      </c>
      <c r="AA199" s="170" t="s">
        <v>1240</v>
      </c>
      <c r="AB199" s="170" t="s">
        <v>1240</v>
      </c>
      <c r="AC199" s="170" t="s">
        <v>1240</v>
      </c>
      <c r="AD199" s="174" t="s">
        <v>1240</v>
      </c>
      <c r="AE199" s="172" t="s">
        <v>1240</v>
      </c>
      <c r="AF199" s="172"/>
      <c r="AG199" s="172"/>
    </row>
    <row r="200" spans="1:33" s="175" customFormat="1" hidden="1" x14ac:dyDescent="0.2">
      <c r="A200" s="170" t="s">
        <v>1240</v>
      </c>
      <c r="B200" s="170" t="s">
        <v>1240</v>
      </c>
      <c r="C200" s="170" t="s">
        <v>1240</v>
      </c>
      <c r="D200" s="170" t="s">
        <v>1240</v>
      </c>
      <c r="E200" s="170" t="s">
        <v>1240</v>
      </c>
      <c r="F200" s="170" t="s">
        <v>1240</v>
      </c>
      <c r="G200" s="170" t="s">
        <v>1240</v>
      </c>
      <c r="H200" s="277" t="s">
        <v>1240</v>
      </c>
      <c r="I200" s="170" t="e">
        <f t="shared" si="10"/>
        <v>#VALUE!</v>
      </c>
      <c r="J200" s="171" t="s">
        <v>1240</v>
      </c>
      <c r="K200" s="170" t="e">
        <f t="shared" si="11"/>
        <v>#VALUE!</v>
      </c>
      <c r="L200" s="170"/>
      <c r="M200" s="170"/>
      <c r="N200" s="170"/>
      <c r="O200" s="170" t="s">
        <v>1240</v>
      </c>
      <c r="P200" s="170" t="s">
        <v>1240</v>
      </c>
      <c r="Q200" s="170"/>
      <c r="R200" s="170"/>
      <c r="S200" s="170"/>
      <c r="T200" s="173"/>
      <c r="U200" s="170"/>
      <c r="V200" s="170"/>
      <c r="W200" s="172"/>
      <c r="X200" s="170" t="s">
        <v>1240</v>
      </c>
      <c r="Y200" s="170" t="s">
        <v>1240</v>
      </c>
      <c r="Z200" s="170" t="s">
        <v>1240</v>
      </c>
      <c r="AA200" s="170" t="s">
        <v>1240</v>
      </c>
      <c r="AB200" s="170" t="s">
        <v>1240</v>
      </c>
      <c r="AC200" s="170" t="s">
        <v>1240</v>
      </c>
      <c r="AD200" s="174" t="s">
        <v>1240</v>
      </c>
      <c r="AE200" s="172" t="s">
        <v>1240</v>
      </c>
      <c r="AF200" s="172"/>
      <c r="AG200" s="172"/>
    </row>
    <row r="201" spans="1:33" s="175" customFormat="1" hidden="1" x14ac:dyDescent="0.2">
      <c r="A201" s="170" t="s">
        <v>1240</v>
      </c>
      <c r="B201" s="170" t="s">
        <v>1240</v>
      </c>
      <c r="C201" s="170" t="s">
        <v>1240</v>
      </c>
      <c r="D201" s="170" t="s">
        <v>1240</v>
      </c>
      <c r="E201" s="170" t="s">
        <v>1240</v>
      </c>
      <c r="F201" s="170" t="s">
        <v>1240</v>
      </c>
      <c r="G201" s="170" t="s">
        <v>1240</v>
      </c>
      <c r="H201" s="276" t="s">
        <v>1240</v>
      </c>
      <c r="I201" s="170" t="e">
        <f t="shared" si="10"/>
        <v>#VALUE!</v>
      </c>
      <c r="J201" s="171" t="s">
        <v>1240</v>
      </c>
      <c r="K201" s="170" t="e">
        <f t="shared" si="11"/>
        <v>#VALUE!</v>
      </c>
      <c r="L201" s="170"/>
      <c r="M201" s="170"/>
      <c r="N201" s="170"/>
      <c r="O201" s="170" t="s">
        <v>1240</v>
      </c>
      <c r="P201" s="170" t="s">
        <v>1240</v>
      </c>
      <c r="Q201" s="170"/>
      <c r="R201" s="170"/>
      <c r="S201" s="170"/>
      <c r="T201" s="173"/>
      <c r="U201" s="170"/>
      <c r="V201" s="170"/>
      <c r="W201" s="172"/>
      <c r="X201" s="170" t="s">
        <v>1240</v>
      </c>
      <c r="Y201" s="170" t="s">
        <v>1240</v>
      </c>
      <c r="Z201" s="170" t="s">
        <v>1240</v>
      </c>
      <c r="AA201" s="170" t="s">
        <v>1240</v>
      </c>
      <c r="AB201" s="170" t="s">
        <v>1240</v>
      </c>
      <c r="AC201" s="170" t="s">
        <v>1240</v>
      </c>
      <c r="AD201" s="234" t="s">
        <v>1240</v>
      </c>
      <c r="AE201" s="172" t="s">
        <v>1240</v>
      </c>
      <c r="AF201" s="172"/>
      <c r="AG201" s="172"/>
    </row>
    <row r="202" spans="1:33" s="175" customFormat="1" hidden="1" x14ac:dyDescent="0.2">
      <c r="A202" s="170" t="s">
        <v>1240</v>
      </c>
      <c r="B202" s="170" t="s">
        <v>1240</v>
      </c>
      <c r="C202" s="170" t="s">
        <v>1240</v>
      </c>
      <c r="D202" s="170" t="s">
        <v>1240</v>
      </c>
      <c r="E202" s="170" t="s">
        <v>1240</v>
      </c>
      <c r="F202" s="170" t="s">
        <v>1240</v>
      </c>
      <c r="G202" s="170" t="s">
        <v>1240</v>
      </c>
      <c r="H202" s="276" t="s">
        <v>1240</v>
      </c>
      <c r="I202" s="170" t="e">
        <f t="shared" si="10"/>
        <v>#VALUE!</v>
      </c>
      <c r="J202" s="171" t="s">
        <v>1240</v>
      </c>
      <c r="K202" s="170" t="e">
        <f t="shared" si="11"/>
        <v>#VALUE!</v>
      </c>
      <c r="L202" s="170"/>
      <c r="M202" s="170"/>
      <c r="N202" s="170"/>
      <c r="O202" s="170" t="s">
        <v>1240</v>
      </c>
      <c r="P202" s="170" t="s">
        <v>1240</v>
      </c>
      <c r="Q202" s="170"/>
      <c r="R202" s="170"/>
      <c r="S202" s="170"/>
      <c r="T202" s="173"/>
      <c r="U202" s="170"/>
      <c r="V202" s="170"/>
      <c r="W202" s="172"/>
      <c r="X202" s="170" t="s">
        <v>1240</v>
      </c>
      <c r="Y202" s="170" t="s">
        <v>1240</v>
      </c>
      <c r="Z202" s="170" t="s">
        <v>1240</v>
      </c>
      <c r="AA202" s="170" t="s">
        <v>1240</v>
      </c>
      <c r="AB202" s="170" t="s">
        <v>1240</v>
      </c>
      <c r="AC202" s="170" t="s">
        <v>1240</v>
      </c>
      <c r="AD202" s="174" t="s">
        <v>1240</v>
      </c>
      <c r="AE202" s="172" t="s">
        <v>1240</v>
      </c>
      <c r="AF202" s="172"/>
      <c r="AG202" s="172"/>
    </row>
    <row r="203" spans="1:33" s="175" customFormat="1" hidden="1" x14ac:dyDescent="0.2">
      <c r="A203" s="170" t="s">
        <v>1240</v>
      </c>
      <c r="B203" s="170" t="s">
        <v>1240</v>
      </c>
      <c r="C203" s="170" t="s">
        <v>1240</v>
      </c>
      <c r="D203" s="170" t="s">
        <v>1240</v>
      </c>
      <c r="E203" s="170" t="s">
        <v>1240</v>
      </c>
      <c r="F203" s="170" t="s">
        <v>1240</v>
      </c>
      <c r="G203" s="170" t="s">
        <v>1240</v>
      </c>
      <c r="H203" s="276" t="s">
        <v>1240</v>
      </c>
      <c r="I203" s="170" t="e">
        <f t="shared" si="10"/>
        <v>#VALUE!</v>
      </c>
      <c r="J203" s="171" t="s">
        <v>1240</v>
      </c>
      <c r="K203" s="170" t="e">
        <f t="shared" si="11"/>
        <v>#VALUE!</v>
      </c>
      <c r="L203" s="170"/>
      <c r="M203" s="170"/>
      <c r="N203" s="170"/>
      <c r="O203" s="170" t="s">
        <v>1240</v>
      </c>
      <c r="P203" s="170" t="s">
        <v>1240</v>
      </c>
      <c r="Q203" s="170"/>
      <c r="R203" s="170"/>
      <c r="S203" s="170"/>
      <c r="T203" s="173"/>
      <c r="U203" s="170"/>
      <c r="V203" s="170"/>
      <c r="W203" s="172"/>
      <c r="X203" s="170" t="s">
        <v>1240</v>
      </c>
      <c r="Y203" s="170" t="s">
        <v>1240</v>
      </c>
      <c r="Z203" s="170" t="s">
        <v>1240</v>
      </c>
      <c r="AA203" s="170" t="s">
        <v>1240</v>
      </c>
      <c r="AB203" s="170" t="s">
        <v>1240</v>
      </c>
      <c r="AC203" s="170" t="s">
        <v>1240</v>
      </c>
      <c r="AD203" s="174" t="s">
        <v>1240</v>
      </c>
      <c r="AE203" s="172" t="s">
        <v>1240</v>
      </c>
      <c r="AF203" s="172"/>
      <c r="AG203" s="172"/>
    </row>
    <row r="204" spans="1:33" s="175" customFormat="1" hidden="1" x14ac:dyDescent="0.2">
      <c r="A204" s="170" t="s">
        <v>1240</v>
      </c>
      <c r="B204" s="170" t="s">
        <v>1240</v>
      </c>
      <c r="C204" s="170" t="s">
        <v>1240</v>
      </c>
      <c r="D204" s="170" t="s">
        <v>1240</v>
      </c>
      <c r="E204" s="170" t="s">
        <v>1240</v>
      </c>
      <c r="F204" s="170" t="s">
        <v>1240</v>
      </c>
      <c r="G204" s="170" t="s">
        <v>1240</v>
      </c>
      <c r="H204" s="276" t="s">
        <v>1240</v>
      </c>
      <c r="I204" s="170" t="e">
        <f t="shared" si="10"/>
        <v>#VALUE!</v>
      </c>
      <c r="J204" s="171" t="s">
        <v>1240</v>
      </c>
      <c r="K204" s="170" t="e">
        <f t="shared" si="11"/>
        <v>#VALUE!</v>
      </c>
      <c r="L204" s="170"/>
      <c r="M204" s="170"/>
      <c r="N204" s="170"/>
      <c r="O204" s="170" t="s">
        <v>1240</v>
      </c>
      <c r="P204" s="170" t="s">
        <v>1240</v>
      </c>
      <c r="Q204" s="170"/>
      <c r="R204" s="170"/>
      <c r="S204" s="170"/>
      <c r="T204" s="173"/>
      <c r="U204" s="170"/>
      <c r="V204" s="170"/>
      <c r="W204" s="172"/>
      <c r="X204" s="170" t="s">
        <v>1240</v>
      </c>
      <c r="Y204" s="170" t="s">
        <v>1240</v>
      </c>
      <c r="Z204" s="170" t="s">
        <v>1240</v>
      </c>
      <c r="AA204" s="170" t="s">
        <v>1240</v>
      </c>
      <c r="AB204" s="170" t="s">
        <v>1240</v>
      </c>
      <c r="AC204" s="170" t="s">
        <v>1240</v>
      </c>
      <c r="AD204" s="174" t="s">
        <v>1240</v>
      </c>
      <c r="AE204" s="172" t="s">
        <v>1240</v>
      </c>
      <c r="AF204" s="172"/>
      <c r="AG204" s="172"/>
    </row>
    <row r="205" spans="1:33" s="175" customFormat="1" hidden="1" x14ac:dyDescent="0.2">
      <c r="A205" s="170" t="s">
        <v>1240</v>
      </c>
      <c r="B205" s="170" t="s">
        <v>1240</v>
      </c>
      <c r="C205" s="170" t="s">
        <v>1240</v>
      </c>
      <c r="D205" s="170" t="s">
        <v>1240</v>
      </c>
      <c r="E205" s="170" t="s">
        <v>1240</v>
      </c>
      <c r="F205" s="170" t="s">
        <v>1240</v>
      </c>
      <c r="G205" s="170" t="s">
        <v>1240</v>
      </c>
      <c r="H205" s="276" t="s">
        <v>1240</v>
      </c>
      <c r="I205" s="170" t="e">
        <f t="shared" si="10"/>
        <v>#VALUE!</v>
      </c>
      <c r="J205" s="171" t="s">
        <v>1240</v>
      </c>
      <c r="K205" s="170" t="e">
        <f t="shared" si="11"/>
        <v>#VALUE!</v>
      </c>
      <c r="L205" s="170"/>
      <c r="M205" s="170"/>
      <c r="N205" s="170"/>
      <c r="O205" s="170" t="s">
        <v>1240</v>
      </c>
      <c r="P205" s="170" t="s">
        <v>1240</v>
      </c>
      <c r="Q205" s="170"/>
      <c r="R205" s="170"/>
      <c r="S205" s="170"/>
      <c r="T205" s="173"/>
      <c r="U205" s="170"/>
      <c r="V205" s="170"/>
      <c r="W205" s="172"/>
      <c r="X205" s="170" t="s">
        <v>1240</v>
      </c>
      <c r="Y205" s="170" t="s">
        <v>1240</v>
      </c>
      <c r="Z205" s="170" t="s">
        <v>1240</v>
      </c>
      <c r="AA205" s="170" t="s">
        <v>1240</v>
      </c>
      <c r="AB205" s="170" t="s">
        <v>1240</v>
      </c>
      <c r="AC205" s="170" t="s">
        <v>1240</v>
      </c>
      <c r="AD205" s="174" t="s">
        <v>1240</v>
      </c>
      <c r="AE205" s="172" t="s">
        <v>1240</v>
      </c>
      <c r="AF205" s="172"/>
      <c r="AG205" s="172"/>
    </row>
    <row r="206" spans="1:33" s="175" customFormat="1" hidden="1" x14ac:dyDescent="0.2">
      <c r="A206" s="170" t="s">
        <v>1240</v>
      </c>
      <c r="B206" s="170" t="s">
        <v>1240</v>
      </c>
      <c r="C206" s="170" t="s">
        <v>1240</v>
      </c>
      <c r="D206" s="170" t="s">
        <v>1240</v>
      </c>
      <c r="E206" s="170" t="s">
        <v>1240</v>
      </c>
      <c r="F206" s="170" t="s">
        <v>1240</v>
      </c>
      <c r="G206" s="170" t="s">
        <v>1240</v>
      </c>
      <c r="H206" s="276" t="s">
        <v>1240</v>
      </c>
      <c r="I206" s="170" t="e">
        <f t="shared" si="10"/>
        <v>#VALUE!</v>
      </c>
      <c r="J206" s="171" t="s">
        <v>1240</v>
      </c>
      <c r="K206" s="170" t="e">
        <f t="shared" si="11"/>
        <v>#VALUE!</v>
      </c>
      <c r="L206" s="170"/>
      <c r="M206" s="170"/>
      <c r="N206" s="170"/>
      <c r="O206" s="170" t="s">
        <v>1240</v>
      </c>
      <c r="P206" s="170" t="s">
        <v>1240</v>
      </c>
      <c r="Q206" s="170"/>
      <c r="R206" s="170"/>
      <c r="S206" s="170"/>
      <c r="T206" s="173"/>
      <c r="U206" s="170"/>
      <c r="V206" s="170"/>
      <c r="W206" s="172"/>
      <c r="X206" s="170" t="s">
        <v>1240</v>
      </c>
      <c r="Y206" s="170" t="s">
        <v>1240</v>
      </c>
      <c r="Z206" s="170" t="s">
        <v>1240</v>
      </c>
      <c r="AA206" s="170" t="s">
        <v>1240</v>
      </c>
      <c r="AB206" s="170" t="s">
        <v>1240</v>
      </c>
      <c r="AC206" s="170" t="s">
        <v>1240</v>
      </c>
      <c r="AD206" s="174" t="s">
        <v>1240</v>
      </c>
      <c r="AE206" s="172" t="s">
        <v>1240</v>
      </c>
      <c r="AF206" s="172"/>
      <c r="AG206" s="172"/>
    </row>
    <row r="207" spans="1:33" s="175" customFormat="1" hidden="1" x14ac:dyDescent="0.2">
      <c r="A207" s="170" t="s">
        <v>1240</v>
      </c>
      <c r="B207" s="170" t="s">
        <v>1240</v>
      </c>
      <c r="C207" s="170" t="s">
        <v>1240</v>
      </c>
      <c r="D207" s="170" t="s">
        <v>1240</v>
      </c>
      <c r="E207" s="170" t="s">
        <v>1240</v>
      </c>
      <c r="F207" s="170" t="s">
        <v>1240</v>
      </c>
      <c r="G207" s="170" t="s">
        <v>1240</v>
      </c>
      <c r="H207" s="276" t="s">
        <v>1240</v>
      </c>
      <c r="I207" s="170" t="e">
        <f t="shared" si="10"/>
        <v>#VALUE!</v>
      </c>
      <c r="J207" s="171" t="s">
        <v>1240</v>
      </c>
      <c r="K207" s="170" t="e">
        <f t="shared" si="11"/>
        <v>#VALUE!</v>
      </c>
      <c r="L207" s="170"/>
      <c r="M207" s="170"/>
      <c r="N207" s="170"/>
      <c r="O207" s="170" t="s">
        <v>1240</v>
      </c>
      <c r="P207" s="170" t="s">
        <v>1240</v>
      </c>
      <c r="Q207" s="170"/>
      <c r="R207" s="170"/>
      <c r="S207" s="170"/>
      <c r="T207" s="173"/>
      <c r="U207" s="170"/>
      <c r="V207" s="170"/>
      <c r="W207" s="172"/>
      <c r="X207" s="170" t="s">
        <v>1240</v>
      </c>
      <c r="Y207" s="170" t="s">
        <v>1240</v>
      </c>
      <c r="Z207" s="170" t="s">
        <v>1240</v>
      </c>
      <c r="AA207" s="170" t="s">
        <v>1240</v>
      </c>
      <c r="AB207" s="170" t="s">
        <v>1240</v>
      </c>
      <c r="AC207" s="170" t="s">
        <v>1240</v>
      </c>
      <c r="AD207" s="174" t="s">
        <v>1240</v>
      </c>
      <c r="AE207" s="172" t="s">
        <v>1240</v>
      </c>
      <c r="AF207" s="172"/>
      <c r="AG207" s="172"/>
    </row>
    <row r="208" spans="1:33" s="175" customFormat="1" hidden="1" x14ac:dyDescent="0.2">
      <c r="A208" s="170" t="s">
        <v>1240</v>
      </c>
      <c r="B208" s="170" t="s">
        <v>1240</v>
      </c>
      <c r="C208" s="170" t="s">
        <v>1240</v>
      </c>
      <c r="D208" s="170" t="s">
        <v>1240</v>
      </c>
      <c r="E208" s="170" t="s">
        <v>1240</v>
      </c>
      <c r="F208" s="170" t="s">
        <v>1240</v>
      </c>
      <c r="G208" s="170" t="s">
        <v>1240</v>
      </c>
      <c r="H208" s="276" t="s">
        <v>1240</v>
      </c>
      <c r="I208" s="170" t="e">
        <f t="shared" si="10"/>
        <v>#VALUE!</v>
      </c>
      <c r="J208" s="171" t="s">
        <v>1240</v>
      </c>
      <c r="K208" s="170" t="e">
        <f t="shared" si="11"/>
        <v>#VALUE!</v>
      </c>
      <c r="L208" s="170"/>
      <c r="M208" s="170"/>
      <c r="N208" s="170"/>
      <c r="O208" s="170" t="s">
        <v>1240</v>
      </c>
      <c r="P208" s="170" t="s">
        <v>1240</v>
      </c>
      <c r="Q208" s="170"/>
      <c r="R208" s="170"/>
      <c r="S208" s="170"/>
      <c r="T208" s="173"/>
      <c r="U208" s="170"/>
      <c r="V208" s="170"/>
      <c r="W208" s="172"/>
      <c r="X208" s="170" t="s">
        <v>1240</v>
      </c>
      <c r="Y208" s="170" t="s">
        <v>1240</v>
      </c>
      <c r="Z208" s="170" t="s">
        <v>1240</v>
      </c>
      <c r="AA208" s="170" t="s">
        <v>1240</v>
      </c>
      <c r="AB208" s="170" t="s">
        <v>1240</v>
      </c>
      <c r="AC208" s="170" t="s">
        <v>1240</v>
      </c>
      <c r="AD208" s="174" t="s">
        <v>1240</v>
      </c>
      <c r="AE208" s="172" t="s">
        <v>1240</v>
      </c>
      <c r="AF208" s="172"/>
      <c r="AG208" s="172"/>
    </row>
    <row r="209" spans="1:33" s="175" customFormat="1" hidden="1" x14ac:dyDescent="0.2">
      <c r="A209" s="170" t="s">
        <v>1240</v>
      </c>
      <c r="B209" s="170" t="s">
        <v>1240</v>
      </c>
      <c r="C209" s="170" t="s">
        <v>1240</v>
      </c>
      <c r="D209" s="170" t="s">
        <v>1240</v>
      </c>
      <c r="E209" s="170" t="s">
        <v>1240</v>
      </c>
      <c r="F209" s="170" t="s">
        <v>1240</v>
      </c>
      <c r="G209" s="170" t="s">
        <v>1240</v>
      </c>
      <c r="H209" s="276" t="s">
        <v>1240</v>
      </c>
      <c r="I209" s="170" t="e">
        <f t="shared" si="10"/>
        <v>#VALUE!</v>
      </c>
      <c r="J209" s="171" t="s">
        <v>1240</v>
      </c>
      <c r="K209" s="170" t="e">
        <f t="shared" si="11"/>
        <v>#VALUE!</v>
      </c>
      <c r="L209" s="170"/>
      <c r="M209" s="170"/>
      <c r="N209" s="170"/>
      <c r="O209" s="170" t="s">
        <v>1240</v>
      </c>
      <c r="P209" s="170" t="s">
        <v>1240</v>
      </c>
      <c r="Q209" s="170"/>
      <c r="R209" s="170"/>
      <c r="S209" s="170"/>
      <c r="T209" s="173"/>
      <c r="U209" s="170"/>
      <c r="V209" s="170"/>
      <c r="W209" s="172"/>
      <c r="X209" s="170" t="s">
        <v>1240</v>
      </c>
      <c r="Y209" s="170" t="s">
        <v>1240</v>
      </c>
      <c r="Z209" s="170" t="s">
        <v>1240</v>
      </c>
      <c r="AA209" s="170" t="s">
        <v>1240</v>
      </c>
      <c r="AB209" s="170" t="s">
        <v>1240</v>
      </c>
      <c r="AC209" s="170" t="s">
        <v>1240</v>
      </c>
      <c r="AD209" s="174" t="s">
        <v>1240</v>
      </c>
      <c r="AE209" s="172" t="s">
        <v>1240</v>
      </c>
      <c r="AF209" s="172"/>
      <c r="AG209" s="172"/>
    </row>
    <row r="210" spans="1:33" s="175" customFormat="1" hidden="1" x14ac:dyDescent="0.2">
      <c r="A210" s="170" t="s">
        <v>1240</v>
      </c>
      <c r="B210" s="170" t="s">
        <v>1240</v>
      </c>
      <c r="C210" s="170" t="s">
        <v>1240</v>
      </c>
      <c r="D210" s="170" t="s">
        <v>1240</v>
      </c>
      <c r="E210" s="170" t="s">
        <v>1240</v>
      </c>
      <c r="F210" s="170" t="s">
        <v>1240</v>
      </c>
      <c r="G210" s="170" t="s">
        <v>1240</v>
      </c>
      <c r="H210" s="276" t="s">
        <v>1240</v>
      </c>
      <c r="I210" s="170" t="e">
        <f t="shared" si="10"/>
        <v>#VALUE!</v>
      </c>
      <c r="J210" s="171" t="s">
        <v>1240</v>
      </c>
      <c r="K210" s="170" t="e">
        <f t="shared" si="11"/>
        <v>#VALUE!</v>
      </c>
      <c r="L210" s="170"/>
      <c r="M210" s="170"/>
      <c r="N210" s="170"/>
      <c r="O210" s="170" t="s">
        <v>1240</v>
      </c>
      <c r="P210" s="170" t="s">
        <v>1240</v>
      </c>
      <c r="Q210" s="170"/>
      <c r="R210" s="170"/>
      <c r="S210" s="170"/>
      <c r="T210" s="173"/>
      <c r="U210" s="170"/>
      <c r="V210" s="170"/>
      <c r="W210" s="172"/>
      <c r="X210" s="170" t="s">
        <v>1240</v>
      </c>
      <c r="Y210" s="170" t="s">
        <v>1240</v>
      </c>
      <c r="Z210" s="170" t="s">
        <v>1240</v>
      </c>
      <c r="AA210" s="170" t="s">
        <v>1240</v>
      </c>
      <c r="AB210" s="170" t="s">
        <v>1240</v>
      </c>
      <c r="AC210" s="170" t="s">
        <v>1240</v>
      </c>
      <c r="AD210" s="174" t="s">
        <v>1240</v>
      </c>
      <c r="AE210" s="172" t="s">
        <v>1240</v>
      </c>
      <c r="AF210" s="172"/>
      <c r="AG210" s="172"/>
    </row>
    <row r="211" spans="1:33" s="175" customFormat="1" hidden="1" x14ac:dyDescent="0.2">
      <c r="A211" s="170" t="s">
        <v>1240</v>
      </c>
      <c r="B211" s="170" t="s">
        <v>1240</v>
      </c>
      <c r="C211" s="170" t="s">
        <v>1240</v>
      </c>
      <c r="D211" s="170" t="s">
        <v>1240</v>
      </c>
      <c r="E211" s="170" t="s">
        <v>1240</v>
      </c>
      <c r="F211" s="170" t="s">
        <v>1240</v>
      </c>
      <c r="G211" s="170" t="s">
        <v>1240</v>
      </c>
      <c r="H211" s="276" t="s">
        <v>1240</v>
      </c>
      <c r="I211" s="170" t="e">
        <f t="shared" si="10"/>
        <v>#VALUE!</v>
      </c>
      <c r="J211" s="171" t="s">
        <v>1240</v>
      </c>
      <c r="K211" s="170" t="e">
        <f t="shared" si="11"/>
        <v>#VALUE!</v>
      </c>
      <c r="L211" s="170"/>
      <c r="M211" s="170"/>
      <c r="N211" s="170"/>
      <c r="O211" s="170" t="s">
        <v>1240</v>
      </c>
      <c r="P211" s="170" t="s">
        <v>1240</v>
      </c>
      <c r="Q211" s="170"/>
      <c r="R211" s="170"/>
      <c r="S211" s="170"/>
      <c r="T211" s="173"/>
      <c r="U211" s="170"/>
      <c r="V211" s="170"/>
      <c r="W211" s="172"/>
      <c r="X211" s="170" t="s">
        <v>1240</v>
      </c>
      <c r="Y211" s="170" t="s">
        <v>1240</v>
      </c>
      <c r="Z211" s="170" t="s">
        <v>1240</v>
      </c>
      <c r="AA211" s="170" t="s">
        <v>1240</v>
      </c>
      <c r="AB211" s="170" t="s">
        <v>1240</v>
      </c>
      <c r="AC211" s="170" t="s">
        <v>1240</v>
      </c>
      <c r="AD211" s="174" t="s">
        <v>1240</v>
      </c>
      <c r="AE211" s="172" t="s">
        <v>1240</v>
      </c>
      <c r="AF211" s="172"/>
      <c r="AG211" s="172"/>
    </row>
    <row r="212" spans="1:33" s="175" customFormat="1" hidden="1" x14ac:dyDescent="0.2">
      <c r="A212" s="170" t="s">
        <v>1240</v>
      </c>
      <c r="B212" s="170" t="s">
        <v>1240</v>
      </c>
      <c r="C212" s="170" t="s">
        <v>1240</v>
      </c>
      <c r="D212" s="170" t="s">
        <v>1240</v>
      </c>
      <c r="E212" s="170" t="s">
        <v>1240</v>
      </c>
      <c r="F212" s="170" t="s">
        <v>1240</v>
      </c>
      <c r="G212" s="170" t="s">
        <v>1240</v>
      </c>
      <c r="H212" s="276" t="s">
        <v>1240</v>
      </c>
      <c r="I212" s="170" t="e">
        <f t="shared" si="10"/>
        <v>#VALUE!</v>
      </c>
      <c r="J212" s="171" t="s">
        <v>1240</v>
      </c>
      <c r="K212" s="170" t="e">
        <f t="shared" si="11"/>
        <v>#VALUE!</v>
      </c>
      <c r="L212" s="170"/>
      <c r="M212" s="170"/>
      <c r="N212" s="170"/>
      <c r="O212" s="170" t="s">
        <v>1240</v>
      </c>
      <c r="P212" s="170" t="s">
        <v>1240</v>
      </c>
      <c r="Q212" s="170"/>
      <c r="R212" s="170"/>
      <c r="S212" s="170"/>
      <c r="T212" s="173"/>
      <c r="U212" s="170"/>
      <c r="V212" s="170"/>
      <c r="W212" s="172"/>
      <c r="X212" s="170" t="s">
        <v>1240</v>
      </c>
      <c r="Y212" s="170" t="s">
        <v>1240</v>
      </c>
      <c r="Z212" s="170" t="s">
        <v>1240</v>
      </c>
      <c r="AA212" s="170" t="s">
        <v>1240</v>
      </c>
      <c r="AB212" s="170" t="s">
        <v>1240</v>
      </c>
      <c r="AC212" s="170" t="s">
        <v>1240</v>
      </c>
      <c r="AD212" s="174" t="s">
        <v>1240</v>
      </c>
      <c r="AE212" s="172" t="s">
        <v>1240</v>
      </c>
      <c r="AF212" s="172"/>
      <c r="AG212" s="172"/>
    </row>
    <row r="213" spans="1:33" s="175" customFormat="1" hidden="1" x14ac:dyDescent="0.2">
      <c r="A213" s="170" t="s">
        <v>1240</v>
      </c>
      <c r="B213" s="170" t="s">
        <v>1240</v>
      </c>
      <c r="C213" s="170" t="s">
        <v>1240</v>
      </c>
      <c r="D213" s="170" t="s">
        <v>1240</v>
      </c>
      <c r="E213" s="170" t="s">
        <v>1240</v>
      </c>
      <c r="F213" s="170" t="s">
        <v>1240</v>
      </c>
      <c r="G213" s="170" t="s">
        <v>1240</v>
      </c>
      <c r="H213" s="276" t="s">
        <v>1240</v>
      </c>
      <c r="I213" s="170" t="e">
        <f t="shared" si="10"/>
        <v>#VALUE!</v>
      </c>
      <c r="J213" s="171" t="s">
        <v>1240</v>
      </c>
      <c r="K213" s="170" t="e">
        <f t="shared" si="11"/>
        <v>#VALUE!</v>
      </c>
      <c r="L213" s="170"/>
      <c r="M213" s="170"/>
      <c r="N213" s="170"/>
      <c r="O213" s="170" t="s">
        <v>1240</v>
      </c>
      <c r="P213" s="170" t="s">
        <v>1240</v>
      </c>
      <c r="Q213" s="170"/>
      <c r="R213" s="170"/>
      <c r="S213" s="170"/>
      <c r="T213" s="173"/>
      <c r="U213" s="170"/>
      <c r="V213" s="170"/>
      <c r="W213" s="172"/>
      <c r="X213" s="170" t="s">
        <v>1240</v>
      </c>
      <c r="Y213" s="170" t="s">
        <v>1240</v>
      </c>
      <c r="Z213" s="170" t="s">
        <v>1240</v>
      </c>
      <c r="AA213" s="170" t="s">
        <v>1240</v>
      </c>
      <c r="AB213" s="170" t="s">
        <v>1240</v>
      </c>
      <c r="AC213" s="170" t="s">
        <v>1240</v>
      </c>
      <c r="AD213" s="174" t="s">
        <v>1240</v>
      </c>
      <c r="AE213" s="172" t="s">
        <v>1240</v>
      </c>
      <c r="AF213" s="172"/>
      <c r="AG213" s="172"/>
    </row>
    <row r="214" spans="1:33" s="175" customFormat="1" hidden="1" x14ac:dyDescent="0.2">
      <c r="A214" s="170" t="s">
        <v>1240</v>
      </c>
      <c r="B214" s="170" t="s">
        <v>1240</v>
      </c>
      <c r="C214" s="170" t="s">
        <v>1240</v>
      </c>
      <c r="D214" s="170" t="s">
        <v>1240</v>
      </c>
      <c r="E214" s="170" t="s">
        <v>1240</v>
      </c>
      <c r="F214" s="170" t="s">
        <v>1240</v>
      </c>
      <c r="G214" s="170" t="s">
        <v>1240</v>
      </c>
      <c r="H214" s="276" t="s">
        <v>1240</v>
      </c>
      <c r="I214" s="170" t="e">
        <f t="shared" si="10"/>
        <v>#VALUE!</v>
      </c>
      <c r="J214" s="171" t="s">
        <v>1240</v>
      </c>
      <c r="K214" s="170" t="e">
        <f t="shared" si="11"/>
        <v>#VALUE!</v>
      </c>
      <c r="L214" s="170"/>
      <c r="M214" s="170"/>
      <c r="N214" s="170"/>
      <c r="O214" s="170" t="s">
        <v>1240</v>
      </c>
      <c r="P214" s="170" t="s">
        <v>1240</v>
      </c>
      <c r="Q214" s="170"/>
      <c r="R214" s="170"/>
      <c r="S214" s="170"/>
      <c r="T214" s="173"/>
      <c r="U214" s="170"/>
      <c r="V214" s="170"/>
      <c r="W214" s="172"/>
      <c r="X214" s="170" t="s">
        <v>1240</v>
      </c>
      <c r="Y214" s="170" t="s">
        <v>1240</v>
      </c>
      <c r="Z214" s="170" t="s">
        <v>1240</v>
      </c>
      <c r="AA214" s="170" t="s">
        <v>1240</v>
      </c>
      <c r="AB214" s="170" t="s">
        <v>1240</v>
      </c>
      <c r="AC214" s="170" t="s">
        <v>1240</v>
      </c>
      <c r="AD214" s="174" t="s">
        <v>1240</v>
      </c>
      <c r="AE214" s="172" t="s">
        <v>1240</v>
      </c>
      <c r="AF214" s="172"/>
      <c r="AG214" s="172"/>
    </row>
    <row r="215" spans="1:33" s="175" customFormat="1" hidden="1" x14ac:dyDescent="0.2">
      <c r="A215" s="170" t="s">
        <v>1240</v>
      </c>
      <c r="B215" s="170" t="s">
        <v>1240</v>
      </c>
      <c r="C215" s="170" t="s">
        <v>1240</v>
      </c>
      <c r="D215" s="170" t="s">
        <v>1240</v>
      </c>
      <c r="E215" s="170" t="s">
        <v>1240</v>
      </c>
      <c r="F215" s="170" t="s">
        <v>1240</v>
      </c>
      <c r="G215" s="170" t="s">
        <v>1240</v>
      </c>
      <c r="H215" s="276" t="s">
        <v>1240</v>
      </c>
      <c r="I215" s="170" t="e">
        <f t="shared" si="10"/>
        <v>#VALUE!</v>
      </c>
      <c r="J215" s="171" t="s">
        <v>1240</v>
      </c>
      <c r="K215" s="170" t="e">
        <f t="shared" si="11"/>
        <v>#VALUE!</v>
      </c>
      <c r="L215" s="170"/>
      <c r="M215" s="170"/>
      <c r="N215" s="170"/>
      <c r="O215" s="170" t="s">
        <v>1240</v>
      </c>
      <c r="P215" s="170" t="s">
        <v>1240</v>
      </c>
      <c r="Q215" s="170"/>
      <c r="R215" s="170"/>
      <c r="S215" s="170"/>
      <c r="T215" s="173"/>
      <c r="U215" s="170"/>
      <c r="V215" s="170"/>
      <c r="W215" s="172"/>
      <c r="X215" s="170" t="s">
        <v>1240</v>
      </c>
      <c r="Y215" s="170" t="s">
        <v>1240</v>
      </c>
      <c r="Z215" s="170" t="s">
        <v>1240</v>
      </c>
      <c r="AA215" s="170" t="s">
        <v>1240</v>
      </c>
      <c r="AB215" s="170" t="s">
        <v>1240</v>
      </c>
      <c r="AC215" s="170" t="s">
        <v>1240</v>
      </c>
      <c r="AD215" s="174" t="s">
        <v>1240</v>
      </c>
      <c r="AE215" s="172" t="s">
        <v>1240</v>
      </c>
      <c r="AF215" s="172"/>
      <c r="AG215" s="172"/>
    </row>
    <row r="216" spans="1:33" s="175" customFormat="1" hidden="1" x14ac:dyDescent="0.2">
      <c r="A216" s="170" t="s">
        <v>1240</v>
      </c>
      <c r="B216" s="170" t="s">
        <v>1240</v>
      </c>
      <c r="C216" s="170" t="s">
        <v>1240</v>
      </c>
      <c r="D216" s="170" t="s">
        <v>1240</v>
      </c>
      <c r="E216" s="170" t="s">
        <v>1240</v>
      </c>
      <c r="F216" s="170" t="s">
        <v>1240</v>
      </c>
      <c r="G216" s="170" t="s">
        <v>1240</v>
      </c>
      <c r="H216" s="276" t="s">
        <v>1240</v>
      </c>
      <c r="I216" s="170" t="e">
        <f t="shared" si="10"/>
        <v>#VALUE!</v>
      </c>
      <c r="J216" s="171" t="s">
        <v>1240</v>
      </c>
      <c r="K216" s="170" t="e">
        <f t="shared" si="11"/>
        <v>#VALUE!</v>
      </c>
      <c r="L216" s="170"/>
      <c r="M216" s="170"/>
      <c r="N216" s="170"/>
      <c r="O216" s="170" t="s">
        <v>1240</v>
      </c>
      <c r="P216" s="170" t="s">
        <v>1240</v>
      </c>
      <c r="Q216" s="170"/>
      <c r="R216" s="170"/>
      <c r="S216" s="170"/>
      <c r="T216" s="173"/>
      <c r="U216" s="170"/>
      <c r="V216" s="170"/>
      <c r="W216" s="172"/>
      <c r="X216" s="170" t="s">
        <v>1240</v>
      </c>
      <c r="Y216" s="170" t="s">
        <v>1240</v>
      </c>
      <c r="Z216" s="170" t="s">
        <v>1240</v>
      </c>
      <c r="AA216" s="170" t="s">
        <v>1240</v>
      </c>
      <c r="AB216" s="170" t="s">
        <v>1240</v>
      </c>
      <c r="AC216" s="170" t="s">
        <v>1240</v>
      </c>
      <c r="AD216" s="174" t="s">
        <v>1240</v>
      </c>
      <c r="AE216" s="172" t="s">
        <v>1240</v>
      </c>
      <c r="AF216" s="172"/>
      <c r="AG216" s="172"/>
    </row>
    <row r="217" spans="1:33" s="175" customFormat="1" hidden="1" x14ac:dyDescent="0.2">
      <c r="A217" s="170" t="s">
        <v>1240</v>
      </c>
      <c r="B217" s="170" t="s">
        <v>1240</v>
      </c>
      <c r="C217" s="170" t="s">
        <v>1240</v>
      </c>
      <c r="D217" s="170" t="s">
        <v>1240</v>
      </c>
      <c r="E217" s="170" t="s">
        <v>1240</v>
      </c>
      <c r="F217" s="170" t="s">
        <v>1240</v>
      </c>
      <c r="G217" s="170" t="s">
        <v>1240</v>
      </c>
      <c r="H217" s="276" t="s">
        <v>1240</v>
      </c>
      <c r="I217" s="170" t="e">
        <f t="shared" si="10"/>
        <v>#VALUE!</v>
      </c>
      <c r="J217" s="171" t="s">
        <v>1240</v>
      </c>
      <c r="K217" s="170" t="e">
        <f t="shared" si="11"/>
        <v>#VALUE!</v>
      </c>
      <c r="L217" s="170"/>
      <c r="M217" s="170"/>
      <c r="N217" s="170"/>
      <c r="O217" s="170" t="s">
        <v>1240</v>
      </c>
      <c r="P217" s="170" t="s">
        <v>1240</v>
      </c>
      <c r="Q217" s="170"/>
      <c r="R217" s="170"/>
      <c r="S217" s="170"/>
      <c r="T217" s="173"/>
      <c r="U217" s="170"/>
      <c r="V217" s="170"/>
      <c r="W217" s="172"/>
      <c r="X217" s="170" t="s">
        <v>1240</v>
      </c>
      <c r="Y217" s="170" t="s">
        <v>1240</v>
      </c>
      <c r="Z217" s="170" t="s">
        <v>1240</v>
      </c>
      <c r="AA217" s="170" t="s">
        <v>1240</v>
      </c>
      <c r="AB217" s="170" t="s">
        <v>1240</v>
      </c>
      <c r="AC217" s="170" t="s">
        <v>1240</v>
      </c>
      <c r="AD217" s="174" t="s">
        <v>1240</v>
      </c>
      <c r="AE217" s="172" t="s">
        <v>1240</v>
      </c>
      <c r="AF217" s="172"/>
      <c r="AG217" s="172"/>
    </row>
    <row r="218" spans="1:33" s="175" customFormat="1" hidden="1" x14ac:dyDescent="0.2">
      <c r="A218" s="170" t="s">
        <v>1240</v>
      </c>
      <c r="B218" s="170" t="s">
        <v>1240</v>
      </c>
      <c r="C218" s="170" t="s">
        <v>1240</v>
      </c>
      <c r="D218" s="170" t="s">
        <v>1240</v>
      </c>
      <c r="E218" s="170" t="s">
        <v>1240</v>
      </c>
      <c r="F218" s="170" t="s">
        <v>1240</v>
      </c>
      <c r="G218" s="170" t="s">
        <v>1240</v>
      </c>
      <c r="H218" s="276" t="s">
        <v>1240</v>
      </c>
      <c r="I218" s="170" t="e">
        <f t="shared" si="10"/>
        <v>#VALUE!</v>
      </c>
      <c r="J218" s="171" t="s">
        <v>1240</v>
      </c>
      <c r="K218" s="170" t="e">
        <f t="shared" si="11"/>
        <v>#VALUE!</v>
      </c>
      <c r="L218" s="170"/>
      <c r="M218" s="170"/>
      <c r="N218" s="170"/>
      <c r="O218" s="170" t="s">
        <v>1240</v>
      </c>
      <c r="P218" s="170" t="s">
        <v>1240</v>
      </c>
      <c r="Q218" s="170"/>
      <c r="R218" s="170"/>
      <c r="S218" s="170"/>
      <c r="T218" s="173"/>
      <c r="U218" s="170"/>
      <c r="V218" s="170"/>
      <c r="W218" s="172"/>
      <c r="X218" s="170" t="s">
        <v>1240</v>
      </c>
      <c r="Y218" s="170" t="s">
        <v>1240</v>
      </c>
      <c r="Z218" s="170" t="s">
        <v>1240</v>
      </c>
      <c r="AA218" s="170" t="s">
        <v>1240</v>
      </c>
      <c r="AB218" s="170" t="s">
        <v>1240</v>
      </c>
      <c r="AC218" s="170" t="s">
        <v>1240</v>
      </c>
      <c r="AD218" s="174" t="s">
        <v>1240</v>
      </c>
      <c r="AE218" s="172" t="s">
        <v>1240</v>
      </c>
      <c r="AF218" s="172"/>
      <c r="AG218" s="172"/>
    </row>
    <row r="219" spans="1:33" s="175" customFormat="1" hidden="1" x14ac:dyDescent="0.2">
      <c r="A219" s="170" t="s">
        <v>1240</v>
      </c>
      <c r="B219" s="170" t="s">
        <v>1240</v>
      </c>
      <c r="C219" s="170" t="s">
        <v>1240</v>
      </c>
      <c r="D219" s="170" t="s">
        <v>1240</v>
      </c>
      <c r="E219" s="170" t="s">
        <v>1240</v>
      </c>
      <c r="F219" s="170" t="s">
        <v>1240</v>
      </c>
      <c r="G219" s="170" t="s">
        <v>1240</v>
      </c>
      <c r="H219" s="276" t="s">
        <v>1240</v>
      </c>
      <c r="I219" s="170" t="e">
        <f t="shared" si="10"/>
        <v>#VALUE!</v>
      </c>
      <c r="J219" s="171" t="s">
        <v>1240</v>
      </c>
      <c r="K219" s="170" t="e">
        <f t="shared" si="11"/>
        <v>#VALUE!</v>
      </c>
      <c r="L219" s="170"/>
      <c r="M219" s="170"/>
      <c r="N219" s="170"/>
      <c r="O219" s="170" t="s">
        <v>1240</v>
      </c>
      <c r="P219" s="170" t="s">
        <v>1240</v>
      </c>
      <c r="Q219" s="170"/>
      <c r="R219" s="170"/>
      <c r="S219" s="170"/>
      <c r="T219" s="173"/>
      <c r="U219" s="170"/>
      <c r="V219" s="170"/>
      <c r="W219" s="172"/>
      <c r="X219" s="170" t="s">
        <v>1240</v>
      </c>
      <c r="Y219" s="170" t="s">
        <v>1240</v>
      </c>
      <c r="Z219" s="170" t="s">
        <v>1240</v>
      </c>
      <c r="AA219" s="170" t="s">
        <v>1240</v>
      </c>
      <c r="AB219" s="170" t="s">
        <v>1240</v>
      </c>
      <c r="AC219" s="170" t="s">
        <v>1240</v>
      </c>
      <c r="AD219" s="174" t="s">
        <v>1240</v>
      </c>
      <c r="AE219" s="172" t="s">
        <v>1240</v>
      </c>
      <c r="AF219" s="172"/>
      <c r="AG219" s="172"/>
    </row>
    <row r="220" spans="1:33" s="175" customFormat="1" hidden="1" x14ac:dyDescent="0.2">
      <c r="A220" s="170" t="s">
        <v>1240</v>
      </c>
      <c r="B220" s="170" t="s">
        <v>1240</v>
      </c>
      <c r="C220" s="170" t="s">
        <v>1240</v>
      </c>
      <c r="D220" s="170" t="s">
        <v>1240</v>
      </c>
      <c r="E220" s="170" t="s">
        <v>1240</v>
      </c>
      <c r="F220" s="170" t="s">
        <v>1240</v>
      </c>
      <c r="G220" s="170" t="s">
        <v>1240</v>
      </c>
      <c r="H220" s="276" t="s">
        <v>1240</v>
      </c>
      <c r="I220" s="170" t="e">
        <f t="shared" si="10"/>
        <v>#VALUE!</v>
      </c>
      <c r="J220" s="171" t="s">
        <v>1240</v>
      </c>
      <c r="K220" s="170" t="e">
        <f t="shared" si="11"/>
        <v>#VALUE!</v>
      </c>
      <c r="L220" s="170"/>
      <c r="M220" s="170"/>
      <c r="N220" s="170"/>
      <c r="O220" s="170" t="s">
        <v>1240</v>
      </c>
      <c r="P220" s="170" t="s">
        <v>1240</v>
      </c>
      <c r="Q220" s="170"/>
      <c r="R220" s="170"/>
      <c r="S220" s="170"/>
      <c r="T220" s="173"/>
      <c r="U220" s="170"/>
      <c r="V220" s="170"/>
      <c r="W220" s="172"/>
      <c r="X220" s="170" t="s">
        <v>1240</v>
      </c>
      <c r="Y220" s="170" t="s">
        <v>1240</v>
      </c>
      <c r="Z220" s="170" t="s">
        <v>1240</v>
      </c>
      <c r="AA220" s="170" t="s">
        <v>1240</v>
      </c>
      <c r="AB220" s="170" t="s">
        <v>1240</v>
      </c>
      <c r="AC220" s="170" t="s">
        <v>1240</v>
      </c>
      <c r="AD220" s="174" t="s">
        <v>1240</v>
      </c>
      <c r="AE220" s="172" t="s">
        <v>1240</v>
      </c>
      <c r="AF220" s="172"/>
      <c r="AG220" s="172"/>
    </row>
    <row r="221" spans="1:33" s="175" customFormat="1" hidden="1" x14ac:dyDescent="0.2">
      <c r="A221" s="170" t="s">
        <v>1240</v>
      </c>
      <c r="B221" s="170" t="s">
        <v>1240</v>
      </c>
      <c r="C221" s="170" t="s">
        <v>1240</v>
      </c>
      <c r="D221" s="170" t="s">
        <v>1240</v>
      </c>
      <c r="E221" s="170" t="s">
        <v>1240</v>
      </c>
      <c r="F221" s="170" t="s">
        <v>1240</v>
      </c>
      <c r="G221" s="170" t="s">
        <v>1240</v>
      </c>
      <c r="H221" s="276" t="s">
        <v>1240</v>
      </c>
      <c r="I221" s="170" t="e">
        <f t="shared" si="10"/>
        <v>#VALUE!</v>
      </c>
      <c r="J221" s="171" t="s">
        <v>1240</v>
      </c>
      <c r="K221" s="170" t="e">
        <f t="shared" si="11"/>
        <v>#VALUE!</v>
      </c>
      <c r="L221" s="170"/>
      <c r="M221" s="170"/>
      <c r="N221" s="170"/>
      <c r="O221" s="170" t="s">
        <v>1240</v>
      </c>
      <c r="P221" s="170" t="s">
        <v>1240</v>
      </c>
      <c r="Q221" s="170"/>
      <c r="R221" s="170"/>
      <c r="S221" s="170"/>
      <c r="T221" s="173"/>
      <c r="U221" s="170"/>
      <c r="V221" s="170"/>
      <c r="W221" s="172"/>
      <c r="X221" s="170" t="s">
        <v>1240</v>
      </c>
      <c r="Y221" s="170" t="s">
        <v>1240</v>
      </c>
      <c r="Z221" s="170" t="s">
        <v>1240</v>
      </c>
      <c r="AA221" s="170" t="s">
        <v>1240</v>
      </c>
      <c r="AB221" s="170" t="s">
        <v>1240</v>
      </c>
      <c r="AC221" s="170" t="s">
        <v>1240</v>
      </c>
      <c r="AD221" s="174" t="s">
        <v>1240</v>
      </c>
      <c r="AE221" s="172" t="s">
        <v>1240</v>
      </c>
      <c r="AF221" s="172"/>
      <c r="AG221" s="172"/>
    </row>
    <row r="222" spans="1:33" s="175" customFormat="1" hidden="1" x14ac:dyDescent="0.2">
      <c r="A222" s="170" t="s">
        <v>1240</v>
      </c>
      <c r="B222" s="170" t="s">
        <v>1240</v>
      </c>
      <c r="C222" s="170" t="s">
        <v>1240</v>
      </c>
      <c r="D222" s="170" t="s">
        <v>1240</v>
      </c>
      <c r="E222" s="170" t="s">
        <v>1240</v>
      </c>
      <c r="F222" s="170" t="s">
        <v>1240</v>
      </c>
      <c r="G222" s="170" t="s">
        <v>1240</v>
      </c>
      <c r="H222" s="276" t="s">
        <v>1240</v>
      </c>
      <c r="I222" s="170" t="e">
        <f t="shared" si="10"/>
        <v>#VALUE!</v>
      </c>
      <c r="J222" s="171" t="s">
        <v>1240</v>
      </c>
      <c r="K222" s="170" t="e">
        <f t="shared" si="11"/>
        <v>#VALUE!</v>
      </c>
      <c r="L222" s="170"/>
      <c r="M222" s="170"/>
      <c r="N222" s="170"/>
      <c r="O222" s="170" t="s">
        <v>1240</v>
      </c>
      <c r="P222" s="170" t="s">
        <v>1240</v>
      </c>
      <c r="Q222" s="170"/>
      <c r="R222" s="170"/>
      <c r="S222" s="170"/>
      <c r="T222" s="173"/>
      <c r="U222" s="170"/>
      <c r="V222" s="170"/>
      <c r="W222" s="172"/>
      <c r="X222" s="170" t="s">
        <v>1240</v>
      </c>
      <c r="Y222" s="170" t="s">
        <v>1240</v>
      </c>
      <c r="Z222" s="170" t="s">
        <v>1240</v>
      </c>
      <c r="AA222" s="170" t="s">
        <v>1240</v>
      </c>
      <c r="AB222" s="170" t="s">
        <v>1240</v>
      </c>
      <c r="AC222" s="170" t="s">
        <v>1240</v>
      </c>
      <c r="AD222" s="174" t="s">
        <v>1240</v>
      </c>
      <c r="AE222" s="172" t="s">
        <v>1240</v>
      </c>
      <c r="AF222" s="172"/>
      <c r="AG222" s="172"/>
    </row>
    <row r="223" spans="1:33" s="175" customFormat="1" hidden="1" x14ac:dyDescent="0.2">
      <c r="A223" s="170" t="s">
        <v>1240</v>
      </c>
      <c r="B223" s="170" t="s">
        <v>1240</v>
      </c>
      <c r="C223" s="170" t="s">
        <v>1240</v>
      </c>
      <c r="D223" s="170" t="s">
        <v>1240</v>
      </c>
      <c r="E223" s="170" t="s">
        <v>1240</v>
      </c>
      <c r="F223" s="170" t="s">
        <v>1240</v>
      </c>
      <c r="G223" s="170" t="s">
        <v>1240</v>
      </c>
      <c r="H223" s="276" t="s">
        <v>1240</v>
      </c>
      <c r="I223" s="170" t="e">
        <f t="shared" si="10"/>
        <v>#VALUE!</v>
      </c>
      <c r="J223" s="171" t="s">
        <v>1240</v>
      </c>
      <c r="K223" s="170" t="e">
        <f t="shared" si="11"/>
        <v>#VALUE!</v>
      </c>
      <c r="L223" s="170"/>
      <c r="M223" s="170"/>
      <c r="N223" s="170"/>
      <c r="O223" s="170" t="s">
        <v>1240</v>
      </c>
      <c r="P223" s="170" t="s">
        <v>1240</v>
      </c>
      <c r="Q223" s="170"/>
      <c r="R223" s="170"/>
      <c r="S223" s="170"/>
      <c r="T223" s="173"/>
      <c r="U223" s="170"/>
      <c r="V223" s="170"/>
      <c r="W223" s="172"/>
      <c r="X223" s="170" t="s">
        <v>1240</v>
      </c>
      <c r="Y223" s="170" t="s">
        <v>1240</v>
      </c>
      <c r="Z223" s="170" t="s">
        <v>1240</v>
      </c>
      <c r="AA223" s="170" t="s">
        <v>1240</v>
      </c>
      <c r="AB223" s="170" t="s">
        <v>1240</v>
      </c>
      <c r="AC223" s="170" t="s">
        <v>1240</v>
      </c>
      <c r="AD223" s="174" t="s">
        <v>1240</v>
      </c>
      <c r="AE223" s="172" t="s">
        <v>1240</v>
      </c>
      <c r="AF223" s="172"/>
      <c r="AG223" s="172"/>
    </row>
    <row r="224" spans="1:33" s="175" customFormat="1" hidden="1" x14ac:dyDescent="0.2">
      <c r="A224" s="170" t="s">
        <v>1240</v>
      </c>
      <c r="B224" s="170" t="s">
        <v>1240</v>
      </c>
      <c r="C224" s="170" t="s">
        <v>1240</v>
      </c>
      <c r="D224" s="170" t="s">
        <v>1240</v>
      </c>
      <c r="E224" s="170" t="s">
        <v>1240</v>
      </c>
      <c r="F224" s="170" t="s">
        <v>1240</v>
      </c>
      <c r="G224" s="170" t="s">
        <v>1240</v>
      </c>
      <c r="H224" s="276" t="s">
        <v>1240</v>
      </c>
      <c r="I224" s="170" t="e">
        <f t="shared" si="10"/>
        <v>#VALUE!</v>
      </c>
      <c r="J224" s="171" t="s">
        <v>1240</v>
      </c>
      <c r="K224" s="170" t="e">
        <f t="shared" si="11"/>
        <v>#VALUE!</v>
      </c>
      <c r="L224" s="170"/>
      <c r="M224" s="170"/>
      <c r="N224" s="170"/>
      <c r="O224" s="170" t="s">
        <v>1240</v>
      </c>
      <c r="P224" s="170" t="s">
        <v>1240</v>
      </c>
      <c r="Q224" s="170"/>
      <c r="R224" s="170"/>
      <c r="S224" s="170"/>
      <c r="T224" s="173"/>
      <c r="U224" s="170"/>
      <c r="V224" s="170"/>
      <c r="W224" s="172"/>
      <c r="X224" s="170" t="s">
        <v>1240</v>
      </c>
      <c r="Y224" s="170" t="s">
        <v>1240</v>
      </c>
      <c r="Z224" s="170" t="s">
        <v>1240</v>
      </c>
      <c r="AA224" s="170" t="s">
        <v>1240</v>
      </c>
      <c r="AB224" s="170" t="s">
        <v>1240</v>
      </c>
      <c r="AC224" s="170" t="s">
        <v>1240</v>
      </c>
      <c r="AD224" s="174" t="s">
        <v>1240</v>
      </c>
      <c r="AE224" s="172" t="s">
        <v>1240</v>
      </c>
      <c r="AF224" s="172"/>
      <c r="AG224" s="172"/>
    </row>
    <row r="225" spans="1:33" s="175" customFormat="1" hidden="1" x14ac:dyDescent="0.2">
      <c r="A225" s="170" t="s">
        <v>1240</v>
      </c>
      <c r="B225" s="170" t="s">
        <v>1240</v>
      </c>
      <c r="C225" s="170" t="s">
        <v>1240</v>
      </c>
      <c r="D225" s="170" t="s">
        <v>1240</v>
      </c>
      <c r="E225" s="170" t="s">
        <v>1240</v>
      </c>
      <c r="F225" s="170" t="s">
        <v>1240</v>
      </c>
      <c r="G225" s="170" t="s">
        <v>1240</v>
      </c>
      <c r="H225" s="276" t="s">
        <v>1240</v>
      </c>
      <c r="I225" s="170" t="e">
        <f t="shared" si="10"/>
        <v>#VALUE!</v>
      </c>
      <c r="J225" s="171" t="s">
        <v>1240</v>
      </c>
      <c r="K225" s="170" t="e">
        <f t="shared" si="11"/>
        <v>#VALUE!</v>
      </c>
      <c r="L225" s="170"/>
      <c r="M225" s="170"/>
      <c r="N225" s="170"/>
      <c r="O225" s="170" t="s">
        <v>1240</v>
      </c>
      <c r="P225" s="170" t="s">
        <v>1240</v>
      </c>
      <c r="Q225" s="170"/>
      <c r="R225" s="170"/>
      <c r="S225" s="170"/>
      <c r="T225" s="173"/>
      <c r="U225" s="170"/>
      <c r="V225" s="170"/>
      <c r="W225" s="172"/>
      <c r="X225" s="170" t="s">
        <v>1240</v>
      </c>
      <c r="Y225" s="170" t="s">
        <v>1240</v>
      </c>
      <c r="Z225" s="170" t="s">
        <v>1240</v>
      </c>
      <c r="AA225" s="170" t="s">
        <v>1240</v>
      </c>
      <c r="AB225" s="170" t="s">
        <v>1240</v>
      </c>
      <c r="AC225" s="170" t="s">
        <v>1240</v>
      </c>
      <c r="AD225" s="174" t="s">
        <v>1240</v>
      </c>
      <c r="AE225" s="172" t="s">
        <v>1240</v>
      </c>
      <c r="AF225" s="172"/>
      <c r="AG225" s="172"/>
    </row>
    <row r="226" spans="1:33" s="175" customFormat="1" hidden="1" x14ac:dyDescent="0.2">
      <c r="A226" s="170" t="s">
        <v>1240</v>
      </c>
      <c r="B226" s="170" t="s">
        <v>1240</v>
      </c>
      <c r="C226" s="170" t="s">
        <v>1240</v>
      </c>
      <c r="D226" s="170" t="s">
        <v>1240</v>
      </c>
      <c r="E226" s="170" t="s">
        <v>1240</v>
      </c>
      <c r="F226" s="170" t="s">
        <v>1240</v>
      </c>
      <c r="G226" s="170" t="s">
        <v>1240</v>
      </c>
      <c r="H226" s="276" t="s">
        <v>1240</v>
      </c>
      <c r="I226" s="170" t="e">
        <f t="shared" si="10"/>
        <v>#VALUE!</v>
      </c>
      <c r="J226" s="171" t="s">
        <v>1240</v>
      </c>
      <c r="K226" s="170" t="e">
        <f t="shared" si="11"/>
        <v>#VALUE!</v>
      </c>
      <c r="L226" s="170"/>
      <c r="M226" s="170"/>
      <c r="N226" s="170"/>
      <c r="O226" s="170" t="s">
        <v>1240</v>
      </c>
      <c r="P226" s="170" t="s">
        <v>1240</v>
      </c>
      <c r="Q226" s="170"/>
      <c r="R226" s="170"/>
      <c r="S226" s="170"/>
      <c r="T226" s="173"/>
      <c r="U226" s="170"/>
      <c r="V226" s="170"/>
      <c r="W226" s="172"/>
      <c r="X226" s="170" t="s">
        <v>1240</v>
      </c>
      <c r="Y226" s="170" t="s">
        <v>1240</v>
      </c>
      <c r="Z226" s="170" t="s">
        <v>1240</v>
      </c>
      <c r="AA226" s="170" t="s">
        <v>1240</v>
      </c>
      <c r="AB226" s="170" t="s">
        <v>1240</v>
      </c>
      <c r="AC226" s="170" t="s">
        <v>1240</v>
      </c>
      <c r="AD226" s="174" t="s">
        <v>1240</v>
      </c>
      <c r="AE226" s="172" t="s">
        <v>1240</v>
      </c>
      <c r="AF226" s="172"/>
      <c r="AG226" s="172"/>
    </row>
    <row r="227" spans="1:33" s="175" customFormat="1" hidden="1" x14ac:dyDescent="0.2">
      <c r="A227" s="170" t="s">
        <v>1240</v>
      </c>
      <c r="B227" s="170" t="s">
        <v>1240</v>
      </c>
      <c r="C227" s="170" t="s">
        <v>1240</v>
      </c>
      <c r="D227" s="170" t="s">
        <v>1240</v>
      </c>
      <c r="E227" s="170" t="s">
        <v>1240</v>
      </c>
      <c r="F227" s="170" t="s">
        <v>1240</v>
      </c>
      <c r="G227" s="170" t="s">
        <v>1240</v>
      </c>
      <c r="H227" s="276" t="s">
        <v>1240</v>
      </c>
      <c r="I227" s="170" t="e">
        <f t="shared" si="10"/>
        <v>#VALUE!</v>
      </c>
      <c r="J227" s="171" t="s">
        <v>1240</v>
      </c>
      <c r="K227" s="170" t="e">
        <f t="shared" si="11"/>
        <v>#VALUE!</v>
      </c>
      <c r="L227" s="170"/>
      <c r="M227" s="170"/>
      <c r="N227" s="170"/>
      <c r="O227" s="170" t="s">
        <v>1240</v>
      </c>
      <c r="P227" s="170" t="s">
        <v>1240</v>
      </c>
      <c r="Q227" s="170"/>
      <c r="R227" s="170"/>
      <c r="S227" s="170"/>
      <c r="T227" s="173"/>
      <c r="U227" s="170"/>
      <c r="V227" s="170"/>
      <c r="W227" s="172"/>
      <c r="X227" s="170" t="s">
        <v>1240</v>
      </c>
      <c r="Y227" s="170" t="s">
        <v>1240</v>
      </c>
      <c r="Z227" s="170" t="s">
        <v>1240</v>
      </c>
      <c r="AA227" s="170" t="s">
        <v>1240</v>
      </c>
      <c r="AB227" s="170" t="s">
        <v>1240</v>
      </c>
      <c r="AC227" s="170" t="s">
        <v>1240</v>
      </c>
      <c r="AD227" s="174" t="s">
        <v>1240</v>
      </c>
      <c r="AE227" s="172" t="s">
        <v>1240</v>
      </c>
      <c r="AF227" s="172"/>
      <c r="AG227" s="172"/>
    </row>
    <row r="228" spans="1:33" s="175" customFormat="1" hidden="1" x14ac:dyDescent="0.2">
      <c r="A228" s="170" t="s">
        <v>1240</v>
      </c>
      <c r="B228" s="170" t="s">
        <v>1240</v>
      </c>
      <c r="C228" s="170" t="s">
        <v>1240</v>
      </c>
      <c r="D228" s="170" t="s">
        <v>1240</v>
      </c>
      <c r="E228" s="170" t="s">
        <v>1240</v>
      </c>
      <c r="F228" s="170" t="s">
        <v>1240</v>
      </c>
      <c r="G228" s="170" t="s">
        <v>1240</v>
      </c>
      <c r="H228" s="276" t="s">
        <v>1240</v>
      </c>
      <c r="I228" s="170" t="e">
        <f t="shared" si="10"/>
        <v>#VALUE!</v>
      </c>
      <c r="J228" s="171" t="s">
        <v>1240</v>
      </c>
      <c r="K228" s="170" t="e">
        <f t="shared" si="11"/>
        <v>#VALUE!</v>
      </c>
      <c r="L228" s="170"/>
      <c r="M228" s="170"/>
      <c r="N228" s="170"/>
      <c r="O228" s="170" t="s">
        <v>1240</v>
      </c>
      <c r="P228" s="170" t="s">
        <v>1240</v>
      </c>
      <c r="Q228" s="170"/>
      <c r="R228" s="170"/>
      <c r="S228" s="170"/>
      <c r="T228" s="173"/>
      <c r="U228" s="170"/>
      <c r="V228" s="170"/>
      <c r="W228" s="172"/>
      <c r="X228" s="170" t="s">
        <v>1240</v>
      </c>
      <c r="Y228" s="170" t="s">
        <v>1240</v>
      </c>
      <c r="Z228" s="170" t="s">
        <v>1240</v>
      </c>
      <c r="AA228" s="170" t="s">
        <v>1240</v>
      </c>
      <c r="AB228" s="170" t="s">
        <v>1240</v>
      </c>
      <c r="AC228" s="170" t="s">
        <v>1240</v>
      </c>
      <c r="AD228" s="174" t="s">
        <v>1240</v>
      </c>
      <c r="AE228" s="172" t="s">
        <v>1240</v>
      </c>
      <c r="AF228" s="172"/>
      <c r="AG228" s="172"/>
    </row>
    <row r="229" spans="1:33" s="175" customFormat="1" hidden="1" x14ac:dyDescent="0.2">
      <c r="A229" s="170" t="s">
        <v>1240</v>
      </c>
      <c r="B229" s="170" t="s">
        <v>1240</v>
      </c>
      <c r="C229" s="170" t="s">
        <v>1240</v>
      </c>
      <c r="D229" s="170" t="s">
        <v>1240</v>
      </c>
      <c r="E229" s="170" t="s">
        <v>1240</v>
      </c>
      <c r="F229" s="170" t="s">
        <v>1240</v>
      </c>
      <c r="G229" s="170" t="s">
        <v>1240</v>
      </c>
      <c r="H229" s="276" t="s">
        <v>1240</v>
      </c>
      <c r="I229" s="170" t="e">
        <f t="shared" si="10"/>
        <v>#VALUE!</v>
      </c>
      <c r="J229" s="171" t="s">
        <v>1240</v>
      </c>
      <c r="K229" s="170" t="e">
        <f t="shared" si="11"/>
        <v>#VALUE!</v>
      </c>
      <c r="L229" s="170"/>
      <c r="M229" s="170"/>
      <c r="N229" s="170"/>
      <c r="O229" s="170" t="s">
        <v>1240</v>
      </c>
      <c r="P229" s="170" t="s">
        <v>1240</v>
      </c>
      <c r="Q229" s="170"/>
      <c r="R229" s="170"/>
      <c r="S229" s="170"/>
      <c r="T229" s="173"/>
      <c r="U229" s="170"/>
      <c r="V229" s="170"/>
      <c r="W229" s="172"/>
      <c r="X229" s="170" t="s">
        <v>1240</v>
      </c>
      <c r="Y229" s="170" t="s">
        <v>1240</v>
      </c>
      <c r="Z229" s="170" t="s">
        <v>1240</v>
      </c>
      <c r="AA229" s="170" t="s">
        <v>1240</v>
      </c>
      <c r="AB229" s="170" t="s">
        <v>1240</v>
      </c>
      <c r="AC229" s="170" t="s">
        <v>1240</v>
      </c>
      <c r="AD229" s="174" t="s">
        <v>1240</v>
      </c>
      <c r="AE229" s="172" t="s">
        <v>1240</v>
      </c>
      <c r="AF229" s="172"/>
      <c r="AG229" s="172"/>
    </row>
    <row r="230" spans="1:33" s="175" customFormat="1" hidden="1" x14ac:dyDescent="0.2">
      <c r="A230" s="170" t="s">
        <v>1240</v>
      </c>
      <c r="B230" s="170" t="s">
        <v>1240</v>
      </c>
      <c r="C230" s="170" t="s">
        <v>1240</v>
      </c>
      <c r="D230" s="170" t="s">
        <v>1240</v>
      </c>
      <c r="E230" s="170" t="s">
        <v>1240</v>
      </c>
      <c r="F230" s="170" t="s">
        <v>1240</v>
      </c>
      <c r="G230" s="170" t="s">
        <v>1240</v>
      </c>
      <c r="H230" s="276" t="s">
        <v>1240</v>
      </c>
      <c r="I230" s="170" t="e">
        <f t="shared" si="10"/>
        <v>#VALUE!</v>
      </c>
      <c r="J230" s="171" t="s">
        <v>1240</v>
      </c>
      <c r="K230" s="170" t="e">
        <f t="shared" si="11"/>
        <v>#VALUE!</v>
      </c>
      <c r="L230" s="170"/>
      <c r="M230" s="170"/>
      <c r="N230" s="170"/>
      <c r="O230" s="170" t="s">
        <v>1240</v>
      </c>
      <c r="P230" s="170" t="s">
        <v>1240</v>
      </c>
      <c r="Q230" s="170"/>
      <c r="R230" s="170"/>
      <c r="S230" s="170"/>
      <c r="T230" s="173"/>
      <c r="U230" s="170"/>
      <c r="V230" s="170"/>
      <c r="W230" s="172"/>
      <c r="X230" s="170" t="s">
        <v>1240</v>
      </c>
      <c r="Y230" s="170" t="s">
        <v>1240</v>
      </c>
      <c r="Z230" s="170" t="s">
        <v>1240</v>
      </c>
      <c r="AA230" s="170" t="s">
        <v>1240</v>
      </c>
      <c r="AB230" s="170" t="s">
        <v>1240</v>
      </c>
      <c r="AC230" s="170" t="s">
        <v>1240</v>
      </c>
      <c r="AD230" s="174" t="s">
        <v>1240</v>
      </c>
      <c r="AE230" s="172" t="s">
        <v>1240</v>
      </c>
      <c r="AF230" s="172"/>
      <c r="AG230" s="172"/>
    </row>
    <row r="231" spans="1:33" s="175" customFormat="1" hidden="1" x14ac:dyDescent="0.2">
      <c r="A231" s="170" t="s">
        <v>1240</v>
      </c>
      <c r="B231" s="170" t="s">
        <v>1240</v>
      </c>
      <c r="C231" s="170" t="s">
        <v>1240</v>
      </c>
      <c r="D231" s="170" t="s">
        <v>1240</v>
      </c>
      <c r="E231" s="170" t="s">
        <v>1240</v>
      </c>
      <c r="F231" s="170" t="s">
        <v>1240</v>
      </c>
      <c r="G231" s="170" t="s">
        <v>1240</v>
      </c>
      <c r="H231" s="276" t="s">
        <v>1240</v>
      </c>
      <c r="I231" s="170" t="e">
        <f t="shared" si="10"/>
        <v>#VALUE!</v>
      </c>
      <c r="J231" s="171" t="s">
        <v>1240</v>
      </c>
      <c r="K231" s="170" t="e">
        <f t="shared" si="11"/>
        <v>#VALUE!</v>
      </c>
      <c r="L231" s="170"/>
      <c r="M231" s="170"/>
      <c r="N231" s="170"/>
      <c r="O231" s="170" t="s">
        <v>1240</v>
      </c>
      <c r="P231" s="170" t="s">
        <v>1240</v>
      </c>
      <c r="Q231" s="170"/>
      <c r="R231" s="170"/>
      <c r="S231" s="170"/>
      <c r="T231" s="173"/>
      <c r="U231" s="170"/>
      <c r="V231" s="170"/>
      <c r="W231" s="172"/>
      <c r="X231" s="170" t="s">
        <v>1240</v>
      </c>
      <c r="Y231" s="170" t="s">
        <v>1240</v>
      </c>
      <c r="Z231" s="170" t="s">
        <v>1240</v>
      </c>
      <c r="AA231" s="170" t="s">
        <v>1240</v>
      </c>
      <c r="AB231" s="170" t="s">
        <v>1240</v>
      </c>
      <c r="AC231" s="170" t="s">
        <v>1240</v>
      </c>
      <c r="AD231" s="174" t="s">
        <v>1240</v>
      </c>
      <c r="AE231" s="172" t="s">
        <v>1240</v>
      </c>
      <c r="AF231" s="172"/>
      <c r="AG231" s="172"/>
    </row>
    <row r="232" spans="1:33" s="175" customFormat="1" hidden="1" x14ac:dyDescent="0.2">
      <c r="A232" s="170" t="s">
        <v>1240</v>
      </c>
      <c r="B232" s="170" t="s">
        <v>1240</v>
      </c>
      <c r="C232" s="170" t="s">
        <v>1240</v>
      </c>
      <c r="D232" s="170" t="s">
        <v>1240</v>
      </c>
      <c r="E232" s="170" t="s">
        <v>1240</v>
      </c>
      <c r="F232" s="170" t="s">
        <v>1240</v>
      </c>
      <c r="G232" s="170" t="s">
        <v>1240</v>
      </c>
      <c r="H232" s="276" t="s">
        <v>1240</v>
      </c>
      <c r="I232" s="170" t="e">
        <f t="shared" si="10"/>
        <v>#VALUE!</v>
      </c>
      <c r="J232" s="171" t="s">
        <v>1240</v>
      </c>
      <c r="K232" s="170" t="e">
        <f t="shared" si="11"/>
        <v>#VALUE!</v>
      </c>
      <c r="L232" s="170"/>
      <c r="M232" s="170"/>
      <c r="N232" s="170"/>
      <c r="O232" s="170" t="s">
        <v>1240</v>
      </c>
      <c r="P232" s="170" t="s">
        <v>1240</v>
      </c>
      <c r="Q232" s="170"/>
      <c r="R232" s="170"/>
      <c r="S232" s="170"/>
      <c r="T232" s="173"/>
      <c r="U232" s="170"/>
      <c r="V232" s="170"/>
      <c r="W232" s="172"/>
      <c r="X232" s="170" t="s">
        <v>1240</v>
      </c>
      <c r="Y232" s="170" t="s">
        <v>1240</v>
      </c>
      <c r="Z232" s="170" t="s">
        <v>1240</v>
      </c>
      <c r="AA232" s="170" t="s">
        <v>1240</v>
      </c>
      <c r="AB232" s="170" t="s">
        <v>1240</v>
      </c>
      <c r="AC232" s="170" t="s">
        <v>1240</v>
      </c>
      <c r="AD232" s="174" t="s">
        <v>1240</v>
      </c>
      <c r="AE232" s="172" t="s">
        <v>1240</v>
      </c>
      <c r="AF232" s="172"/>
      <c r="AG232" s="172"/>
    </row>
    <row r="233" spans="1:33" s="175" customFormat="1" hidden="1" x14ac:dyDescent="0.2">
      <c r="A233" s="170" t="s">
        <v>1240</v>
      </c>
      <c r="B233" s="170" t="s">
        <v>1240</v>
      </c>
      <c r="C233" s="170" t="s">
        <v>1240</v>
      </c>
      <c r="D233" s="170" t="s">
        <v>1240</v>
      </c>
      <c r="E233" s="170" t="s">
        <v>1240</v>
      </c>
      <c r="F233" s="170" t="s">
        <v>1240</v>
      </c>
      <c r="G233" s="170" t="s">
        <v>1240</v>
      </c>
      <c r="H233" s="276" t="s">
        <v>1240</v>
      </c>
      <c r="I233" s="170" t="e">
        <f t="shared" si="10"/>
        <v>#VALUE!</v>
      </c>
      <c r="J233" s="171" t="s">
        <v>1240</v>
      </c>
      <c r="K233" s="170" t="e">
        <f t="shared" si="11"/>
        <v>#VALUE!</v>
      </c>
      <c r="L233" s="170"/>
      <c r="M233" s="170"/>
      <c r="N233" s="170"/>
      <c r="O233" s="170" t="s">
        <v>1240</v>
      </c>
      <c r="P233" s="170" t="s">
        <v>1240</v>
      </c>
      <c r="Q233" s="170"/>
      <c r="R233" s="170"/>
      <c r="S233" s="170"/>
      <c r="T233" s="173"/>
      <c r="U233" s="170"/>
      <c r="V233" s="170"/>
      <c r="W233" s="172"/>
      <c r="X233" s="170" t="s">
        <v>1240</v>
      </c>
      <c r="Y233" s="170" t="s">
        <v>1240</v>
      </c>
      <c r="Z233" s="170" t="s">
        <v>1240</v>
      </c>
      <c r="AA233" s="170" t="s">
        <v>1240</v>
      </c>
      <c r="AB233" s="170" t="s">
        <v>1240</v>
      </c>
      <c r="AC233" s="170" t="s">
        <v>1240</v>
      </c>
      <c r="AD233" s="174" t="s">
        <v>1240</v>
      </c>
      <c r="AE233" s="172" t="s">
        <v>1240</v>
      </c>
      <c r="AF233" s="172"/>
      <c r="AG233" s="172"/>
    </row>
    <row r="234" spans="1:33" s="175" customFormat="1" hidden="1" x14ac:dyDescent="0.2">
      <c r="A234" s="170" t="s">
        <v>1240</v>
      </c>
      <c r="B234" s="170" t="s">
        <v>1240</v>
      </c>
      <c r="C234" s="170" t="s">
        <v>1240</v>
      </c>
      <c r="D234" s="170" t="s">
        <v>1240</v>
      </c>
      <c r="E234" s="170" t="s">
        <v>1240</v>
      </c>
      <c r="F234" s="170" t="s">
        <v>1240</v>
      </c>
      <c r="G234" s="170" t="s">
        <v>1240</v>
      </c>
      <c r="H234" s="276" t="s">
        <v>1240</v>
      </c>
      <c r="I234" s="170" t="e">
        <f t="shared" si="10"/>
        <v>#VALUE!</v>
      </c>
      <c r="J234" s="171" t="s">
        <v>1240</v>
      </c>
      <c r="K234" s="170" t="e">
        <f t="shared" si="11"/>
        <v>#VALUE!</v>
      </c>
      <c r="L234" s="170"/>
      <c r="M234" s="170"/>
      <c r="N234" s="170"/>
      <c r="O234" s="170" t="s">
        <v>1240</v>
      </c>
      <c r="P234" s="170" t="s">
        <v>1240</v>
      </c>
      <c r="Q234" s="170"/>
      <c r="R234" s="170"/>
      <c r="S234" s="170"/>
      <c r="T234" s="173"/>
      <c r="U234" s="170"/>
      <c r="V234" s="170"/>
      <c r="W234" s="172"/>
      <c r="X234" s="170" t="s">
        <v>1240</v>
      </c>
      <c r="Y234" s="170" t="s">
        <v>1240</v>
      </c>
      <c r="Z234" s="170" t="s">
        <v>1240</v>
      </c>
      <c r="AA234" s="170" t="s">
        <v>1240</v>
      </c>
      <c r="AB234" s="170" t="s">
        <v>1240</v>
      </c>
      <c r="AC234" s="170" t="s">
        <v>1240</v>
      </c>
      <c r="AD234" s="174" t="s">
        <v>1240</v>
      </c>
      <c r="AE234" s="172" t="s">
        <v>1240</v>
      </c>
      <c r="AF234" s="172"/>
      <c r="AG234" s="172"/>
    </row>
    <row r="235" spans="1:33" s="175" customFormat="1" hidden="1" x14ac:dyDescent="0.2">
      <c r="A235" s="170" t="s">
        <v>1240</v>
      </c>
      <c r="B235" s="170" t="s">
        <v>1240</v>
      </c>
      <c r="C235" s="170" t="s">
        <v>1240</v>
      </c>
      <c r="D235" s="170" t="s">
        <v>1240</v>
      </c>
      <c r="E235" s="170" t="s">
        <v>1240</v>
      </c>
      <c r="F235" s="170" t="s">
        <v>1240</v>
      </c>
      <c r="G235" s="170" t="s">
        <v>1240</v>
      </c>
      <c r="H235" s="276" t="s">
        <v>1240</v>
      </c>
      <c r="I235" s="170" t="e">
        <f t="shared" si="10"/>
        <v>#VALUE!</v>
      </c>
      <c r="J235" s="171" t="s">
        <v>1240</v>
      </c>
      <c r="K235" s="170" t="e">
        <f t="shared" si="11"/>
        <v>#VALUE!</v>
      </c>
      <c r="L235" s="170"/>
      <c r="M235" s="170"/>
      <c r="N235" s="170"/>
      <c r="O235" s="170" t="s">
        <v>1240</v>
      </c>
      <c r="P235" s="170" t="s">
        <v>1240</v>
      </c>
      <c r="Q235" s="170"/>
      <c r="R235" s="170"/>
      <c r="S235" s="170"/>
      <c r="T235" s="173"/>
      <c r="U235" s="170"/>
      <c r="V235" s="170"/>
      <c r="W235" s="172"/>
      <c r="X235" s="170" t="s">
        <v>1240</v>
      </c>
      <c r="Y235" s="170" t="s">
        <v>1240</v>
      </c>
      <c r="Z235" s="170" t="s">
        <v>1240</v>
      </c>
      <c r="AA235" s="170" t="s">
        <v>1240</v>
      </c>
      <c r="AB235" s="170" t="s">
        <v>1240</v>
      </c>
      <c r="AC235" s="170" t="s">
        <v>1240</v>
      </c>
      <c r="AD235" s="174" t="s">
        <v>1240</v>
      </c>
      <c r="AE235" s="172" t="s">
        <v>1240</v>
      </c>
      <c r="AF235" s="172"/>
      <c r="AG235" s="172"/>
    </row>
    <row r="236" spans="1:33" s="175" customFormat="1" hidden="1" x14ac:dyDescent="0.2">
      <c r="A236" s="170" t="s">
        <v>1240</v>
      </c>
      <c r="B236" s="170" t="s">
        <v>1240</v>
      </c>
      <c r="C236" s="170" t="s">
        <v>1240</v>
      </c>
      <c r="D236" s="170" t="s">
        <v>1240</v>
      </c>
      <c r="E236" s="170" t="s">
        <v>1240</v>
      </c>
      <c r="F236" s="170" t="s">
        <v>1240</v>
      </c>
      <c r="G236" s="170" t="s">
        <v>1240</v>
      </c>
      <c r="H236" s="276" t="s">
        <v>1240</v>
      </c>
      <c r="I236" s="170" t="e">
        <f t="shared" si="10"/>
        <v>#VALUE!</v>
      </c>
      <c r="J236" s="171" t="s">
        <v>1240</v>
      </c>
      <c r="K236" s="170" t="e">
        <f t="shared" si="11"/>
        <v>#VALUE!</v>
      </c>
      <c r="L236" s="170"/>
      <c r="M236" s="170"/>
      <c r="N236" s="170"/>
      <c r="O236" s="170" t="s">
        <v>1240</v>
      </c>
      <c r="P236" s="170" t="s">
        <v>1240</v>
      </c>
      <c r="Q236" s="170"/>
      <c r="R236" s="170"/>
      <c r="S236" s="170"/>
      <c r="T236" s="173"/>
      <c r="U236" s="170"/>
      <c r="V236" s="170"/>
      <c r="W236" s="172"/>
      <c r="X236" s="170" t="s">
        <v>1240</v>
      </c>
      <c r="Y236" s="170" t="s">
        <v>1240</v>
      </c>
      <c r="Z236" s="170" t="s">
        <v>1240</v>
      </c>
      <c r="AA236" s="170" t="s">
        <v>1240</v>
      </c>
      <c r="AB236" s="170" t="s">
        <v>1240</v>
      </c>
      <c r="AC236" s="170" t="s">
        <v>1240</v>
      </c>
      <c r="AD236" s="174" t="s">
        <v>1240</v>
      </c>
      <c r="AE236" s="172" t="s">
        <v>1240</v>
      </c>
      <c r="AF236" s="172"/>
      <c r="AG236" s="172"/>
    </row>
    <row r="237" spans="1:33" s="175" customFormat="1" hidden="1" x14ac:dyDescent="0.2">
      <c r="A237" s="170" t="s">
        <v>1240</v>
      </c>
      <c r="B237" s="170" t="s">
        <v>1240</v>
      </c>
      <c r="C237" s="170" t="s">
        <v>1240</v>
      </c>
      <c r="D237" s="170" t="s">
        <v>1240</v>
      </c>
      <c r="E237" s="170" t="s">
        <v>1240</v>
      </c>
      <c r="F237" s="170" t="s">
        <v>1240</v>
      </c>
      <c r="G237" s="170" t="s">
        <v>1240</v>
      </c>
      <c r="H237" s="276" t="s">
        <v>1240</v>
      </c>
      <c r="I237" s="170" t="e">
        <f t="shared" si="10"/>
        <v>#VALUE!</v>
      </c>
      <c r="J237" s="171" t="s">
        <v>1240</v>
      </c>
      <c r="K237" s="170" t="e">
        <f t="shared" si="11"/>
        <v>#VALUE!</v>
      </c>
      <c r="L237" s="170"/>
      <c r="M237" s="170"/>
      <c r="N237" s="170"/>
      <c r="O237" s="170" t="s">
        <v>1240</v>
      </c>
      <c r="P237" s="170" t="s">
        <v>1240</v>
      </c>
      <c r="Q237" s="170"/>
      <c r="R237" s="170"/>
      <c r="S237" s="170"/>
      <c r="T237" s="173"/>
      <c r="U237" s="170"/>
      <c r="V237" s="170"/>
      <c r="W237" s="172"/>
      <c r="X237" s="170" t="s">
        <v>1240</v>
      </c>
      <c r="Y237" s="170" t="s">
        <v>1240</v>
      </c>
      <c r="Z237" s="170" t="s">
        <v>1240</v>
      </c>
      <c r="AA237" s="170" t="s">
        <v>1240</v>
      </c>
      <c r="AB237" s="170" t="s">
        <v>1240</v>
      </c>
      <c r="AC237" s="170" t="s">
        <v>1240</v>
      </c>
      <c r="AD237" s="174" t="s">
        <v>1240</v>
      </c>
      <c r="AE237" s="172" t="s">
        <v>1240</v>
      </c>
      <c r="AF237" s="172"/>
      <c r="AG237" s="172"/>
    </row>
    <row r="238" spans="1:33" s="175" customFormat="1" hidden="1" x14ac:dyDescent="0.2">
      <c r="A238" s="170" t="s">
        <v>1240</v>
      </c>
      <c r="B238" s="170" t="s">
        <v>1240</v>
      </c>
      <c r="C238" s="170" t="s">
        <v>1240</v>
      </c>
      <c r="D238" s="170" t="s">
        <v>1240</v>
      </c>
      <c r="E238" s="170" t="s">
        <v>1240</v>
      </c>
      <c r="F238" s="170" t="s">
        <v>1240</v>
      </c>
      <c r="G238" s="170" t="s">
        <v>1240</v>
      </c>
      <c r="H238" s="276" t="s">
        <v>1240</v>
      </c>
      <c r="I238" s="170" t="e">
        <f t="shared" si="10"/>
        <v>#VALUE!</v>
      </c>
      <c r="J238" s="171" t="s">
        <v>1240</v>
      </c>
      <c r="K238" s="170" t="e">
        <f t="shared" si="11"/>
        <v>#VALUE!</v>
      </c>
      <c r="L238" s="170"/>
      <c r="M238" s="170"/>
      <c r="N238" s="170"/>
      <c r="O238" s="170" t="s">
        <v>1240</v>
      </c>
      <c r="P238" s="170" t="s">
        <v>1240</v>
      </c>
      <c r="Q238" s="170"/>
      <c r="R238" s="170"/>
      <c r="S238" s="170"/>
      <c r="T238" s="173"/>
      <c r="U238" s="170"/>
      <c r="V238" s="170"/>
      <c r="W238" s="172"/>
      <c r="X238" s="170" t="s">
        <v>1240</v>
      </c>
      <c r="Y238" s="170" t="s">
        <v>1240</v>
      </c>
      <c r="Z238" s="170" t="s">
        <v>1240</v>
      </c>
      <c r="AA238" s="170" t="s">
        <v>1240</v>
      </c>
      <c r="AB238" s="170" t="s">
        <v>1240</v>
      </c>
      <c r="AC238" s="170" t="s">
        <v>1240</v>
      </c>
      <c r="AD238" s="174" t="s">
        <v>1240</v>
      </c>
      <c r="AE238" s="172" t="s">
        <v>1240</v>
      </c>
      <c r="AF238" s="172"/>
      <c r="AG238" s="172"/>
    </row>
    <row r="239" spans="1:33" s="175" customFormat="1" hidden="1" x14ac:dyDescent="0.2">
      <c r="A239" s="170" t="s">
        <v>1240</v>
      </c>
      <c r="B239" s="170" t="s">
        <v>1240</v>
      </c>
      <c r="C239" s="170" t="s">
        <v>1240</v>
      </c>
      <c r="D239" s="170" t="s">
        <v>1240</v>
      </c>
      <c r="E239" s="170" t="s">
        <v>1240</v>
      </c>
      <c r="F239" s="170" t="s">
        <v>1240</v>
      </c>
      <c r="G239" s="170" t="s">
        <v>1240</v>
      </c>
      <c r="H239" s="276" t="s">
        <v>1240</v>
      </c>
      <c r="I239" s="170" t="e">
        <f t="shared" si="10"/>
        <v>#VALUE!</v>
      </c>
      <c r="J239" s="171" t="s">
        <v>1240</v>
      </c>
      <c r="K239" s="170" t="e">
        <f t="shared" si="11"/>
        <v>#VALUE!</v>
      </c>
      <c r="L239" s="170"/>
      <c r="M239" s="170"/>
      <c r="N239" s="170"/>
      <c r="O239" s="170" t="s">
        <v>1240</v>
      </c>
      <c r="P239" s="170" t="s">
        <v>1240</v>
      </c>
      <c r="Q239" s="170"/>
      <c r="R239" s="170"/>
      <c r="S239" s="170"/>
      <c r="T239" s="173"/>
      <c r="U239" s="170"/>
      <c r="V239" s="170"/>
      <c r="W239" s="172"/>
      <c r="X239" s="170" t="s">
        <v>1240</v>
      </c>
      <c r="Y239" s="170" t="s">
        <v>1240</v>
      </c>
      <c r="Z239" s="170" t="s">
        <v>1240</v>
      </c>
      <c r="AA239" s="170" t="s">
        <v>1240</v>
      </c>
      <c r="AB239" s="170" t="s">
        <v>1240</v>
      </c>
      <c r="AC239" s="170" t="s">
        <v>1240</v>
      </c>
      <c r="AD239" s="174" t="s">
        <v>1240</v>
      </c>
      <c r="AE239" s="172" t="s">
        <v>1240</v>
      </c>
      <c r="AF239" s="172"/>
      <c r="AG239" s="172"/>
    </row>
    <row r="240" spans="1:33" s="175" customFormat="1" hidden="1" x14ac:dyDescent="0.2">
      <c r="A240" s="170" t="s">
        <v>1240</v>
      </c>
      <c r="B240" s="170" t="s">
        <v>1240</v>
      </c>
      <c r="C240" s="170" t="s">
        <v>1240</v>
      </c>
      <c r="D240" s="170" t="s">
        <v>1240</v>
      </c>
      <c r="E240" s="170" t="s">
        <v>1240</v>
      </c>
      <c r="F240" s="170" t="s">
        <v>1240</v>
      </c>
      <c r="G240" s="170" t="s">
        <v>1240</v>
      </c>
      <c r="H240" s="276" t="s">
        <v>1240</v>
      </c>
      <c r="I240" s="170" t="e">
        <f t="shared" si="10"/>
        <v>#VALUE!</v>
      </c>
      <c r="J240" s="171" t="s">
        <v>1240</v>
      </c>
      <c r="K240" s="170" t="e">
        <f t="shared" si="11"/>
        <v>#VALUE!</v>
      </c>
      <c r="L240" s="170"/>
      <c r="M240" s="170"/>
      <c r="N240" s="170"/>
      <c r="O240" s="170" t="s">
        <v>1240</v>
      </c>
      <c r="P240" s="170" t="s">
        <v>1240</v>
      </c>
      <c r="Q240" s="170"/>
      <c r="R240" s="170"/>
      <c r="S240" s="170"/>
      <c r="T240" s="173"/>
      <c r="U240" s="170"/>
      <c r="V240" s="170"/>
      <c r="W240" s="172"/>
      <c r="X240" s="170" t="s">
        <v>1240</v>
      </c>
      <c r="Y240" s="170" t="s">
        <v>1240</v>
      </c>
      <c r="Z240" s="170" t="s">
        <v>1240</v>
      </c>
      <c r="AA240" s="170" t="s">
        <v>1240</v>
      </c>
      <c r="AB240" s="170" t="s">
        <v>1240</v>
      </c>
      <c r="AC240" s="170" t="s">
        <v>1240</v>
      </c>
      <c r="AD240" s="174" t="s">
        <v>1240</v>
      </c>
      <c r="AE240" s="172" t="s">
        <v>1240</v>
      </c>
      <c r="AF240" s="172"/>
      <c r="AG240" s="172"/>
    </row>
    <row r="241" spans="1:33" s="175" customFormat="1" hidden="1" x14ac:dyDescent="0.2">
      <c r="A241" s="170" t="s">
        <v>1240</v>
      </c>
      <c r="B241" s="170" t="s">
        <v>1240</v>
      </c>
      <c r="C241" s="170" t="s">
        <v>1240</v>
      </c>
      <c r="D241" s="170" t="s">
        <v>1240</v>
      </c>
      <c r="E241" s="170" t="s">
        <v>1240</v>
      </c>
      <c r="F241" s="170" t="s">
        <v>1240</v>
      </c>
      <c r="G241" s="170" t="s">
        <v>1240</v>
      </c>
      <c r="H241" s="276" t="s">
        <v>1240</v>
      </c>
      <c r="I241" s="170" t="e">
        <f t="shared" si="10"/>
        <v>#VALUE!</v>
      </c>
      <c r="J241" s="171" t="s">
        <v>1240</v>
      </c>
      <c r="K241" s="170" t="e">
        <f t="shared" si="11"/>
        <v>#VALUE!</v>
      </c>
      <c r="L241" s="170"/>
      <c r="M241" s="170"/>
      <c r="N241" s="170"/>
      <c r="O241" s="170" t="s">
        <v>1240</v>
      </c>
      <c r="P241" s="170" t="s">
        <v>1240</v>
      </c>
      <c r="Q241" s="170"/>
      <c r="R241" s="170"/>
      <c r="S241" s="170"/>
      <c r="T241" s="173"/>
      <c r="U241" s="170"/>
      <c r="V241" s="170"/>
      <c r="W241" s="172"/>
      <c r="X241" s="170" t="s">
        <v>1240</v>
      </c>
      <c r="Y241" s="170" t="s">
        <v>1240</v>
      </c>
      <c r="Z241" s="170" t="s">
        <v>1240</v>
      </c>
      <c r="AA241" s="170" t="s">
        <v>1240</v>
      </c>
      <c r="AB241" s="170" t="s">
        <v>1240</v>
      </c>
      <c r="AC241" s="170" t="s">
        <v>1240</v>
      </c>
      <c r="AD241" s="174" t="s">
        <v>1240</v>
      </c>
      <c r="AE241" s="172" t="s">
        <v>1240</v>
      </c>
      <c r="AF241" s="172"/>
      <c r="AG241" s="172"/>
    </row>
    <row r="242" spans="1:33" s="175" customFormat="1" hidden="1" x14ac:dyDescent="0.2">
      <c r="A242" s="170" t="s">
        <v>1240</v>
      </c>
      <c r="B242" s="170" t="s">
        <v>1240</v>
      </c>
      <c r="C242" s="170" t="s">
        <v>1240</v>
      </c>
      <c r="D242" s="170" t="s">
        <v>1240</v>
      </c>
      <c r="E242" s="170" t="s">
        <v>1240</v>
      </c>
      <c r="F242" s="170" t="s">
        <v>1240</v>
      </c>
      <c r="G242" s="170" t="s">
        <v>1240</v>
      </c>
      <c r="H242" s="276" t="s">
        <v>1240</v>
      </c>
      <c r="I242" s="170" t="e">
        <f t="shared" si="10"/>
        <v>#VALUE!</v>
      </c>
      <c r="J242" s="171" t="s">
        <v>1240</v>
      </c>
      <c r="K242" s="170" t="e">
        <f t="shared" si="11"/>
        <v>#VALUE!</v>
      </c>
      <c r="L242" s="170"/>
      <c r="M242" s="170"/>
      <c r="N242" s="170"/>
      <c r="O242" s="170" t="s">
        <v>1240</v>
      </c>
      <c r="P242" s="170" t="s">
        <v>1240</v>
      </c>
      <c r="Q242" s="170"/>
      <c r="R242" s="170"/>
      <c r="S242" s="170"/>
      <c r="T242" s="173"/>
      <c r="U242" s="170"/>
      <c r="V242" s="170"/>
      <c r="W242" s="172"/>
      <c r="X242" s="170" t="s">
        <v>1240</v>
      </c>
      <c r="Y242" s="170" t="s">
        <v>1240</v>
      </c>
      <c r="Z242" s="170" t="s">
        <v>1240</v>
      </c>
      <c r="AA242" s="170" t="s">
        <v>1240</v>
      </c>
      <c r="AB242" s="170" t="s">
        <v>1240</v>
      </c>
      <c r="AC242" s="170" t="s">
        <v>1240</v>
      </c>
      <c r="AD242" s="174" t="s">
        <v>1240</v>
      </c>
      <c r="AE242" s="172" t="s">
        <v>1240</v>
      </c>
      <c r="AF242" s="172"/>
      <c r="AG242" s="172"/>
    </row>
    <row r="243" spans="1:33" s="175" customFormat="1" hidden="1" x14ac:dyDescent="0.2">
      <c r="A243" s="170" t="s">
        <v>1240</v>
      </c>
      <c r="B243" s="170" t="s">
        <v>1240</v>
      </c>
      <c r="C243" s="170" t="s">
        <v>1240</v>
      </c>
      <c r="D243" s="170" t="s">
        <v>1240</v>
      </c>
      <c r="E243" s="170" t="s">
        <v>1240</v>
      </c>
      <c r="F243" s="170" t="s">
        <v>1240</v>
      </c>
      <c r="G243" s="170" t="s">
        <v>1240</v>
      </c>
      <c r="H243" s="276" t="s">
        <v>1240</v>
      </c>
      <c r="I243" s="170" t="e">
        <f t="shared" si="10"/>
        <v>#VALUE!</v>
      </c>
      <c r="J243" s="171" t="s">
        <v>1240</v>
      </c>
      <c r="K243" s="170" t="e">
        <f t="shared" si="11"/>
        <v>#VALUE!</v>
      </c>
      <c r="L243" s="170"/>
      <c r="M243" s="170"/>
      <c r="N243" s="170"/>
      <c r="O243" s="170" t="s">
        <v>1240</v>
      </c>
      <c r="P243" s="170" t="s">
        <v>1240</v>
      </c>
      <c r="Q243" s="170"/>
      <c r="R243" s="170"/>
      <c r="S243" s="170"/>
      <c r="T243" s="173"/>
      <c r="U243" s="170"/>
      <c r="V243" s="170"/>
      <c r="W243" s="172"/>
      <c r="X243" s="170" t="s">
        <v>1240</v>
      </c>
      <c r="Y243" s="170" t="s">
        <v>1240</v>
      </c>
      <c r="Z243" s="170" t="s">
        <v>1240</v>
      </c>
      <c r="AA243" s="170" t="s">
        <v>1240</v>
      </c>
      <c r="AB243" s="170" t="s">
        <v>1240</v>
      </c>
      <c r="AC243" s="170" t="s">
        <v>1240</v>
      </c>
      <c r="AD243" s="174" t="s">
        <v>1240</v>
      </c>
      <c r="AE243" s="172" t="s">
        <v>1240</v>
      </c>
      <c r="AF243" s="172"/>
      <c r="AG243" s="172"/>
    </row>
    <row r="244" spans="1:33" s="175" customFormat="1" hidden="1" x14ac:dyDescent="0.2">
      <c r="A244" s="170" t="s">
        <v>1240</v>
      </c>
      <c r="B244" s="170" t="s">
        <v>1240</v>
      </c>
      <c r="C244" s="170" t="s">
        <v>1240</v>
      </c>
      <c r="D244" s="170" t="s">
        <v>1240</v>
      </c>
      <c r="E244" s="170" t="s">
        <v>1240</v>
      </c>
      <c r="F244" s="170" t="s">
        <v>1240</v>
      </c>
      <c r="G244" s="170" t="s">
        <v>1240</v>
      </c>
      <c r="H244" s="276" t="s">
        <v>1240</v>
      </c>
      <c r="I244" s="170" t="e">
        <f t="shared" si="10"/>
        <v>#VALUE!</v>
      </c>
      <c r="J244" s="171" t="s">
        <v>1240</v>
      </c>
      <c r="K244" s="170" t="e">
        <f t="shared" si="11"/>
        <v>#VALUE!</v>
      </c>
      <c r="L244" s="170"/>
      <c r="M244" s="170"/>
      <c r="N244" s="170"/>
      <c r="O244" s="170" t="s">
        <v>1240</v>
      </c>
      <c r="P244" s="170" t="s">
        <v>1240</v>
      </c>
      <c r="Q244" s="170"/>
      <c r="R244" s="170"/>
      <c r="S244" s="170"/>
      <c r="T244" s="173"/>
      <c r="U244" s="170"/>
      <c r="V244" s="170"/>
      <c r="W244" s="172"/>
      <c r="X244" s="170" t="s">
        <v>1240</v>
      </c>
      <c r="Y244" s="170" t="s">
        <v>1240</v>
      </c>
      <c r="Z244" s="170" t="s">
        <v>1240</v>
      </c>
      <c r="AA244" s="170" t="s">
        <v>1240</v>
      </c>
      <c r="AB244" s="170" t="s">
        <v>1240</v>
      </c>
      <c r="AC244" s="170" t="s">
        <v>1240</v>
      </c>
      <c r="AD244" s="174" t="s">
        <v>1240</v>
      </c>
      <c r="AE244" s="172" t="s">
        <v>1240</v>
      </c>
      <c r="AF244" s="172"/>
      <c r="AG244" s="172"/>
    </row>
    <row r="245" spans="1:33" s="175" customFormat="1" hidden="1" x14ac:dyDescent="0.2">
      <c r="A245" s="170" t="s">
        <v>1240</v>
      </c>
      <c r="B245" s="170" t="s">
        <v>1240</v>
      </c>
      <c r="C245" s="170" t="s">
        <v>1240</v>
      </c>
      <c r="D245" s="170" t="s">
        <v>1240</v>
      </c>
      <c r="E245" s="170" t="s">
        <v>1240</v>
      </c>
      <c r="F245" s="170" t="s">
        <v>1240</v>
      </c>
      <c r="G245" s="170" t="s">
        <v>1240</v>
      </c>
      <c r="H245" s="276" t="s">
        <v>1240</v>
      </c>
      <c r="I245" s="170" t="e">
        <f t="shared" si="10"/>
        <v>#VALUE!</v>
      </c>
      <c r="J245" s="171" t="s">
        <v>1240</v>
      </c>
      <c r="K245" s="170" t="e">
        <f t="shared" si="11"/>
        <v>#VALUE!</v>
      </c>
      <c r="L245" s="170"/>
      <c r="M245" s="170"/>
      <c r="N245" s="170"/>
      <c r="O245" s="170" t="s">
        <v>1240</v>
      </c>
      <c r="P245" s="170" t="s">
        <v>1240</v>
      </c>
      <c r="Q245" s="170"/>
      <c r="R245" s="170"/>
      <c r="S245" s="170"/>
      <c r="T245" s="173"/>
      <c r="U245" s="170"/>
      <c r="V245" s="170"/>
      <c r="W245" s="172"/>
      <c r="X245" s="170" t="s">
        <v>1240</v>
      </c>
      <c r="Y245" s="170" t="s">
        <v>1240</v>
      </c>
      <c r="Z245" s="170" t="s">
        <v>1240</v>
      </c>
      <c r="AA245" s="170" t="s">
        <v>1240</v>
      </c>
      <c r="AB245" s="170" t="s">
        <v>1240</v>
      </c>
      <c r="AC245" s="170" t="s">
        <v>1240</v>
      </c>
      <c r="AD245" s="174" t="s">
        <v>1240</v>
      </c>
      <c r="AE245" s="172" t="s">
        <v>1240</v>
      </c>
      <c r="AF245" s="172"/>
      <c r="AG245" s="172"/>
    </row>
    <row r="246" spans="1:33" s="175" customFormat="1" hidden="1" x14ac:dyDescent="0.2">
      <c r="A246" s="170" t="s">
        <v>1240</v>
      </c>
      <c r="B246" s="170" t="s">
        <v>1240</v>
      </c>
      <c r="C246" s="170" t="s">
        <v>1240</v>
      </c>
      <c r="D246" s="170" t="s">
        <v>1240</v>
      </c>
      <c r="E246" s="170" t="s">
        <v>1240</v>
      </c>
      <c r="F246" s="170" t="s">
        <v>1240</v>
      </c>
      <c r="G246" s="170" t="s">
        <v>1240</v>
      </c>
      <c r="H246" s="276" t="s">
        <v>1240</v>
      </c>
      <c r="I246" s="170" t="e">
        <f t="shared" si="10"/>
        <v>#VALUE!</v>
      </c>
      <c r="J246" s="171" t="s">
        <v>1240</v>
      </c>
      <c r="K246" s="170" t="e">
        <f t="shared" si="11"/>
        <v>#VALUE!</v>
      </c>
      <c r="L246" s="170"/>
      <c r="M246" s="170"/>
      <c r="N246" s="170"/>
      <c r="O246" s="170" t="s">
        <v>1240</v>
      </c>
      <c r="P246" s="170" t="s">
        <v>1240</v>
      </c>
      <c r="Q246" s="170"/>
      <c r="R246" s="170"/>
      <c r="S246" s="170"/>
      <c r="T246" s="173"/>
      <c r="U246" s="170"/>
      <c r="V246" s="170"/>
      <c r="W246" s="172"/>
      <c r="X246" s="170" t="s">
        <v>1240</v>
      </c>
      <c r="Y246" s="170" t="s">
        <v>1240</v>
      </c>
      <c r="Z246" s="170" t="s">
        <v>1240</v>
      </c>
      <c r="AA246" s="170" t="s">
        <v>1240</v>
      </c>
      <c r="AB246" s="170" t="s">
        <v>1240</v>
      </c>
      <c r="AC246" s="170" t="s">
        <v>1240</v>
      </c>
      <c r="AD246" s="174" t="s">
        <v>1240</v>
      </c>
      <c r="AE246" s="172" t="s">
        <v>1240</v>
      </c>
      <c r="AF246" s="172"/>
      <c r="AG246" s="172"/>
    </row>
    <row r="247" spans="1:33" s="175" customFormat="1" hidden="1" x14ac:dyDescent="0.2">
      <c r="A247" s="170" t="s">
        <v>1240</v>
      </c>
      <c r="B247" s="170" t="s">
        <v>1240</v>
      </c>
      <c r="C247" s="170" t="s">
        <v>1240</v>
      </c>
      <c r="D247" s="170" t="s">
        <v>1240</v>
      </c>
      <c r="E247" s="170" t="s">
        <v>1240</v>
      </c>
      <c r="F247" s="170" t="s">
        <v>1240</v>
      </c>
      <c r="G247" s="170" t="s">
        <v>1240</v>
      </c>
      <c r="H247" s="276" t="s">
        <v>1240</v>
      </c>
      <c r="I247" s="170" t="e">
        <f t="shared" si="10"/>
        <v>#VALUE!</v>
      </c>
      <c r="J247" s="171" t="s">
        <v>1240</v>
      </c>
      <c r="K247" s="170" t="e">
        <f t="shared" si="11"/>
        <v>#VALUE!</v>
      </c>
      <c r="L247" s="170"/>
      <c r="M247" s="170"/>
      <c r="N247" s="170"/>
      <c r="O247" s="170" t="s">
        <v>1240</v>
      </c>
      <c r="P247" s="170" t="s">
        <v>1240</v>
      </c>
      <c r="Q247" s="170"/>
      <c r="R247" s="170"/>
      <c r="S247" s="170"/>
      <c r="T247" s="173"/>
      <c r="U247" s="170"/>
      <c r="V247" s="170"/>
      <c r="W247" s="172"/>
      <c r="X247" s="170" t="s">
        <v>1240</v>
      </c>
      <c r="Y247" s="170" t="s">
        <v>1240</v>
      </c>
      <c r="Z247" s="170" t="s">
        <v>1240</v>
      </c>
      <c r="AA247" s="170" t="s">
        <v>1240</v>
      </c>
      <c r="AB247" s="170" t="s">
        <v>1240</v>
      </c>
      <c r="AC247" s="170" t="s">
        <v>1240</v>
      </c>
      <c r="AD247" s="174" t="s">
        <v>1240</v>
      </c>
      <c r="AE247" s="172" t="s">
        <v>1240</v>
      </c>
      <c r="AF247" s="172"/>
      <c r="AG247" s="172"/>
    </row>
    <row r="248" spans="1:33" s="175" customFormat="1" hidden="1" x14ac:dyDescent="0.2">
      <c r="A248" s="170" t="s">
        <v>1240</v>
      </c>
      <c r="B248" s="170" t="s">
        <v>1240</v>
      </c>
      <c r="C248" s="170" t="s">
        <v>1240</v>
      </c>
      <c r="D248" s="170" t="s">
        <v>1240</v>
      </c>
      <c r="E248" s="170" t="s">
        <v>1240</v>
      </c>
      <c r="F248" s="170" t="s">
        <v>1240</v>
      </c>
      <c r="G248" s="170" t="s">
        <v>1240</v>
      </c>
      <c r="H248" s="276" t="s">
        <v>1240</v>
      </c>
      <c r="I248" s="170" t="e">
        <f t="shared" si="10"/>
        <v>#VALUE!</v>
      </c>
      <c r="J248" s="171" t="s">
        <v>1240</v>
      </c>
      <c r="K248" s="170" t="e">
        <f t="shared" si="11"/>
        <v>#VALUE!</v>
      </c>
      <c r="L248" s="170"/>
      <c r="M248" s="170"/>
      <c r="N248" s="170"/>
      <c r="O248" s="170" t="s">
        <v>1240</v>
      </c>
      <c r="P248" s="170" t="s">
        <v>1240</v>
      </c>
      <c r="Q248" s="170"/>
      <c r="R248" s="170"/>
      <c r="S248" s="170"/>
      <c r="T248" s="173"/>
      <c r="U248" s="170"/>
      <c r="V248" s="170"/>
      <c r="W248" s="172"/>
      <c r="X248" s="170" t="s">
        <v>1240</v>
      </c>
      <c r="Y248" s="170" t="s">
        <v>1240</v>
      </c>
      <c r="Z248" s="170" t="s">
        <v>1240</v>
      </c>
      <c r="AA248" s="170" t="s">
        <v>1240</v>
      </c>
      <c r="AB248" s="170" t="s">
        <v>1240</v>
      </c>
      <c r="AC248" s="170" t="s">
        <v>1240</v>
      </c>
      <c r="AD248" s="174" t="s">
        <v>1240</v>
      </c>
      <c r="AE248" s="172" t="s">
        <v>1240</v>
      </c>
      <c r="AF248" s="172"/>
      <c r="AG248" s="172"/>
    </row>
    <row r="249" spans="1:33" s="175" customFormat="1" hidden="1" x14ac:dyDescent="0.2">
      <c r="A249" s="170" t="s">
        <v>1240</v>
      </c>
      <c r="B249" s="170" t="s">
        <v>1240</v>
      </c>
      <c r="C249" s="170" t="s">
        <v>1240</v>
      </c>
      <c r="D249" s="170" t="s">
        <v>1240</v>
      </c>
      <c r="E249" s="170" t="s">
        <v>1240</v>
      </c>
      <c r="F249" s="170" t="s">
        <v>1240</v>
      </c>
      <c r="G249" s="170" t="s">
        <v>1240</v>
      </c>
      <c r="H249" s="276" t="s">
        <v>1240</v>
      </c>
      <c r="I249" s="170" t="e">
        <f t="shared" si="10"/>
        <v>#VALUE!</v>
      </c>
      <c r="J249" s="171" t="s">
        <v>1240</v>
      </c>
      <c r="K249" s="170" t="e">
        <f t="shared" si="11"/>
        <v>#VALUE!</v>
      </c>
      <c r="L249" s="170"/>
      <c r="M249" s="170"/>
      <c r="N249" s="170"/>
      <c r="O249" s="170" t="s">
        <v>1240</v>
      </c>
      <c r="P249" s="170" t="s">
        <v>1240</v>
      </c>
      <c r="Q249" s="170"/>
      <c r="R249" s="170"/>
      <c r="S249" s="170"/>
      <c r="T249" s="173"/>
      <c r="U249" s="170"/>
      <c r="V249" s="170"/>
      <c r="W249" s="172"/>
      <c r="X249" s="170" t="s">
        <v>1240</v>
      </c>
      <c r="Y249" s="170" t="s">
        <v>1240</v>
      </c>
      <c r="Z249" s="170" t="s">
        <v>1240</v>
      </c>
      <c r="AA249" s="170" t="s">
        <v>1240</v>
      </c>
      <c r="AB249" s="170" t="s">
        <v>1240</v>
      </c>
      <c r="AC249" s="170" t="s">
        <v>1240</v>
      </c>
      <c r="AD249" s="174" t="s">
        <v>1240</v>
      </c>
      <c r="AE249" s="172" t="s">
        <v>1240</v>
      </c>
      <c r="AF249" s="172"/>
      <c r="AG249" s="172"/>
    </row>
    <row r="250" spans="1:33" s="175" customFormat="1" hidden="1" x14ac:dyDescent="0.2">
      <c r="A250" s="170" t="s">
        <v>1240</v>
      </c>
      <c r="B250" s="170" t="s">
        <v>1240</v>
      </c>
      <c r="C250" s="170" t="s">
        <v>1240</v>
      </c>
      <c r="D250" s="170" t="s">
        <v>1240</v>
      </c>
      <c r="E250" s="170" t="s">
        <v>1240</v>
      </c>
      <c r="F250" s="170" t="s">
        <v>1240</v>
      </c>
      <c r="G250" s="170" t="s">
        <v>1240</v>
      </c>
      <c r="H250" s="276" t="s">
        <v>1240</v>
      </c>
      <c r="I250" s="170" t="e">
        <f t="shared" si="10"/>
        <v>#VALUE!</v>
      </c>
      <c r="J250" s="171" t="s">
        <v>1240</v>
      </c>
      <c r="K250" s="170" t="e">
        <f t="shared" si="11"/>
        <v>#VALUE!</v>
      </c>
      <c r="L250" s="170"/>
      <c r="M250" s="170"/>
      <c r="N250" s="170"/>
      <c r="O250" s="170" t="s">
        <v>1240</v>
      </c>
      <c r="P250" s="170" t="s">
        <v>1240</v>
      </c>
      <c r="Q250" s="170"/>
      <c r="R250" s="170"/>
      <c r="S250" s="170"/>
      <c r="T250" s="173"/>
      <c r="U250" s="170"/>
      <c r="V250" s="170"/>
      <c r="W250" s="172"/>
      <c r="X250" s="170" t="s">
        <v>1240</v>
      </c>
      <c r="Y250" s="170" t="s">
        <v>1240</v>
      </c>
      <c r="Z250" s="170" t="s">
        <v>1240</v>
      </c>
      <c r="AA250" s="170" t="s">
        <v>1240</v>
      </c>
      <c r="AB250" s="170" t="s">
        <v>1240</v>
      </c>
      <c r="AC250" s="170" t="s">
        <v>1240</v>
      </c>
      <c r="AD250" s="174" t="s">
        <v>1240</v>
      </c>
      <c r="AE250" s="172" t="s">
        <v>1240</v>
      </c>
      <c r="AF250" s="172"/>
      <c r="AG250" s="172"/>
    </row>
    <row r="251" spans="1:33" s="175" customFormat="1" hidden="1" x14ac:dyDescent="0.2">
      <c r="A251" s="170" t="s">
        <v>1240</v>
      </c>
      <c r="B251" s="170" t="s">
        <v>1240</v>
      </c>
      <c r="C251" s="170" t="s">
        <v>1240</v>
      </c>
      <c r="D251" s="170" t="s">
        <v>1240</v>
      </c>
      <c r="E251" s="170" t="s">
        <v>1240</v>
      </c>
      <c r="F251" s="170" t="s">
        <v>1240</v>
      </c>
      <c r="G251" s="170" t="s">
        <v>1240</v>
      </c>
      <c r="H251" s="276" t="s">
        <v>1240</v>
      </c>
      <c r="I251" s="170" t="e">
        <f t="shared" si="10"/>
        <v>#VALUE!</v>
      </c>
      <c r="J251" s="171" t="s">
        <v>1240</v>
      </c>
      <c r="K251" s="170" t="e">
        <f t="shared" si="11"/>
        <v>#VALUE!</v>
      </c>
      <c r="L251" s="170"/>
      <c r="M251" s="170"/>
      <c r="N251" s="170"/>
      <c r="O251" s="170" t="s">
        <v>1240</v>
      </c>
      <c r="P251" s="170" t="s">
        <v>1240</v>
      </c>
      <c r="Q251" s="170"/>
      <c r="R251" s="170"/>
      <c r="S251" s="170"/>
      <c r="T251" s="173"/>
      <c r="U251" s="170"/>
      <c r="V251" s="170"/>
      <c r="W251" s="172"/>
      <c r="X251" s="170" t="s">
        <v>1240</v>
      </c>
      <c r="Y251" s="170" t="s">
        <v>1240</v>
      </c>
      <c r="Z251" s="170" t="s">
        <v>1240</v>
      </c>
      <c r="AA251" s="170" t="s">
        <v>1240</v>
      </c>
      <c r="AB251" s="170" t="s">
        <v>1240</v>
      </c>
      <c r="AC251" s="170" t="s">
        <v>1240</v>
      </c>
      <c r="AD251" s="174" t="s">
        <v>1240</v>
      </c>
      <c r="AE251" s="172" t="s">
        <v>1240</v>
      </c>
      <c r="AF251" s="172"/>
      <c r="AG251" s="172"/>
    </row>
    <row r="252" spans="1:33" s="175" customFormat="1" hidden="1" x14ac:dyDescent="0.2">
      <c r="A252" s="170" t="s">
        <v>1240</v>
      </c>
      <c r="B252" s="170" t="s">
        <v>1240</v>
      </c>
      <c r="C252" s="170" t="s">
        <v>1240</v>
      </c>
      <c r="D252" s="170" t="s">
        <v>1240</v>
      </c>
      <c r="E252" s="170" t="s">
        <v>1240</v>
      </c>
      <c r="F252" s="170" t="s">
        <v>1240</v>
      </c>
      <c r="G252" s="170" t="s">
        <v>1240</v>
      </c>
      <c r="H252" s="276" t="s">
        <v>1240</v>
      </c>
      <c r="I252" s="170" t="e">
        <f t="shared" si="10"/>
        <v>#VALUE!</v>
      </c>
      <c r="J252" s="171" t="s">
        <v>1240</v>
      </c>
      <c r="K252" s="170" t="e">
        <f t="shared" si="11"/>
        <v>#VALUE!</v>
      </c>
      <c r="L252" s="170"/>
      <c r="M252" s="170"/>
      <c r="N252" s="170"/>
      <c r="O252" s="170" t="s">
        <v>1240</v>
      </c>
      <c r="P252" s="170" t="s">
        <v>1240</v>
      </c>
      <c r="Q252" s="170"/>
      <c r="R252" s="170"/>
      <c r="S252" s="170"/>
      <c r="T252" s="173"/>
      <c r="U252" s="170"/>
      <c r="V252" s="170"/>
      <c r="W252" s="172"/>
      <c r="X252" s="170" t="s">
        <v>1240</v>
      </c>
      <c r="Y252" s="170" t="s">
        <v>1240</v>
      </c>
      <c r="Z252" s="170" t="s">
        <v>1240</v>
      </c>
      <c r="AA252" s="170" t="s">
        <v>1240</v>
      </c>
      <c r="AB252" s="170" t="s">
        <v>1240</v>
      </c>
      <c r="AC252" s="170" t="s">
        <v>1240</v>
      </c>
      <c r="AD252" s="174" t="s">
        <v>1240</v>
      </c>
      <c r="AE252" s="172" t="s">
        <v>1240</v>
      </c>
      <c r="AF252" s="172"/>
      <c r="AG252" s="172"/>
    </row>
    <row r="253" spans="1:33" s="175" customFormat="1" hidden="1" x14ac:dyDescent="0.2">
      <c r="A253" s="170" t="s">
        <v>1240</v>
      </c>
      <c r="B253" s="170" t="s">
        <v>1240</v>
      </c>
      <c r="C253" s="170" t="s">
        <v>1240</v>
      </c>
      <c r="D253" s="170" t="s">
        <v>1240</v>
      </c>
      <c r="E253" s="170" t="s">
        <v>1240</v>
      </c>
      <c r="F253" s="170" t="s">
        <v>1240</v>
      </c>
      <c r="G253" s="170" t="s">
        <v>1240</v>
      </c>
      <c r="H253" s="276" t="s">
        <v>1240</v>
      </c>
      <c r="I253" s="170" t="e">
        <f t="shared" si="10"/>
        <v>#VALUE!</v>
      </c>
      <c r="J253" s="171" t="s">
        <v>1240</v>
      </c>
      <c r="K253" s="170" t="e">
        <f t="shared" si="11"/>
        <v>#VALUE!</v>
      </c>
      <c r="L253" s="170"/>
      <c r="M253" s="170"/>
      <c r="N253" s="170"/>
      <c r="O253" s="170" t="s">
        <v>1240</v>
      </c>
      <c r="P253" s="170" t="s">
        <v>1240</v>
      </c>
      <c r="Q253" s="170"/>
      <c r="R253" s="170"/>
      <c r="S253" s="170"/>
      <c r="T253" s="173"/>
      <c r="U253" s="170"/>
      <c r="V253" s="170"/>
      <c r="W253" s="172"/>
      <c r="X253" s="170" t="s">
        <v>1240</v>
      </c>
      <c r="Y253" s="170" t="s">
        <v>1240</v>
      </c>
      <c r="Z253" s="170" t="s">
        <v>1240</v>
      </c>
      <c r="AA253" s="170" t="s">
        <v>1240</v>
      </c>
      <c r="AB253" s="170" t="s">
        <v>1240</v>
      </c>
      <c r="AC253" s="170" t="s">
        <v>1240</v>
      </c>
      <c r="AD253" s="174" t="s">
        <v>1240</v>
      </c>
      <c r="AE253" s="172" t="s">
        <v>1240</v>
      </c>
      <c r="AF253" s="172"/>
      <c r="AG253" s="172"/>
    </row>
    <row r="254" spans="1:33" s="175" customFormat="1" hidden="1" x14ac:dyDescent="0.2">
      <c r="A254" s="170" t="s">
        <v>1240</v>
      </c>
      <c r="B254" s="170" t="s">
        <v>1240</v>
      </c>
      <c r="C254" s="170" t="s">
        <v>1240</v>
      </c>
      <c r="D254" s="170" t="s">
        <v>1240</v>
      </c>
      <c r="E254" s="170" t="s">
        <v>1240</v>
      </c>
      <c r="F254" s="170" t="s">
        <v>1240</v>
      </c>
      <c r="G254" s="170" t="s">
        <v>1240</v>
      </c>
      <c r="H254" s="276" t="s">
        <v>1240</v>
      </c>
      <c r="I254" s="170" t="e">
        <f t="shared" si="10"/>
        <v>#VALUE!</v>
      </c>
      <c r="J254" s="171" t="s">
        <v>1240</v>
      </c>
      <c r="K254" s="170" t="e">
        <f t="shared" si="11"/>
        <v>#VALUE!</v>
      </c>
      <c r="L254" s="170"/>
      <c r="M254" s="170"/>
      <c r="N254" s="170"/>
      <c r="O254" s="170" t="s">
        <v>1240</v>
      </c>
      <c r="P254" s="170" t="s">
        <v>1240</v>
      </c>
      <c r="Q254" s="170"/>
      <c r="R254" s="170"/>
      <c r="S254" s="170"/>
      <c r="T254" s="173"/>
      <c r="U254" s="170"/>
      <c r="V254" s="170"/>
      <c r="W254" s="172"/>
      <c r="X254" s="170" t="s">
        <v>1240</v>
      </c>
      <c r="Y254" s="170" t="s">
        <v>1240</v>
      </c>
      <c r="Z254" s="170" t="s">
        <v>1240</v>
      </c>
      <c r="AA254" s="170" t="s">
        <v>1240</v>
      </c>
      <c r="AB254" s="170" t="s">
        <v>1240</v>
      </c>
      <c r="AC254" s="170" t="s">
        <v>1240</v>
      </c>
      <c r="AD254" s="174" t="s">
        <v>1240</v>
      </c>
      <c r="AE254" s="172" t="s">
        <v>1240</v>
      </c>
      <c r="AF254" s="172"/>
      <c r="AG254" s="172"/>
    </row>
    <row r="255" spans="1:33" s="175" customFormat="1" hidden="1" x14ac:dyDescent="0.2">
      <c r="A255" s="170" t="s">
        <v>1240</v>
      </c>
      <c r="B255" s="170" t="s">
        <v>1240</v>
      </c>
      <c r="C255" s="170" t="s">
        <v>1240</v>
      </c>
      <c r="D255" s="170" t="s">
        <v>1240</v>
      </c>
      <c r="E255" s="170" t="s">
        <v>1240</v>
      </c>
      <c r="F255" s="170" t="s">
        <v>1240</v>
      </c>
      <c r="G255" s="170" t="s">
        <v>1240</v>
      </c>
      <c r="H255" s="276" t="s">
        <v>1240</v>
      </c>
      <c r="I255" s="170" t="e">
        <f t="shared" si="10"/>
        <v>#VALUE!</v>
      </c>
      <c r="J255" s="171" t="s">
        <v>1240</v>
      </c>
      <c r="K255" s="170" t="e">
        <f t="shared" si="11"/>
        <v>#VALUE!</v>
      </c>
      <c r="L255" s="170"/>
      <c r="M255" s="170"/>
      <c r="N255" s="170"/>
      <c r="O255" s="170" t="s">
        <v>1240</v>
      </c>
      <c r="P255" s="170" t="s">
        <v>1240</v>
      </c>
      <c r="Q255" s="170"/>
      <c r="R255" s="170"/>
      <c r="S255" s="170"/>
      <c r="T255" s="173"/>
      <c r="U255" s="170"/>
      <c r="V255" s="170"/>
      <c r="W255" s="172"/>
      <c r="X255" s="170" t="s">
        <v>1240</v>
      </c>
      <c r="Y255" s="170" t="s">
        <v>1240</v>
      </c>
      <c r="Z255" s="170" t="s">
        <v>1240</v>
      </c>
      <c r="AA255" s="170" t="s">
        <v>1240</v>
      </c>
      <c r="AB255" s="170" t="s">
        <v>1240</v>
      </c>
      <c r="AC255" s="170" t="s">
        <v>1240</v>
      </c>
      <c r="AD255" s="174" t="s">
        <v>1240</v>
      </c>
      <c r="AE255" s="172" t="s">
        <v>1240</v>
      </c>
      <c r="AF255" s="172"/>
      <c r="AG255" s="172"/>
    </row>
    <row r="256" spans="1:33" s="175" customFormat="1" hidden="1" x14ac:dyDescent="0.2">
      <c r="A256" s="170" t="s">
        <v>1240</v>
      </c>
      <c r="B256" s="170" t="s">
        <v>1240</v>
      </c>
      <c r="C256" s="170" t="s">
        <v>1240</v>
      </c>
      <c r="D256" s="170" t="s">
        <v>1240</v>
      </c>
      <c r="E256" s="170" t="s">
        <v>1240</v>
      </c>
      <c r="F256" s="170" t="s">
        <v>1240</v>
      </c>
      <c r="G256" s="170" t="s">
        <v>1240</v>
      </c>
      <c r="H256" s="276" t="s">
        <v>1240</v>
      </c>
      <c r="I256" s="170" t="e">
        <f t="shared" si="10"/>
        <v>#VALUE!</v>
      </c>
      <c r="J256" s="171" t="s">
        <v>1240</v>
      </c>
      <c r="K256" s="170" t="e">
        <f t="shared" si="11"/>
        <v>#VALUE!</v>
      </c>
      <c r="L256" s="170"/>
      <c r="M256" s="170"/>
      <c r="N256" s="170"/>
      <c r="O256" s="170" t="s">
        <v>1240</v>
      </c>
      <c r="P256" s="170" t="s">
        <v>1240</v>
      </c>
      <c r="Q256" s="170"/>
      <c r="R256" s="170"/>
      <c r="S256" s="170"/>
      <c r="T256" s="173"/>
      <c r="U256" s="170"/>
      <c r="V256" s="170"/>
      <c r="W256" s="172"/>
      <c r="X256" s="170" t="s">
        <v>1240</v>
      </c>
      <c r="Y256" s="170" t="s">
        <v>1240</v>
      </c>
      <c r="Z256" s="170" t="s">
        <v>1240</v>
      </c>
      <c r="AA256" s="170" t="s">
        <v>1240</v>
      </c>
      <c r="AB256" s="170" t="s">
        <v>1240</v>
      </c>
      <c r="AC256" s="170" t="s">
        <v>1240</v>
      </c>
      <c r="AD256" s="174" t="s">
        <v>1240</v>
      </c>
      <c r="AE256" s="172" t="s">
        <v>1240</v>
      </c>
      <c r="AF256" s="172"/>
      <c r="AG256" s="172"/>
    </row>
    <row r="257" spans="1:33" s="175" customFormat="1" hidden="1" x14ac:dyDescent="0.2">
      <c r="A257" s="170" t="s">
        <v>1240</v>
      </c>
      <c r="B257" s="170" t="s">
        <v>1240</v>
      </c>
      <c r="C257" s="170" t="s">
        <v>1240</v>
      </c>
      <c r="D257" s="170" t="s">
        <v>1240</v>
      </c>
      <c r="E257" s="170" t="s">
        <v>1240</v>
      </c>
      <c r="F257" s="170" t="s">
        <v>1240</v>
      </c>
      <c r="G257" s="170" t="s">
        <v>1240</v>
      </c>
      <c r="H257" s="276" t="s">
        <v>1240</v>
      </c>
      <c r="I257" s="170" t="e">
        <f t="shared" si="10"/>
        <v>#VALUE!</v>
      </c>
      <c r="J257" s="171" t="s">
        <v>1240</v>
      </c>
      <c r="K257" s="170" t="e">
        <f t="shared" si="11"/>
        <v>#VALUE!</v>
      </c>
      <c r="L257" s="170"/>
      <c r="M257" s="170"/>
      <c r="N257" s="170"/>
      <c r="O257" s="170" t="s">
        <v>1240</v>
      </c>
      <c r="P257" s="170" t="s">
        <v>1240</v>
      </c>
      <c r="Q257" s="170"/>
      <c r="R257" s="170"/>
      <c r="S257" s="170"/>
      <c r="T257" s="173"/>
      <c r="U257" s="170"/>
      <c r="V257" s="170"/>
      <c r="W257" s="172"/>
      <c r="X257" s="170" t="s">
        <v>1240</v>
      </c>
      <c r="Y257" s="170" t="s">
        <v>1240</v>
      </c>
      <c r="Z257" s="170" t="s">
        <v>1240</v>
      </c>
      <c r="AA257" s="170" t="s">
        <v>1240</v>
      </c>
      <c r="AB257" s="170" t="s">
        <v>1240</v>
      </c>
      <c r="AC257" s="170" t="s">
        <v>1240</v>
      </c>
      <c r="AD257" s="174" t="s">
        <v>1240</v>
      </c>
      <c r="AE257" s="172" t="s">
        <v>1240</v>
      </c>
      <c r="AF257" s="172"/>
      <c r="AG257" s="172"/>
    </row>
    <row r="258" spans="1:33" s="175" customFormat="1" hidden="1" x14ac:dyDescent="0.2">
      <c r="A258" s="170" t="s">
        <v>1240</v>
      </c>
      <c r="B258" s="170" t="s">
        <v>1240</v>
      </c>
      <c r="C258" s="170" t="s">
        <v>1240</v>
      </c>
      <c r="D258" s="170" t="s">
        <v>1240</v>
      </c>
      <c r="E258" s="170" t="s">
        <v>1240</v>
      </c>
      <c r="F258" s="170" t="s">
        <v>1240</v>
      </c>
      <c r="G258" s="170" t="s">
        <v>1240</v>
      </c>
      <c r="H258" s="276" t="s">
        <v>1240</v>
      </c>
      <c r="I258" s="170" t="e">
        <f t="shared" si="10"/>
        <v>#VALUE!</v>
      </c>
      <c r="J258" s="171" t="s">
        <v>1240</v>
      </c>
      <c r="K258" s="170" t="e">
        <f t="shared" si="11"/>
        <v>#VALUE!</v>
      </c>
      <c r="L258" s="170"/>
      <c r="M258" s="170"/>
      <c r="N258" s="170"/>
      <c r="O258" s="170" t="s">
        <v>1240</v>
      </c>
      <c r="P258" s="170" t="s">
        <v>1240</v>
      </c>
      <c r="Q258" s="170"/>
      <c r="R258" s="170"/>
      <c r="S258" s="170"/>
      <c r="T258" s="173"/>
      <c r="U258" s="170"/>
      <c r="V258" s="170"/>
      <c r="W258" s="172"/>
      <c r="X258" s="170" t="s">
        <v>1240</v>
      </c>
      <c r="Y258" s="170" t="s">
        <v>1240</v>
      </c>
      <c r="Z258" s="170" t="s">
        <v>1240</v>
      </c>
      <c r="AA258" s="170" t="s">
        <v>1240</v>
      </c>
      <c r="AB258" s="170" t="s">
        <v>1240</v>
      </c>
      <c r="AC258" s="170" t="s">
        <v>1240</v>
      </c>
      <c r="AD258" s="174" t="s">
        <v>1240</v>
      </c>
      <c r="AE258" s="172" t="s">
        <v>1240</v>
      </c>
      <c r="AF258" s="172"/>
      <c r="AG258" s="172"/>
    </row>
    <row r="259" spans="1:33" s="175" customFormat="1" hidden="1" x14ac:dyDescent="0.2">
      <c r="A259" s="170" t="s">
        <v>1240</v>
      </c>
      <c r="B259" s="170" t="s">
        <v>1240</v>
      </c>
      <c r="C259" s="170" t="s">
        <v>1240</v>
      </c>
      <c r="D259" s="170" t="s">
        <v>1240</v>
      </c>
      <c r="E259" s="170" t="s">
        <v>1240</v>
      </c>
      <c r="F259" s="170" t="s">
        <v>1240</v>
      </c>
      <c r="G259" s="170" t="s">
        <v>1240</v>
      </c>
      <c r="H259" s="276" t="s">
        <v>1240</v>
      </c>
      <c r="I259" s="170" t="e">
        <f t="shared" ref="I259:I322" si="12">DATEDIF(H259,J259,"m")</f>
        <v>#VALUE!</v>
      </c>
      <c r="J259" s="171" t="s">
        <v>1240</v>
      </c>
      <c r="K259" s="170" t="e">
        <f t="shared" ref="K259:K322" si="13">IF(I259&lt;=18,"NUEVO",IF(I259&lt;=36,"INTERMEDIO","ANTIGUO"))</f>
        <v>#VALUE!</v>
      </c>
      <c r="L259" s="170"/>
      <c r="M259" s="170"/>
      <c r="N259" s="170"/>
      <c r="O259" s="170" t="s">
        <v>1240</v>
      </c>
      <c r="P259" s="170" t="s">
        <v>1240</v>
      </c>
      <c r="Q259" s="170"/>
      <c r="R259" s="170"/>
      <c r="S259" s="170"/>
      <c r="T259" s="173"/>
      <c r="U259" s="170"/>
      <c r="V259" s="170"/>
      <c r="W259" s="172"/>
      <c r="X259" s="170" t="s">
        <v>1240</v>
      </c>
      <c r="Y259" s="170" t="s">
        <v>1240</v>
      </c>
      <c r="Z259" s="170" t="s">
        <v>1240</v>
      </c>
      <c r="AA259" s="170" t="s">
        <v>1240</v>
      </c>
      <c r="AB259" s="170" t="s">
        <v>1240</v>
      </c>
      <c r="AC259" s="170" t="s">
        <v>1240</v>
      </c>
      <c r="AD259" s="174" t="s">
        <v>1240</v>
      </c>
      <c r="AE259" s="172" t="s">
        <v>1240</v>
      </c>
      <c r="AF259" s="172"/>
      <c r="AG259" s="172"/>
    </row>
    <row r="260" spans="1:33" s="175" customFormat="1" hidden="1" x14ac:dyDescent="0.2">
      <c r="A260" s="170" t="s">
        <v>1240</v>
      </c>
      <c r="B260" s="170" t="s">
        <v>1240</v>
      </c>
      <c r="C260" s="170" t="s">
        <v>1240</v>
      </c>
      <c r="D260" s="170" t="s">
        <v>1240</v>
      </c>
      <c r="E260" s="170" t="s">
        <v>1240</v>
      </c>
      <c r="F260" s="170" t="s">
        <v>1240</v>
      </c>
      <c r="G260" s="170" t="s">
        <v>1240</v>
      </c>
      <c r="H260" s="276" t="s">
        <v>1240</v>
      </c>
      <c r="I260" s="170" t="e">
        <f t="shared" si="12"/>
        <v>#VALUE!</v>
      </c>
      <c r="J260" s="171" t="s">
        <v>1240</v>
      </c>
      <c r="K260" s="170" t="e">
        <f t="shared" si="13"/>
        <v>#VALUE!</v>
      </c>
      <c r="L260" s="170"/>
      <c r="M260" s="170"/>
      <c r="N260" s="170"/>
      <c r="O260" s="170" t="s">
        <v>1240</v>
      </c>
      <c r="P260" s="170" t="s">
        <v>1240</v>
      </c>
      <c r="Q260" s="170"/>
      <c r="R260" s="170"/>
      <c r="S260" s="170"/>
      <c r="T260" s="173"/>
      <c r="U260" s="170"/>
      <c r="V260" s="170"/>
      <c r="W260" s="172"/>
      <c r="X260" s="170" t="s">
        <v>1240</v>
      </c>
      <c r="Y260" s="170" t="s">
        <v>1240</v>
      </c>
      <c r="Z260" s="170" t="s">
        <v>1240</v>
      </c>
      <c r="AA260" s="170" t="s">
        <v>1240</v>
      </c>
      <c r="AB260" s="170" t="s">
        <v>1240</v>
      </c>
      <c r="AC260" s="170" t="s">
        <v>1240</v>
      </c>
      <c r="AD260" s="174" t="s">
        <v>1240</v>
      </c>
      <c r="AE260" s="172" t="s">
        <v>1240</v>
      </c>
      <c r="AF260" s="172"/>
      <c r="AG260" s="172"/>
    </row>
    <row r="261" spans="1:33" s="175" customFormat="1" hidden="1" x14ac:dyDescent="0.2">
      <c r="A261" s="170" t="s">
        <v>1240</v>
      </c>
      <c r="B261" s="170" t="s">
        <v>1240</v>
      </c>
      <c r="C261" s="170" t="s">
        <v>1240</v>
      </c>
      <c r="D261" s="170" t="s">
        <v>1240</v>
      </c>
      <c r="E261" s="170" t="s">
        <v>1240</v>
      </c>
      <c r="F261" s="170" t="s">
        <v>1240</v>
      </c>
      <c r="G261" s="170" t="s">
        <v>1240</v>
      </c>
      <c r="H261" s="276" t="s">
        <v>1240</v>
      </c>
      <c r="I261" s="170" t="e">
        <f t="shared" si="12"/>
        <v>#VALUE!</v>
      </c>
      <c r="J261" s="171" t="s">
        <v>1240</v>
      </c>
      <c r="K261" s="170" t="e">
        <f t="shared" si="13"/>
        <v>#VALUE!</v>
      </c>
      <c r="L261" s="170"/>
      <c r="M261" s="170"/>
      <c r="N261" s="170"/>
      <c r="O261" s="170" t="s">
        <v>1240</v>
      </c>
      <c r="P261" s="170" t="s">
        <v>1240</v>
      </c>
      <c r="Q261" s="170"/>
      <c r="R261" s="170"/>
      <c r="S261" s="170"/>
      <c r="T261" s="173"/>
      <c r="U261" s="170"/>
      <c r="V261" s="170"/>
      <c r="W261" s="172"/>
      <c r="X261" s="170" t="s">
        <v>1240</v>
      </c>
      <c r="Y261" s="170" t="s">
        <v>1240</v>
      </c>
      <c r="Z261" s="170" t="s">
        <v>1240</v>
      </c>
      <c r="AA261" s="170" t="s">
        <v>1240</v>
      </c>
      <c r="AB261" s="170" t="s">
        <v>1240</v>
      </c>
      <c r="AC261" s="170" t="s">
        <v>1240</v>
      </c>
      <c r="AD261" s="174" t="s">
        <v>1240</v>
      </c>
      <c r="AE261" s="172" t="s">
        <v>1240</v>
      </c>
      <c r="AF261" s="172"/>
      <c r="AG261" s="172"/>
    </row>
    <row r="262" spans="1:33" s="175" customFormat="1" hidden="1" x14ac:dyDescent="0.2">
      <c r="A262" s="170" t="s">
        <v>1240</v>
      </c>
      <c r="B262" s="170" t="s">
        <v>1240</v>
      </c>
      <c r="C262" s="170" t="s">
        <v>1240</v>
      </c>
      <c r="D262" s="170" t="s">
        <v>1240</v>
      </c>
      <c r="E262" s="170" t="s">
        <v>1240</v>
      </c>
      <c r="F262" s="170" t="s">
        <v>1240</v>
      </c>
      <c r="G262" s="170" t="s">
        <v>1240</v>
      </c>
      <c r="H262" s="276" t="s">
        <v>1240</v>
      </c>
      <c r="I262" s="170" t="e">
        <f t="shared" si="12"/>
        <v>#VALUE!</v>
      </c>
      <c r="J262" s="171" t="s">
        <v>1240</v>
      </c>
      <c r="K262" s="170" t="e">
        <f t="shared" si="13"/>
        <v>#VALUE!</v>
      </c>
      <c r="L262" s="170"/>
      <c r="M262" s="170"/>
      <c r="N262" s="170"/>
      <c r="O262" s="170" t="s">
        <v>1240</v>
      </c>
      <c r="P262" s="170" t="s">
        <v>1240</v>
      </c>
      <c r="Q262" s="170"/>
      <c r="R262" s="170"/>
      <c r="S262" s="170"/>
      <c r="T262" s="173"/>
      <c r="U262" s="170"/>
      <c r="V262" s="170"/>
      <c r="W262" s="172"/>
      <c r="X262" s="170" t="s">
        <v>1240</v>
      </c>
      <c r="Y262" s="170" t="s">
        <v>1240</v>
      </c>
      <c r="Z262" s="170" t="s">
        <v>1240</v>
      </c>
      <c r="AA262" s="170" t="s">
        <v>1240</v>
      </c>
      <c r="AB262" s="170" t="s">
        <v>1240</v>
      </c>
      <c r="AC262" s="170" t="s">
        <v>1240</v>
      </c>
      <c r="AD262" s="174" t="s">
        <v>1240</v>
      </c>
      <c r="AE262" s="172" t="s">
        <v>1240</v>
      </c>
      <c r="AF262" s="172"/>
      <c r="AG262" s="172"/>
    </row>
    <row r="263" spans="1:33" s="175" customFormat="1" hidden="1" x14ac:dyDescent="0.2">
      <c r="A263" s="170" t="s">
        <v>1240</v>
      </c>
      <c r="B263" s="170" t="s">
        <v>1240</v>
      </c>
      <c r="C263" s="170" t="s">
        <v>1240</v>
      </c>
      <c r="D263" s="170" t="s">
        <v>1240</v>
      </c>
      <c r="E263" s="170" t="s">
        <v>1240</v>
      </c>
      <c r="F263" s="170" t="s">
        <v>1240</v>
      </c>
      <c r="G263" s="170" t="s">
        <v>1240</v>
      </c>
      <c r="H263" s="276" t="s">
        <v>1240</v>
      </c>
      <c r="I263" s="170" t="e">
        <f t="shared" si="12"/>
        <v>#VALUE!</v>
      </c>
      <c r="J263" s="171" t="s">
        <v>1240</v>
      </c>
      <c r="K263" s="170" t="e">
        <f t="shared" si="13"/>
        <v>#VALUE!</v>
      </c>
      <c r="L263" s="170"/>
      <c r="M263" s="170"/>
      <c r="N263" s="170"/>
      <c r="O263" s="170" t="s">
        <v>1240</v>
      </c>
      <c r="P263" s="170" t="s">
        <v>1240</v>
      </c>
      <c r="Q263" s="170"/>
      <c r="R263" s="170"/>
      <c r="S263" s="170"/>
      <c r="T263" s="173"/>
      <c r="U263" s="170"/>
      <c r="V263" s="170"/>
      <c r="W263" s="172"/>
      <c r="X263" s="170" t="s">
        <v>1240</v>
      </c>
      <c r="Y263" s="170" t="s">
        <v>1240</v>
      </c>
      <c r="Z263" s="170" t="s">
        <v>1240</v>
      </c>
      <c r="AA263" s="170" t="s">
        <v>1240</v>
      </c>
      <c r="AB263" s="170" t="s">
        <v>1240</v>
      </c>
      <c r="AC263" s="170" t="s">
        <v>1240</v>
      </c>
      <c r="AD263" s="174" t="s">
        <v>1240</v>
      </c>
      <c r="AE263" s="172" t="s">
        <v>1240</v>
      </c>
      <c r="AF263" s="172"/>
      <c r="AG263" s="172"/>
    </row>
    <row r="264" spans="1:33" s="175" customFormat="1" hidden="1" x14ac:dyDescent="0.2">
      <c r="A264" s="170" t="s">
        <v>1240</v>
      </c>
      <c r="B264" s="170" t="s">
        <v>1240</v>
      </c>
      <c r="C264" s="170" t="s">
        <v>1240</v>
      </c>
      <c r="D264" s="170" t="s">
        <v>1240</v>
      </c>
      <c r="E264" s="170" t="s">
        <v>1240</v>
      </c>
      <c r="F264" s="170" t="s">
        <v>1240</v>
      </c>
      <c r="G264" s="170" t="s">
        <v>1240</v>
      </c>
      <c r="H264" s="276" t="s">
        <v>1240</v>
      </c>
      <c r="I264" s="170" t="e">
        <f t="shared" si="12"/>
        <v>#VALUE!</v>
      </c>
      <c r="J264" s="171" t="s">
        <v>1240</v>
      </c>
      <c r="K264" s="170" t="e">
        <f t="shared" si="13"/>
        <v>#VALUE!</v>
      </c>
      <c r="L264" s="170"/>
      <c r="M264" s="170"/>
      <c r="N264" s="170"/>
      <c r="O264" s="170" t="s">
        <v>1240</v>
      </c>
      <c r="P264" s="170" t="s">
        <v>1240</v>
      </c>
      <c r="Q264" s="170"/>
      <c r="R264" s="170"/>
      <c r="S264" s="170"/>
      <c r="T264" s="173"/>
      <c r="U264" s="170"/>
      <c r="V264" s="170"/>
      <c r="W264" s="172"/>
      <c r="X264" s="170" t="s">
        <v>1240</v>
      </c>
      <c r="Y264" s="170" t="s">
        <v>1240</v>
      </c>
      <c r="Z264" s="170" t="s">
        <v>1240</v>
      </c>
      <c r="AA264" s="170" t="s">
        <v>1240</v>
      </c>
      <c r="AB264" s="170" t="s">
        <v>1240</v>
      </c>
      <c r="AC264" s="170" t="s">
        <v>1240</v>
      </c>
      <c r="AD264" s="174" t="s">
        <v>1240</v>
      </c>
      <c r="AE264" s="172" t="s">
        <v>1240</v>
      </c>
      <c r="AF264" s="172"/>
      <c r="AG264" s="172"/>
    </row>
    <row r="265" spans="1:33" s="175" customFormat="1" hidden="1" x14ac:dyDescent="0.2">
      <c r="A265" s="170" t="s">
        <v>1240</v>
      </c>
      <c r="B265" s="170" t="s">
        <v>1240</v>
      </c>
      <c r="C265" s="170" t="s">
        <v>1240</v>
      </c>
      <c r="D265" s="170" t="s">
        <v>1240</v>
      </c>
      <c r="E265" s="170" t="s">
        <v>1240</v>
      </c>
      <c r="F265" s="170" t="s">
        <v>1240</v>
      </c>
      <c r="G265" s="170" t="s">
        <v>1240</v>
      </c>
      <c r="H265" s="276" t="s">
        <v>1240</v>
      </c>
      <c r="I265" s="170" t="e">
        <f t="shared" si="12"/>
        <v>#VALUE!</v>
      </c>
      <c r="J265" s="171" t="s">
        <v>1240</v>
      </c>
      <c r="K265" s="170" t="e">
        <f t="shared" si="13"/>
        <v>#VALUE!</v>
      </c>
      <c r="L265" s="170"/>
      <c r="M265" s="170"/>
      <c r="N265" s="170"/>
      <c r="O265" s="170" t="s">
        <v>1240</v>
      </c>
      <c r="P265" s="170" t="s">
        <v>1240</v>
      </c>
      <c r="Q265" s="170"/>
      <c r="R265" s="170"/>
      <c r="S265" s="170"/>
      <c r="T265" s="173"/>
      <c r="U265" s="170"/>
      <c r="V265" s="170"/>
      <c r="W265" s="172"/>
      <c r="X265" s="170" t="s">
        <v>1240</v>
      </c>
      <c r="Y265" s="170" t="s">
        <v>1240</v>
      </c>
      <c r="Z265" s="170" t="s">
        <v>1240</v>
      </c>
      <c r="AA265" s="170" t="s">
        <v>1240</v>
      </c>
      <c r="AB265" s="170" t="s">
        <v>1240</v>
      </c>
      <c r="AC265" s="170" t="s">
        <v>1240</v>
      </c>
      <c r="AD265" s="174" t="s">
        <v>1240</v>
      </c>
      <c r="AE265" s="172" t="s">
        <v>1240</v>
      </c>
      <c r="AF265" s="172"/>
      <c r="AG265" s="172"/>
    </row>
    <row r="266" spans="1:33" s="175" customFormat="1" hidden="1" x14ac:dyDescent="0.2">
      <c r="A266" s="170" t="s">
        <v>1240</v>
      </c>
      <c r="B266" s="170" t="s">
        <v>1240</v>
      </c>
      <c r="C266" s="170" t="s">
        <v>1240</v>
      </c>
      <c r="D266" s="170" t="s">
        <v>1240</v>
      </c>
      <c r="E266" s="170" t="s">
        <v>1240</v>
      </c>
      <c r="F266" s="170" t="s">
        <v>1240</v>
      </c>
      <c r="G266" s="170" t="s">
        <v>1240</v>
      </c>
      <c r="H266" s="276" t="s">
        <v>1240</v>
      </c>
      <c r="I266" s="170" t="e">
        <f t="shared" si="12"/>
        <v>#VALUE!</v>
      </c>
      <c r="J266" s="171" t="s">
        <v>1240</v>
      </c>
      <c r="K266" s="170" t="e">
        <f t="shared" si="13"/>
        <v>#VALUE!</v>
      </c>
      <c r="L266" s="170"/>
      <c r="M266" s="170"/>
      <c r="N266" s="170"/>
      <c r="O266" s="170" t="s">
        <v>1240</v>
      </c>
      <c r="P266" s="170" t="s">
        <v>1240</v>
      </c>
      <c r="Q266" s="170"/>
      <c r="R266" s="170"/>
      <c r="S266" s="170"/>
      <c r="T266" s="173"/>
      <c r="U266" s="170"/>
      <c r="V266" s="170"/>
      <c r="W266" s="172"/>
      <c r="X266" s="170" t="s">
        <v>1240</v>
      </c>
      <c r="Y266" s="170" t="s">
        <v>1240</v>
      </c>
      <c r="Z266" s="170" t="s">
        <v>1240</v>
      </c>
      <c r="AA266" s="170" t="s">
        <v>1240</v>
      </c>
      <c r="AB266" s="170" t="s">
        <v>1240</v>
      </c>
      <c r="AC266" s="170" t="s">
        <v>1240</v>
      </c>
      <c r="AD266" s="174" t="s">
        <v>1240</v>
      </c>
      <c r="AE266" s="172" t="s">
        <v>1240</v>
      </c>
      <c r="AF266" s="172"/>
      <c r="AG266" s="172"/>
    </row>
    <row r="267" spans="1:33" s="175" customFormat="1" hidden="1" x14ac:dyDescent="0.2">
      <c r="A267" s="170" t="s">
        <v>1240</v>
      </c>
      <c r="B267" s="170" t="s">
        <v>1240</v>
      </c>
      <c r="C267" s="170" t="s">
        <v>1240</v>
      </c>
      <c r="D267" s="170" t="s">
        <v>1240</v>
      </c>
      <c r="E267" s="170" t="s">
        <v>1240</v>
      </c>
      <c r="F267" s="170" t="s">
        <v>1240</v>
      </c>
      <c r="G267" s="170" t="s">
        <v>1240</v>
      </c>
      <c r="H267" s="276" t="s">
        <v>1240</v>
      </c>
      <c r="I267" s="170" t="e">
        <f t="shared" si="12"/>
        <v>#VALUE!</v>
      </c>
      <c r="J267" s="171" t="s">
        <v>1240</v>
      </c>
      <c r="K267" s="170" t="e">
        <f t="shared" si="13"/>
        <v>#VALUE!</v>
      </c>
      <c r="L267" s="170"/>
      <c r="M267" s="170"/>
      <c r="N267" s="170"/>
      <c r="O267" s="170" t="s">
        <v>1240</v>
      </c>
      <c r="P267" s="170" t="s">
        <v>1240</v>
      </c>
      <c r="Q267" s="170"/>
      <c r="R267" s="170"/>
      <c r="S267" s="170"/>
      <c r="T267" s="173"/>
      <c r="U267" s="170"/>
      <c r="V267" s="170"/>
      <c r="W267" s="172"/>
      <c r="X267" s="170" t="s">
        <v>1240</v>
      </c>
      <c r="Y267" s="170" t="s">
        <v>1240</v>
      </c>
      <c r="Z267" s="170" t="s">
        <v>1240</v>
      </c>
      <c r="AA267" s="170" t="s">
        <v>1240</v>
      </c>
      <c r="AB267" s="170" t="s">
        <v>1240</v>
      </c>
      <c r="AC267" s="170" t="s">
        <v>1240</v>
      </c>
      <c r="AD267" s="174" t="s">
        <v>1240</v>
      </c>
      <c r="AE267" s="172" t="s">
        <v>1240</v>
      </c>
      <c r="AF267" s="172"/>
      <c r="AG267" s="172"/>
    </row>
    <row r="268" spans="1:33" s="175" customFormat="1" hidden="1" x14ac:dyDescent="0.2">
      <c r="A268" s="170" t="s">
        <v>1240</v>
      </c>
      <c r="B268" s="170" t="s">
        <v>1240</v>
      </c>
      <c r="C268" s="170" t="s">
        <v>1240</v>
      </c>
      <c r="D268" s="170" t="s">
        <v>1240</v>
      </c>
      <c r="E268" s="170" t="s">
        <v>1240</v>
      </c>
      <c r="F268" s="170" t="s">
        <v>1240</v>
      </c>
      <c r="G268" s="170" t="s">
        <v>1240</v>
      </c>
      <c r="H268" s="276" t="s">
        <v>1240</v>
      </c>
      <c r="I268" s="170" t="e">
        <f t="shared" si="12"/>
        <v>#VALUE!</v>
      </c>
      <c r="J268" s="171" t="s">
        <v>1240</v>
      </c>
      <c r="K268" s="170" t="e">
        <f t="shared" si="13"/>
        <v>#VALUE!</v>
      </c>
      <c r="L268" s="170"/>
      <c r="M268" s="170"/>
      <c r="N268" s="170"/>
      <c r="O268" s="170" t="s">
        <v>1240</v>
      </c>
      <c r="P268" s="170" t="s">
        <v>1240</v>
      </c>
      <c r="Q268" s="170"/>
      <c r="R268" s="170"/>
      <c r="S268" s="170"/>
      <c r="T268" s="173"/>
      <c r="U268" s="170"/>
      <c r="V268" s="170"/>
      <c r="W268" s="172"/>
      <c r="X268" s="170" t="s">
        <v>1240</v>
      </c>
      <c r="Y268" s="170" t="s">
        <v>1240</v>
      </c>
      <c r="Z268" s="170" t="s">
        <v>1240</v>
      </c>
      <c r="AA268" s="170" t="s">
        <v>1240</v>
      </c>
      <c r="AB268" s="170" t="s">
        <v>1240</v>
      </c>
      <c r="AC268" s="170" t="s">
        <v>1240</v>
      </c>
      <c r="AD268" s="174" t="s">
        <v>1240</v>
      </c>
      <c r="AE268" s="172" t="s">
        <v>1240</v>
      </c>
      <c r="AF268" s="172"/>
      <c r="AG268" s="172"/>
    </row>
    <row r="269" spans="1:33" s="175" customFormat="1" hidden="1" x14ac:dyDescent="0.2">
      <c r="A269" s="170" t="s">
        <v>1240</v>
      </c>
      <c r="B269" s="170" t="s">
        <v>1240</v>
      </c>
      <c r="C269" s="170" t="s">
        <v>1240</v>
      </c>
      <c r="D269" s="170" t="s">
        <v>1240</v>
      </c>
      <c r="E269" s="170" t="s">
        <v>1240</v>
      </c>
      <c r="F269" s="170" t="s">
        <v>1240</v>
      </c>
      <c r="G269" s="170" t="s">
        <v>1240</v>
      </c>
      <c r="H269" s="276" t="s">
        <v>1240</v>
      </c>
      <c r="I269" s="170" t="e">
        <f t="shared" si="12"/>
        <v>#VALUE!</v>
      </c>
      <c r="J269" s="171" t="s">
        <v>1240</v>
      </c>
      <c r="K269" s="170" t="e">
        <f t="shared" si="13"/>
        <v>#VALUE!</v>
      </c>
      <c r="L269" s="170"/>
      <c r="M269" s="170"/>
      <c r="N269" s="170"/>
      <c r="O269" s="170" t="s">
        <v>1240</v>
      </c>
      <c r="P269" s="170" t="s">
        <v>1240</v>
      </c>
      <c r="Q269" s="170"/>
      <c r="R269" s="170"/>
      <c r="S269" s="170"/>
      <c r="T269" s="173"/>
      <c r="U269" s="170"/>
      <c r="V269" s="170"/>
      <c r="W269" s="172"/>
      <c r="X269" s="170" t="s">
        <v>1240</v>
      </c>
      <c r="Y269" s="170" t="s">
        <v>1240</v>
      </c>
      <c r="Z269" s="170" t="s">
        <v>1240</v>
      </c>
      <c r="AA269" s="170" t="s">
        <v>1240</v>
      </c>
      <c r="AB269" s="170" t="s">
        <v>1240</v>
      </c>
      <c r="AC269" s="170" t="s">
        <v>1240</v>
      </c>
      <c r="AD269" s="174" t="s">
        <v>1240</v>
      </c>
      <c r="AE269" s="172" t="s">
        <v>1240</v>
      </c>
      <c r="AF269" s="172"/>
      <c r="AG269" s="172"/>
    </row>
    <row r="270" spans="1:33" s="175" customFormat="1" hidden="1" x14ac:dyDescent="0.2">
      <c r="A270" s="170" t="s">
        <v>1240</v>
      </c>
      <c r="B270" s="170" t="s">
        <v>1240</v>
      </c>
      <c r="C270" s="170" t="s">
        <v>1240</v>
      </c>
      <c r="D270" s="170" t="s">
        <v>1240</v>
      </c>
      <c r="E270" s="170" t="s">
        <v>1240</v>
      </c>
      <c r="F270" s="170" t="s">
        <v>1240</v>
      </c>
      <c r="G270" s="170" t="s">
        <v>1240</v>
      </c>
      <c r="H270" s="276" t="s">
        <v>1240</v>
      </c>
      <c r="I270" s="170" t="e">
        <f t="shared" si="12"/>
        <v>#VALUE!</v>
      </c>
      <c r="J270" s="171" t="s">
        <v>1240</v>
      </c>
      <c r="K270" s="170" t="e">
        <f t="shared" si="13"/>
        <v>#VALUE!</v>
      </c>
      <c r="L270" s="170"/>
      <c r="M270" s="170"/>
      <c r="N270" s="170"/>
      <c r="O270" s="170" t="s">
        <v>1240</v>
      </c>
      <c r="P270" s="170" t="s">
        <v>1240</v>
      </c>
      <c r="Q270" s="170"/>
      <c r="R270" s="170"/>
      <c r="S270" s="170"/>
      <c r="T270" s="173"/>
      <c r="U270" s="170"/>
      <c r="V270" s="170"/>
      <c r="W270" s="172"/>
      <c r="X270" s="170" t="s">
        <v>1240</v>
      </c>
      <c r="Y270" s="170" t="s">
        <v>1240</v>
      </c>
      <c r="Z270" s="170" t="s">
        <v>1240</v>
      </c>
      <c r="AA270" s="170" t="s">
        <v>1240</v>
      </c>
      <c r="AB270" s="170" t="s">
        <v>1240</v>
      </c>
      <c r="AC270" s="170" t="s">
        <v>1240</v>
      </c>
      <c r="AD270" s="174" t="s">
        <v>1240</v>
      </c>
      <c r="AE270" s="172" t="s">
        <v>1240</v>
      </c>
      <c r="AF270" s="172"/>
      <c r="AG270" s="172"/>
    </row>
    <row r="271" spans="1:33" s="175" customFormat="1" hidden="1" x14ac:dyDescent="0.2">
      <c r="A271" s="170" t="s">
        <v>1240</v>
      </c>
      <c r="B271" s="170" t="s">
        <v>1240</v>
      </c>
      <c r="C271" s="170" t="s">
        <v>1240</v>
      </c>
      <c r="D271" s="170" t="s">
        <v>1240</v>
      </c>
      <c r="E271" s="170" t="s">
        <v>1240</v>
      </c>
      <c r="F271" s="170" t="s">
        <v>1240</v>
      </c>
      <c r="G271" s="170" t="s">
        <v>1240</v>
      </c>
      <c r="H271" s="276" t="s">
        <v>1240</v>
      </c>
      <c r="I271" s="170" t="e">
        <f t="shared" si="12"/>
        <v>#VALUE!</v>
      </c>
      <c r="J271" s="171" t="s">
        <v>1240</v>
      </c>
      <c r="K271" s="170" t="e">
        <f t="shared" si="13"/>
        <v>#VALUE!</v>
      </c>
      <c r="L271" s="170"/>
      <c r="M271" s="170"/>
      <c r="N271" s="170"/>
      <c r="O271" s="170" t="s">
        <v>1240</v>
      </c>
      <c r="P271" s="170" t="s">
        <v>1240</v>
      </c>
      <c r="Q271" s="170"/>
      <c r="R271" s="170"/>
      <c r="S271" s="170"/>
      <c r="T271" s="173"/>
      <c r="U271" s="170"/>
      <c r="V271" s="170"/>
      <c r="W271" s="172"/>
      <c r="X271" s="170" t="s">
        <v>1240</v>
      </c>
      <c r="Y271" s="170" t="s">
        <v>1240</v>
      </c>
      <c r="Z271" s="170" t="s">
        <v>1240</v>
      </c>
      <c r="AA271" s="170" t="s">
        <v>1240</v>
      </c>
      <c r="AB271" s="170" t="s">
        <v>1240</v>
      </c>
      <c r="AC271" s="170" t="s">
        <v>1240</v>
      </c>
      <c r="AD271" s="174" t="s">
        <v>1240</v>
      </c>
      <c r="AE271" s="172" t="s">
        <v>1240</v>
      </c>
      <c r="AF271" s="172"/>
      <c r="AG271" s="172"/>
    </row>
    <row r="272" spans="1:33" s="175" customFormat="1" hidden="1" x14ac:dyDescent="0.2">
      <c r="A272" s="170" t="s">
        <v>1240</v>
      </c>
      <c r="B272" s="170" t="s">
        <v>1240</v>
      </c>
      <c r="C272" s="170" t="s">
        <v>1240</v>
      </c>
      <c r="D272" s="170" t="s">
        <v>1240</v>
      </c>
      <c r="E272" s="170" t="s">
        <v>1240</v>
      </c>
      <c r="F272" s="170" t="s">
        <v>1240</v>
      </c>
      <c r="G272" s="170" t="s">
        <v>1240</v>
      </c>
      <c r="H272" s="276" t="s">
        <v>1240</v>
      </c>
      <c r="I272" s="170" t="e">
        <f t="shared" si="12"/>
        <v>#VALUE!</v>
      </c>
      <c r="J272" s="171" t="s">
        <v>1240</v>
      </c>
      <c r="K272" s="170" t="e">
        <f t="shared" si="13"/>
        <v>#VALUE!</v>
      </c>
      <c r="L272" s="170"/>
      <c r="M272" s="170"/>
      <c r="N272" s="170"/>
      <c r="O272" s="170" t="s">
        <v>1240</v>
      </c>
      <c r="P272" s="170" t="s">
        <v>1240</v>
      </c>
      <c r="Q272" s="170"/>
      <c r="R272" s="170"/>
      <c r="S272" s="170"/>
      <c r="T272" s="173"/>
      <c r="U272" s="170"/>
      <c r="V272" s="170"/>
      <c r="W272" s="172"/>
      <c r="X272" s="170" t="s">
        <v>1240</v>
      </c>
      <c r="Y272" s="170" t="s">
        <v>1240</v>
      </c>
      <c r="Z272" s="170" t="s">
        <v>1240</v>
      </c>
      <c r="AA272" s="170" t="s">
        <v>1240</v>
      </c>
      <c r="AB272" s="170" t="s">
        <v>1240</v>
      </c>
      <c r="AC272" s="170" t="s">
        <v>1240</v>
      </c>
      <c r="AD272" s="174" t="s">
        <v>1240</v>
      </c>
      <c r="AE272" s="172" t="s">
        <v>1240</v>
      </c>
      <c r="AF272" s="172"/>
      <c r="AG272" s="172"/>
    </row>
    <row r="273" spans="1:33" s="175" customFormat="1" hidden="1" x14ac:dyDescent="0.2">
      <c r="A273" s="170" t="s">
        <v>1240</v>
      </c>
      <c r="B273" s="170" t="s">
        <v>1240</v>
      </c>
      <c r="C273" s="170" t="s">
        <v>1240</v>
      </c>
      <c r="D273" s="170" t="s">
        <v>1240</v>
      </c>
      <c r="E273" s="170" t="s">
        <v>1240</v>
      </c>
      <c r="F273" s="170" t="s">
        <v>1240</v>
      </c>
      <c r="G273" s="170" t="s">
        <v>1240</v>
      </c>
      <c r="H273" s="276" t="s">
        <v>1240</v>
      </c>
      <c r="I273" s="170" t="e">
        <f t="shared" si="12"/>
        <v>#VALUE!</v>
      </c>
      <c r="J273" s="171" t="s">
        <v>1240</v>
      </c>
      <c r="K273" s="170" t="e">
        <f t="shared" si="13"/>
        <v>#VALUE!</v>
      </c>
      <c r="L273" s="170"/>
      <c r="M273" s="170"/>
      <c r="N273" s="170"/>
      <c r="O273" s="170" t="s">
        <v>1240</v>
      </c>
      <c r="P273" s="170" t="s">
        <v>1240</v>
      </c>
      <c r="Q273" s="170"/>
      <c r="R273" s="170"/>
      <c r="S273" s="170"/>
      <c r="T273" s="173"/>
      <c r="U273" s="170"/>
      <c r="V273" s="170"/>
      <c r="W273" s="172"/>
      <c r="X273" s="170" t="s">
        <v>1240</v>
      </c>
      <c r="Y273" s="170" t="s">
        <v>1240</v>
      </c>
      <c r="Z273" s="170" t="s">
        <v>1240</v>
      </c>
      <c r="AA273" s="170" t="s">
        <v>1240</v>
      </c>
      <c r="AB273" s="170" t="s">
        <v>1240</v>
      </c>
      <c r="AC273" s="170" t="s">
        <v>1240</v>
      </c>
      <c r="AD273" s="174" t="s">
        <v>1240</v>
      </c>
      <c r="AE273" s="172" t="s">
        <v>1240</v>
      </c>
      <c r="AF273" s="172"/>
      <c r="AG273" s="172"/>
    </row>
    <row r="274" spans="1:33" s="175" customFormat="1" hidden="1" x14ac:dyDescent="0.2">
      <c r="A274" s="170" t="s">
        <v>1240</v>
      </c>
      <c r="B274" s="170" t="s">
        <v>1240</v>
      </c>
      <c r="C274" s="170" t="s">
        <v>1240</v>
      </c>
      <c r="D274" s="170" t="s">
        <v>1240</v>
      </c>
      <c r="E274" s="170" t="s">
        <v>1240</v>
      </c>
      <c r="F274" s="170" t="s">
        <v>1240</v>
      </c>
      <c r="G274" s="170" t="s">
        <v>1240</v>
      </c>
      <c r="H274" s="276" t="s">
        <v>1240</v>
      </c>
      <c r="I274" s="170" t="e">
        <f t="shared" si="12"/>
        <v>#VALUE!</v>
      </c>
      <c r="J274" s="171" t="s">
        <v>1240</v>
      </c>
      <c r="K274" s="170" t="e">
        <f t="shared" si="13"/>
        <v>#VALUE!</v>
      </c>
      <c r="L274" s="170"/>
      <c r="M274" s="170"/>
      <c r="N274" s="170"/>
      <c r="O274" s="170" t="s">
        <v>1240</v>
      </c>
      <c r="P274" s="170" t="s">
        <v>1240</v>
      </c>
      <c r="Q274" s="170"/>
      <c r="R274" s="170"/>
      <c r="S274" s="170"/>
      <c r="T274" s="173"/>
      <c r="U274" s="170"/>
      <c r="V274" s="170"/>
      <c r="W274" s="172"/>
      <c r="X274" s="170" t="s">
        <v>1240</v>
      </c>
      <c r="Y274" s="170" t="s">
        <v>1240</v>
      </c>
      <c r="Z274" s="170" t="s">
        <v>1240</v>
      </c>
      <c r="AA274" s="170" t="s">
        <v>1240</v>
      </c>
      <c r="AB274" s="170" t="s">
        <v>1240</v>
      </c>
      <c r="AC274" s="170" t="s">
        <v>1240</v>
      </c>
      <c r="AD274" s="174" t="s">
        <v>1240</v>
      </c>
      <c r="AE274" s="172" t="s">
        <v>1240</v>
      </c>
      <c r="AF274" s="172"/>
      <c r="AG274" s="172"/>
    </row>
    <row r="275" spans="1:33" s="175" customFormat="1" hidden="1" x14ac:dyDescent="0.2">
      <c r="A275" s="170" t="s">
        <v>1240</v>
      </c>
      <c r="B275" s="170" t="s">
        <v>1240</v>
      </c>
      <c r="C275" s="170" t="s">
        <v>1240</v>
      </c>
      <c r="D275" s="170" t="s">
        <v>1240</v>
      </c>
      <c r="E275" s="170" t="s">
        <v>1240</v>
      </c>
      <c r="F275" s="170" t="s">
        <v>1240</v>
      </c>
      <c r="G275" s="170" t="s">
        <v>1240</v>
      </c>
      <c r="H275" s="276" t="s">
        <v>1240</v>
      </c>
      <c r="I275" s="170" t="e">
        <f t="shared" si="12"/>
        <v>#VALUE!</v>
      </c>
      <c r="J275" s="171" t="s">
        <v>1240</v>
      </c>
      <c r="K275" s="170" t="e">
        <f t="shared" si="13"/>
        <v>#VALUE!</v>
      </c>
      <c r="L275" s="170"/>
      <c r="M275" s="170"/>
      <c r="N275" s="170"/>
      <c r="O275" s="170" t="s">
        <v>1240</v>
      </c>
      <c r="P275" s="170" t="s">
        <v>1240</v>
      </c>
      <c r="Q275" s="170"/>
      <c r="R275" s="170"/>
      <c r="S275" s="170"/>
      <c r="T275" s="173"/>
      <c r="U275" s="170"/>
      <c r="V275" s="170"/>
      <c r="W275" s="172"/>
      <c r="X275" s="170" t="s">
        <v>1240</v>
      </c>
      <c r="Y275" s="170" t="s">
        <v>1240</v>
      </c>
      <c r="Z275" s="170" t="s">
        <v>1240</v>
      </c>
      <c r="AA275" s="170" t="s">
        <v>1240</v>
      </c>
      <c r="AB275" s="170" t="s">
        <v>1240</v>
      </c>
      <c r="AC275" s="170" t="s">
        <v>1240</v>
      </c>
      <c r="AD275" s="174" t="s">
        <v>1240</v>
      </c>
      <c r="AE275" s="172" t="s">
        <v>1240</v>
      </c>
      <c r="AF275" s="172"/>
      <c r="AG275" s="172"/>
    </row>
    <row r="276" spans="1:33" s="175" customFormat="1" hidden="1" x14ac:dyDescent="0.2">
      <c r="A276" s="170" t="s">
        <v>1240</v>
      </c>
      <c r="B276" s="170" t="s">
        <v>1240</v>
      </c>
      <c r="C276" s="170" t="s">
        <v>1240</v>
      </c>
      <c r="D276" s="170" t="s">
        <v>1240</v>
      </c>
      <c r="E276" s="170" t="s">
        <v>1240</v>
      </c>
      <c r="F276" s="170" t="s">
        <v>1240</v>
      </c>
      <c r="G276" s="170" t="s">
        <v>1240</v>
      </c>
      <c r="H276" s="276" t="s">
        <v>1240</v>
      </c>
      <c r="I276" s="170" t="e">
        <f t="shared" si="12"/>
        <v>#VALUE!</v>
      </c>
      <c r="J276" s="171" t="s">
        <v>1240</v>
      </c>
      <c r="K276" s="170" t="e">
        <f t="shared" si="13"/>
        <v>#VALUE!</v>
      </c>
      <c r="L276" s="170"/>
      <c r="M276" s="170"/>
      <c r="N276" s="170"/>
      <c r="O276" s="170" t="s">
        <v>1240</v>
      </c>
      <c r="P276" s="170" t="s">
        <v>1240</v>
      </c>
      <c r="Q276" s="170"/>
      <c r="R276" s="170"/>
      <c r="S276" s="170"/>
      <c r="T276" s="173"/>
      <c r="U276" s="170"/>
      <c r="V276" s="170"/>
      <c r="W276" s="172"/>
      <c r="X276" s="170" t="s">
        <v>1240</v>
      </c>
      <c r="Y276" s="170" t="s">
        <v>1240</v>
      </c>
      <c r="Z276" s="170" t="s">
        <v>1240</v>
      </c>
      <c r="AA276" s="170" t="s">
        <v>1240</v>
      </c>
      <c r="AB276" s="170" t="s">
        <v>1240</v>
      </c>
      <c r="AC276" s="170" t="s">
        <v>1240</v>
      </c>
      <c r="AD276" s="174" t="s">
        <v>1240</v>
      </c>
      <c r="AE276" s="172" t="s">
        <v>1240</v>
      </c>
      <c r="AF276" s="172"/>
      <c r="AG276" s="172"/>
    </row>
    <row r="277" spans="1:33" s="175" customFormat="1" hidden="1" x14ac:dyDescent="0.2">
      <c r="A277" s="170" t="s">
        <v>1240</v>
      </c>
      <c r="B277" s="170" t="s">
        <v>1240</v>
      </c>
      <c r="C277" s="170" t="s">
        <v>1240</v>
      </c>
      <c r="D277" s="170" t="s">
        <v>1240</v>
      </c>
      <c r="E277" s="170" t="s">
        <v>1240</v>
      </c>
      <c r="F277" s="170" t="s">
        <v>1240</v>
      </c>
      <c r="G277" s="170" t="s">
        <v>1240</v>
      </c>
      <c r="H277" s="276" t="s">
        <v>1240</v>
      </c>
      <c r="I277" s="170" t="e">
        <f t="shared" si="12"/>
        <v>#VALUE!</v>
      </c>
      <c r="J277" s="171" t="s">
        <v>1240</v>
      </c>
      <c r="K277" s="170" t="e">
        <f t="shared" si="13"/>
        <v>#VALUE!</v>
      </c>
      <c r="L277" s="170"/>
      <c r="M277" s="170"/>
      <c r="N277" s="170"/>
      <c r="O277" s="170" t="s">
        <v>1240</v>
      </c>
      <c r="P277" s="170" t="s">
        <v>1240</v>
      </c>
      <c r="Q277" s="170"/>
      <c r="R277" s="170"/>
      <c r="S277" s="170"/>
      <c r="T277" s="173"/>
      <c r="U277" s="170"/>
      <c r="V277" s="170"/>
      <c r="W277" s="172"/>
      <c r="X277" s="170" t="s">
        <v>1240</v>
      </c>
      <c r="Y277" s="170" t="s">
        <v>1240</v>
      </c>
      <c r="Z277" s="170" t="s">
        <v>1240</v>
      </c>
      <c r="AA277" s="170" t="s">
        <v>1240</v>
      </c>
      <c r="AB277" s="170" t="s">
        <v>1240</v>
      </c>
      <c r="AC277" s="170" t="s">
        <v>1240</v>
      </c>
      <c r="AD277" s="174" t="s">
        <v>1240</v>
      </c>
      <c r="AE277" s="172" t="s">
        <v>1240</v>
      </c>
      <c r="AF277" s="172"/>
      <c r="AG277" s="172"/>
    </row>
    <row r="278" spans="1:33" s="175" customFormat="1" hidden="1" x14ac:dyDescent="0.2">
      <c r="A278" s="170" t="s">
        <v>1240</v>
      </c>
      <c r="B278" s="170" t="s">
        <v>1240</v>
      </c>
      <c r="C278" s="170" t="s">
        <v>1240</v>
      </c>
      <c r="D278" s="170" t="s">
        <v>1240</v>
      </c>
      <c r="E278" s="170" t="s">
        <v>1240</v>
      </c>
      <c r="F278" s="170" t="s">
        <v>1240</v>
      </c>
      <c r="G278" s="170" t="s">
        <v>1240</v>
      </c>
      <c r="H278" s="276" t="s">
        <v>1240</v>
      </c>
      <c r="I278" s="170" t="e">
        <f t="shared" si="12"/>
        <v>#VALUE!</v>
      </c>
      <c r="J278" s="171" t="s">
        <v>1240</v>
      </c>
      <c r="K278" s="170" t="e">
        <f t="shared" si="13"/>
        <v>#VALUE!</v>
      </c>
      <c r="L278" s="170"/>
      <c r="M278" s="170"/>
      <c r="N278" s="170"/>
      <c r="O278" s="170" t="s">
        <v>1240</v>
      </c>
      <c r="P278" s="170" t="s">
        <v>1240</v>
      </c>
      <c r="Q278" s="170"/>
      <c r="R278" s="170"/>
      <c r="S278" s="170"/>
      <c r="T278" s="173"/>
      <c r="U278" s="170"/>
      <c r="V278" s="170"/>
      <c r="W278" s="172"/>
      <c r="X278" s="170" t="s">
        <v>1240</v>
      </c>
      <c r="Y278" s="170" t="s">
        <v>1240</v>
      </c>
      <c r="Z278" s="170" t="s">
        <v>1240</v>
      </c>
      <c r="AA278" s="170" t="s">
        <v>1240</v>
      </c>
      <c r="AB278" s="170" t="s">
        <v>1240</v>
      </c>
      <c r="AC278" s="170" t="s">
        <v>1240</v>
      </c>
      <c r="AD278" s="174" t="s">
        <v>1240</v>
      </c>
      <c r="AE278" s="172" t="s">
        <v>1240</v>
      </c>
      <c r="AF278" s="172"/>
      <c r="AG278" s="172"/>
    </row>
    <row r="279" spans="1:33" s="175" customFormat="1" hidden="1" x14ac:dyDescent="0.2">
      <c r="A279" s="170" t="s">
        <v>1240</v>
      </c>
      <c r="B279" s="170" t="s">
        <v>1240</v>
      </c>
      <c r="C279" s="170" t="s">
        <v>1240</v>
      </c>
      <c r="D279" s="170" t="s">
        <v>1240</v>
      </c>
      <c r="E279" s="170" t="s">
        <v>1240</v>
      </c>
      <c r="F279" s="170" t="s">
        <v>1240</v>
      </c>
      <c r="G279" s="170" t="s">
        <v>1240</v>
      </c>
      <c r="H279" s="276" t="s">
        <v>1240</v>
      </c>
      <c r="I279" s="170" t="e">
        <f t="shared" si="12"/>
        <v>#VALUE!</v>
      </c>
      <c r="J279" s="171" t="s">
        <v>1240</v>
      </c>
      <c r="K279" s="170" t="e">
        <f t="shared" si="13"/>
        <v>#VALUE!</v>
      </c>
      <c r="L279" s="170"/>
      <c r="M279" s="170"/>
      <c r="N279" s="170"/>
      <c r="O279" s="170" t="s">
        <v>1240</v>
      </c>
      <c r="P279" s="170" t="s">
        <v>1240</v>
      </c>
      <c r="Q279" s="170"/>
      <c r="R279" s="170"/>
      <c r="S279" s="170"/>
      <c r="T279" s="173"/>
      <c r="U279" s="170"/>
      <c r="V279" s="170"/>
      <c r="W279" s="172"/>
      <c r="X279" s="170" t="s">
        <v>1240</v>
      </c>
      <c r="Y279" s="170" t="s">
        <v>1240</v>
      </c>
      <c r="Z279" s="170" t="s">
        <v>1240</v>
      </c>
      <c r="AA279" s="170" t="s">
        <v>1240</v>
      </c>
      <c r="AB279" s="170" t="s">
        <v>1240</v>
      </c>
      <c r="AC279" s="170" t="s">
        <v>1240</v>
      </c>
      <c r="AD279" s="174" t="s">
        <v>1240</v>
      </c>
      <c r="AE279" s="172" t="s">
        <v>1240</v>
      </c>
      <c r="AF279" s="172"/>
      <c r="AG279" s="172"/>
    </row>
    <row r="280" spans="1:33" s="175" customFormat="1" hidden="1" x14ac:dyDescent="0.2">
      <c r="A280" s="170" t="s">
        <v>1240</v>
      </c>
      <c r="B280" s="170" t="s">
        <v>1240</v>
      </c>
      <c r="C280" s="170" t="s">
        <v>1240</v>
      </c>
      <c r="D280" s="170" t="s">
        <v>1240</v>
      </c>
      <c r="E280" s="170" t="s">
        <v>1240</v>
      </c>
      <c r="F280" s="170" t="s">
        <v>1240</v>
      </c>
      <c r="G280" s="170" t="s">
        <v>1240</v>
      </c>
      <c r="H280" s="276" t="s">
        <v>1240</v>
      </c>
      <c r="I280" s="170" t="e">
        <f t="shared" si="12"/>
        <v>#VALUE!</v>
      </c>
      <c r="J280" s="171" t="s">
        <v>1240</v>
      </c>
      <c r="K280" s="170" t="e">
        <f t="shared" si="13"/>
        <v>#VALUE!</v>
      </c>
      <c r="L280" s="170"/>
      <c r="M280" s="170"/>
      <c r="N280" s="170"/>
      <c r="O280" s="170" t="s">
        <v>1240</v>
      </c>
      <c r="P280" s="170" t="s">
        <v>1240</v>
      </c>
      <c r="Q280" s="170"/>
      <c r="R280" s="170"/>
      <c r="S280" s="170"/>
      <c r="T280" s="173"/>
      <c r="U280" s="170"/>
      <c r="V280" s="170"/>
      <c r="W280" s="172"/>
      <c r="X280" s="170" t="s">
        <v>1240</v>
      </c>
      <c r="Y280" s="170" t="s">
        <v>1240</v>
      </c>
      <c r="Z280" s="170" t="s">
        <v>1240</v>
      </c>
      <c r="AA280" s="170" t="s">
        <v>1240</v>
      </c>
      <c r="AB280" s="170" t="s">
        <v>1240</v>
      </c>
      <c r="AC280" s="170" t="s">
        <v>1240</v>
      </c>
      <c r="AD280" s="174" t="s">
        <v>1240</v>
      </c>
      <c r="AE280" s="172" t="s">
        <v>1240</v>
      </c>
      <c r="AF280" s="172"/>
      <c r="AG280" s="172"/>
    </row>
    <row r="281" spans="1:33" s="175" customFormat="1" hidden="1" x14ac:dyDescent="0.2">
      <c r="A281" s="170" t="s">
        <v>1240</v>
      </c>
      <c r="B281" s="170" t="s">
        <v>1240</v>
      </c>
      <c r="C281" s="170" t="s">
        <v>1240</v>
      </c>
      <c r="D281" s="170" t="s">
        <v>1240</v>
      </c>
      <c r="E281" s="170" t="s">
        <v>1240</v>
      </c>
      <c r="F281" s="170" t="s">
        <v>1240</v>
      </c>
      <c r="G281" s="170" t="s">
        <v>1240</v>
      </c>
      <c r="H281" s="276" t="s">
        <v>1240</v>
      </c>
      <c r="I281" s="170" t="e">
        <f t="shared" si="12"/>
        <v>#VALUE!</v>
      </c>
      <c r="J281" s="171" t="s">
        <v>1240</v>
      </c>
      <c r="K281" s="170" t="e">
        <f t="shared" si="13"/>
        <v>#VALUE!</v>
      </c>
      <c r="L281" s="170"/>
      <c r="M281" s="170"/>
      <c r="N281" s="170"/>
      <c r="O281" s="170" t="s">
        <v>1240</v>
      </c>
      <c r="P281" s="170" t="s">
        <v>1240</v>
      </c>
      <c r="Q281" s="170"/>
      <c r="R281" s="170"/>
      <c r="S281" s="170"/>
      <c r="T281" s="173"/>
      <c r="U281" s="170"/>
      <c r="V281" s="170"/>
      <c r="W281" s="172"/>
      <c r="X281" s="170" t="s">
        <v>1240</v>
      </c>
      <c r="Y281" s="170" t="s">
        <v>1240</v>
      </c>
      <c r="Z281" s="170" t="s">
        <v>1240</v>
      </c>
      <c r="AA281" s="170" t="s">
        <v>1240</v>
      </c>
      <c r="AB281" s="170" t="s">
        <v>1240</v>
      </c>
      <c r="AC281" s="170" t="s">
        <v>1240</v>
      </c>
      <c r="AD281" s="174" t="s">
        <v>1240</v>
      </c>
      <c r="AE281" s="172" t="s">
        <v>1240</v>
      </c>
      <c r="AF281" s="172"/>
      <c r="AG281" s="172"/>
    </row>
    <row r="282" spans="1:33" s="175" customFormat="1" hidden="1" x14ac:dyDescent="0.2">
      <c r="A282" s="170" t="s">
        <v>1240</v>
      </c>
      <c r="B282" s="170" t="s">
        <v>1240</v>
      </c>
      <c r="C282" s="170" t="s">
        <v>1240</v>
      </c>
      <c r="D282" s="170" t="s">
        <v>1240</v>
      </c>
      <c r="E282" s="170" t="s">
        <v>1240</v>
      </c>
      <c r="F282" s="170" t="s">
        <v>1240</v>
      </c>
      <c r="G282" s="170" t="s">
        <v>1240</v>
      </c>
      <c r="H282" s="276" t="s">
        <v>1240</v>
      </c>
      <c r="I282" s="170" t="e">
        <f t="shared" si="12"/>
        <v>#VALUE!</v>
      </c>
      <c r="J282" s="171" t="s">
        <v>1240</v>
      </c>
      <c r="K282" s="170" t="e">
        <f t="shared" si="13"/>
        <v>#VALUE!</v>
      </c>
      <c r="L282" s="170"/>
      <c r="M282" s="170"/>
      <c r="N282" s="170"/>
      <c r="O282" s="170" t="s">
        <v>1240</v>
      </c>
      <c r="P282" s="170" t="s">
        <v>1240</v>
      </c>
      <c r="Q282" s="170"/>
      <c r="R282" s="170"/>
      <c r="S282" s="170"/>
      <c r="T282" s="173"/>
      <c r="U282" s="170"/>
      <c r="V282" s="170"/>
      <c r="W282" s="172"/>
      <c r="X282" s="170" t="s">
        <v>1240</v>
      </c>
      <c r="Y282" s="170" t="s">
        <v>1240</v>
      </c>
      <c r="Z282" s="170" t="s">
        <v>1240</v>
      </c>
      <c r="AA282" s="170" t="s">
        <v>1240</v>
      </c>
      <c r="AB282" s="170" t="s">
        <v>1240</v>
      </c>
      <c r="AC282" s="170" t="s">
        <v>1240</v>
      </c>
      <c r="AD282" s="174" t="s">
        <v>1240</v>
      </c>
      <c r="AE282" s="172" t="s">
        <v>1240</v>
      </c>
      <c r="AF282" s="172"/>
      <c r="AG282" s="172"/>
    </row>
    <row r="283" spans="1:33" s="175" customFormat="1" hidden="1" x14ac:dyDescent="0.2">
      <c r="A283" s="170" t="s">
        <v>1240</v>
      </c>
      <c r="B283" s="170" t="s">
        <v>1240</v>
      </c>
      <c r="C283" s="170" t="s">
        <v>1240</v>
      </c>
      <c r="D283" s="170" t="s">
        <v>1240</v>
      </c>
      <c r="E283" s="170" t="s">
        <v>1240</v>
      </c>
      <c r="F283" s="170" t="s">
        <v>1240</v>
      </c>
      <c r="G283" s="170" t="s">
        <v>1240</v>
      </c>
      <c r="H283" s="276" t="s">
        <v>1240</v>
      </c>
      <c r="I283" s="170" t="e">
        <f t="shared" si="12"/>
        <v>#VALUE!</v>
      </c>
      <c r="J283" s="171" t="s">
        <v>1240</v>
      </c>
      <c r="K283" s="170" t="e">
        <f t="shared" si="13"/>
        <v>#VALUE!</v>
      </c>
      <c r="L283" s="170"/>
      <c r="M283" s="170"/>
      <c r="N283" s="170"/>
      <c r="O283" s="170" t="s">
        <v>1240</v>
      </c>
      <c r="P283" s="170" t="s">
        <v>1240</v>
      </c>
      <c r="Q283" s="170"/>
      <c r="R283" s="170"/>
      <c r="S283" s="170"/>
      <c r="T283" s="173"/>
      <c r="U283" s="170"/>
      <c r="V283" s="170"/>
      <c r="W283" s="172"/>
      <c r="X283" s="170" t="s">
        <v>1240</v>
      </c>
      <c r="Y283" s="170" t="s">
        <v>1240</v>
      </c>
      <c r="Z283" s="170" t="s">
        <v>1240</v>
      </c>
      <c r="AA283" s="170" t="s">
        <v>1240</v>
      </c>
      <c r="AB283" s="170" t="s">
        <v>1240</v>
      </c>
      <c r="AC283" s="170" t="s">
        <v>1240</v>
      </c>
      <c r="AD283" s="174" t="s">
        <v>1240</v>
      </c>
      <c r="AE283" s="172" t="s">
        <v>1240</v>
      </c>
      <c r="AF283" s="172"/>
      <c r="AG283" s="172"/>
    </row>
    <row r="284" spans="1:33" s="175" customFormat="1" hidden="1" x14ac:dyDescent="0.2">
      <c r="A284" s="170" t="s">
        <v>1240</v>
      </c>
      <c r="B284" s="170" t="s">
        <v>1240</v>
      </c>
      <c r="C284" s="170" t="s">
        <v>1240</v>
      </c>
      <c r="D284" s="170" t="s">
        <v>1240</v>
      </c>
      <c r="E284" s="170" t="s">
        <v>1240</v>
      </c>
      <c r="F284" s="170" t="s">
        <v>1240</v>
      </c>
      <c r="G284" s="170" t="s">
        <v>1240</v>
      </c>
      <c r="H284" s="276" t="s">
        <v>1240</v>
      </c>
      <c r="I284" s="170" t="e">
        <f t="shared" si="12"/>
        <v>#VALUE!</v>
      </c>
      <c r="J284" s="171" t="s">
        <v>1240</v>
      </c>
      <c r="K284" s="170" t="e">
        <f t="shared" si="13"/>
        <v>#VALUE!</v>
      </c>
      <c r="L284" s="170"/>
      <c r="M284" s="170"/>
      <c r="N284" s="170"/>
      <c r="O284" s="170" t="s">
        <v>1240</v>
      </c>
      <c r="P284" s="170" t="s">
        <v>1240</v>
      </c>
      <c r="Q284" s="170"/>
      <c r="R284" s="170"/>
      <c r="S284" s="170"/>
      <c r="T284" s="173"/>
      <c r="U284" s="170"/>
      <c r="V284" s="170"/>
      <c r="W284" s="172"/>
      <c r="X284" s="170" t="s">
        <v>1240</v>
      </c>
      <c r="Y284" s="170" t="s">
        <v>1240</v>
      </c>
      <c r="Z284" s="170" t="s">
        <v>1240</v>
      </c>
      <c r="AA284" s="170" t="s">
        <v>1240</v>
      </c>
      <c r="AB284" s="170" t="s">
        <v>1240</v>
      </c>
      <c r="AC284" s="170" t="s">
        <v>1240</v>
      </c>
      <c r="AD284" s="174" t="s">
        <v>1240</v>
      </c>
      <c r="AE284" s="172" t="s">
        <v>1240</v>
      </c>
      <c r="AF284" s="172"/>
      <c r="AG284" s="172"/>
    </row>
    <row r="285" spans="1:33" s="175" customFormat="1" hidden="1" x14ac:dyDescent="0.2">
      <c r="A285" s="170" t="s">
        <v>1240</v>
      </c>
      <c r="B285" s="170" t="s">
        <v>1240</v>
      </c>
      <c r="C285" s="170" t="s">
        <v>1240</v>
      </c>
      <c r="D285" s="170" t="s">
        <v>1240</v>
      </c>
      <c r="E285" s="170" t="s">
        <v>1240</v>
      </c>
      <c r="F285" s="170" t="s">
        <v>1240</v>
      </c>
      <c r="G285" s="170" t="s">
        <v>1240</v>
      </c>
      <c r="H285" s="276" t="s">
        <v>1240</v>
      </c>
      <c r="I285" s="170" t="e">
        <f t="shared" si="12"/>
        <v>#VALUE!</v>
      </c>
      <c r="J285" s="171" t="s">
        <v>1240</v>
      </c>
      <c r="K285" s="170" t="e">
        <f t="shared" si="13"/>
        <v>#VALUE!</v>
      </c>
      <c r="L285" s="170"/>
      <c r="M285" s="170"/>
      <c r="N285" s="170"/>
      <c r="O285" s="170" t="s">
        <v>1240</v>
      </c>
      <c r="P285" s="170" t="s">
        <v>1240</v>
      </c>
      <c r="Q285" s="170"/>
      <c r="R285" s="170"/>
      <c r="S285" s="170"/>
      <c r="T285" s="173"/>
      <c r="U285" s="170"/>
      <c r="V285" s="170"/>
      <c r="W285" s="172"/>
      <c r="X285" s="170" t="s">
        <v>1240</v>
      </c>
      <c r="Y285" s="170" t="s">
        <v>1240</v>
      </c>
      <c r="Z285" s="170" t="s">
        <v>1240</v>
      </c>
      <c r="AA285" s="170" t="s">
        <v>1240</v>
      </c>
      <c r="AB285" s="170" t="s">
        <v>1240</v>
      </c>
      <c r="AC285" s="170" t="s">
        <v>1240</v>
      </c>
      <c r="AD285" s="174" t="s">
        <v>1240</v>
      </c>
      <c r="AE285" s="172" t="s">
        <v>1240</v>
      </c>
      <c r="AF285" s="172"/>
      <c r="AG285" s="172"/>
    </row>
    <row r="286" spans="1:33" s="175" customFormat="1" hidden="1" x14ac:dyDescent="0.2">
      <c r="A286" s="170" t="s">
        <v>1240</v>
      </c>
      <c r="B286" s="170" t="s">
        <v>1240</v>
      </c>
      <c r="C286" s="170" t="s">
        <v>1240</v>
      </c>
      <c r="D286" s="170" t="s">
        <v>1240</v>
      </c>
      <c r="E286" s="170" t="s">
        <v>1240</v>
      </c>
      <c r="F286" s="170" t="s">
        <v>1240</v>
      </c>
      <c r="G286" s="170" t="s">
        <v>1240</v>
      </c>
      <c r="H286" s="276" t="s">
        <v>1240</v>
      </c>
      <c r="I286" s="170" t="e">
        <f t="shared" si="12"/>
        <v>#VALUE!</v>
      </c>
      <c r="J286" s="171" t="s">
        <v>1240</v>
      </c>
      <c r="K286" s="170" t="e">
        <f t="shared" si="13"/>
        <v>#VALUE!</v>
      </c>
      <c r="L286" s="170"/>
      <c r="M286" s="170"/>
      <c r="N286" s="170"/>
      <c r="O286" s="170" t="s">
        <v>1240</v>
      </c>
      <c r="P286" s="170" t="s">
        <v>1240</v>
      </c>
      <c r="Q286" s="170"/>
      <c r="R286" s="170"/>
      <c r="S286" s="170"/>
      <c r="T286" s="173"/>
      <c r="U286" s="170"/>
      <c r="V286" s="170"/>
      <c r="W286" s="172"/>
      <c r="X286" s="170" t="s">
        <v>1240</v>
      </c>
      <c r="Y286" s="170" t="s">
        <v>1240</v>
      </c>
      <c r="Z286" s="170" t="s">
        <v>1240</v>
      </c>
      <c r="AA286" s="170" t="s">
        <v>1240</v>
      </c>
      <c r="AB286" s="170" t="s">
        <v>1240</v>
      </c>
      <c r="AC286" s="170" t="s">
        <v>1240</v>
      </c>
      <c r="AD286" s="174" t="s">
        <v>1240</v>
      </c>
      <c r="AE286" s="172" t="s">
        <v>1240</v>
      </c>
      <c r="AF286" s="172"/>
      <c r="AG286" s="172"/>
    </row>
    <row r="287" spans="1:33" s="175" customFormat="1" hidden="1" x14ac:dyDescent="0.2">
      <c r="A287" s="170" t="s">
        <v>1240</v>
      </c>
      <c r="B287" s="170" t="s">
        <v>1240</v>
      </c>
      <c r="C287" s="170" t="s">
        <v>1240</v>
      </c>
      <c r="D287" s="170" t="s">
        <v>1240</v>
      </c>
      <c r="E287" s="170" t="s">
        <v>1240</v>
      </c>
      <c r="F287" s="170" t="s">
        <v>1240</v>
      </c>
      <c r="G287" s="170" t="s">
        <v>1240</v>
      </c>
      <c r="H287" s="276" t="s">
        <v>1240</v>
      </c>
      <c r="I287" s="170" t="e">
        <f t="shared" si="12"/>
        <v>#VALUE!</v>
      </c>
      <c r="J287" s="171" t="s">
        <v>1240</v>
      </c>
      <c r="K287" s="170" t="e">
        <f t="shared" si="13"/>
        <v>#VALUE!</v>
      </c>
      <c r="L287" s="170"/>
      <c r="M287" s="170"/>
      <c r="N287" s="170"/>
      <c r="O287" s="170" t="s">
        <v>1240</v>
      </c>
      <c r="P287" s="170" t="s">
        <v>1240</v>
      </c>
      <c r="Q287" s="170"/>
      <c r="R287" s="170"/>
      <c r="S287" s="170"/>
      <c r="T287" s="173"/>
      <c r="U287" s="170"/>
      <c r="V287" s="170"/>
      <c r="W287" s="172"/>
      <c r="X287" s="170" t="s">
        <v>1240</v>
      </c>
      <c r="Y287" s="170" t="s">
        <v>1240</v>
      </c>
      <c r="Z287" s="170" t="s">
        <v>1240</v>
      </c>
      <c r="AA287" s="170" t="s">
        <v>1240</v>
      </c>
      <c r="AB287" s="170" t="s">
        <v>1240</v>
      </c>
      <c r="AC287" s="170" t="s">
        <v>1240</v>
      </c>
      <c r="AD287" s="174" t="s">
        <v>1240</v>
      </c>
      <c r="AE287" s="172" t="s">
        <v>1240</v>
      </c>
      <c r="AF287" s="172"/>
      <c r="AG287" s="172"/>
    </row>
    <row r="288" spans="1:33" s="175" customFormat="1" hidden="1" x14ac:dyDescent="0.2">
      <c r="A288" s="170" t="s">
        <v>1240</v>
      </c>
      <c r="B288" s="170" t="s">
        <v>1240</v>
      </c>
      <c r="C288" s="170" t="s">
        <v>1240</v>
      </c>
      <c r="D288" s="170" t="s">
        <v>1240</v>
      </c>
      <c r="E288" s="170" t="s">
        <v>1240</v>
      </c>
      <c r="F288" s="170" t="s">
        <v>1240</v>
      </c>
      <c r="G288" s="170" t="s">
        <v>1240</v>
      </c>
      <c r="H288" s="276" t="s">
        <v>1240</v>
      </c>
      <c r="I288" s="170" t="e">
        <f t="shared" si="12"/>
        <v>#VALUE!</v>
      </c>
      <c r="J288" s="171" t="s">
        <v>1240</v>
      </c>
      <c r="K288" s="170" t="e">
        <f t="shared" si="13"/>
        <v>#VALUE!</v>
      </c>
      <c r="L288" s="170"/>
      <c r="M288" s="170"/>
      <c r="N288" s="170"/>
      <c r="O288" s="170" t="s">
        <v>1240</v>
      </c>
      <c r="P288" s="170" t="s">
        <v>1240</v>
      </c>
      <c r="Q288" s="170"/>
      <c r="R288" s="170"/>
      <c r="S288" s="170"/>
      <c r="T288" s="173"/>
      <c r="U288" s="170"/>
      <c r="V288" s="170"/>
      <c r="W288" s="172"/>
      <c r="X288" s="170" t="s">
        <v>1240</v>
      </c>
      <c r="Y288" s="170" t="s">
        <v>1240</v>
      </c>
      <c r="Z288" s="170" t="s">
        <v>1240</v>
      </c>
      <c r="AA288" s="170" t="s">
        <v>1240</v>
      </c>
      <c r="AB288" s="170" t="s">
        <v>1240</v>
      </c>
      <c r="AC288" s="170" t="s">
        <v>1240</v>
      </c>
      <c r="AD288" s="174" t="s">
        <v>1240</v>
      </c>
      <c r="AE288" s="172" t="s">
        <v>1240</v>
      </c>
      <c r="AF288" s="172"/>
      <c r="AG288" s="172"/>
    </row>
    <row r="289" spans="1:33" s="175" customFormat="1" hidden="1" x14ac:dyDescent="0.2">
      <c r="A289" s="170" t="s">
        <v>1240</v>
      </c>
      <c r="B289" s="170" t="s">
        <v>1240</v>
      </c>
      <c r="C289" s="170" t="s">
        <v>1240</v>
      </c>
      <c r="D289" s="170" t="s">
        <v>1240</v>
      </c>
      <c r="E289" s="170" t="s">
        <v>1240</v>
      </c>
      <c r="F289" s="170" t="s">
        <v>1240</v>
      </c>
      <c r="G289" s="170" t="s">
        <v>1240</v>
      </c>
      <c r="H289" s="276" t="s">
        <v>1240</v>
      </c>
      <c r="I289" s="170" t="e">
        <f t="shared" si="12"/>
        <v>#VALUE!</v>
      </c>
      <c r="J289" s="171" t="s">
        <v>1240</v>
      </c>
      <c r="K289" s="170" t="e">
        <f t="shared" si="13"/>
        <v>#VALUE!</v>
      </c>
      <c r="L289" s="170"/>
      <c r="M289" s="170"/>
      <c r="N289" s="170"/>
      <c r="O289" s="170" t="s">
        <v>1240</v>
      </c>
      <c r="P289" s="170" t="s">
        <v>1240</v>
      </c>
      <c r="Q289" s="170"/>
      <c r="R289" s="170"/>
      <c r="S289" s="170"/>
      <c r="T289" s="173"/>
      <c r="U289" s="170"/>
      <c r="V289" s="170"/>
      <c r="W289" s="172"/>
      <c r="X289" s="170" t="s">
        <v>1240</v>
      </c>
      <c r="Y289" s="170" t="s">
        <v>1240</v>
      </c>
      <c r="Z289" s="170" t="s">
        <v>1240</v>
      </c>
      <c r="AA289" s="170" t="s">
        <v>1240</v>
      </c>
      <c r="AB289" s="170" t="s">
        <v>1240</v>
      </c>
      <c r="AC289" s="170" t="s">
        <v>1240</v>
      </c>
      <c r="AD289" s="174" t="s">
        <v>1240</v>
      </c>
      <c r="AE289" s="172" t="s">
        <v>1240</v>
      </c>
      <c r="AF289" s="172"/>
      <c r="AG289" s="172"/>
    </row>
    <row r="290" spans="1:33" s="175" customFormat="1" hidden="1" x14ac:dyDescent="0.2">
      <c r="A290" s="170" t="s">
        <v>1240</v>
      </c>
      <c r="B290" s="170" t="s">
        <v>1240</v>
      </c>
      <c r="C290" s="170" t="s">
        <v>1240</v>
      </c>
      <c r="D290" s="170" t="s">
        <v>1240</v>
      </c>
      <c r="E290" s="170" t="s">
        <v>1240</v>
      </c>
      <c r="F290" s="170" t="s">
        <v>1240</v>
      </c>
      <c r="G290" s="170" t="s">
        <v>1240</v>
      </c>
      <c r="H290" s="276" t="s">
        <v>1240</v>
      </c>
      <c r="I290" s="170" t="e">
        <f t="shared" si="12"/>
        <v>#VALUE!</v>
      </c>
      <c r="J290" s="171" t="s">
        <v>1240</v>
      </c>
      <c r="K290" s="170" t="e">
        <f t="shared" si="13"/>
        <v>#VALUE!</v>
      </c>
      <c r="L290" s="170"/>
      <c r="M290" s="170"/>
      <c r="N290" s="170"/>
      <c r="O290" s="170" t="s">
        <v>1240</v>
      </c>
      <c r="P290" s="170" t="s">
        <v>1240</v>
      </c>
      <c r="Q290" s="170"/>
      <c r="R290" s="170"/>
      <c r="S290" s="170"/>
      <c r="T290" s="173"/>
      <c r="U290" s="170"/>
      <c r="V290" s="170"/>
      <c r="W290" s="172"/>
      <c r="X290" s="170" t="s">
        <v>1240</v>
      </c>
      <c r="Y290" s="170" t="s">
        <v>1240</v>
      </c>
      <c r="Z290" s="170" t="s">
        <v>1240</v>
      </c>
      <c r="AA290" s="170" t="s">
        <v>1240</v>
      </c>
      <c r="AB290" s="170" t="s">
        <v>1240</v>
      </c>
      <c r="AC290" s="170" t="s">
        <v>1240</v>
      </c>
      <c r="AD290" s="174" t="s">
        <v>1240</v>
      </c>
      <c r="AE290" s="172" t="s">
        <v>1240</v>
      </c>
      <c r="AF290" s="172"/>
      <c r="AG290" s="172"/>
    </row>
    <row r="291" spans="1:33" s="175" customFormat="1" hidden="1" x14ac:dyDescent="0.2">
      <c r="A291" s="170" t="s">
        <v>1240</v>
      </c>
      <c r="B291" s="170" t="s">
        <v>1240</v>
      </c>
      <c r="C291" s="170" t="s">
        <v>1240</v>
      </c>
      <c r="D291" s="170" t="s">
        <v>1240</v>
      </c>
      <c r="E291" s="170" t="s">
        <v>1240</v>
      </c>
      <c r="F291" s="170" t="s">
        <v>1240</v>
      </c>
      <c r="G291" s="170" t="s">
        <v>1240</v>
      </c>
      <c r="H291" s="276" t="s">
        <v>1240</v>
      </c>
      <c r="I291" s="170" t="e">
        <f t="shared" si="12"/>
        <v>#VALUE!</v>
      </c>
      <c r="J291" s="171" t="s">
        <v>1240</v>
      </c>
      <c r="K291" s="170" t="e">
        <f t="shared" si="13"/>
        <v>#VALUE!</v>
      </c>
      <c r="L291" s="170"/>
      <c r="M291" s="170"/>
      <c r="N291" s="170"/>
      <c r="O291" s="170" t="s">
        <v>1240</v>
      </c>
      <c r="P291" s="170" t="s">
        <v>1240</v>
      </c>
      <c r="Q291" s="170"/>
      <c r="R291" s="170"/>
      <c r="S291" s="170"/>
      <c r="T291" s="173"/>
      <c r="U291" s="170"/>
      <c r="V291" s="170"/>
      <c r="W291" s="172"/>
      <c r="X291" s="170" t="s">
        <v>1240</v>
      </c>
      <c r="Y291" s="170" t="s">
        <v>1240</v>
      </c>
      <c r="Z291" s="170" t="s">
        <v>1240</v>
      </c>
      <c r="AA291" s="170" t="s">
        <v>1240</v>
      </c>
      <c r="AB291" s="170" t="s">
        <v>1240</v>
      </c>
      <c r="AC291" s="170" t="s">
        <v>1240</v>
      </c>
      <c r="AD291" s="174" t="s">
        <v>1240</v>
      </c>
      <c r="AE291" s="172" t="s">
        <v>1240</v>
      </c>
      <c r="AF291" s="172"/>
      <c r="AG291" s="172"/>
    </row>
    <row r="292" spans="1:33" s="175" customFormat="1" hidden="1" x14ac:dyDescent="0.2">
      <c r="A292" s="170" t="s">
        <v>1240</v>
      </c>
      <c r="B292" s="170" t="s">
        <v>1240</v>
      </c>
      <c r="C292" s="170" t="s">
        <v>1240</v>
      </c>
      <c r="D292" s="170" t="s">
        <v>1240</v>
      </c>
      <c r="E292" s="170" t="s">
        <v>1240</v>
      </c>
      <c r="F292" s="170" t="s">
        <v>1240</v>
      </c>
      <c r="G292" s="170" t="s">
        <v>1240</v>
      </c>
      <c r="H292" s="276" t="s">
        <v>1240</v>
      </c>
      <c r="I292" s="170" t="e">
        <f t="shared" si="12"/>
        <v>#VALUE!</v>
      </c>
      <c r="J292" s="171" t="s">
        <v>1240</v>
      </c>
      <c r="K292" s="170" t="e">
        <f t="shared" si="13"/>
        <v>#VALUE!</v>
      </c>
      <c r="L292" s="170"/>
      <c r="M292" s="170"/>
      <c r="N292" s="170"/>
      <c r="O292" s="170" t="s">
        <v>1240</v>
      </c>
      <c r="P292" s="170" t="s">
        <v>1240</v>
      </c>
      <c r="Q292" s="170"/>
      <c r="R292" s="170"/>
      <c r="S292" s="170"/>
      <c r="T292" s="173"/>
      <c r="U292" s="170"/>
      <c r="V292" s="170"/>
      <c r="W292" s="172"/>
      <c r="X292" s="170" t="s">
        <v>1240</v>
      </c>
      <c r="Y292" s="170" t="s">
        <v>1240</v>
      </c>
      <c r="Z292" s="170" t="s">
        <v>1240</v>
      </c>
      <c r="AA292" s="170" t="s">
        <v>1240</v>
      </c>
      <c r="AB292" s="170" t="s">
        <v>1240</v>
      </c>
      <c r="AC292" s="170" t="s">
        <v>1240</v>
      </c>
      <c r="AD292" s="174" t="s">
        <v>1240</v>
      </c>
      <c r="AE292" s="172" t="s">
        <v>1240</v>
      </c>
      <c r="AF292" s="172"/>
      <c r="AG292" s="172"/>
    </row>
    <row r="293" spans="1:33" s="175" customFormat="1" hidden="1" x14ac:dyDescent="0.2">
      <c r="A293" s="170" t="s">
        <v>1240</v>
      </c>
      <c r="B293" s="170" t="s">
        <v>1240</v>
      </c>
      <c r="C293" s="170" t="s">
        <v>1240</v>
      </c>
      <c r="D293" s="170" t="s">
        <v>1240</v>
      </c>
      <c r="E293" s="170" t="s">
        <v>1240</v>
      </c>
      <c r="F293" s="170" t="s">
        <v>1240</v>
      </c>
      <c r="G293" s="170" t="s">
        <v>1240</v>
      </c>
      <c r="H293" s="276" t="s">
        <v>1240</v>
      </c>
      <c r="I293" s="170" t="e">
        <f t="shared" si="12"/>
        <v>#VALUE!</v>
      </c>
      <c r="J293" s="171" t="s">
        <v>1240</v>
      </c>
      <c r="K293" s="170" t="e">
        <f t="shared" si="13"/>
        <v>#VALUE!</v>
      </c>
      <c r="L293" s="170"/>
      <c r="M293" s="170"/>
      <c r="N293" s="170"/>
      <c r="O293" s="170" t="s">
        <v>1240</v>
      </c>
      <c r="P293" s="170" t="s">
        <v>1240</v>
      </c>
      <c r="Q293" s="170"/>
      <c r="R293" s="170"/>
      <c r="S293" s="170"/>
      <c r="T293" s="173"/>
      <c r="U293" s="170"/>
      <c r="V293" s="170"/>
      <c r="W293" s="172"/>
      <c r="X293" s="170" t="s">
        <v>1240</v>
      </c>
      <c r="Y293" s="170" t="s">
        <v>1240</v>
      </c>
      <c r="Z293" s="170" t="s">
        <v>1240</v>
      </c>
      <c r="AA293" s="170" t="s">
        <v>1240</v>
      </c>
      <c r="AB293" s="170" t="s">
        <v>1240</v>
      </c>
      <c r="AC293" s="170" t="s">
        <v>1240</v>
      </c>
      <c r="AD293" s="174" t="s">
        <v>1240</v>
      </c>
      <c r="AE293" s="172" t="s">
        <v>1240</v>
      </c>
      <c r="AF293" s="172"/>
      <c r="AG293" s="172"/>
    </row>
    <row r="294" spans="1:33" s="175" customFormat="1" hidden="1" x14ac:dyDescent="0.2">
      <c r="A294" s="170" t="s">
        <v>1240</v>
      </c>
      <c r="B294" s="170" t="s">
        <v>1240</v>
      </c>
      <c r="C294" s="170" t="s">
        <v>1240</v>
      </c>
      <c r="D294" s="170" t="s">
        <v>1240</v>
      </c>
      <c r="E294" s="170" t="s">
        <v>1240</v>
      </c>
      <c r="F294" s="170" t="s">
        <v>1240</v>
      </c>
      <c r="G294" s="170" t="s">
        <v>1240</v>
      </c>
      <c r="H294" s="276" t="s">
        <v>1240</v>
      </c>
      <c r="I294" s="170" t="e">
        <f t="shared" si="12"/>
        <v>#VALUE!</v>
      </c>
      <c r="J294" s="171" t="s">
        <v>1240</v>
      </c>
      <c r="K294" s="170" t="e">
        <f t="shared" si="13"/>
        <v>#VALUE!</v>
      </c>
      <c r="L294" s="170"/>
      <c r="M294" s="170"/>
      <c r="N294" s="170"/>
      <c r="O294" s="170" t="s">
        <v>1240</v>
      </c>
      <c r="P294" s="170" t="s">
        <v>1240</v>
      </c>
      <c r="Q294" s="170"/>
      <c r="R294" s="170"/>
      <c r="S294" s="170"/>
      <c r="T294" s="173"/>
      <c r="U294" s="170"/>
      <c r="V294" s="170"/>
      <c r="W294" s="172"/>
      <c r="X294" s="170" t="s">
        <v>1240</v>
      </c>
      <c r="Y294" s="170" t="s">
        <v>1240</v>
      </c>
      <c r="Z294" s="170" t="s">
        <v>1240</v>
      </c>
      <c r="AA294" s="170" t="s">
        <v>1240</v>
      </c>
      <c r="AB294" s="170" t="s">
        <v>1240</v>
      </c>
      <c r="AC294" s="170" t="s">
        <v>1240</v>
      </c>
      <c r="AD294" s="174" t="s">
        <v>1240</v>
      </c>
      <c r="AE294" s="172" t="s">
        <v>1240</v>
      </c>
      <c r="AF294" s="172"/>
      <c r="AG294" s="172"/>
    </row>
    <row r="295" spans="1:33" s="175" customFormat="1" hidden="1" x14ac:dyDescent="0.2">
      <c r="A295" s="170" t="s">
        <v>1240</v>
      </c>
      <c r="B295" s="170" t="s">
        <v>1240</v>
      </c>
      <c r="C295" s="170" t="s">
        <v>1240</v>
      </c>
      <c r="D295" s="170" t="s">
        <v>1240</v>
      </c>
      <c r="E295" s="170" t="s">
        <v>1240</v>
      </c>
      <c r="F295" s="170" t="s">
        <v>1240</v>
      </c>
      <c r="G295" s="170" t="s">
        <v>1240</v>
      </c>
      <c r="H295" s="276" t="s">
        <v>1240</v>
      </c>
      <c r="I295" s="170" t="e">
        <f t="shared" si="12"/>
        <v>#VALUE!</v>
      </c>
      <c r="J295" s="171" t="s">
        <v>1240</v>
      </c>
      <c r="K295" s="170" t="e">
        <f t="shared" si="13"/>
        <v>#VALUE!</v>
      </c>
      <c r="L295" s="170"/>
      <c r="M295" s="170"/>
      <c r="N295" s="170"/>
      <c r="O295" s="170" t="s">
        <v>1240</v>
      </c>
      <c r="P295" s="170" t="s">
        <v>1240</v>
      </c>
      <c r="Q295" s="170"/>
      <c r="R295" s="170"/>
      <c r="S295" s="170"/>
      <c r="T295" s="173"/>
      <c r="U295" s="170"/>
      <c r="V295" s="170"/>
      <c r="W295" s="172"/>
      <c r="X295" s="170" t="s">
        <v>1240</v>
      </c>
      <c r="Y295" s="170" t="s">
        <v>1240</v>
      </c>
      <c r="Z295" s="170" t="s">
        <v>1240</v>
      </c>
      <c r="AA295" s="170" t="s">
        <v>1240</v>
      </c>
      <c r="AB295" s="170" t="s">
        <v>1240</v>
      </c>
      <c r="AC295" s="170" t="s">
        <v>1240</v>
      </c>
      <c r="AD295" s="174" t="s">
        <v>1240</v>
      </c>
      <c r="AE295" s="172" t="s">
        <v>1240</v>
      </c>
      <c r="AF295" s="172"/>
      <c r="AG295" s="172"/>
    </row>
    <row r="296" spans="1:33" s="175" customFormat="1" hidden="1" x14ac:dyDescent="0.2">
      <c r="A296" s="170" t="s">
        <v>1240</v>
      </c>
      <c r="B296" s="170" t="s">
        <v>1240</v>
      </c>
      <c r="C296" s="170" t="s">
        <v>1240</v>
      </c>
      <c r="D296" s="170" t="s">
        <v>1240</v>
      </c>
      <c r="E296" s="170" t="s">
        <v>1240</v>
      </c>
      <c r="F296" s="170" t="s">
        <v>1240</v>
      </c>
      <c r="G296" s="170" t="s">
        <v>1240</v>
      </c>
      <c r="H296" s="276" t="s">
        <v>1240</v>
      </c>
      <c r="I296" s="170" t="e">
        <f t="shared" si="12"/>
        <v>#VALUE!</v>
      </c>
      <c r="J296" s="171" t="s">
        <v>1240</v>
      </c>
      <c r="K296" s="170" t="e">
        <f t="shared" si="13"/>
        <v>#VALUE!</v>
      </c>
      <c r="L296" s="170"/>
      <c r="M296" s="170"/>
      <c r="N296" s="170"/>
      <c r="O296" s="170" t="s">
        <v>1240</v>
      </c>
      <c r="P296" s="170" t="s">
        <v>1240</v>
      </c>
      <c r="Q296" s="170"/>
      <c r="R296" s="170"/>
      <c r="S296" s="170"/>
      <c r="T296" s="173"/>
      <c r="U296" s="170"/>
      <c r="V296" s="170"/>
      <c r="W296" s="172"/>
      <c r="X296" s="170" t="s">
        <v>1240</v>
      </c>
      <c r="Y296" s="170" t="s">
        <v>1240</v>
      </c>
      <c r="Z296" s="170" t="s">
        <v>1240</v>
      </c>
      <c r="AA296" s="170" t="s">
        <v>1240</v>
      </c>
      <c r="AB296" s="170" t="s">
        <v>1240</v>
      </c>
      <c r="AC296" s="170" t="s">
        <v>1240</v>
      </c>
      <c r="AD296" s="174" t="s">
        <v>1240</v>
      </c>
      <c r="AE296" s="172" t="s">
        <v>1240</v>
      </c>
      <c r="AF296" s="172"/>
      <c r="AG296" s="172"/>
    </row>
    <row r="297" spans="1:33" s="175" customFormat="1" hidden="1" x14ac:dyDescent="0.2">
      <c r="A297" s="170" t="s">
        <v>1240</v>
      </c>
      <c r="B297" s="170" t="s">
        <v>1240</v>
      </c>
      <c r="C297" s="170" t="s">
        <v>1240</v>
      </c>
      <c r="D297" s="170" t="s">
        <v>1240</v>
      </c>
      <c r="E297" s="170" t="s">
        <v>1240</v>
      </c>
      <c r="F297" s="170" t="s">
        <v>1240</v>
      </c>
      <c r="G297" s="170" t="s">
        <v>1240</v>
      </c>
      <c r="H297" s="276" t="s">
        <v>1240</v>
      </c>
      <c r="I297" s="170" t="e">
        <f t="shared" si="12"/>
        <v>#VALUE!</v>
      </c>
      <c r="J297" s="171" t="s">
        <v>1240</v>
      </c>
      <c r="K297" s="170" t="e">
        <f t="shared" si="13"/>
        <v>#VALUE!</v>
      </c>
      <c r="L297" s="170"/>
      <c r="M297" s="170"/>
      <c r="N297" s="170"/>
      <c r="O297" s="170" t="s">
        <v>1240</v>
      </c>
      <c r="P297" s="170" t="s">
        <v>1240</v>
      </c>
      <c r="Q297" s="170"/>
      <c r="R297" s="170"/>
      <c r="S297" s="170"/>
      <c r="T297" s="173"/>
      <c r="U297" s="170"/>
      <c r="V297" s="170"/>
      <c r="W297" s="172"/>
      <c r="X297" s="170" t="s">
        <v>1240</v>
      </c>
      <c r="Y297" s="170" t="s">
        <v>1240</v>
      </c>
      <c r="Z297" s="170" t="s">
        <v>1240</v>
      </c>
      <c r="AA297" s="170" t="s">
        <v>1240</v>
      </c>
      <c r="AB297" s="170" t="s">
        <v>1240</v>
      </c>
      <c r="AC297" s="170" t="s">
        <v>1240</v>
      </c>
      <c r="AD297" s="174" t="s">
        <v>1240</v>
      </c>
      <c r="AE297" s="172" t="s">
        <v>1240</v>
      </c>
      <c r="AF297" s="172"/>
      <c r="AG297" s="172"/>
    </row>
    <row r="298" spans="1:33" s="175" customFormat="1" hidden="1" x14ac:dyDescent="0.2">
      <c r="A298" s="170" t="s">
        <v>1240</v>
      </c>
      <c r="B298" s="170" t="s">
        <v>1240</v>
      </c>
      <c r="C298" s="170" t="s">
        <v>1240</v>
      </c>
      <c r="D298" s="170" t="s">
        <v>1240</v>
      </c>
      <c r="E298" s="170" t="s">
        <v>1240</v>
      </c>
      <c r="F298" s="170" t="s">
        <v>1240</v>
      </c>
      <c r="G298" s="170" t="s">
        <v>1240</v>
      </c>
      <c r="H298" s="276" t="s">
        <v>1240</v>
      </c>
      <c r="I298" s="170" t="e">
        <f t="shared" si="12"/>
        <v>#VALUE!</v>
      </c>
      <c r="J298" s="171" t="s">
        <v>1240</v>
      </c>
      <c r="K298" s="170" t="e">
        <f t="shared" si="13"/>
        <v>#VALUE!</v>
      </c>
      <c r="L298" s="170"/>
      <c r="M298" s="170"/>
      <c r="N298" s="170"/>
      <c r="O298" s="170" t="s">
        <v>1240</v>
      </c>
      <c r="P298" s="170" t="s">
        <v>1240</v>
      </c>
      <c r="Q298" s="170"/>
      <c r="R298" s="170"/>
      <c r="S298" s="170"/>
      <c r="T298" s="173"/>
      <c r="U298" s="170"/>
      <c r="V298" s="170"/>
      <c r="W298" s="172"/>
      <c r="X298" s="170" t="s">
        <v>1240</v>
      </c>
      <c r="Y298" s="170" t="s">
        <v>1240</v>
      </c>
      <c r="Z298" s="170" t="s">
        <v>1240</v>
      </c>
      <c r="AA298" s="170" t="s">
        <v>1240</v>
      </c>
      <c r="AB298" s="170" t="s">
        <v>1240</v>
      </c>
      <c r="AC298" s="170" t="s">
        <v>1240</v>
      </c>
      <c r="AD298" s="174" t="s">
        <v>1240</v>
      </c>
      <c r="AE298" s="172" t="s">
        <v>1240</v>
      </c>
      <c r="AF298" s="172"/>
      <c r="AG298" s="172"/>
    </row>
    <row r="299" spans="1:33" s="175" customFormat="1" hidden="1" x14ac:dyDescent="0.2">
      <c r="A299" s="170" t="s">
        <v>1240</v>
      </c>
      <c r="B299" s="170" t="s">
        <v>1240</v>
      </c>
      <c r="C299" s="170" t="s">
        <v>1240</v>
      </c>
      <c r="D299" s="170" t="s">
        <v>1240</v>
      </c>
      <c r="E299" s="170" t="s">
        <v>1240</v>
      </c>
      <c r="F299" s="170" t="s">
        <v>1240</v>
      </c>
      <c r="G299" s="170" t="s">
        <v>1240</v>
      </c>
      <c r="H299" s="276" t="s">
        <v>1240</v>
      </c>
      <c r="I299" s="170" t="e">
        <f t="shared" si="12"/>
        <v>#VALUE!</v>
      </c>
      <c r="J299" s="171" t="s">
        <v>1240</v>
      </c>
      <c r="K299" s="170" t="e">
        <f t="shared" si="13"/>
        <v>#VALUE!</v>
      </c>
      <c r="L299" s="170"/>
      <c r="M299" s="170"/>
      <c r="N299" s="170"/>
      <c r="O299" s="170" t="s">
        <v>1240</v>
      </c>
      <c r="P299" s="170" t="s">
        <v>1240</v>
      </c>
      <c r="Q299" s="170"/>
      <c r="R299" s="170"/>
      <c r="S299" s="170"/>
      <c r="T299" s="173"/>
      <c r="U299" s="170"/>
      <c r="V299" s="170"/>
      <c r="W299" s="172"/>
      <c r="X299" s="170" t="s">
        <v>1240</v>
      </c>
      <c r="Y299" s="170" t="s">
        <v>1240</v>
      </c>
      <c r="Z299" s="170" t="s">
        <v>1240</v>
      </c>
      <c r="AA299" s="170" t="s">
        <v>1240</v>
      </c>
      <c r="AB299" s="170" t="s">
        <v>1240</v>
      </c>
      <c r="AC299" s="170" t="s">
        <v>1240</v>
      </c>
      <c r="AD299" s="174" t="s">
        <v>1240</v>
      </c>
      <c r="AE299" s="172" t="s">
        <v>1240</v>
      </c>
      <c r="AF299" s="172"/>
      <c r="AG299" s="172"/>
    </row>
    <row r="300" spans="1:33" s="175" customFormat="1" hidden="1" x14ac:dyDescent="0.2">
      <c r="A300" s="170" t="s">
        <v>1240</v>
      </c>
      <c r="B300" s="170" t="s">
        <v>1240</v>
      </c>
      <c r="C300" s="170" t="s">
        <v>1240</v>
      </c>
      <c r="D300" s="170" t="s">
        <v>1240</v>
      </c>
      <c r="E300" s="170" t="s">
        <v>1240</v>
      </c>
      <c r="F300" s="170" t="s">
        <v>1240</v>
      </c>
      <c r="G300" s="170" t="s">
        <v>1240</v>
      </c>
      <c r="H300" s="276" t="s">
        <v>1240</v>
      </c>
      <c r="I300" s="170" t="e">
        <f t="shared" si="12"/>
        <v>#VALUE!</v>
      </c>
      <c r="J300" s="171" t="s">
        <v>1240</v>
      </c>
      <c r="K300" s="170" t="e">
        <f t="shared" si="13"/>
        <v>#VALUE!</v>
      </c>
      <c r="L300" s="170"/>
      <c r="M300" s="170"/>
      <c r="N300" s="170"/>
      <c r="O300" s="170" t="s">
        <v>1240</v>
      </c>
      <c r="P300" s="170" t="s">
        <v>1240</v>
      </c>
      <c r="Q300" s="170"/>
      <c r="R300" s="170"/>
      <c r="S300" s="170"/>
      <c r="T300" s="173"/>
      <c r="U300" s="170"/>
      <c r="V300" s="170"/>
      <c r="W300" s="172"/>
      <c r="X300" s="170" t="s">
        <v>1240</v>
      </c>
      <c r="Y300" s="170" t="s">
        <v>1240</v>
      </c>
      <c r="Z300" s="170" t="s">
        <v>1240</v>
      </c>
      <c r="AA300" s="170" t="s">
        <v>1240</v>
      </c>
      <c r="AB300" s="170" t="s">
        <v>1240</v>
      </c>
      <c r="AC300" s="170" t="s">
        <v>1240</v>
      </c>
      <c r="AD300" s="174" t="s">
        <v>1240</v>
      </c>
      <c r="AE300" s="172" t="s">
        <v>1240</v>
      </c>
      <c r="AF300" s="172"/>
      <c r="AG300" s="172"/>
    </row>
    <row r="301" spans="1:33" s="175" customFormat="1" hidden="1" x14ac:dyDescent="0.2">
      <c r="A301" s="170" t="s">
        <v>1240</v>
      </c>
      <c r="B301" s="170" t="s">
        <v>1240</v>
      </c>
      <c r="C301" s="170" t="s">
        <v>1240</v>
      </c>
      <c r="D301" s="170" t="s">
        <v>1240</v>
      </c>
      <c r="E301" s="170" t="s">
        <v>1240</v>
      </c>
      <c r="F301" s="170" t="s">
        <v>1240</v>
      </c>
      <c r="G301" s="170" t="s">
        <v>1240</v>
      </c>
      <c r="H301" s="276" t="s">
        <v>1240</v>
      </c>
      <c r="I301" s="170" t="e">
        <f t="shared" si="12"/>
        <v>#VALUE!</v>
      </c>
      <c r="J301" s="171" t="s">
        <v>1240</v>
      </c>
      <c r="K301" s="170" t="e">
        <f t="shared" si="13"/>
        <v>#VALUE!</v>
      </c>
      <c r="L301" s="170"/>
      <c r="M301" s="170"/>
      <c r="N301" s="170"/>
      <c r="O301" s="170" t="s">
        <v>1240</v>
      </c>
      <c r="P301" s="170" t="s">
        <v>1240</v>
      </c>
      <c r="Q301" s="170"/>
      <c r="R301" s="170"/>
      <c r="S301" s="170"/>
      <c r="T301" s="173"/>
      <c r="U301" s="170"/>
      <c r="V301" s="170"/>
      <c r="W301" s="172"/>
      <c r="X301" s="170" t="s">
        <v>1240</v>
      </c>
      <c r="Y301" s="170" t="s">
        <v>1240</v>
      </c>
      <c r="Z301" s="170" t="s">
        <v>1240</v>
      </c>
      <c r="AA301" s="170" t="s">
        <v>1240</v>
      </c>
      <c r="AB301" s="170" t="s">
        <v>1240</v>
      </c>
      <c r="AC301" s="170" t="s">
        <v>1240</v>
      </c>
      <c r="AD301" s="174" t="s">
        <v>1240</v>
      </c>
      <c r="AE301" s="172" t="s">
        <v>1240</v>
      </c>
      <c r="AF301" s="172"/>
      <c r="AG301" s="172"/>
    </row>
    <row r="302" spans="1:33" s="175" customFormat="1" hidden="1" x14ac:dyDescent="0.2">
      <c r="A302" s="170" t="s">
        <v>1240</v>
      </c>
      <c r="B302" s="170" t="s">
        <v>1240</v>
      </c>
      <c r="C302" s="170" t="s">
        <v>1240</v>
      </c>
      <c r="D302" s="170" t="s">
        <v>1240</v>
      </c>
      <c r="E302" s="170" t="s">
        <v>1240</v>
      </c>
      <c r="F302" s="170" t="s">
        <v>1240</v>
      </c>
      <c r="G302" s="170" t="s">
        <v>1240</v>
      </c>
      <c r="H302" s="276" t="s">
        <v>1240</v>
      </c>
      <c r="I302" s="170" t="e">
        <f t="shared" si="12"/>
        <v>#VALUE!</v>
      </c>
      <c r="J302" s="171" t="s">
        <v>1240</v>
      </c>
      <c r="K302" s="170" t="e">
        <f t="shared" si="13"/>
        <v>#VALUE!</v>
      </c>
      <c r="L302" s="170"/>
      <c r="M302" s="170"/>
      <c r="N302" s="170"/>
      <c r="O302" s="170" t="s">
        <v>1240</v>
      </c>
      <c r="P302" s="170" t="s">
        <v>1240</v>
      </c>
      <c r="Q302" s="170"/>
      <c r="R302" s="170"/>
      <c r="S302" s="170"/>
      <c r="T302" s="173"/>
      <c r="U302" s="170"/>
      <c r="V302" s="170"/>
      <c r="W302" s="172"/>
      <c r="X302" s="170" t="s">
        <v>1240</v>
      </c>
      <c r="Y302" s="170" t="s">
        <v>1240</v>
      </c>
      <c r="Z302" s="170" t="s">
        <v>1240</v>
      </c>
      <c r="AA302" s="170" t="s">
        <v>1240</v>
      </c>
      <c r="AB302" s="170" t="s">
        <v>1240</v>
      </c>
      <c r="AC302" s="170" t="s">
        <v>1240</v>
      </c>
      <c r="AD302" s="174" t="s">
        <v>1240</v>
      </c>
      <c r="AE302" s="172" t="s">
        <v>1240</v>
      </c>
      <c r="AF302" s="172"/>
      <c r="AG302" s="172"/>
    </row>
    <row r="303" spans="1:33" s="175" customFormat="1" hidden="1" x14ac:dyDescent="0.2">
      <c r="A303" s="170" t="s">
        <v>1240</v>
      </c>
      <c r="B303" s="170" t="s">
        <v>1240</v>
      </c>
      <c r="C303" s="170" t="s">
        <v>1240</v>
      </c>
      <c r="D303" s="170" t="s">
        <v>1240</v>
      </c>
      <c r="E303" s="170" t="s">
        <v>1240</v>
      </c>
      <c r="F303" s="170" t="s">
        <v>1240</v>
      </c>
      <c r="G303" s="170" t="s">
        <v>1240</v>
      </c>
      <c r="H303" s="276" t="s">
        <v>1240</v>
      </c>
      <c r="I303" s="170" t="e">
        <f t="shared" si="12"/>
        <v>#VALUE!</v>
      </c>
      <c r="J303" s="171" t="s">
        <v>1240</v>
      </c>
      <c r="K303" s="170" t="e">
        <f t="shared" si="13"/>
        <v>#VALUE!</v>
      </c>
      <c r="L303" s="170"/>
      <c r="M303" s="170"/>
      <c r="N303" s="170"/>
      <c r="O303" s="170" t="s">
        <v>1240</v>
      </c>
      <c r="P303" s="170" t="s">
        <v>1240</v>
      </c>
      <c r="Q303" s="170"/>
      <c r="R303" s="170"/>
      <c r="S303" s="170"/>
      <c r="T303" s="173"/>
      <c r="U303" s="170"/>
      <c r="V303" s="170"/>
      <c r="W303" s="172"/>
      <c r="X303" s="170" t="s">
        <v>1240</v>
      </c>
      <c r="Y303" s="170" t="s">
        <v>1240</v>
      </c>
      <c r="Z303" s="170" t="s">
        <v>1240</v>
      </c>
      <c r="AA303" s="170" t="s">
        <v>1240</v>
      </c>
      <c r="AB303" s="170" t="s">
        <v>1240</v>
      </c>
      <c r="AC303" s="170" t="s">
        <v>1240</v>
      </c>
      <c r="AD303" s="174" t="s">
        <v>1240</v>
      </c>
      <c r="AE303" s="172" t="s">
        <v>1240</v>
      </c>
      <c r="AF303" s="172"/>
      <c r="AG303" s="172"/>
    </row>
    <row r="304" spans="1:33" s="175" customFormat="1" hidden="1" x14ac:dyDescent="0.2">
      <c r="A304" s="170" t="s">
        <v>1240</v>
      </c>
      <c r="B304" s="170" t="s">
        <v>1240</v>
      </c>
      <c r="C304" s="170" t="s">
        <v>1240</v>
      </c>
      <c r="D304" s="170" t="s">
        <v>1240</v>
      </c>
      <c r="E304" s="170" t="s">
        <v>1240</v>
      </c>
      <c r="F304" s="170" t="s">
        <v>1240</v>
      </c>
      <c r="G304" s="170" t="s">
        <v>1240</v>
      </c>
      <c r="H304" s="276" t="s">
        <v>1240</v>
      </c>
      <c r="I304" s="170" t="e">
        <f t="shared" si="12"/>
        <v>#VALUE!</v>
      </c>
      <c r="J304" s="171" t="s">
        <v>1240</v>
      </c>
      <c r="K304" s="170" t="e">
        <f t="shared" si="13"/>
        <v>#VALUE!</v>
      </c>
      <c r="L304" s="170"/>
      <c r="M304" s="170"/>
      <c r="N304" s="170"/>
      <c r="O304" s="170" t="s">
        <v>1240</v>
      </c>
      <c r="P304" s="170" t="s">
        <v>1240</v>
      </c>
      <c r="Q304" s="170"/>
      <c r="R304" s="170"/>
      <c r="S304" s="170"/>
      <c r="T304" s="173"/>
      <c r="U304" s="170"/>
      <c r="V304" s="170"/>
      <c r="W304" s="172"/>
      <c r="X304" s="170" t="s">
        <v>1240</v>
      </c>
      <c r="Y304" s="170" t="s">
        <v>1240</v>
      </c>
      <c r="Z304" s="170" t="s">
        <v>1240</v>
      </c>
      <c r="AA304" s="170" t="s">
        <v>1240</v>
      </c>
      <c r="AB304" s="170" t="s">
        <v>1240</v>
      </c>
      <c r="AC304" s="170" t="s">
        <v>1240</v>
      </c>
      <c r="AD304" s="174" t="s">
        <v>1240</v>
      </c>
      <c r="AE304" s="172" t="s">
        <v>1240</v>
      </c>
      <c r="AF304" s="172"/>
      <c r="AG304" s="172"/>
    </row>
    <row r="305" spans="1:33" s="175" customFormat="1" hidden="1" x14ac:dyDescent="0.2">
      <c r="A305" s="170" t="s">
        <v>1240</v>
      </c>
      <c r="B305" s="170" t="s">
        <v>1240</v>
      </c>
      <c r="C305" s="170" t="s">
        <v>1240</v>
      </c>
      <c r="D305" s="170" t="s">
        <v>1240</v>
      </c>
      <c r="E305" s="170" t="s">
        <v>1240</v>
      </c>
      <c r="F305" s="170" t="s">
        <v>1240</v>
      </c>
      <c r="G305" s="170" t="s">
        <v>1240</v>
      </c>
      <c r="H305" s="276" t="s">
        <v>1240</v>
      </c>
      <c r="I305" s="170" t="e">
        <f t="shared" si="12"/>
        <v>#VALUE!</v>
      </c>
      <c r="J305" s="171" t="s">
        <v>1240</v>
      </c>
      <c r="K305" s="170" t="e">
        <f t="shared" si="13"/>
        <v>#VALUE!</v>
      </c>
      <c r="L305" s="170"/>
      <c r="M305" s="170"/>
      <c r="N305" s="170"/>
      <c r="O305" s="170" t="s">
        <v>1240</v>
      </c>
      <c r="P305" s="170" t="s">
        <v>1240</v>
      </c>
      <c r="Q305" s="170"/>
      <c r="R305" s="170"/>
      <c r="S305" s="170"/>
      <c r="T305" s="173"/>
      <c r="U305" s="170"/>
      <c r="V305" s="170"/>
      <c r="W305" s="172"/>
      <c r="X305" s="170" t="s">
        <v>1240</v>
      </c>
      <c r="Y305" s="170" t="s">
        <v>1240</v>
      </c>
      <c r="Z305" s="170" t="s">
        <v>1240</v>
      </c>
      <c r="AA305" s="170" t="s">
        <v>1240</v>
      </c>
      <c r="AB305" s="170" t="s">
        <v>1240</v>
      </c>
      <c r="AC305" s="170" t="s">
        <v>1240</v>
      </c>
      <c r="AD305" s="174" t="s">
        <v>1240</v>
      </c>
      <c r="AE305" s="172" t="s">
        <v>1240</v>
      </c>
      <c r="AF305" s="172"/>
      <c r="AG305" s="172"/>
    </row>
    <row r="306" spans="1:33" s="175" customFormat="1" hidden="1" x14ac:dyDescent="0.2">
      <c r="A306" s="170" t="s">
        <v>1240</v>
      </c>
      <c r="B306" s="170" t="s">
        <v>1240</v>
      </c>
      <c r="C306" s="170" t="s">
        <v>1240</v>
      </c>
      <c r="D306" s="170" t="s">
        <v>1240</v>
      </c>
      <c r="E306" s="170" t="s">
        <v>1240</v>
      </c>
      <c r="F306" s="170" t="s">
        <v>1240</v>
      </c>
      <c r="G306" s="170" t="s">
        <v>1240</v>
      </c>
      <c r="H306" s="276" t="s">
        <v>1240</v>
      </c>
      <c r="I306" s="170" t="e">
        <f t="shared" si="12"/>
        <v>#VALUE!</v>
      </c>
      <c r="J306" s="171" t="s">
        <v>1240</v>
      </c>
      <c r="K306" s="170" t="e">
        <f t="shared" si="13"/>
        <v>#VALUE!</v>
      </c>
      <c r="L306" s="170"/>
      <c r="M306" s="170"/>
      <c r="N306" s="170"/>
      <c r="O306" s="170" t="s">
        <v>1240</v>
      </c>
      <c r="P306" s="170" t="s">
        <v>1240</v>
      </c>
      <c r="Q306" s="170"/>
      <c r="R306" s="170"/>
      <c r="S306" s="170"/>
      <c r="T306" s="173"/>
      <c r="U306" s="170"/>
      <c r="V306" s="170"/>
      <c r="W306" s="172"/>
      <c r="X306" s="170" t="s">
        <v>1240</v>
      </c>
      <c r="Y306" s="170" t="s">
        <v>1240</v>
      </c>
      <c r="Z306" s="170" t="s">
        <v>1240</v>
      </c>
      <c r="AA306" s="170" t="s">
        <v>1240</v>
      </c>
      <c r="AB306" s="170" t="s">
        <v>1240</v>
      </c>
      <c r="AC306" s="170" t="s">
        <v>1240</v>
      </c>
      <c r="AD306" s="174" t="s">
        <v>1240</v>
      </c>
      <c r="AE306" s="172" t="s">
        <v>1240</v>
      </c>
      <c r="AF306" s="172"/>
      <c r="AG306" s="172"/>
    </row>
    <row r="307" spans="1:33" s="175" customFormat="1" hidden="1" x14ac:dyDescent="0.2">
      <c r="A307" s="170" t="s">
        <v>1240</v>
      </c>
      <c r="B307" s="170" t="s">
        <v>1240</v>
      </c>
      <c r="C307" s="170" t="s">
        <v>1240</v>
      </c>
      <c r="D307" s="170" t="s">
        <v>1240</v>
      </c>
      <c r="E307" s="170" t="s">
        <v>1240</v>
      </c>
      <c r="F307" s="170" t="s">
        <v>1240</v>
      </c>
      <c r="G307" s="170" t="s">
        <v>1240</v>
      </c>
      <c r="H307" s="276" t="s">
        <v>1240</v>
      </c>
      <c r="I307" s="170" t="e">
        <f t="shared" si="12"/>
        <v>#VALUE!</v>
      </c>
      <c r="J307" s="171" t="s">
        <v>1240</v>
      </c>
      <c r="K307" s="170" t="e">
        <f t="shared" si="13"/>
        <v>#VALUE!</v>
      </c>
      <c r="L307" s="170"/>
      <c r="M307" s="170"/>
      <c r="N307" s="170"/>
      <c r="O307" s="170" t="s">
        <v>1240</v>
      </c>
      <c r="P307" s="170" t="s">
        <v>1240</v>
      </c>
      <c r="Q307" s="170"/>
      <c r="R307" s="170"/>
      <c r="S307" s="170"/>
      <c r="T307" s="173"/>
      <c r="U307" s="170"/>
      <c r="V307" s="170"/>
      <c r="W307" s="172"/>
      <c r="X307" s="170" t="s">
        <v>1240</v>
      </c>
      <c r="Y307" s="170" t="s">
        <v>1240</v>
      </c>
      <c r="Z307" s="170" t="s">
        <v>1240</v>
      </c>
      <c r="AA307" s="170" t="s">
        <v>1240</v>
      </c>
      <c r="AB307" s="170" t="s">
        <v>1240</v>
      </c>
      <c r="AC307" s="170" t="s">
        <v>1240</v>
      </c>
      <c r="AD307" s="174" t="s">
        <v>1240</v>
      </c>
      <c r="AE307" s="172" t="s">
        <v>1240</v>
      </c>
      <c r="AF307" s="172"/>
      <c r="AG307" s="172"/>
    </row>
    <row r="308" spans="1:33" s="175" customFormat="1" hidden="1" x14ac:dyDescent="0.2">
      <c r="A308" s="170" t="s">
        <v>1240</v>
      </c>
      <c r="B308" s="170" t="s">
        <v>1240</v>
      </c>
      <c r="C308" s="170" t="s">
        <v>1240</v>
      </c>
      <c r="D308" s="170" t="s">
        <v>1240</v>
      </c>
      <c r="E308" s="170" t="s">
        <v>1240</v>
      </c>
      <c r="F308" s="170" t="s">
        <v>1240</v>
      </c>
      <c r="G308" s="170" t="s">
        <v>1240</v>
      </c>
      <c r="H308" s="276" t="s">
        <v>1240</v>
      </c>
      <c r="I308" s="170" t="e">
        <f t="shared" si="12"/>
        <v>#VALUE!</v>
      </c>
      <c r="J308" s="171" t="s">
        <v>1240</v>
      </c>
      <c r="K308" s="170" t="e">
        <f t="shared" si="13"/>
        <v>#VALUE!</v>
      </c>
      <c r="L308" s="170"/>
      <c r="M308" s="170"/>
      <c r="N308" s="170"/>
      <c r="O308" s="170" t="s">
        <v>1240</v>
      </c>
      <c r="P308" s="170" t="s">
        <v>1240</v>
      </c>
      <c r="Q308" s="170"/>
      <c r="R308" s="170"/>
      <c r="S308" s="170"/>
      <c r="T308" s="173"/>
      <c r="U308" s="170"/>
      <c r="V308" s="170"/>
      <c r="W308" s="172"/>
      <c r="X308" s="170" t="s">
        <v>1240</v>
      </c>
      <c r="Y308" s="170" t="s">
        <v>1240</v>
      </c>
      <c r="Z308" s="170" t="s">
        <v>1240</v>
      </c>
      <c r="AA308" s="170" t="s">
        <v>1240</v>
      </c>
      <c r="AB308" s="170" t="s">
        <v>1240</v>
      </c>
      <c r="AC308" s="170" t="s">
        <v>1240</v>
      </c>
      <c r="AD308" s="174" t="s">
        <v>1240</v>
      </c>
      <c r="AE308" s="172" t="s">
        <v>1240</v>
      </c>
      <c r="AF308" s="172"/>
      <c r="AG308" s="172"/>
    </row>
    <row r="309" spans="1:33" s="175" customFormat="1" hidden="1" x14ac:dyDescent="0.2">
      <c r="A309" s="170" t="s">
        <v>1240</v>
      </c>
      <c r="B309" s="170" t="s">
        <v>1240</v>
      </c>
      <c r="C309" s="170" t="s">
        <v>1240</v>
      </c>
      <c r="D309" s="170" t="s">
        <v>1240</v>
      </c>
      <c r="E309" s="170" t="s">
        <v>1240</v>
      </c>
      <c r="F309" s="170" t="s">
        <v>1240</v>
      </c>
      <c r="G309" s="170" t="s">
        <v>1240</v>
      </c>
      <c r="H309" s="276" t="s">
        <v>1240</v>
      </c>
      <c r="I309" s="170" t="e">
        <f t="shared" si="12"/>
        <v>#VALUE!</v>
      </c>
      <c r="J309" s="171" t="s">
        <v>1240</v>
      </c>
      <c r="K309" s="170" t="e">
        <f t="shared" si="13"/>
        <v>#VALUE!</v>
      </c>
      <c r="L309" s="170"/>
      <c r="M309" s="170"/>
      <c r="N309" s="170"/>
      <c r="O309" s="170" t="s">
        <v>1240</v>
      </c>
      <c r="P309" s="170" t="s">
        <v>1240</v>
      </c>
      <c r="Q309" s="170"/>
      <c r="R309" s="170"/>
      <c r="S309" s="170"/>
      <c r="T309" s="173"/>
      <c r="U309" s="170"/>
      <c r="V309" s="170"/>
      <c r="W309" s="172"/>
      <c r="X309" s="170" t="s">
        <v>1240</v>
      </c>
      <c r="Y309" s="170" t="s">
        <v>1240</v>
      </c>
      <c r="Z309" s="170" t="s">
        <v>1240</v>
      </c>
      <c r="AA309" s="170" t="s">
        <v>1240</v>
      </c>
      <c r="AB309" s="170" t="s">
        <v>1240</v>
      </c>
      <c r="AC309" s="170" t="s">
        <v>1240</v>
      </c>
      <c r="AD309" s="174" t="s">
        <v>1240</v>
      </c>
      <c r="AE309" s="172" t="s">
        <v>1240</v>
      </c>
      <c r="AF309" s="172"/>
      <c r="AG309" s="172"/>
    </row>
    <row r="310" spans="1:33" s="175" customFormat="1" hidden="1" x14ac:dyDescent="0.2">
      <c r="A310" s="170" t="s">
        <v>1240</v>
      </c>
      <c r="B310" s="170" t="s">
        <v>1240</v>
      </c>
      <c r="C310" s="170" t="s">
        <v>1240</v>
      </c>
      <c r="D310" s="170" t="s">
        <v>1240</v>
      </c>
      <c r="E310" s="170" t="s">
        <v>1240</v>
      </c>
      <c r="F310" s="170" t="s">
        <v>1240</v>
      </c>
      <c r="G310" s="170" t="s">
        <v>1240</v>
      </c>
      <c r="H310" s="276" t="s">
        <v>1240</v>
      </c>
      <c r="I310" s="170" t="e">
        <f t="shared" si="12"/>
        <v>#VALUE!</v>
      </c>
      <c r="J310" s="171" t="s">
        <v>1240</v>
      </c>
      <c r="K310" s="170" t="e">
        <f t="shared" si="13"/>
        <v>#VALUE!</v>
      </c>
      <c r="L310" s="170"/>
      <c r="M310" s="170"/>
      <c r="N310" s="170"/>
      <c r="O310" s="170" t="s">
        <v>1240</v>
      </c>
      <c r="P310" s="170" t="s">
        <v>1240</v>
      </c>
      <c r="Q310" s="170"/>
      <c r="R310" s="170"/>
      <c r="S310" s="170"/>
      <c r="T310" s="173"/>
      <c r="U310" s="170"/>
      <c r="V310" s="170"/>
      <c r="W310" s="172"/>
      <c r="X310" s="170" t="s">
        <v>1240</v>
      </c>
      <c r="Y310" s="170" t="s">
        <v>1240</v>
      </c>
      <c r="Z310" s="170" t="s">
        <v>1240</v>
      </c>
      <c r="AA310" s="170" t="s">
        <v>1240</v>
      </c>
      <c r="AB310" s="170" t="s">
        <v>1240</v>
      </c>
      <c r="AC310" s="170" t="s">
        <v>1240</v>
      </c>
      <c r="AD310" s="174" t="s">
        <v>1240</v>
      </c>
      <c r="AE310" s="172" t="s">
        <v>1240</v>
      </c>
      <c r="AF310" s="172"/>
      <c r="AG310" s="172"/>
    </row>
    <row r="311" spans="1:33" s="175" customFormat="1" hidden="1" x14ac:dyDescent="0.2">
      <c r="A311" s="170" t="s">
        <v>1240</v>
      </c>
      <c r="B311" s="170" t="s">
        <v>1240</v>
      </c>
      <c r="C311" s="170" t="s">
        <v>1240</v>
      </c>
      <c r="D311" s="170" t="s">
        <v>1240</v>
      </c>
      <c r="E311" s="170" t="s">
        <v>1240</v>
      </c>
      <c r="F311" s="170" t="s">
        <v>1240</v>
      </c>
      <c r="G311" s="170" t="s">
        <v>1240</v>
      </c>
      <c r="H311" s="276" t="s">
        <v>1240</v>
      </c>
      <c r="I311" s="170" t="e">
        <f t="shared" si="12"/>
        <v>#VALUE!</v>
      </c>
      <c r="J311" s="171" t="s">
        <v>1240</v>
      </c>
      <c r="K311" s="170" t="e">
        <f t="shared" si="13"/>
        <v>#VALUE!</v>
      </c>
      <c r="L311" s="170"/>
      <c r="M311" s="170"/>
      <c r="N311" s="170"/>
      <c r="O311" s="170" t="s">
        <v>1240</v>
      </c>
      <c r="P311" s="170" t="s">
        <v>1240</v>
      </c>
      <c r="Q311" s="170"/>
      <c r="R311" s="170"/>
      <c r="S311" s="170"/>
      <c r="T311" s="173"/>
      <c r="U311" s="170"/>
      <c r="V311" s="170"/>
      <c r="W311" s="172"/>
      <c r="X311" s="170" t="s">
        <v>1240</v>
      </c>
      <c r="Y311" s="170" t="s">
        <v>1240</v>
      </c>
      <c r="Z311" s="170" t="s">
        <v>1240</v>
      </c>
      <c r="AA311" s="170" t="s">
        <v>1240</v>
      </c>
      <c r="AB311" s="170" t="s">
        <v>1240</v>
      </c>
      <c r="AC311" s="170" t="s">
        <v>1240</v>
      </c>
      <c r="AD311" s="174" t="s">
        <v>1240</v>
      </c>
      <c r="AE311" s="172" t="s">
        <v>1240</v>
      </c>
      <c r="AF311" s="172"/>
      <c r="AG311" s="172"/>
    </row>
    <row r="312" spans="1:33" s="175" customFormat="1" hidden="1" x14ac:dyDescent="0.2">
      <c r="A312" s="170" t="s">
        <v>1240</v>
      </c>
      <c r="B312" s="170" t="s">
        <v>1240</v>
      </c>
      <c r="C312" s="170" t="s">
        <v>1240</v>
      </c>
      <c r="D312" s="170" t="s">
        <v>1240</v>
      </c>
      <c r="E312" s="170" t="s">
        <v>1240</v>
      </c>
      <c r="F312" s="170" t="s">
        <v>1240</v>
      </c>
      <c r="G312" s="170" t="s">
        <v>1240</v>
      </c>
      <c r="H312" s="276" t="s">
        <v>1240</v>
      </c>
      <c r="I312" s="170" t="e">
        <f t="shared" si="12"/>
        <v>#VALUE!</v>
      </c>
      <c r="J312" s="171" t="s">
        <v>1240</v>
      </c>
      <c r="K312" s="170" t="e">
        <f t="shared" si="13"/>
        <v>#VALUE!</v>
      </c>
      <c r="L312" s="170"/>
      <c r="M312" s="170"/>
      <c r="N312" s="170"/>
      <c r="O312" s="170" t="s">
        <v>1240</v>
      </c>
      <c r="P312" s="170" t="s">
        <v>1240</v>
      </c>
      <c r="Q312" s="170"/>
      <c r="R312" s="170"/>
      <c r="S312" s="170"/>
      <c r="T312" s="173"/>
      <c r="U312" s="170"/>
      <c r="V312" s="170"/>
      <c r="W312" s="172"/>
      <c r="X312" s="170" t="s">
        <v>1240</v>
      </c>
      <c r="Y312" s="170" t="s">
        <v>1240</v>
      </c>
      <c r="Z312" s="170" t="s">
        <v>1240</v>
      </c>
      <c r="AA312" s="170" t="s">
        <v>1240</v>
      </c>
      <c r="AB312" s="170" t="s">
        <v>1240</v>
      </c>
      <c r="AC312" s="170" t="s">
        <v>1240</v>
      </c>
      <c r="AD312" s="174" t="s">
        <v>1240</v>
      </c>
      <c r="AE312" s="172" t="s">
        <v>1240</v>
      </c>
      <c r="AF312" s="172"/>
      <c r="AG312" s="172"/>
    </row>
    <row r="313" spans="1:33" s="175" customFormat="1" hidden="1" x14ac:dyDescent="0.2">
      <c r="A313" s="170" t="s">
        <v>1240</v>
      </c>
      <c r="B313" s="170" t="s">
        <v>1240</v>
      </c>
      <c r="C313" s="170" t="s">
        <v>1240</v>
      </c>
      <c r="D313" s="170" t="s">
        <v>1240</v>
      </c>
      <c r="E313" s="170" t="s">
        <v>1240</v>
      </c>
      <c r="F313" s="170" t="s">
        <v>1240</v>
      </c>
      <c r="G313" s="170" t="s">
        <v>1240</v>
      </c>
      <c r="H313" s="276" t="s">
        <v>1240</v>
      </c>
      <c r="I313" s="170" t="e">
        <f t="shared" si="12"/>
        <v>#VALUE!</v>
      </c>
      <c r="J313" s="171" t="s">
        <v>1240</v>
      </c>
      <c r="K313" s="170" t="e">
        <f t="shared" si="13"/>
        <v>#VALUE!</v>
      </c>
      <c r="L313" s="170"/>
      <c r="M313" s="170"/>
      <c r="N313" s="170"/>
      <c r="O313" s="170" t="s">
        <v>1240</v>
      </c>
      <c r="P313" s="170" t="s">
        <v>1240</v>
      </c>
      <c r="Q313" s="170"/>
      <c r="R313" s="170"/>
      <c r="S313" s="170"/>
      <c r="T313" s="173"/>
      <c r="U313" s="170"/>
      <c r="V313" s="170"/>
      <c r="W313" s="172"/>
      <c r="X313" s="170" t="s">
        <v>1240</v>
      </c>
      <c r="Y313" s="170" t="s">
        <v>1240</v>
      </c>
      <c r="Z313" s="170" t="s">
        <v>1240</v>
      </c>
      <c r="AA313" s="170" t="s">
        <v>1240</v>
      </c>
      <c r="AB313" s="170" t="s">
        <v>1240</v>
      </c>
      <c r="AC313" s="170" t="s">
        <v>1240</v>
      </c>
      <c r="AD313" s="174" t="s">
        <v>1240</v>
      </c>
      <c r="AE313" s="172" t="s">
        <v>1240</v>
      </c>
      <c r="AF313" s="172"/>
      <c r="AG313" s="172"/>
    </row>
    <row r="314" spans="1:33" s="175" customFormat="1" hidden="1" x14ac:dyDescent="0.2">
      <c r="A314" s="170" t="s">
        <v>1240</v>
      </c>
      <c r="B314" s="170" t="s">
        <v>1240</v>
      </c>
      <c r="C314" s="170" t="s">
        <v>1240</v>
      </c>
      <c r="D314" s="170" t="s">
        <v>1240</v>
      </c>
      <c r="E314" s="170" t="s">
        <v>1240</v>
      </c>
      <c r="F314" s="170" t="s">
        <v>1240</v>
      </c>
      <c r="G314" s="170" t="s">
        <v>1240</v>
      </c>
      <c r="H314" s="276" t="s">
        <v>1240</v>
      </c>
      <c r="I314" s="170" t="e">
        <f t="shared" si="12"/>
        <v>#VALUE!</v>
      </c>
      <c r="J314" s="171" t="s">
        <v>1240</v>
      </c>
      <c r="K314" s="170" t="e">
        <f t="shared" si="13"/>
        <v>#VALUE!</v>
      </c>
      <c r="L314" s="170"/>
      <c r="M314" s="170"/>
      <c r="N314" s="170"/>
      <c r="O314" s="170" t="s">
        <v>1240</v>
      </c>
      <c r="P314" s="170" t="s">
        <v>1240</v>
      </c>
      <c r="Q314" s="170"/>
      <c r="R314" s="170"/>
      <c r="S314" s="170"/>
      <c r="T314" s="173"/>
      <c r="U314" s="170"/>
      <c r="V314" s="170"/>
      <c r="W314" s="172"/>
      <c r="X314" s="170" t="s">
        <v>1240</v>
      </c>
      <c r="Y314" s="170" t="s">
        <v>1240</v>
      </c>
      <c r="Z314" s="170" t="s">
        <v>1240</v>
      </c>
      <c r="AA314" s="170" t="s">
        <v>1240</v>
      </c>
      <c r="AB314" s="170" t="s">
        <v>1240</v>
      </c>
      <c r="AC314" s="170" t="s">
        <v>1240</v>
      </c>
      <c r="AD314" s="174" t="s">
        <v>1240</v>
      </c>
      <c r="AE314" s="172" t="s">
        <v>1240</v>
      </c>
      <c r="AF314" s="172"/>
      <c r="AG314" s="172"/>
    </row>
    <row r="315" spans="1:33" s="175" customFormat="1" hidden="1" x14ac:dyDescent="0.2">
      <c r="A315" s="170" t="s">
        <v>1240</v>
      </c>
      <c r="B315" s="170" t="s">
        <v>1240</v>
      </c>
      <c r="C315" s="170" t="s">
        <v>1240</v>
      </c>
      <c r="D315" s="170" t="s">
        <v>1240</v>
      </c>
      <c r="E315" s="170" t="s">
        <v>1240</v>
      </c>
      <c r="F315" s="170" t="s">
        <v>1240</v>
      </c>
      <c r="G315" s="170" t="s">
        <v>1240</v>
      </c>
      <c r="H315" s="276" t="s">
        <v>1240</v>
      </c>
      <c r="I315" s="170" t="e">
        <f t="shared" si="12"/>
        <v>#VALUE!</v>
      </c>
      <c r="J315" s="171" t="s">
        <v>1240</v>
      </c>
      <c r="K315" s="170" t="e">
        <f t="shared" si="13"/>
        <v>#VALUE!</v>
      </c>
      <c r="L315" s="170"/>
      <c r="M315" s="170"/>
      <c r="N315" s="170"/>
      <c r="O315" s="170" t="s">
        <v>1240</v>
      </c>
      <c r="P315" s="170" t="s">
        <v>1240</v>
      </c>
      <c r="Q315" s="170"/>
      <c r="R315" s="170"/>
      <c r="S315" s="170"/>
      <c r="T315" s="173"/>
      <c r="U315" s="170"/>
      <c r="V315" s="170"/>
      <c r="W315" s="172"/>
      <c r="X315" s="170" t="s">
        <v>1240</v>
      </c>
      <c r="Y315" s="170" t="s">
        <v>1240</v>
      </c>
      <c r="Z315" s="170" t="s">
        <v>1240</v>
      </c>
      <c r="AA315" s="170" t="s">
        <v>1240</v>
      </c>
      <c r="AB315" s="170" t="s">
        <v>1240</v>
      </c>
      <c r="AC315" s="170" t="s">
        <v>1240</v>
      </c>
      <c r="AD315" s="174" t="s">
        <v>1240</v>
      </c>
      <c r="AE315" s="172" t="s">
        <v>1240</v>
      </c>
      <c r="AF315" s="172"/>
      <c r="AG315" s="172"/>
    </row>
    <row r="316" spans="1:33" s="175" customFormat="1" hidden="1" x14ac:dyDescent="0.2">
      <c r="A316" s="170" t="s">
        <v>1240</v>
      </c>
      <c r="B316" s="170" t="s">
        <v>1240</v>
      </c>
      <c r="C316" s="170" t="s">
        <v>1240</v>
      </c>
      <c r="D316" s="170" t="s">
        <v>1240</v>
      </c>
      <c r="E316" s="170" t="s">
        <v>1240</v>
      </c>
      <c r="F316" s="170" t="s">
        <v>1240</v>
      </c>
      <c r="G316" s="170" t="s">
        <v>1240</v>
      </c>
      <c r="H316" s="276" t="s">
        <v>1240</v>
      </c>
      <c r="I316" s="170" t="e">
        <f t="shared" si="12"/>
        <v>#VALUE!</v>
      </c>
      <c r="J316" s="171" t="s">
        <v>1240</v>
      </c>
      <c r="K316" s="170" t="e">
        <f t="shared" si="13"/>
        <v>#VALUE!</v>
      </c>
      <c r="L316" s="170"/>
      <c r="M316" s="170"/>
      <c r="N316" s="170"/>
      <c r="O316" s="170" t="s">
        <v>1240</v>
      </c>
      <c r="P316" s="170" t="s">
        <v>1240</v>
      </c>
      <c r="Q316" s="170"/>
      <c r="R316" s="170"/>
      <c r="S316" s="170"/>
      <c r="T316" s="173"/>
      <c r="U316" s="170"/>
      <c r="V316" s="170"/>
      <c r="W316" s="172"/>
      <c r="X316" s="170" t="s">
        <v>1240</v>
      </c>
      <c r="Y316" s="170" t="s">
        <v>1240</v>
      </c>
      <c r="Z316" s="170" t="s">
        <v>1240</v>
      </c>
      <c r="AA316" s="170" t="s">
        <v>1240</v>
      </c>
      <c r="AB316" s="170" t="s">
        <v>1240</v>
      </c>
      <c r="AC316" s="170" t="s">
        <v>1240</v>
      </c>
      <c r="AD316" s="174" t="s">
        <v>1240</v>
      </c>
      <c r="AE316" s="172" t="s">
        <v>1240</v>
      </c>
      <c r="AF316" s="172"/>
      <c r="AG316" s="172"/>
    </row>
    <row r="317" spans="1:33" s="175" customFormat="1" hidden="1" x14ac:dyDescent="0.2">
      <c r="A317" s="170" t="s">
        <v>1240</v>
      </c>
      <c r="B317" s="170" t="s">
        <v>1240</v>
      </c>
      <c r="C317" s="170" t="s">
        <v>1240</v>
      </c>
      <c r="D317" s="170" t="s">
        <v>1240</v>
      </c>
      <c r="E317" s="170" t="s">
        <v>1240</v>
      </c>
      <c r="F317" s="170" t="s">
        <v>1240</v>
      </c>
      <c r="G317" s="170" t="s">
        <v>1240</v>
      </c>
      <c r="H317" s="276" t="s">
        <v>1240</v>
      </c>
      <c r="I317" s="170" t="e">
        <f t="shared" si="12"/>
        <v>#VALUE!</v>
      </c>
      <c r="J317" s="171" t="s">
        <v>1240</v>
      </c>
      <c r="K317" s="170" t="e">
        <f t="shared" si="13"/>
        <v>#VALUE!</v>
      </c>
      <c r="L317" s="170"/>
      <c r="M317" s="170"/>
      <c r="N317" s="170"/>
      <c r="O317" s="170" t="s">
        <v>1240</v>
      </c>
      <c r="P317" s="170" t="s">
        <v>1240</v>
      </c>
      <c r="Q317" s="170"/>
      <c r="R317" s="170"/>
      <c r="S317" s="170"/>
      <c r="T317" s="173"/>
      <c r="U317" s="170"/>
      <c r="V317" s="170"/>
      <c r="W317" s="172"/>
      <c r="X317" s="170" t="s">
        <v>1240</v>
      </c>
      <c r="Y317" s="170" t="s">
        <v>1240</v>
      </c>
      <c r="Z317" s="170" t="s">
        <v>1240</v>
      </c>
      <c r="AA317" s="170" t="s">
        <v>1240</v>
      </c>
      <c r="AB317" s="170" t="s">
        <v>1240</v>
      </c>
      <c r="AC317" s="170" t="s">
        <v>1240</v>
      </c>
      <c r="AD317" s="174" t="s">
        <v>1240</v>
      </c>
      <c r="AE317" s="172" t="s">
        <v>1240</v>
      </c>
      <c r="AF317" s="172"/>
      <c r="AG317" s="172"/>
    </row>
    <row r="318" spans="1:33" s="175" customFormat="1" hidden="1" x14ac:dyDescent="0.2">
      <c r="A318" s="170" t="s">
        <v>1240</v>
      </c>
      <c r="B318" s="170" t="s">
        <v>1240</v>
      </c>
      <c r="C318" s="170" t="s">
        <v>1240</v>
      </c>
      <c r="D318" s="170" t="s">
        <v>1240</v>
      </c>
      <c r="E318" s="170" t="s">
        <v>1240</v>
      </c>
      <c r="F318" s="170" t="s">
        <v>1240</v>
      </c>
      <c r="G318" s="170" t="s">
        <v>1240</v>
      </c>
      <c r="H318" s="276" t="s">
        <v>1240</v>
      </c>
      <c r="I318" s="170" t="e">
        <f t="shared" si="12"/>
        <v>#VALUE!</v>
      </c>
      <c r="J318" s="171" t="s">
        <v>1240</v>
      </c>
      <c r="K318" s="170" t="e">
        <f t="shared" si="13"/>
        <v>#VALUE!</v>
      </c>
      <c r="L318" s="170"/>
      <c r="M318" s="170"/>
      <c r="N318" s="170"/>
      <c r="O318" s="170" t="s">
        <v>1240</v>
      </c>
      <c r="P318" s="170" t="s">
        <v>1240</v>
      </c>
      <c r="Q318" s="170"/>
      <c r="R318" s="170"/>
      <c r="S318" s="170"/>
      <c r="T318" s="173"/>
      <c r="U318" s="170"/>
      <c r="V318" s="170"/>
      <c r="W318" s="172"/>
      <c r="X318" s="170" t="s">
        <v>1240</v>
      </c>
      <c r="Y318" s="170" t="s">
        <v>1240</v>
      </c>
      <c r="Z318" s="170" t="s">
        <v>1240</v>
      </c>
      <c r="AA318" s="170" t="s">
        <v>1240</v>
      </c>
      <c r="AB318" s="170" t="s">
        <v>1240</v>
      </c>
      <c r="AC318" s="170" t="s">
        <v>1240</v>
      </c>
      <c r="AD318" s="174" t="s">
        <v>1240</v>
      </c>
      <c r="AE318" s="172" t="s">
        <v>1240</v>
      </c>
      <c r="AF318" s="172"/>
      <c r="AG318" s="172"/>
    </row>
    <row r="319" spans="1:33" s="175" customFormat="1" hidden="1" x14ac:dyDescent="0.2">
      <c r="A319" s="170" t="s">
        <v>1240</v>
      </c>
      <c r="B319" s="170" t="s">
        <v>1240</v>
      </c>
      <c r="C319" s="170" t="s">
        <v>1240</v>
      </c>
      <c r="D319" s="170" t="s">
        <v>1240</v>
      </c>
      <c r="E319" s="170" t="s">
        <v>1240</v>
      </c>
      <c r="F319" s="170" t="s">
        <v>1240</v>
      </c>
      <c r="G319" s="170" t="s">
        <v>1240</v>
      </c>
      <c r="H319" s="276" t="s">
        <v>1240</v>
      </c>
      <c r="I319" s="170" t="e">
        <f t="shared" si="12"/>
        <v>#VALUE!</v>
      </c>
      <c r="J319" s="171" t="s">
        <v>1240</v>
      </c>
      <c r="K319" s="170" t="e">
        <f t="shared" si="13"/>
        <v>#VALUE!</v>
      </c>
      <c r="L319" s="170"/>
      <c r="M319" s="170"/>
      <c r="N319" s="170"/>
      <c r="O319" s="170" t="s">
        <v>1240</v>
      </c>
      <c r="P319" s="170" t="s">
        <v>1240</v>
      </c>
      <c r="Q319" s="170"/>
      <c r="R319" s="170"/>
      <c r="S319" s="170"/>
      <c r="T319" s="173"/>
      <c r="U319" s="170"/>
      <c r="V319" s="170"/>
      <c r="W319" s="172"/>
      <c r="X319" s="170" t="s">
        <v>1240</v>
      </c>
      <c r="Y319" s="170" t="s">
        <v>1240</v>
      </c>
      <c r="Z319" s="170" t="s">
        <v>1240</v>
      </c>
      <c r="AA319" s="170" t="s">
        <v>1240</v>
      </c>
      <c r="AB319" s="170" t="s">
        <v>1240</v>
      </c>
      <c r="AC319" s="170" t="s">
        <v>1240</v>
      </c>
      <c r="AD319" s="174" t="s">
        <v>1240</v>
      </c>
      <c r="AE319" s="172" t="s">
        <v>1240</v>
      </c>
      <c r="AF319" s="172"/>
      <c r="AG319" s="172"/>
    </row>
    <row r="320" spans="1:33" s="175" customFormat="1" hidden="1" x14ac:dyDescent="0.2">
      <c r="A320" s="170" t="s">
        <v>1240</v>
      </c>
      <c r="B320" s="170" t="s">
        <v>1240</v>
      </c>
      <c r="C320" s="170" t="s">
        <v>1240</v>
      </c>
      <c r="D320" s="170" t="s">
        <v>1240</v>
      </c>
      <c r="E320" s="170" t="s">
        <v>1240</v>
      </c>
      <c r="F320" s="170" t="s">
        <v>1240</v>
      </c>
      <c r="G320" s="170" t="s">
        <v>1240</v>
      </c>
      <c r="H320" s="276" t="s">
        <v>1240</v>
      </c>
      <c r="I320" s="170" t="e">
        <f t="shared" si="12"/>
        <v>#VALUE!</v>
      </c>
      <c r="J320" s="171" t="s">
        <v>1240</v>
      </c>
      <c r="K320" s="170" t="e">
        <f t="shared" si="13"/>
        <v>#VALUE!</v>
      </c>
      <c r="L320" s="170"/>
      <c r="M320" s="170"/>
      <c r="N320" s="170"/>
      <c r="O320" s="170" t="s">
        <v>1240</v>
      </c>
      <c r="P320" s="170" t="s">
        <v>1240</v>
      </c>
      <c r="Q320" s="170"/>
      <c r="R320" s="170"/>
      <c r="S320" s="170"/>
      <c r="T320" s="173"/>
      <c r="U320" s="170"/>
      <c r="V320" s="170"/>
      <c r="W320" s="172"/>
      <c r="X320" s="170" t="s">
        <v>1240</v>
      </c>
      <c r="Y320" s="170" t="s">
        <v>1240</v>
      </c>
      <c r="Z320" s="170" t="s">
        <v>1240</v>
      </c>
      <c r="AA320" s="170" t="s">
        <v>1240</v>
      </c>
      <c r="AB320" s="170" t="s">
        <v>1240</v>
      </c>
      <c r="AC320" s="170" t="s">
        <v>1240</v>
      </c>
      <c r="AD320" s="174" t="s">
        <v>1240</v>
      </c>
      <c r="AE320" s="172" t="s">
        <v>1240</v>
      </c>
      <c r="AF320" s="172"/>
      <c r="AG320" s="172"/>
    </row>
    <row r="321" spans="1:33" s="175" customFormat="1" hidden="1" x14ac:dyDescent="0.2">
      <c r="A321" s="170" t="s">
        <v>1240</v>
      </c>
      <c r="B321" s="170" t="s">
        <v>1240</v>
      </c>
      <c r="C321" s="170" t="s">
        <v>1240</v>
      </c>
      <c r="D321" s="170" t="s">
        <v>1240</v>
      </c>
      <c r="E321" s="170" t="s">
        <v>1240</v>
      </c>
      <c r="F321" s="170" t="s">
        <v>1240</v>
      </c>
      <c r="G321" s="170" t="s">
        <v>1240</v>
      </c>
      <c r="H321" s="276" t="s">
        <v>1240</v>
      </c>
      <c r="I321" s="170" t="e">
        <f t="shared" si="12"/>
        <v>#VALUE!</v>
      </c>
      <c r="J321" s="171" t="s">
        <v>1240</v>
      </c>
      <c r="K321" s="170" t="e">
        <f t="shared" si="13"/>
        <v>#VALUE!</v>
      </c>
      <c r="L321" s="170"/>
      <c r="M321" s="170"/>
      <c r="N321" s="170"/>
      <c r="O321" s="170" t="s">
        <v>1240</v>
      </c>
      <c r="P321" s="170" t="s">
        <v>1240</v>
      </c>
      <c r="Q321" s="170"/>
      <c r="R321" s="170"/>
      <c r="S321" s="170"/>
      <c r="T321" s="173"/>
      <c r="U321" s="170"/>
      <c r="V321" s="170"/>
      <c r="W321" s="172"/>
      <c r="X321" s="170" t="s">
        <v>1240</v>
      </c>
      <c r="Y321" s="170" t="s">
        <v>1240</v>
      </c>
      <c r="Z321" s="170" t="s">
        <v>1240</v>
      </c>
      <c r="AA321" s="170" t="s">
        <v>1240</v>
      </c>
      <c r="AB321" s="170" t="s">
        <v>1240</v>
      </c>
      <c r="AC321" s="170" t="s">
        <v>1240</v>
      </c>
      <c r="AD321" s="174" t="s">
        <v>1240</v>
      </c>
      <c r="AE321" s="172" t="s">
        <v>1240</v>
      </c>
      <c r="AF321" s="172"/>
      <c r="AG321" s="172"/>
    </row>
    <row r="322" spans="1:33" s="175" customFormat="1" hidden="1" x14ac:dyDescent="0.2">
      <c r="A322" s="170" t="s">
        <v>1240</v>
      </c>
      <c r="B322" s="170" t="s">
        <v>1240</v>
      </c>
      <c r="C322" s="170" t="s">
        <v>1240</v>
      </c>
      <c r="D322" s="170" t="s">
        <v>1240</v>
      </c>
      <c r="E322" s="170" t="s">
        <v>1240</v>
      </c>
      <c r="F322" s="170" t="s">
        <v>1240</v>
      </c>
      <c r="G322" s="170" t="s">
        <v>1240</v>
      </c>
      <c r="H322" s="276" t="s">
        <v>1240</v>
      </c>
      <c r="I322" s="170" t="e">
        <f t="shared" si="12"/>
        <v>#VALUE!</v>
      </c>
      <c r="J322" s="171" t="s">
        <v>1240</v>
      </c>
      <c r="K322" s="170" t="e">
        <f t="shared" si="13"/>
        <v>#VALUE!</v>
      </c>
      <c r="L322" s="170"/>
      <c r="M322" s="170"/>
      <c r="N322" s="170"/>
      <c r="O322" s="170" t="s">
        <v>1240</v>
      </c>
      <c r="P322" s="170" t="s">
        <v>1240</v>
      </c>
      <c r="Q322" s="170"/>
      <c r="R322" s="170"/>
      <c r="S322" s="170"/>
      <c r="T322" s="173"/>
      <c r="U322" s="170"/>
      <c r="V322" s="170"/>
      <c r="W322" s="172"/>
      <c r="X322" s="170" t="s">
        <v>1240</v>
      </c>
      <c r="Y322" s="170" t="s">
        <v>1240</v>
      </c>
      <c r="Z322" s="170" t="s">
        <v>1240</v>
      </c>
      <c r="AA322" s="170" t="s">
        <v>1240</v>
      </c>
      <c r="AB322" s="170" t="s">
        <v>1240</v>
      </c>
      <c r="AC322" s="170" t="s">
        <v>1240</v>
      </c>
      <c r="AD322" s="174" t="s">
        <v>1240</v>
      </c>
      <c r="AE322" s="172" t="s">
        <v>1240</v>
      </c>
      <c r="AF322" s="172"/>
      <c r="AG322" s="172"/>
    </row>
    <row r="323" spans="1:33" s="175" customFormat="1" hidden="1" x14ac:dyDescent="0.2">
      <c r="A323" s="170" t="s">
        <v>1240</v>
      </c>
      <c r="B323" s="170" t="s">
        <v>1240</v>
      </c>
      <c r="C323" s="170" t="s">
        <v>1240</v>
      </c>
      <c r="D323" s="170" t="s">
        <v>1240</v>
      </c>
      <c r="E323" s="170" t="s">
        <v>1240</v>
      </c>
      <c r="F323" s="170" t="s">
        <v>1240</v>
      </c>
      <c r="G323" s="170" t="s">
        <v>1240</v>
      </c>
      <c r="H323" s="276" t="s">
        <v>1240</v>
      </c>
      <c r="I323" s="170" t="e">
        <f t="shared" ref="I323:I350" si="14">DATEDIF(H323,J323,"m")</f>
        <v>#VALUE!</v>
      </c>
      <c r="J323" s="171" t="s">
        <v>1240</v>
      </c>
      <c r="K323" s="170" t="e">
        <f t="shared" ref="K323:K350" si="15">IF(I323&lt;=18,"NUEVO",IF(I323&lt;=36,"INTERMEDIO","ANTIGUO"))</f>
        <v>#VALUE!</v>
      </c>
      <c r="L323" s="170"/>
      <c r="M323" s="170"/>
      <c r="N323" s="170"/>
      <c r="O323" s="170" t="s">
        <v>1240</v>
      </c>
      <c r="P323" s="170" t="s">
        <v>1240</v>
      </c>
      <c r="Q323" s="170"/>
      <c r="R323" s="170"/>
      <c r="S323" s="170"/>
      <c r="T323" s="173"/>
      <c r="U323" s="170"/>
      <c r="V323" s="170"/>
      <c r="W323" s="172"/>
      <c r="X323" s="170" t="s">
        <v>1240</v>
      </c>
      <c r="Y323" s="170" t="s">
        <v>1240</v>
      </c>
      <c r="Z323" s="170" t="s">
        <v>1240</v>
      </c>
      <c r="AA323" s="170" t="s">
        <v>1240</v>
      </c>
      <c r="AB323" s="170" t="s">
        <v>1240</v>
      </c>
      <c r="AC323" s="170" t="s">
        <v>1240</v>
      </c>
      <c r="AD323" s="174" t="s">
        <v>1240</v>
      </c>
      <c r="AE323" s="172" t="s">
        <v>1240</v>
      </c>
      <c r="AF323" s="172"/>
      <c r="AG323" s="172"/>
    </row>
    <row r="324" spans="1:33" s="175" customFormat="1" hidden="1" x14ac:dyDescent="0.2">
      <c r="A324" s="170" t="s">
        <v>1240</v>
      </c>
      <c r="B324" s="170" t="s">
        <v>1240</v>
      </c>
      <c r="C324" s="170" t="s">
        <v>1240</v>
      </c>
      <c r="D324" s="170" t="s">
        <v>1240</v>
      </c>
      <c r="E324" s="170" t="s">
        <v>1240</v>
      </c>
      <c r="F324" s="170" t="s">
        <v>1240</v>
      </c>
      <c r="G324" s="170" t="s">
        <v>1240</v>
      </c>
      <c r="H324" s="276" t="s">
        <v>1240</v>
      </c>
      <c r="I324" s="170" t="e">
        <f t="shared" si="14"/>
        <v>#VALUE!</v>
      </c>
      <c r="J324" s="171" t="s">
        <v>1240</v>
      </c>
      <c r="K324" s="170" t="e">
        <f t="shared" si="15"/>
        <v>#VALUE!</v>
      </c>
      <c r="L324" s="170"/>
      <c r="M324" s="170"/>
      <c r="N324" s="170"/>
      <c r="O324" s="170" t="s">
        <v>1240</v>
      </c>
      <c r="P324" s="170" t="s">
        <v>1240</v>
      </c>
      <c r="Q324" s="170"/>
      <c r="R324" s="170"/>
      <c r="S324" s="170"/>
      <c r="T324" s="173"/>
      <c r="U324" s="170"/>
      <c r="V324" s="170"/>
      <c r="W324" s="172"/>
      <c r="X324" s="170" t="s">
        <v>1240</v>
      </c>
      <c r="Y324" s="170" t="s">
        <v>1240</v>
      </c>
      <c r="Z324" s="170" t="s">
        <v>1240</v>
      </c>
      <c r="AA324" s="170" t="s">
        <v>1240</v>
      </c>
      <c r="AB324" s="170" t="s">
        <v>1240</v>
      </c>
      <c r="AC324" s="170" t="s">
        <v>1240</v>
      </c>
      <c r="AD324" s="174" t="s">
        <v>1240</v>
      </c>
      <c r="AE324" s="172" t="s">
        <v>1240</v>
      </c>
      <c r="AF324" s="172"/>
      <c r="AG324" s="172"/>
    </row>
    <row r="325" spans="1:33" s="175" customFormat="1" hidden="1" x14ac:dyDescent="0.2">
      <c r="A325" s="170" t="s">
        <v>1240</v>
      </c>
      <c r="B325" s="170" t="s">
        <v>1240</v>
      </c>
      <c r="C325" s="170" t="s">
        <v>1240</v>
      </c>
      <c r="D325" s="170" t="s">
        <v>1240</v>
      </c>
      <c r="E325" s="170" t="s">
        <v>1240</v>
      </c>
      <c r="F325" s="170" t="s">
        <v>1240</v>
      </c>
      <c r="G325" s="170" t="s">
        <v>1240</v>
      </c>
      <c r="H325" s="276" t="s">
        <v>1240</v>
      </c>
      <c r="I325" s="170" t="e">
        <f t="shared" si="14"/>
        <v>#VALUE!</v>
      </c>
      <c r="J325" s="171" t="s">
        <v>1240</v>
      </c>
      <c r="K325" s="170" t="e">
        <f t="shared" si="15"/>
        <v>#VALUE!</v>
      </c>
      <c r="L325" s="170"/>
      <c r="M325" s="170"/>
      <c r="N325" s="170"/>
      <c r="O325" s="170" t="s">
        <v>1240</v>
      </c>
      <c r="P325" s="170" t="s">
        <v>1240</v>
      </c>
      <c r="Q325" s="170"/>
      <c r="R325" s="170"/>
      <c r="S325" s="170"/>
      <c r="T325" s="173"/>
      <c r="U325" s="170"/>
      <c r="V325" s="170"/>
      <c r="W325" s="172"/>
      <c r="X325" s="170" t="s">
        <v>1240</v>
      </c>
      <c r="Y325" s="170" t="s">
        <v>1240</v>
      </c>
      <c r="Z325" s="170" t="s">
        <v>1240</v>
      </c>
      <c r="AA325" s="170" t="s">
        <v>1240</v>
      </c>
      <c r="AB325" s="170" t="s">
        <v>1240</v>
      </c>
      <c r="AC325" s="170" t="s">
        <v>1240</v>
      </c>
      <c r="AD325" s="174" t="s">
        <v>1240</v>
      </c>
      <c r="AE325" s="172" t="s">
        <v>1240</v>
      </c>
      <c r="AF325" s="172"/>
      <c r="AG325" s="172"/>
    </row>
    <row r="326" spans="1:33" s="175" customFormat="1" hidden="1" x14ac:dyDescent="0.2">
      <c r="A326" s="170" t="s">
        <v>1240</v>
      </c>
      <c r="B326" s="170" t="s">
        <v>1240</v>
      </c>
      <c r="C326" s="170" t="s">
        <v>1240</v>
      </c>
      <c r="D326" s="170" t="s">
        <v>1240</v>
      </c>
      <c r="E326" s="170" t="s">
        <v>1240</v>
      </c>
      <c r="F326" s="170" t="s">
        <v>1240</v>
      </c>
      <c r="G326" s="170" t="s">
        <v>1240</v>
      </c>
      <c r="H326" s="276" t="s">
        <v>1240</v>
      </c>
      <c r="I326" s="170" t="e">
        <f t="shared" si="14"/>
        <v>#VALUE!</v>
      </c>
      <c r="J326" s="171" t="s">
        <v>1240</v>
      </c>
      <c r="K326" s="170" t="e">
        <f t="shared" si="15"/>
        <v>#VALUE!</v>
      </c>
      <c r="L326" s="170"/>
      <c r="M326" s="170"/>
      <c r="N326" s="170"/>
      <c r="O326" s="170" t="s">
        <v>1240</v>
      </c>
      <c r="P326" s="170" t="s">
        <v>1240</v>
      </c>
      <c r="Q326" s="170"/>
      <c r="R326" s="170"/>
      <c r="S326" s="170"/>
      <c r="T326" s="173"/>
      <c r="U326" s="170"/>
      <c r="V326" s="170"/>
      <c r="W326" s="172"/>
      <c r="X326" s="170" t="s">
        <v>1240</v>
      </c>
      <c r="Y326" s="170" t="s">
        <v>1240</v>
      </c>
      <c r="Z326" s="170" t="s">
        <v>1240</v>
      </c>
      <c r="AA326" s="170" t="s">
        <v>1240</v>
      </c>
      <c r="AB326" s="170" t="s">
        <v>1240</v>
      </c>
      <c r="AC326" s="170" t="s">
        <v>1240</v>
      </c>
      <c r="AD326" s="174" t="s">
        <v>1240</v>
      </c>
      <c r="AE326" s="172" t="s">
        <v>1240</v>
      </c>
      <c r="AF326" s="172"/>
      <c r="AG326" s="172"/>
    </row>
    <row r="327" spans="1:33" s="175" customFormat="1" hidden="1" x14ac:dyDescent="0.2">
      <c r="A327" s="170" t="s">
        <v>1240</v>
      </c>
      <c r="B327" s="170" t="s">
        <v>1240</v>
      </c>
      <c r="C327" s="170" t="s">
        <v>1240</v>
      </c>
      <c r="D327" s="170" t="s">
        <v>1240</v>
      </c>
      <c r="E327" s="170" t="s">
        <v>1240</v>
      </c>
      <c r="F327" s="170" t="s">
        <v>1240</v>
      </c>
      <c r="G327" s="170" t="s">
        <v>1240</v>
      </c>
      <c r="H327" s="276" t="s">
        <v>1240</v>
      </c>
      <c r="I327" s="170" t="e">
        <f t="shared" si="14"/>
        <v>#VALUE!</v>
      </c>
      <c r="J327" s="171" t="s">
        <v>1240</v>
      </c>
      <c r="K327" s="170" t="e">
        <f t="shared" si="15"/>
        <v>#VALUE!</v>
      </c>
      <c r="L327" s="170"/>
      <c r="M327" s="170"/>
      <c r="N327" s="170"/>
      <c r="O327" s="170" t="s">
        <v>1240</v>
      </c>
      <c r="P327" s="170" t="s">
        <v>1240</v>
      </c>
      <c r="Q327" s="170"/>
      <c r="R327" s="170"/>
      <c r="S327" s="170"/>
      <c r="T327" s="173"/>
      <c r="U327" s="170"/>
      <c r="V327" s="170"/>
      <c r="W327" s="172"/>
      <c r="X327" s="170" t="s">
        <v>1240</v>
      </c>
      <c r="Y327" s="170" t="s">
        <v>1240</v>
      </c>
      <c r="Z327" s="170" t="s">
        <v>1240</v>
      </c>
      <c r="AA327" s="170" t="s">
        <v>1240</v>
      </c>
      <c r="AB327" s="170" t="s">
        <v>1240</v>
      </c>
      <c r="AC327" s="170" t="s">
        <v>1240</v>
      </c>
      <c r="AD327" s="174" t="s">
        <v>1240</v>
      </c>
      <c r="AE327" s="172" t="s">
        <v>1240</v>
      </c>
      <c r="AF327" s="172"/>
      <c r="AG327" s="172"/>
    </row>
    <row r="328" spans="1:33" s="175" customFormat="1" hidden="1" x14ac:dyDescent="0.2">
      <c r="A328" s="170" t="s">
        <v>1240</v>
      </c>
      <c r="B328" s="170" t="s">
        <v>1240</v>
      </c>
      <c r="C328" s="170" t="s">
        <v>1240</v>
      </c>
      <c r="D328" s="170" t="s">
        <v>1240</v>
      </c>
      <c r="E328" s="170" t="s">
        <v>1240</v>
      </c>
      <c r="F328" s="170" t="s">
        <v>1240</v>
      </c>
      <c r="G328" s="170" t="s">
        <v>1240</v>
      </c>
      <c r="H328" s="276" t="s">
        <v>1240</v>
      </c>
      <c r="I328" s="170" t="e">
        <f t="shared" si="14"/>
        <v>#VALUE!</v>
      </c>
      <c r="J328" s="171" t="s">
        <v>1240</v>
      </c>
      <c r="K328" s="170" t="e">
        <f t="shared" si="15"/>
        <v>#VALUE!</v>
      </c>
      <c r="L328" s="170"/>
      <c r="M328" s="170"/>
      <c r="N328" s="170"/>
      <c r="O328" s="170" t="s">
        <v>1240</v>
      </c>
      <c r="P328" s="170" t="s">
        <v>1240</v>
      </c>
      <c r="Q328" s="170"/>
      <c r="R328" s="170"/>
      <c r="S328" s="170"/>
      <c r="T328" s="173"/>
      <c r="U328" s="170"/>
      <c r="V328" s="170"/>
      <c r="W328" s="172"/>
      <c r="X328" s="170" t="s">
        <v>1240</v>
      </c>
      <c r="Y328" s="170" t="s">
        <v>1240</v>
      </c>
      <c r="Z328" s="170" t="s">
        <v>1240</v>
      </c>
      <c r="AA328" s="170" t="s">
        <v>1240</v>
      </c>
      <c r="AB328" s="170" t="s">
        <v>1240</v>
      </c>
      <c r="AC328" s="170" t="s">
        <v>1240</v>
      </c>
      <c r="AD328" s="174" t="s">
        <v>1240</v>
      </c>
      <c r="AE328" s="172" t="s">
        <v>1240</v>
      </c>
      <c r="AF328" s="172"/>
      <c r="AG328" s="172"/>
    </row>
    <row r="329" spans="1:33" s="175" customFormat="1" hidden="1" x14ac:dyDescent="0.2">
      <c r="A329" s="170" t="s">
        <v>1240</v>
      </c>
      <c r="B329" s="170" t="s">
        <v>1240</v>
      </c>
      <c r="C329" s="170" t="s">
        <v>1240</v>
      </c>
      <c r="D329" s="170" t="s">
        <v>1240</v>
      </c>
      <c r="E329" s="170" t="s">
        <v>1240</v>
      </c>
      <c r="F329" s="170" t="s">
        <v>1240</v>
      </c>
      <c r="G329" s="170" t="s">
        <v>1240</v>
      </c>
      <c r="H329" s="276" t="s">
        <v>1240</v>
      </c>
      <c r="I329" s="170" t="e">
        <f t="shared" si="14"/>
        <v>#VALUE!</v>
      </c>
      <c r="J329" s="171" t="s">
        <v>1240</v>
      </c>
      <c r="K329" s="170" t="e">
        <f t="shared" si="15"/>
        <v>#VALUE!</v>
      </c>
      <c r="L329" s="170"/>
      <c r="M329" s="170"/>
      <c r="N329" s="170"/>
      <c r="O329" s="170" t="s">
        <v>1240</v>
      </c>
      <c r="P329" s="170" t="s">
        <v>1240</v>
      </c>
      <c r="Q329" s="170"/>
      <c r="R329" s="170"/>
      <c r="S329" s="170"/>
      <c r="T329" s="173"/>
      <c r="U329" s="170"/>
      <c r="V329" s="170"/>
      <c r="W329" s="172"/>
      <c r="X329" s="170" t="s">
        <v>1240</v>
      </c>
      <c r="Y329" s="170" t="s">
        <v>1240</v>
      </c>
      <c r="Z329" s="170" t="s">
        <v>1240</v>
      </c>
      <c r="AA329" s="170" t="s">
        <v>1240</v>
      </c>
      <c r="AB329" s="170" t="s">
        <v>1240</v>
      </c>
      <c r="AC329" s="170" t="s">
        <v>1240</v>
      </c>
      <c r="AD329" s="174" t="s">
        <v>1240</v>
      </c>
      <c r="AE329" s="172" t="s">
        <v>1240</v>
      </c>
      <c r="AF329" s="172"/>
      <c r="AG329" s="172"/>
    </row>
    <row r="330" spans="1:33" s="175" customFormat="1" hidden="1" x14ac:dyDescent="0.2">
      <c r="A330" s="170" t="s">
        <v>1240</v>
      </c>
      <c r="B330" s="170" t="s">
        <v>1240</v>
      </c>
      <c r="C330" s="170" t="s">
        <v>1240</v>
      </c>
      <c r="D330" s="170" t="s">
        <v>1240</v>
      </c>
      <c r="E330" s="170" t="s">
        <v>1240</v>
      </c>
      <c r="F330" s="170" t="s">
        <v>1240</v>
      </c>
      <c r="G330" s="170" t="s">
        <v>1240</v>
      </c>
      <c r="H330" s="276" t="s">
        <v>1240</v>
      </c>
      <c r="I330" s="170" t="e">
        <f t="shared" si="14"/>
        <v>#VALUE!</v>
      </c>
      <c r="J330" s="171" t="s">
        <v>1240</v>
      </c>
      <c r="K330" s="170" t="e">
        <f t="shared" si="15"/>
        <v>#VALUE!</v>
      </c>
      <c r="L330" s="170"/>
      <c r="M330" s="170"/>
      <c r="N330" s="170"/>
      <c r="O330" s="170" t="s">
        <v>1240</v>
      </c>
      <c r="P330" s="170" t="s">
        <v>1240</v>
      </c>
      <c r="Q330" s="170"/>
      <c r="R330" s="170"/>
      <c r="S330" s="170"/>
      <c r="T330" s="173"/>
      <c r="U330" s="170"/>
      <c r="V330" s="170"/>
      <c r="W330" s="172"/>
      <c r="X330" s="170" t="s">
        <v>1240</v>
      </c>
      <c r="Y330" s="170" t="s">
        <v>1240</v>
      </c>
      <c r="Z330" s="170" t="s">
        <v>1240</v>
      </c>
      <c r="AA330" s="170" t="s">
        <v>1240</v>
      </c>
      <c r="AB330" s="170" t="s">
        <v>1240</v>
      </c>
      <c r="AC330" s="170" t="s">
        <v>1240</v>
      </c>
      <c r="AD330" s="174" t="s">
        <v>1240</v>
      </c>
      <c r="AE330" s="172" t="s">
        <v>1240</v>
      </c>
      <c r="AF330" s="172"/>
      <c r="AG330" s="172"/>
    </row>
    <row r="331" spans="1:33" s="175" customFormat="1" hidden="1" x14ac:dyDescent="0.2">
      <c r="A331" s="170" t="s">
        <v>1240</v>
      </c>
      <c r="B331" s="170" t="s">
        <v>1240</v>
      </c>
      <c r="C331" s="170" t="s">
        <v>1240</v>
      </c>
      <c r="D331" s="170" t="s">
        <v>1240</v>
      </c>
      <c r="E331" s="170" t="s">
        <v>1240</v>
      </c>
      <c r="F331" s="170" t="s">
        <v>1240</v>
      </c>
      <c r="G331" s="170" t="s">
        <v>1240</v>
      </c>
      <c r="H331" s="276" t="s">
        <v>1240</v>
      </c>
      <c r="I331" s="170" t="e">
        <f t="shared" si="14"/>
        <v>#VALUE!</v>
      </c>
      <c r="J331" s="171" t="s">
        <v>1240</v>
      </c>
      <c r="K331" s="170" t="e">
        <f t="shared" si="15"/>
        <v>#VALUE!</v>
      </c>
      <c r="L331" s="170"/>
      <c r="M331" s="170"/>
      <c r="N331" s="170"/>
      <c r="O331" s="170" t="s">
        <v>1240</v>
      </c>
      <c r="P331" s="170" t="s">
        <v>1240</v>
      </c>
      <c r="Q331" s="170"/>
      <c r="R331" s="170"/>
      <c r="S331" s="170"/>
      <c r="T331" s="173"/>
      <c r="U331" s="170"/>
      <c r="V331" s="170"/>
      <c r="W331" s="172"/>
      <c r="X331" s="170" t="s">
        <v>1240</v>
      </c>
      <c r="Y331" s="170" t="s">
        <v>1240</v>
      </c>
      <c r="Z331" s="170" t="s">
        <v>1240</v>
      </c>
      <c r="AA331" s="170" t="s">
        <v>1240</v>
      </c>
      <c r="AB331" s="170" t="s">
        <v>1240</v>
      </c>
      <c r="AC331" s="170" t="s">
        <v>1240</v>
      </c>
      <c r="AD331" s="174" t="s">
        <v>1240</v>
      </c>
      <c r="AE331" s="172" t="s">
        <v>1240</v>
      </c>
      <c r="AF331" s="172"/>
      <c r="AG331" s="172"/>
    </row>
    <row r="332" spans="1:33" s="175" customFormat="1" hidden="1" x14ac:dyDescent="0.2">
      <c r="A332" s="170" t="s">
        <v>1240</v>
      </c>
      <c r="B332" s="170" t="s">
        <v>1240</v>
      </c>
      <c r="C332" s="170" t="s">
        <v>1240</v>
      </c>
      <c r="D332" s="170" t="s">
        <v>1240</v>
      </c>
      <c r="E332" s="170" t="s">
        <v>1240</v>
      </c>
      <c r="F332" s="170" t="s">
        <v>1240</v>
      </c>
      <c r="G332" s="170" t="s">
        <v>1240</v>
      </c>
      <c r="H332" s="276" t="s">
        <v>1240</v>
      </c>
      <c r="I332" s="170" t="e">
        <f t="shared" si="14"/>
        <v>#VALUE!</v>
      </c>
      <c r="J332" s="171" t="s">
        <v>1240</v>
      </c>
      <c r="K332" s="170" t="e">
        <f t="shared" si="15"/>
        <v>#VALUE!</v>
      </c>
      <c r="L332" s="170"/>
      <c r="M332" s="170"/>
      <c r="N332" s="170"/>
      <c r="O332" s="170" t="s">
        <v>1240</v>
      </c>
      <c r="P332" s="170" t="s">
        <v>1240</v>
      </c>
      <c r="Q332" s="170"/>
      <c r="R332" s="170"/>
      <c r="S332" s="170"/>
      <c r="T332" s="173"/>
      <c r="U332" s="170"/>
      <c r="V332" s="170"/>
      <c r="W332" s="172"/>
      <c r="X332" s="170" t="s">
        <v>1240</v>
      </c>
      <c r="Y332" s="170" t="s">
        <v>1240</v>
      </c>
      <c r="Z332" s="170" t="s">
        <v>1240</v>
      </c>
      <c r="AA332" s="170" t="s">
        <v>1240</v>
      </c>
      <c r="AB332" s="170" t="s">
        <v>1240</v>
      </c>
      <c r="AC332" s="170" t="s">
        <v>1240</v>
      </c>
      <c r="AD332" s="174" t="s">
        <v>1240</v>
      </c>
      <c r="AE332" s="172" t="s">
        <v>1240</v>
      </c>
      <c r="AF332" s="172"/>
      <c r="AG332" s="172"/>
    </row>
    <row r="333" spans="1:33" s="175" customFormat="1" hidden="1" x14ac:dyDescent="0.2">
      <c r="A333" s="170" t="s">
        <v>1240</v>
      </c>
      <c r="B333" s="170" t="s">
        <v>1240</v>
      </c>
      <c r="C333" s="170" t="s">
        <v>1240</v>
      </c>
      <c r="D333" s="170" t="s">
        <v>1240</v>
      </c>
      <c r="E333" s="170" t="s">
        <v>1240</v>
      </c>
      <c r="F333" s="170" t="s">
        <v>1240</v>
      </c>
      <c r="G333" s="170" t="s">
        <v>1240</v>
      </c>
      <c r="H333" s="276" t="s">
        <v>1240</v>
      </c>
      <c r="I333" s="170" t="e">
        <f t="shared" si="14"/>
        <v>#VALUE!</v>
      </c>
      <c r="J333" s="171" t="s">
        <v>1240</v>
      </c>
      <c r="K333" s="170" t="e">
        <f t="shared" si="15"/>
        <v>#VALUE!</v>
      </c>
      <c r="L333" s="170"/>
      <c r="M333" s="170"/>
      <c r="N333" s="170"/>
      <c r="O333" s="170" t="s">
        <v>1240</v>
      </c>
      <c r="P333" s="170" t="s">
        <v>1240</v>
      </c>
      <c r="Q333" s="170"/>
      <c r="R333" s="170"/>
      <c r="S333" s="170"/>
      <c r="T333" s="173"/>
      <c r="U333" s="170"/>
      <c r="V333" s="170"/>
      <c r="W333" s="172"/>
      <c r="X333" s="170" t="s">
        <v>1240</v>
      </c>
      <c r="Y333" s="170" t="s">
        <v>1240</v>
      </c>
      <c r="Z333" s="170" t="s">
        <v>1240</v>
      </c>
      <c r="AA333" s="170" t="s">
        <v>1240</v>
      </c>
      <c r="AB333" s="170" t="s">
        <v>1240</v>
      </c>
      <c r="AC333" s="170" t="s">
        <v>1240</v>
      </c>
      <c r="AD333" s="174" t="s">
        <v>1240</v>
      </c>
      <c r="AE333" s="172" t="s">
        <v>1240</v>
      </c>
      <c r="AF333" s="172"/>
      <c r="AG333" s="172"/>
    </row>
    <row r="334" spans="1:33" s="175" customFormat="1" hidden="1" x14ac:dyDescent="0.2">
      <c r="A334" s="170" t="s">
        <v>1240</v>
      </c>
      <c r="B334" s="170" t="s">
        <v>1240</v>
      </c>
      <c r="C334" s="170" t="s">
        <v>1240</v>
      </c>
      <c r="D334" s="170" t="s">
        <v>1240</v>
      </c>
      <c r="E334" s="170" t="s">
        <v>1240</v>
      </c>
      <c r="F334" s="170" t="s">
        <v>1240</v>
      </c>
      <c r="G334" s="170" t="s">
        <v>1240</v>
      </c>
      <c r="H334" s="276" t="s">
        <v>1240</v>
      </c>
      <c r="I334" s="170" t="e">
        <f t="shared" si="14"/>
        <v>#VALUE!</v>
      </c>
      <c r="J334" s="171" t="s">
        <v>1240</v>
      </c>
      <c r="K334" s="170" t="e">
        <f t="shared" si="15"/>
        <v>#VALUE!</v>
      </c>
      <c r="L334" s="170"/>
      <c r="M334" s="170"/>
      <c r="N334" s="170"/>
      <c r="O334" s="170" t="s">
        <v>1240</v>
      </c>
      <c r="P334" s="170" t="s">
        <v>1240</v>
      </c>
      <c r="Q334" s="170"/>
      <c r="R334" s="170"/>
      <c r="S334" s="170"/>
      <c r="T334" s="173"/>
      <c r="U334" s="170"/>
      <c r="V334" s="170"/>
      <c r="W334" s="172"/>
      <c r="X334" s="170" t="s">
        <v>1240</v>
      </c>
      <c r="Y334" s="170" t="s">
        <v>1240</v>
      </c>
      <c r="Z334" s="170" t="s">
        <v>1240</v>
      </c>
      <c r="AA334" s="170" t="s">
        <v>1240</v>
      </c>
      <c r="AB334" s="170" t="s">
        <v>1240</v>
      </c>
      <c r="AC334" s="170" t="s">
        <v>1240</v>
      </c>
      <c r="AD334" s="174" t="s">
        <v>1240</v>
      </c>
      <c r="AE334" s="172" t="s">
        <v>1240</v>
      </c>
      <c r="AF334" s="172"/>
      <c r="AG334" s="172"/>
    </row>
    <row r="335" spans="1:33" s="175" customFormat="1" hidden="1" x14ac:dyDescent="0.2">
      <c r="A335" s="170" t="s">
        <v>1240</v>
      </c>
      <c r="B335" s="170" t="s">
        <v>1240</v>
      </c>
      <c r="C335" s="170" t="s">
        <v>1240</v>
      </c>
      <c r="D335" s="170" t="s">
        <v>1240</v>
      </c>
      <c r="E335" s="170" t="s">
        <v>1240</v>
      </c>
      <c r="F335" s="170" t="s">
        <v>1240</v>
      </c>
      <c r="G335" s="170" t="s">
        <v>1240</v>
      </c>
      <c r="H335" s="276" t="s">
        <v>1240</v>
      </c>
      <c r="I335" s="170" t="e">
        <f t="shared" si="14"/>
        <v>#VALUE!</v>
      </c>
      <c r="J335" s="171" t="s">
        <v>1240</v>
      </c>
      <c r="K335" s="170" t="e">
        <f t="shared" si="15"/>
        <v>#VALUE!</v>
      </c>
      <c r="L335" s="170"/>
      <c r="M335" s="170"/>
      <c r="N335" s="170"/>
      <c r="O335" s="170" t="s">
        <v>1240</v>
      </c>
      <c r="P335" s="170" t="s">
        <v>1240</v>
      </c>
      <c r="Q335" s="170"/>
      <c r="R335" s="170"/>
      <c r="S335" s="170"/>
      <c r="T335" s="173"/>
      <c r="U335" s="170"/>
      <c r="V335" s="170"/>
      <c r="W335" s="172"/>
      <c r="X335" s="170" t="s">
        <v>1240</v>
      </c>
      <c r="Y335" s="170" t="s">
        <v>1240</v>
      </c>
      <c r="Z335" s="170" t="s">
        <v>1240</v>
      </c>
      <c r="AA335" s="170" t="s">
        <v>1240</v>
      </c>
      <c r="AB335" s="170" t="s">
        <v>1240</v>
      </c>
      <c r="AC335" s="170" t="s">
        <v>1240</v>
      </c>
      <c r="AD335" s="174" t="s">
        <v>1240</v>
      </c>
      <c r="AE335" s="172" t="s">
        <v>1240</v>
      </c>
      <c r="AF335" s="172"/>
      <c r="AG335" s="172"/>
    </row>
    <row r="336" spans="1:33" s="175" customFormat="1" hidden="1" x14ac:dyDescent="0.2">
      <c r="A336" s="170" t="s">
        <v>1240</v>
      </c>
      <c r="B336" s="170" t="s">
        <v>1240</v>
      </c>
      <c r="C336" s="170" t="s">
        <v>1240</v>
      </c>
      <c r="D336" s="170" t="s">
        <v>1240</v>
      </c>
      <c r="E336" s="170" t="s">
        <v>1240</v>
      </c>
      <c r="F336" s="170" t="s">
        <v>1240</v>
      </c>
      <c r="G336" s="170" t="s">
        <v>1240</v>
      </c>
      <c r="H336" s="276" t="s">
        <v>1240</v>
      </c>
      <c r="I336" s="170" t="e">
        <f t="shared" si="14"/>
        <v>#VALUE!</v>
      </c>
      <c r="J336" s="171" t="s">
        <v>1240</v>
      </c>
      <c r="K336" s="170" t="e">
        <f t="shared" si="15"/>
        <v>#VALUE!</v>
      </c>
      <c r="L336" s="170"/>
      <c r="M336" s="170"/>
      <c r="N336" s="170"/>
      <c r="O336" s="170" t="s">
        <v>1240</v>
      </c>
      <c r="P336" s="170" t="s">
        <v>1240</v>
      </c>
      <c r="Q336" s="170"/>
      <c r="R336" s="170"/>
      <c r="S336" s="170"/>
      <c r="T336" s="173"/>
      <c r="U336" s="170"/>
      <c r="V336" s="170"/>
      <c r="W336" s="172"/>
      <c r="X336" s="170" t="s">
        <v>1240</v>
      </c>
      <c r="Y336" s="170" t="s">
        <v>1240</v>
      </c>
      <c r="Z336" s="170" t="s">
        <v>1240</v>
      </c>
      <c r="AA336" s="170" t="s">
        <v>1240</v>
      </c>
      <c r="AB336" s="170" t="s">
        <v>1240</v>
      </c>
      <c r="AC336" s="170" t="s">
        <v>1240</v>
      </c>
      <c r="AD336" s="174" t="s">
        <v>1240</v>
      </c>
      <c r="AE336" s="172" t="s">
        <v>1240</v>
      </c>
      <c r="AF336" s="172"/>
      <c r="AG336" s="172"/>
    </row>
    <row r="337" spans="1:33" s="175" customFormat="1" hidden="1" x14ac:dyDescent="0.2">
      <c r="A337" s="170" t="s">
        <v>1240</v>
      </c>
      <c r="B337" s="170" t="s">
        <v>1240</v>
      </c>
      <c r="C337" s="170" t="s">
        <v>1240</v>
      </c>
      <c r="D337" s="170" t="s">
        <v>1240</v>
      </c>
      <c r="E337" s="170" t="s">
        <v>1240</v>
      </c>
      <c r="F337" s="170" t="s">
        <v>1240</v>
      </c>
      <c r="G337" s="170" t="s">
        <v>1240</v>
      </c>
      <c r="H337" s="276" t="s">
        <v>1240</v>
      </c>
      <c r="I337" s="170" t="e">
        <f t="shared" si="14"/>
        <v>#VALUE!</v>
      </c>
      <c r="J337" s="171" t="s">
        <v>1240</v>
      </c>
      <c r="K337" s="170" t="e">
        <f t="shared" si="15"/>
        <v>#VALUE!</v>
      </c>
      <c r="L337" s="170"/>
      <c r="M337" s="170"/>
      <c r="N337" s="170"/>
      <c r="O337" s="170" t="s">
        <v>1240</v>
      </c>
      <c r="P337" s="170" t="s">
        <v>1240</v>
      </c>
      <c r="Q337" s="170"/>
      <c r="R337" s="170"/>
      <c r="S337" s="170"/>
      <c r="T337" s="173"/>
      <c r="U337" s="170"/>
      <c r="V337" s="170"/>
      <c r="W337" s="172"/>
      <c r="X337" s="170" t="s">
        <v>1240</v>
      </c>
      <c r="Y337" s="170" t="s">
        <v>1240</v>
      </c>
      <c r="Z337" s="170" t="s">
        <v>1240</v>
      </c>
      <c r="AA337" s="170" t="s">
        <v>1240</v>
      </c>
      <c r="AB337" s="170" t="s">
        <v>1240</v>
      </c>
      <c r="AC337" s="170" t="s">
        <v>1240</v>
      </c>
      <c r="AD337" s="174" t="s">
        <v>1240</v>
      </c>
      <c r="AE337" s="172" t="s">
        <v>1240</v>
      </c>
      <c r="AF337" s="172"/>
      <c r="AG337" s="172"/>
    </row>
    <row r="338" spans="1:33" s="175" customFormat="1" hidden="1" x14ac:dyDescent="0.2">
      <c r="A338" s="170" t="s">
        <v>1240</v>
      </c>
      <c r="B338" s="170" t="s">
        <v>1240</v>
      </c>
      <c r="C338" s="170" t="s">
        <v>1240</v>
      </c>
      <c r="D338" s="170" t="s">
        <v>1240</v>
      </c>
      <c r="E338" s="170" t="s">
        <v>1240</v>
      </c>
      <c r="F338" s="170" t="s">
        <v>1240</v>
      </c>
      <c r="G338" s="170" t="s">
        <v>1240</v>
      </c>
      <c r="H338" s="276" t="s">
        <v>1240</v>
      </c>
      <c r="I338" s="170" t="e">
        <f t="shared" si="14"/>
        <v>#VALUE!</v>
      </c>
      <c r="J338" s="171" t="s">
        <v>1240</v>
      </c>
      <c r="K338" s="170" t="e">
        <f t="shared" si="15"/>
        <v>#VALUE!</v>
      </c>
      <c r="L338" s="170"/>
      <c r="M338" s="170"/>
      <c r="N338" s="170"/>
      <c r="O338" s="170" t="s">
        <v>1240</v>
      </c>
      <c r="P338" s="170" t="s">
        <v>1240</v>
      </c>
      <c r="Q338" s="170"/>
      <c r="R338" s="170"/>
      <c r="S338" s="170"/>
      <c r="T338" s="173"/>
      <c r="U338" s="170"/>
      <c r="V338" s="170"/>
      <c r="W338" s="172"/>
      <c r="X338" s="170" t="s">
        <v>1240</v>
      </c>
      <c r="Y338" s="170" t="s">
        <v>1240</v>
      </c>
      <c r="Z338" s="170" t="s">
        <v>1240</v>
      </c>
      <c r="AA338" s="170" t="s">
        <v>1240</v>
      </c>
      <c r="AB338" s="170" t="s">
        <v>1240</v>
      </c>
      <c r="AC338" s="170" t="s">
        <v>1240</v>
      </c>
      <c r="AD338" s="174" t="s">
        <v>1240</v>
      </c>
      <c r="AE338" s="172" t="s">
        <v>1240</v>
      </c>
      <c r="AF338" s="172"/>
      <c r="AG338" s="172"/>
    </row>
    <row r="339" spans="1:33" s="175" customFormat="1" hidden="1" x14ac:dyDescent="0.2">
      <c r="A339" s="170" t="s">
        <v>1240</v>
      </c>
      <c r="B339" s="170" t="s">
        <v>1240</v>
      </c>
      <c r="C339" s="170" t="s">
        <v>1240</v>
      </c>
      <c r="D339" s="170" t="s">
        <v>1240</v>
      </c>
      <c r="E339" s="170" t="s">
        <v>1240</v>
      </c>
      <c r="F339" s="170" t="s">
        <v>1240</v>
      </c>
      <c r="G339" s="170" t="s">
        <v>1240</v>
      </c>
      <c r="H339" s="276" t="s">
        <v>1240</v>
      </c>
      <c r="I339" s="170" t="e">
        <f t="shared" si="14"/>
        <v>#VALUE!</v>
      </c>
      <c r="J339" s="171" t="s">
        <v>1240</v>
      </c>
      <c r="K339" s="170" t="e">
        <f t="shared" si="15"/>
        <v>#VALUE!</v>
      </c>
      <c r="L339" s="170"/>
      <c r="M339" s="170"/>
      <c r="N339" s="170"/>
      <c r="O339" s="170" t="s">
        <v>1240</v>
      </c>
      <c r="P339" s="170" t="s">
        <v>1240</v>
      </c>
      <c r="Q339" s="170"/>
      <c r="R339" s="170"/>
      <c r="S339" s="170"/>
      <c r="T339" s="173"/>
      <c r="U339" s="170"/>
      <c r="V339" s="170"/>
      <c r="W339" s="172"/>
      <c r="X339" s="170" t="s">
        <v>1240</v>
      </c>
      <c r="Y339" s="170" t="s">
        <v>1240</v>
      </c>
      <c r="Z339" s="170" t="s">
        <v>1240</v>
      </c>
      <c r="AA339" s="170" t="s">
        <v>1240</v>
      </c>
      <c r="AB339" s="170" t="s">
        <v>1240</v>
      </c>
      <c r="AC339" s="170" t="s">
        <v>1240</v>
      </c>
      <c r="AD339" s="174" t="s">
        <v>1240</v>
      </c>
      <c r="AE339" s="172" t="s">
        <v>1240</v>
      </c>
      <c r="AF339" s="172"/>
      <c r="AG339" s="172"/>
    </row>
    <row r="340" spans="1:33" s="175" customFormat="1" hidden="1" x14ac:dyDescent="0.2">
      <c r="A340" s="170" t="s">
        <v>1240</v>
      </c>
      <c r="B340" s="170" t="s">
        <v>1240</v>
      </c>
      <c r="C340" s="170" t="s">
        <v>1240</v>
      </c>
      <c r="D340" s="170" t="s">
        <v>1240</v>
      </c>
      <c r="E340" s="170" t="s">
        <v>1240</v>
      </c>
      <c r="F340" s="170" t="s">
        <v>1240</v>
      </c>
      <c r="G340" s="170" t="s">
        <v>1240</v>
      </c>
      <c r="H340" s="276" t="s">
        <v>1240</v>
      </c>
      <c r="I340" s="170" t="e">
        <f t="shared" si="14"/>
        <v>#VALUE!</v>
      </c>
      <c r="J340" s="171" t="s">
        <v>1240</v>
      </c>
      <c r="K340" s="170" t="e">
        <f t="shared" si="15"/>
        <v>#VALUE!</v>
      </c>
      <c r="L340" s="170"/>
      <c r="M340" s="170"/>
      <c r="N340" s="170"/>
      <c r="O340" s="170" t="s">
        <v>1240</v>
      </c>
      <c r="P340" s="170" t="s">
        <v>1240</v>
      </c>
      <c r="Q340" s="170"/>
      <c r="R340" s="170"/>
      <c r="S340" s="170"/>
      <c r="T340" s="173"/>
      <c r="U340" s="170"/>
      <c r="V340" s="170"/>
      <c r="W340" s="172"/>
      <c r="X340" s="170" t="s">
        <v>1240</v>
      </c>
      <c r="Y340" s="170" t="s">
        <v>1240</v>
      </c>
      <c r="Z340" s="170" t="s">
        <v>1240</v>
      </c>
      <c r="AA340" s="170" t="s">
        <v>1240</v>
      </c>
      <c r="AB340" s="170" t="s">
        <v>1240</v>
      </c>
      <c r="AC340" s="170" t="s">
        <v>1240</v>
      </c>
      <c r="AD340" s="174" t="s">
        <v>1240</v>
      </c>
      <c r="AE340" s="172" t="s">
        <v>1240</v>
      </c>
      <c r="AF340" s="172"/>
      <c r="AG340" s="172"/>
    </row>
    <row r="341" spans="1:33" s="175" customFormat="1" hidden="1" x14ac:dyDescent="0.2">
      <c r="A341" s="170" t="s">
        <v>1240</v>
      </c>
      <c r="B341" s="170" t="s">
        <v>1240</v>
      </c>
      <c r="C341" s="170" t="s">
        <v>1240</v>
      </c>
      <c r="D341" s="170" t="s">
        <v>1240</v>
      </c>
      <c r="E341" s="170" t="s">
        <v>1240</v>
      </c>
      <c r="F341" s="170" t="s">
        <v>1240</v>
      </c>
      <c r="G341" s="170" t="s">
        <v>1240</v>
      </c>
      <c r="H341" s="276" t="s">
        <v>1240</v>
      </c>
      <c r="I341" s="170" t="e">
        <f t="shared" si="14"/>
        <v>#VALUE!</v>
      </c>
      <c r="J341" s="171" t="s">
        <v>1240</v>
      </c>
      <c r="K341" s="170" t="e">
        <f t="shared" si="15"/>
        <v>#VALUE!</v>
      </c>
      <c r="L341" s="170"/>
      <c r="M341" s="170"/>
      <c r="N341" s="170"/>
      <c r="O341" s="170" t="s">
        <v>1240</v>
      </c>
      <c r="P341" s="170" t="s">
        <v>1240</v>
      </c>
      <c r="Q341" s="170"/>
      <c r="R341" s="170"/>
      <c r="S341" s="170"/>
      <c r="T341" s="173"/>
      <c r="U341" s="170"/>
      <c r="V341" s="170"/>
      <c r="W341" s="172"/>
      <c r="X341" s="170" t="s">
        <v>1240</v>
      </c>
      <c r="Y341" s="170" t="s">
        <v>1240</v>
      </c>
      <c r="Z341" s="170" t="s">
        <v>1240</v>
      </c>
      <c r="AA341" s="170" t="s">
        <v>1240</v>
      </c>
      <c r="AB341" s="170" t="s">
        <v>1240</v>
      </c>
      <c r="AC341" s="170" t="s">
        <v>1240</v>
      </c>
      <c r="AD341" s="174" t="s">
        <v>1240</v>
      </c>
      <c r="AE341" s="172" t="s">
        <v>1240</v>
      </c>
      <c r="AF341" s="172"/>
      <c r="AG341" s="172"/>
    </row>
    <row r="342" spans="1:33" s="175" customFormat="1" hidden="1" x14ac:dyDescent="0.2">
      <c r="A342" s="170" t="s">
        <v>1240</v>
      </c>
      <c r="B342" s="170" t="s">
        <v>1240</v>
      </c>
      <c r="C342" s="170" t="s">
        <v>1240</v>
      </c>
      <c r="D342" s="170" t="s">
        <v>1240</v>
      </c>
      <c r="E342" s="170" t="s">
        <v>1240</v>
      </c>
      <c r="F342" s="170" t="s">
        <v>1240</v>
      </c>
      <c r="G342" s="170" t="s">
        <v>1240</v>
      </c>
      <c r="H342" s="276" t="s">
        <v>1240</v>
      </c>
      <c r="I342" s="170" t="e">
        <f t="shared" si="14"/>
        <v>#VALUE!</v>
      </c>
      <c r="J342" s="171" t="s">
        <v>1240</v>
      </c>
      <c r="K342" s="170" t="e">
        <f t="shared" si="15"/>
        <v>#VALUE!</v>
      </c>
      <c r="L342" s="170"/>
      <c r="M342" s="170"/>
      <c r="N342" s="170"/>
      <c r="O342" s="170" t="s">
        <v>1240</v>
      </c>
      <c r="P342" s="170" t="s">
        <v>1240</v>
      </c>
      <c r="Q342" s="170"/>
      <c r="R342" s="170"/>
      <c r="S342" s="170"/>
      <c r="T342" s="173"/>
      <c r="U342" s="170"/>
      <c r="V342" s="170"/>
      <c r="W342" s="172"/>
      <c r="X342" s="170" t="s">
        <v>1240</v>
      </c>
      <c r="Y342" s="170" t="s">
        <v>1240</v>
      </c>
      <c r="Z342" s="170" t="s">
        <v>1240</v>
      </c>
      <c r="AA342" s="170" t="s">
        <v>1240</v>
      </c>
      <c r="AB342" s="170" t="s">
        <v>1240</v>
      </c>
      <c r="AC342" s="170" t="s">
        <v>1240</v>
      </c>
      <c r="AD342" s="174" t="s">
        <v>1240</v>
      </c>
      <c r="AE342" s="172" t="s">
        <v>1240</v>
      </c>
      <c r="AF342" s="172"/>
      <c r="AG342" s="172"/>
    </row>
    <row r="343" spans="1:33" s="175" customFormat="1" hidden="1" x14ac:dyDescent="0.2">
      <c r="A343" s="170" t="s">
        <v>1240</v>
      </c>
      <c r="B343" s="170" t="s">
        <v>1240</v>
      </c>
      <c r="C343" s="170" t="s">
        <v>1240</v>
      </c>
      <c r="D343" s="170" t="s">
        <v>1240</v>
      </c>
      <c r="E343" s="170" t="s">
        <v>1240</v>
      </c>
      <c r="F343" s="170" t="s">
        <v>1240</v>
      </c>
      <c r="G343" s="170" t="s">
        <v>1240</v>
      </c>
      <c r="H343" s="276" t="s">
        <v>1240</v>
      </c>
      <c r="I343" s="170" t="e">
        <f t="shared" si="14"/>
        <v>#VALUE!</v>
      </c>
      <c r="J343" s="171" t="s">
        <v>1240</v>
      </c>
      <c r="K343" s="170" t="e">
        <f t="shared" si="15"/>
        <v>#VALUE!</v>
      </c>
      <c r="L343" s="170"/>
      <c r="M343" s="170"/>
      <c r="N343" s="170"/>
      <c r="O343" s="170" t="s">
        <v>1240</v>
      </c>
      <c r="P343" s="170" t="s">
        <v>1240</v>
      </c>
      <c r="Q343" s="170"/>
      <c r="R343" s="170"/>
      <c r="S343" s="170"/>
      <c r="T343" s="173"/>
      <c r="U343" s="170"/>
      <c r="V343" s="170"/>
      <c r="W343" s="172"/>
      <c r="X343" s="170" t="s">
        <v>1240</v>
      </c>
      <c r="Y343" s="170" t="s">
        <v>1240</v>
      </c>
      <c r="Z343" s="170" t="s">
        <v>1240</v>
      </c>
      <c r="AA343" s="170" t="s">
        <v>1240</v>
      </c>
      <c r="AB343" s="170" t="s">
        <v>1240</v>
      </c>
      <c r="AC343" s="170" t="s">
        <v>1240</v>
      </c>
      <c r="AD343" s="174" t="s">
        <v>1240</v>
      </c>
      <c r="AE343" s="172" t="s">
        <v>1240</v>
      </c>
      <c r="AF343" s="172"/>
      <c r="AG343" s="172"/>
    </row>
    <row r="344" spans="1:33" s="175" customFormat="1" hidden="1" x14ac:dyDescent="0.2">
      <c r="A344" s="170" t="s">
        <v>1240</v>
      </c>
      <c r="B344" s="170" t="s">
        <v>1240</v>
      </c>
      <c r="C344" s="170" t="s">
        <v>1240</v>
      </c>
      <c r="D344" s="170" t="s">
        <v>1240</v>
      </c>
      <c r="E344" s="170" t="s">
        <v>1240</v>
      </c>
      <c r="F344" s="170" t="s">
        <v>1240</v>
      </c>
      <c r="G344" s="170" t="s">
        <v>1240</v>
      </c>
      <c r="H344" s="276" t="s">
        <v>1240</v>
      </c>
      <c r="I344" s="170" t="e">
        <f t="shared" si="14"/>
        <v>#VALUE!</v>
      </c>
      <c r="J344" s="171" t="s">
        <v>1240</v>
      </c>
      <c r="K344" s="170" t="e">
        <f t="shared" si="15"/>
        <v>#VALUE!</v>
      </c>
      <c r="L344" s="170"/>
      <c r="M344" s="170"/>
      <c r="N344" s="170"/>
      <c r="O344" s="170" t="s">
        <v>1240</v>
      </c>
      <c r="P344" s="170" t="s">
        <v>1240</v>
      </c>
      <c r="Q344" s="170"/>
      <c r="R344" s="170"/>
      <c r="S344" s="170"/>
      <c r="T344" s="173"/>
      <c r="U344" s="170"/>
      <c r="V344" s="170"/>
      <c r="W344" s="172"/>
      <c r="X344" s="170" t="s">
        <v>1240</v>
      </c>
      <c r="Y344" s="170" t="s">
        <v>1240</v>
      </c>
      <c r="Z344" s="170" t="s">
        <v>1240</v>
      </c>
      <c r="AA344" s="170" t="s">
        <v>1240</v>
      </c>
      <c r="AB344" s="170" t="s">
        <v>1240</v>
      </c>
      <c r="AC344" s="170" t="s">
        <v>1240</v>
      </c>
      <c r="AD344" s="174" t="s">
        <v>1240</v>
      </c>
      <c r="AE344" s="172" t="s">
        <v>1240</v>
      </c>
      <c r="AF344" s="172"/>
      <c r="AG344" s="172"/>
    </row>
    <row r="345" spans="1:33" s="175" customFormat="1" hidden="1" x14ac:dyDescent="0.2">
      <c r="A345" s="170" t="s">
        <v>1240</v>
      </c>
      <c r="B345" s="170" t="s">
        <v>1240</v>
      </c>
      <c r="C345" s="170" t="s">
        <v>1240</v>
      </c>
      <c r="D345" s="170" t="s">
        <v>1240</v>
      </c>
      <c r="E345" s="170" t="s">
        <v>1240</v>
      </c>
      <c r="F345" s="170" t="s">
        <v>1240</v>
      </c>
      <c r="G345" s="170" t="s">
        <v>1240</v>
      </c>
      <c r="H345" s="276" t="s">
        <v>1240</v>
      </c>
      <c r="I345" s="170" t="e">
        <f t="shared" si="14"/>
        <v>#VALUE!</v>
      </c>
      <c r="J345" s="171" t="s">
        <v>1240</v>
      </c>
      <c r="K345" s="170" t="e">
        <f t="shared" si="15"/>
        <v>#VALUE!</v>
      </c>
      <c r="L345" s="170"/>
      <c r="M345" s="170"/>
      <c r="N345" s="170"/>
      <c r="O345" s="170" t="s">
        <v>1240</v>
      </c>
      <c r="P345" s="170" t="s">
        <v>1240</v>
      </c>
      <c r="Q345" s="170"/>
      <c r="R345" s="170"/>
      <c r="S345" s="170"/>
      <c r="T345" s="173"/>
      <c r="U345" s="170"/>
      <c r="V345" s="170"/>
      <c r="W345" s="172"/>
      <c r="X345" s="170" t="s">
        <v>1240</v>
      </c>
      <c r="Y345" s="170" t="s">
        <v>1240</v>
      </c>
      <c r="Z345" s="170" t="s">
        <v>1240</v>
      </c>
      <c r="AA345" s="170" t="s">
        <v>1240</v>
      </c>
      <c r="AB345" s="170" t="s">
        <v>1240</v>
      </c>
      <c r="AC345" s="170" t="s">
        <v>1240</v>
      </c>
      <c r="AD345" s="174" t="s">
        <v>1240</v>
      </c>
      <c r="AE345" s="172" t="s">
        <v>1240</v>
      </c>
      <c r="AF345" s="172"/>
      <c r="AG345" s="172"/>
    </row>
    <row r="346" spans="1:33" s="175" customFormat="1" hidden="1" x14ac:dyDescent="0.2">
      <c r="A346" s="170" t="s">
        <v>1240</v>
      </c>
      <c r="B346" s="170" t="s">
        <v>1240</v>
      </c>
      <c r="C346" s="170" t="s">
        <v>1240</v>
      </c>
      <c r="D346" s="170" t="s">
        <v>1240</v>
      </c>
      <c r="E346" s="170" t="s">
        <v>1240</v>
      </c>
      <c r="F346" s="170" t="s">
        <v>1240</v>
      </c>
      <c r="G346" s="170" t="s">
        <v>1240</v>
      </c>
      <c r="H346" s="276" t="s">
        <v>1240</v>
      </c>
      <c r="I346" s="170" t="e">
        <f t="shared" si="14"/>
        <v>#VALUE!</v>
      </c>
      <c r="J346" s="171" t="s">
        <v>1240</v>
      </c>
      <c r="K346" s="170" t="e">
        <f t="shared" si="15"/>
        <v>#VALUE!</v>
      </c>
      <c r="L346" s="170"/>
      <c r="M346" s="170"/>
      <c r="N346" s="170"/>
      <c r="O346" s="170" t="s">
        <v>1240</v>
      </c>
      <c r="P346" s="170" t="s">
        <v>1240</v>
      </c>
      <c r="Q346" s="170"/>
      <c r="R346" s="170"/>
      <c r="S346" s="170"/>
      <c r="T346" s="173"/>
      <c r="U346" s="170"/>
      <c r="V346" s="170"/>
      <c r="W346" s="172"/>
      <c r="X346" s="170" t="s">
        <v>1240</v>
      </c>
      <c r="Y346" s="170" t="s">
        <v>1240</v>
      </c>
      <c r="Z346" s="170" t="s">
        <v>1240</v>
      </c>
      <c r="AA346" s="170" t="s">
        <v>1240</v>
      </c>
      <c r="AB346" s="170" t="s">
        <v>1240</v>
      </c>
      <c r="AC346" s="170" t="s">
        <v>1240</v>
      </c>
      <c r="AD346" s="174" t="s">
        <v>1240</v>
      </c>
      <c r="AE346" s="172" t="s">
        <v>1240</v>
      </c>
      <c r="AF346" s="172"/>
      <c r="AG346" s="172"/>
    </row>
    <row r="347" spans="1:33" s="175" customFormat="1" hidden="1" x14ac:dyDescent="0.2">
      <c r="A347" s="170" t="s">
        <v>1240</v>
      </c>
      <c r="B347" s="170" t="s">
        <v>1240</v>
      </c>
      <c r="C347" s="170" t="s">
        <v>1240</v>
      </c>
      <c r="D347" s="170" t="s">
        <v>1240</v>
      </c>
      <c r="E347" s="170" t="s">
        <v>1240</v>
      </c>
      <c r="F347" s="170" t="s">
        <v>1240</v>
      </c>
      <c r="G347" s="170" t="s">
        <v>1240</v>
      </c>
      <c r="H347" s="276" t="s">
        <v>1240</v>
      </c>
      <c r="I347" s="170" t="e">
        <f t="shared" si="14"/>
        <v>#VALUE!</v>
      </c>
      <c r="J347" s="171" t="s">
        <v>1240</v>
      </c>
      <c r="K347" s="170" t="e">
        <f t="shared" si="15"/>
        <v>#VALUE!</v>
      </c>
      <c r="L347" s="170"/>
      <c r="M347" s="170"/>
      <c r="N347" s="170"/>
      <c r="O347" s="170" t="s">
        <v>1240</v>
      </c>
      <c r="P347" s="170" t="s">
        <v>1240</v>
      </c>
      <c r="Q347" s="170"/>
      <c r="R347" s="170"/>
      <c r="S347" s="170"/>
      <c r="T347" s="173"/>
      <c r="U347" s="170"/>
      <c r="V347" s="170"/>
      <c r="W347" s="172"/>
      <c r="X347" s="170" t="s">
        <v>1240</v>
      </c>
      <c r="Y347" s="170" t="s">
        <v>1240</v>
      </c>
      <c r="Z347" s="170" t="s">
        <v>1240</v>
      </c>
      <c r="AA347" s="170" t="s">
        <v>1240</v>
      </c>
      <c r="AB347" s="170" t="s">
        <v>1240</v>
      </c>
      <c r="AC347" s="170" t="s">
        <v>1240</v>
      </c>
      <c r="AD347" s="174" t="s">
        <v>1240</v>
      </c>
      <c r="AE347" s="172" t="s">
        <v>1240</v>
      </c>
      <c r="AF347" s="172"/>
      <c r="AG347" s="172"/>
    </row>
    <row r="348" spans="1:33" s="175" customFormat="1" hidden="1" x14ac:dyDescent="0.2">
      <c r="A348" s="170" t="s">
        <v>1240</v>
      </c>
      <c r="B348" s="170" t="s">
        <v>1240</v>
      </c>
      <c r="C348" s="170" t="s">
        <v>1240</v>
      </c>
      <c r="D348" s="170" t="s">
        <v>1240</v>
      </c>
      <c r="E348" s="170" t="s">
        <v>1240</v>
      </c>
      <c r="F348" s="170" t="s">
        <v>1240</v>
      </c>
      <c r="G348" s="170" t="s">
        <v>1240</v>
      </c>
      <c r="H348" s="276" t="s">
        <v>1240</v>
      </c>
      <c r="I348" s="170" t="e">
        <f t="shared" si="14"/>
        <v>#VALUE!</v>
      </c>
      <c r="J348" s="171" t="s">
        <v>1240</v>
      </c>
      <c r="K348" s="170" t="e">
        <f t="shared" si="15"/>
        <v>#VALUE!</v>
      </c>
      <c r="L348" s="170"/>
      <c r="M348" s="170"/>
      <c r="N348" s="170"/>
      <c r="O348" s="170" t="s">
        <v>1240</v>
      </c>
      <c r="P348" s="170" t="s">
        <v>1240</v>
      </c>
      <c r="Q348" s="170"/>
      <c r="R348" s="170"/>
      <c r="S348" s="170"/>
      <c r="T348" s="173"/>
      <c r="U348" s="170"/>
      <c r="V348" s="170"/>
      <c r="W348" s="172"/>
      <c r="X348" s="170" t="s">
        <v>1240</v>
      </c>
      <c r="Y348" s="170" t="s">
        <v>1240</v>
      </c>
      <c r="Z348" s="170" t="s">
        <v>1240</v>
      </c>
      <c r="AA348" s="170" t="s">
        <v>1240</v>
      </c>
      <c r="AB348" s="170" t="s">
        <v>1240</v>
      </c>
      <c r="AC348" s="170" t="s">
        <v>1240</v>
      </c>
      <c r="AD348" s="174" t="s">
        <v>1240</v>
      </c>
      <c r="AE348" s="172" t="s">
        <v>1240</v>
      </c>
      <c r="AF348" s="172"/>
      <c r="AG348" s="172"/>
    </row>
    <row r="349" spans="1:33" s="175" customFormat="1" hidden="1" x14ac:dyDescent="0.2">
      <c r="A349" s="170" t="s">
        <v>1240</v>
      </c>
      <c r="B349" s="170" t="s">
        <v>1240</v>
      </c>
      <c r="C349" s="170" t="s">
        <v>1240</v>
      </c>
      <c r="D349" s="170" t="s">
        <v>1240</v>
      </c>
      <c r="E349" s="170" t="s">
        <v>1240</v>
      </c>
      <c r="F349" s="170" t="s">
        <v>1240</v>
      </c>
      <c r="G349" s="170" t="s">
        <v>1240</v>
      </c>
      <c r="H349" s="276" t="s">
        <v>1240</v>
      </c>
      <c r="I349" s="170" t="e">
        <f t="shared" si="14"/>
        <v>#VALUE!</v>
      </c>
      <c r="J349" s="171" t="s">
        <v>1240</v>
      </c>
      <c r="K349" s="170" t="e">
        <f t="shared" si="15"/>
        <v>#VALUE!</v>
      </c>
      <c r="L349" s="170"/>
      <c r="M349" s="170"/>
      <c r="N349" s="170"/>
      <c r="O349" s="170" t="s">
        <v>1240</v>
      </c>
      <c r="P349" s="170" t="s">
        <v>1240</v>
      </c>
      <c r="Q349" s="170"/>
      <c r="R349" s="170"/>
      <c r="S349" s="170"/>
      <c r="T349" s="173"/>
      <c r="U349" s="170"/>
      <c r="V349" s="170"/>
      <c r="W349" s="172"/>
      <c r="X349" s="170" t="s">
        <v>1240</v>
      </c>
      <c r="Y349" s="170" t="s">
        <v>1240</v>
      </c>
      <c r="Z349" s="170" t="s">
        <v>1240</v>
      </c>
      <c r="AA349" s="170" t="s">
        <v>1240</v>
      </c>
      <c r="AB349" s="170" t="s">
        <v>1240</v>
      </c>
      <c r="AC349" s="170" t="s">
        <v>1240</v>
      </c>
      <c r="AD349" s="174" t="s">
        <v>1240</v>
      </c>
      <c r="AE349" s="172" t="s">
        <v>1240</v>
      </c>
      <c r="AF349" s="172"/>
      <c r="AG349" s="172"/>
    </row>
    <row r="350" spans="1:33" s="175" customFormat="1" hidden="1" x14ac:dyDescent="0.2">
      <c r="A350" s="170" t="s">
        <v>1240</v>
      </c>
      <c r="B350" s="170" t="s">
        <v>1240</v>
      </c>
      <c r="C350" s="170" t="s">
        <v>1240</v>
      </c>
      <c r="D350" s="170" t="s">
        <v>1240</v>
      </c>
      <c r="E350" s="170" t="s">
        <v>1240</v>
      </c>
      <c r="F350" s="170" t="s">
        <v>1240</v>
      </c>
      <c r="G350" s="170" t="s">
        <v>1240</v>
      </c>
      <c r="H350" s="276" t="s">
        <v>1240</v>
      </c>
      <c r="I350" s="170" t="e">
        <f t="shared" si="14"/>
        <v>#VALUE!</v>
      </c>
      <c r="J350" s="171" t="s">
        <v>1240</v>
      </c>
      <c r="K350" s="170" t="e">
        <f t="shared" si="15"/>
        <v>#VALUE!</v>
      </c>
      <c r="L350" s="170"/>
      <c r="M350" s="170"/>
      <c r="N350" s="170"/>
      <c r="O350" s="170" t="s">
        <v>1240</v>
      </c>
      <c r="P350" s="170" t="s">
        <v>1240</v>
      </c>
      <c r="Q350" s="170"/>
      <c r="R350" s="170"/>
      <c r="S350" s="170"/>
      <c r="T350" s="173"/>
      <c r="U350" s="170"/>
      <c r="V350" s="170"/>
      <c r="W350" s="172"/>
      <c r="X350" s="170" t="s">
        <v>1240</v>
      </c>
      <c r="Y350" s="170" t="s">
        <v>1240</v>
      </c>
      <c r="Z350" s="170" t="s">
        <v>1240</v>
      </c>
      <c r="AA350" s="170" t="s">
        <v>1240</v>
      </c>
      <c r="AB350" s="170" t="s">
        <v>1240</v>
      </c>
      <c r="AC350" s="170" t="s">
        <v>1240</v>
      </c>
      <c r="AD350" s="174" t="s">
        <v>1240</v>
      </c>
      <c r="AE350" s="172" t="s">
        <v>1240</v>
      </c>
      <c r="AF350" s="172"/>
      <c r="AG350" s="172"/>
    </row>
    <row r="351" spans="1:33" s="175" customFormat="1" ht="15" hidden="1" x14ac:dyDescent="0.25">
      <c r="A351" s="170"/>
      <c r="B351" s="170"/>
      <c r="C351" s="170"/>
      <c r="D351" s="170"/>
      <c r="E351" s="170"/>
      <c r="F351" s="170"/>
      <c r="G351" s="9"/>
      <c r="H351" s="11"/>
      <c r="I351" s="170"/>
      <c r="J351" s="9"/>
      <c r="K351" s="170"/>
      <c r="L351" s="9"/>
      <c r="M351" s="9"/>
      <c r="N351" s="170"/>
      <c r="O351" s="170"/>
      <c r="P351" s="170"/>
      <c r="Q351" s="170"/>
      <c r="R351" s="170"/>
      <c r="S351" s="170"/>
      <c r="T351" s="173"/>
      <c r="U351" s="170"/>
      <c r="V351" s="170"/>
      <c r="W351" s="172"/>
      <c r="X351" s="170"/>
      <c r="Y351" s="170"/>
      <c r="Z351" s="170"/>
      <c r="AA351" s="170"/>
      <c r="AB351" s="170"/>
      <c r="AC351" s="170"/>
      <c r="AD351" s="1"/>
      <c r="AE351" s="172"/>
      <c r="AF351" s="172"/>
      <c r="AG351" s="172"/>
    </row>
    <row r="352" spans="1:33" s="175" customFormat="1" ht="15" hidden="1" x14ac:dyDescent="0.25">
      <c r="A352" s="170"/>
      <c r="B352" s="170"/>
      <c r="C352" s="170"/>
      <c r="D352" s="170"/>
      <c r="E352" s="170"/>
      <c r="F352" s="170"/>
      <c r="G352" s="170"/>
      <c r="H352" s="11"/>
      <c r="I352" s="170"/>
      <c r="J352" s="9"/>
      <c r="K352" s="170"/>
      <c r="L352" s="9"/>
      <c r="M352" s="9"/>
      <c r="N352" s="170"/>
      <c r="O352" s="170"/>
      <c r="P352" s="170"/>
      <c r="Q352" s="170"/>
      <c r="R352" s="170"/>
      <c r="S352" s="170"/>
      <c r="T352" s="173"/>
      <c r="U352" s="170"/>
      <c r="V352" s="170"/>
      <c r="W352" s="172"/>
      <c r="X352" s="170"/>
      <c r="Y352" s="170"/>
      <c r="Z352" s="170"/>
      <c r="AA352" s="170"/>
      <c r="AB352" s="170"/>
      <c r="AC352" s="170"/>
      <c r="AD352" s="230"/>
      <c r="AE352" s="172"/>
      <c r="AF352" s="172"/>
      <c r="AG352" s="172"/>
    </row>
    <row r="353" spans="1:33" s="175" customFormat="1" ht="15" hidden="1" x14ac:dyDescent="0.25">
      <c r="A353" s="170"/>
      <c r="B353" s="170"/>
      <c r="C353" s="170"/>
      <c r="D353" s="170"/>
      <c r="E353" s="170"/>
      <c r="F353" s="170"/>
      <c r="G353" s="1"/>
      <c r="H353" s="11"/>
      <c r="I353" s="170"/>
      <c r="J353" s="9"/>
      <c r="K353" s="170"/>
      <c r="L353" s="10"/>
      <c r="M353" s="9"/>
      <c r="N353" s="170"/>
      <c r="O353" s="170"/>
      <c r="P353" s="170"/>
      <c r="Q353" s="170"/>
      <c r="R353" s="170"/>
      <c r="S353" s="170"/>
      <c r="T353" s="173"/>
      <c r="U353" s="170"/>
      <c r="V353" s="170"/>
      <c r="W353" s="172"/>
      <c r="X353" s="170"/>
      <c r="Y353" s="170"/>
      <c r="Z353" s="170"/>
      <c r="AA353" s="170"/>
      <c r="AB353" s="170"/>
      <c r="AC353" s="170"/>
      <c r="AD353" s="230"/>
      <c r="AE353" s="172"/>
      <c r="AF353" s="172"/>
      <c r="AG353" s="172"/>
    </row>
    <row r="354" spans="1:33" s="175" customFormat="1" ht="15" hidden="1" x14ac:dyDescent="0.25">
      <c r="A354" s="170"/>
      <c r="B354" s="170"/>
      <c r="C354" s="170"/>
      <c r="D354" s="170"/>
      <c r="E354" s="170"/>
      <c r="F354" s="170"/>
      <c r="G354" s="170"/>
      <c r="H354" s="11"/>
      <c r="I354" s="170"/>
      <c r="J354" s="9"/>
      <c r="K354" s="170"/>
      <c r="L354" s="9"/>
      <c r="M354" s="9"/>
      <c r="N354" s="170"/>
      <c r="O354" s="170"/>
      <c r="P354" s="170"/>
      <c r="Q354" s="170"/>
      <c r="R354" s="170"/>
      <c r="S354" s="170"/>
      <c r="T354" s="173"/>
      <c r="U354" s="170"/>
      <c r="V354" s="170"/>
      <c r="W354" s="172"/>
      <c r="X354" s="170"/>
      <c r="Y354" s="170"/>
      <c r="Z354" s="170"/>
      <c r="AA354" s="170"/>
      <c r="AB354" s="170"/>
      <c r="AC354" s="170"/>
      <c r="AD354" s="230"/>
      <c r="AE354" s="172"/>
      <c r="AF354" s="172"/>
      <c r="AG354" s="172"/>
    </row>
    <row r="355" spans="1:33" s="175" customFormat="1" ht="15" hidden="1" x14ac:dyDescent="0.25">
      <c r="A355" s="170"/>
      <c r="B355" s="170"/>
      <c r="C355" s="170"/>
      <c r="D355" s="170"/>
      <c r="E355" s="170"/>
      <c r="F355" s="170"/>
      <c r="G355" s="170"/>
      <c r="H355" s="11"/>
      <c r="I355" s="170"/>
      <c r="J355" s="9"/>
      <c r="K355" s="170"/>
      <c r="L355" s="9"/>
      <c r="M355" s="9"/>
      <c r="N355" s="170"/>
      <c r="O355" s="170"/>
      <c r="P355" s="170"/>
      <c r="Q355" s="170"/>
      <c r="R355" s="170"/>
      <c r="S355" s="170"/>
      <c r="T355" s="9"/>
      <c r="U355" s="170"/>
      <c r="V355" s="170"/>
      <c r="W355" s="172"/>
      <c r="X355" s="170"/>
      <c r="Y355" s="170"/>
      <c r="Z355" s="170"/>
      <c r="AA355" s="170"/>
      <c r="AB355" s="170"/>
      <c r="AC355" s="170"/>
      <c r="AD355" s="230"/>
      <c r="AE355" s="172"/>
      <c r="AF355" s="172"/>
      <c r="AG355" s="172"/>
    </row>
    <row r="356" spans="1:33" s="175" customFormat="1" ht="15" hidden="1" x14ac:dyDescent="0.25">
      <c r="A356" s="170"/>
      <c r="B356" s="170"/>
      <c r="C356" s="170"/>
      <c r="D356" s="170"/>
      <c r="E356" s="170"/>
      <c r="F356" s="170"/>
      <c r="G356" s="9"/>
      <c r="H356" s="11"/>
      <c r="I356" s="170"/>
      <c r="J356" s="9"/>
      <c r="K356" s="170"/>
      <c r="L356" s="171"/>
      <c r="M356" s="171"/>
      <c r="N356" s="170"/>
      <c r="O356" s="170"/>
      <c r="P356" s="170"/>
      <c r="Q356" s="170"/>
      <c r="R356" s="170"/>
      <c r="S356" s="170"/>
      <c r="T356" s="173"/>
      <c r="U356" s="170"/>
      <c r="V356" s="170"/>
      <c r="W356" s="172"/>
      <c r="X356" s="170"/>
      <c r="Y356" s="170"/>
      <c r="Z356" s="170"/>
      <c r="AA356" s="170"/>
      <c r="AB356" s="170"/>
      <c r="AC356" s="170"/>
      <c r="AD356" s="230"/>
      <c r="AE356" s="172"/>
      <c r="AF356" s="172"/>
      <c r="AG356" s="172"/>
    </row>
    <row r="357" spans="1:33" s="175" customFormat="1" ht="15" hidden="1" x14ac:dyDescent="0.25">
      <c r="A357" s="170"/>
      <c r="B357" s="170"/>
      <c r="C357" s="170"/>
      <c r="D357" s="170"/>
      <c r="E357" s="170"/>
      <c r="F357" s="170"/>
      <c r="G357" s="170"/>
      <c r="H357" s="11"/>
      <c r="I357" s="170"/>
      <c r="J357" s="9"/>
      <c r="K357" s="170"/>
      <c r="L357" s="9"/>
      <c r="M357" s="9"/>
      <c r="N357" s="170"/>
      <c r="O357" s="170"/>
      <c r="P357" s="170"/>
      <c r="Q357" s="170"/>
      <c r="R357" s="170"/>
      <c r="S357" s="170"/>
      <c r="T357" s="173"/>
      <c r="U357" s="170"/>
      <c r="V357" s="170"/>
      <c r="W357" s="172"/>
      <c r="X357" s="170"/>
      <c r="Y357" s="170"/>
      <c r="Z357" s="170"/>
      <c r="AA357" s="170"/>
      <c r="AB357" s="170"/>
      <c r="AC357" s="170"/>
      <c r="AD357" s="230"/>
      <c r="AE357" s="172"/>
      <c r="AF357" s="172"/>
      <c r="AG357" s="172"/>
    </row>
    <row r="358" spans="1:33" s="175" customFormat="1" ht="15" hidden="1" x14ac:dyDescent="0.25">
      <c r="A358" s="170"/>
      <c r="B358" s="170"/>
      <c r="C358" s="170"/>
      <c r="D358" s="170"/>
      <c r="E358" s="170"/>
      <c r="F358" s="170"/>
      <c r="G358" s="170"/>
      <c r="H358" s="11"/>
      <c r="I358" s="170"/>
      <c r="J358" s="171"/>
      <c r="K358" s="170"/>
      <c r="L358" s="37"/>
      <c r="M358" s="9"/>
      <c r="N358" s="170"/>
      <c r="O358" s="170"/>
      <c r="P358" s="170"/>
      <c r="Q358" s="170"/>
      <c r="R358" s="170"/>
      <c r="S358" s="170"/>
      <c r="T358" s="173"/>
      <c r="U358" s="170"/>
      <c r="V358" s="170"/>
      <c r="W358" s="172"/>
      <c r="X358" s="170"/>
      <c r="Y358" s="170"/>
      <c r="Z358" s="170"/>
      <c r="AA358" s="170"/>
      <c r="AB358" s="170"/>
      <c r="AC358" s="170"/>
      <c r="AD358" s="231"/>
      <c r="AE358" s="172"/>
      <c r="AF358" s="172"/>
      <c r="AG358" s="172"/>
    </row>
    <row r="361" spans="1:33" s="175" customFormat="1" x14ac:dyDescent="0.2">
      <c r="A361" s="170"/>
      <c r="B361" s="170"/>
      <c r="C361" s="170"/>
      <c r="D361" s="170"/>
      <c r="E361" s="170"/>
      <c r="F361" s="170"/>
      <c r="G361" s="170"/>
      <c r="H361" s="278"/>
      <c r="I361" s="170"/>
      <c r="J361" s="170"/>
      <c r="K361" s="170"/>
      <c r="L361" s="170"/>
      <c r="M361" s="170"/>
      <c r="N361" s="170"/>
      <c r="O361" s="170"/>
      <c r="P361" s="170"/>
      <c r="Q361" s="170"/>
      <c r="R361" s="170"/>
      <c r="S361" s="170"/>
      <c r="T361" s="170"/>
      <c r="U361" s="170"/>
      <c r="V361" s="170"/>
      <c r="W361" s="172"/>
      <c r="X361" s="170"/>
      <c r="Y361" s="170"/>
      <c r="Z361" s="170"/>
      <c r="AA361" s="170"/>
      <c r="AB361" s="170"/>
      <c r="AC361" s="170"/>
      <c r="AD361" s="174">
        <v>0</v>
      </c>
      <c r="AE361" s="172"/>
      <c r="AF361" s="176"/>
      <c r="AG361" s="176"/>
    </row>
    <row r="362" spans="1:33" s="175" customFormat="1" x14ac:dyDescent="0.2">
      <c r="A362" s="170"/>
      <c r="B362" s="170"/>
      <c r="C362" s="170"/>
      <c r="D362" s="170"/>
      <c r="E362" s="170"/>
      <c r="F362" s="170"/>
      <c r="G362" s="170"/>
      <c r="H362" s="278"/>
      <c r="I362" s="170"/>
      <c r="J362" s="170"/>
      <c r="K362" s="170"/>
      <c r="L362" s="170"/>
      <c r="M362" s="170"/>
      <c r="N362" s="170"/>
      <c r="O362" s="170"/>
      <c r="P362" s="170"/>
      <c r="Q362" s="170"/>
      <c r="R362" s="170"/>
      <c r="S362" s="170"/>
      <c r="T362" s="170"/>
      <c r="U362" s="170"/>
      <c r="V362" s="170"/>
      <c r="W362" s="172"/>
      <c r="X362" s="170"/>
      <c r="Y362" s="170"/>
      <c r="Z362" s="170"/>
      <c r="AA362" s="170"/>
      <c r="AB362" s="170"/>
      <c r="AC362" s="170"/>
      <c r="AD362" s="174"/>
      <c r="AE362" s="172"/>
      <c r="AF362" s="176"/>
      <c r="AG362" s="176"/>
    </row>
    <row r="363" spans="1:33" s="175" customFormat="1" x14ac:dyDescent="0.2">
      <c r="A363" s="170"/>
      <c r="B363" s="170"/>
      <c r="C363" s="170"/>
      <c r="D363" s="170"/>
      <c r="E363" s="170"/>
      <c r="F363" s="170"/>
      <c r="G363" s="170"/>
      <c r="H363" s="278"/>
      <c r="I363" s="170"/>
      <c r="J363" s="170"/>
      <c r="K363" s="170"/>
      <c r="L363" s="170"/>
      <c r="M363" s="170"/>
      <c r="N363" s="170"/>
      <c r="O363" s="170"/>
      <c r="P363" s="170"/>
      <c r="Q363" s="170"/>
      <c r="R363" s="170"/>
      <c r="S363" s="170"/>
      <c r="T363" s="170"/>
      <c r="U363" s="170"/>
      <c r="V363" s="170"/>
      <c r="W363" s="172"/>
      <c r="X363" s="170"/>
      <c r="Y363" s="170"/>
      <c r="Z363" s="170"/>
      <c r="AA363" s="170"/>
      <c r="AB363" s="170"/>
      <c r="AC363" s="170"/>
      <c r="AD363" s="174"/>
      <c r="AE363" s="172"/>
      <c r="AF363" s="176"/>
      <c r="AG363" s="176"/>
    </row>
    <row r="364" spans="1:33" s="175" customFormat="1" x14ac:dyDescent="0.2">
      <c r="A364" s="170"/>
      <c r="B364" s="170"/>
      <c r="C364" s="170"/>
      <c r="D364" s="170"/>
      <c r="E364" s="170"/>
      <c r="F364" s="170"/>
      <c r="G364" s="170"/>
      <c r="H364" s="278"/>
      <c r="I364" s="170"/>
      <c r="J364" s="170"/>
      <c r="K364" s="170"/>
      <c r="L364" s="170"/>
      <c r="M364" s="170"/>
      <c r="N364" s="170"/>
      <c r="O364" s="170"/>
      <c r="P364" s="170"/>
      <c r="Q364" s="170"/>
      <c r="R364" s="170"/>
      <c r="S364" s="170"/>
      <c r="T364" s="170"/>
      <c r="U364" s="170"/>
      <c r="V364" s="170"/>
      <c r="W364" s="172"/>
      <c r="X364" s="170"/>
      <c r="Y364" s="170"/>
      <c r="Z364" s="170"/>
      <c r="AA364" s="170"/>
      <c r="AB364" s="170"/>
      <c r="AC364" s="170"/>
      <c r="AD364" s="174"/>
      <c r="AE364" s="172"/>
      <c r="AF364" s="176"/>
      <c r="AG364" s="176"/>
    </row>
    <row r="365" spans="1:33" s="175" customFormat="1" x14ac:dyDescent="0.2">
      <c r="A365" s="170"/>
      <c r="B365" s="170"/>
      <c r="C365" s="170"/>
      <c r="D365" s="170"/>
      <c r="E365" s="170"/>
      <c r="F365" s="170"/>
      <c r="G365" s="170"/>
      <c r="H365" s="278"/>
      <c r="I365" s="170"/>
      <c r="J365" s="170"/>
      <c r="K365" s="170"/>
      <c r="L365" s="170"/>
      <c r="M365" s="170"/>
      <c r="N365" s="170"/>
      <c r="O365" s="170"/>
      <c r="P365" s="170"/>
      <c r="Q365" s="170"/>
      <c r="R365" s="170"/>
      <c r="S365" s="170"/>
      <c r="T365" s="170"/>
      <c r="U365" s="170"/>
      <c r="V365" s="170"/>
      <c r="W365" s="172"/>
      <c r="X365" s="170"/>
      <c r="Y365" s="170"/>
      <c r="Z365" s="170"/>
      <c r="AA365" s="170"/>
      <c r="AB365" s="170"/>
      <c r="AC365" s="170"/>
      <c r="AD365" s="174"/>
      <c r="AE365" s="172"/>
      <c r="AF365" s="176"/>
      <c r="AG365" s="176"/>
    </row>
    <row r="366" spans="1:33" s="175" customFormat="1" x14ac:dyDescent="0.2">
      <c r="A366" s="170"/>
      <c r="B366" s="170"/>
      <c r="C366" s="170"/>
      <c r="D366" s="170"/>
      <c r="E366" s="170"/>
      <c r="F366" s="170"/>
      <c r="G366" s="170"/>
      <c r="H366" s="278"/>
      <c r="I366" s="170"/>
      <c r="J366" s="170"/>
      <c r="K366" s="170"/>
      <c r="L366" s="170"/>
      <c r="M366" s="170"/>
      <c r="N366" s="170"/>
      <c r="O366" s="170"/>
      <c r="P366" s="170"/>
      <c r="Q366" s="170"/>
      <c r="R366" s="170"/>
      <c r="S366" s="170"/>
      <c r="T366" s="170"/>
      <c r="U366" s="170"/>
      <c r="V366" s="170"/>
      <c r="W366" s="172"/>
      <c r="X366" s="170"/>
      <c r="Y366" s="170"/>
      <c r="Z366" s="170"/>
      <c r="AA366" s="170"/>
      <c r="AB366" s="170"/>
      <c r="AC366" s="170"/>
      <c r="AD366" s="174"/>
      <c r="AE366" s="172"/>
      <c r="AF366" s="176"/>
      <c r="AG366" s="176"/>
    </row>
    <row r="367" spans="1:33" s="175" customFormat="1" x14ac:dyDescent="0.2">
      <c r="A367" s="170"/>
      <c r="B367" s="170"/>
      <c r="C367" s="170"/>
      <c r="D367" s="170"/>
      <c r="E367" s="170"/>
      <c r="F367" s="170"/>
      <c r="G367" s="170"/>
      <c r="H367" s="278"/>
      <c r="I367" s="170"/>
      <c r="J367" s="170"/>
      <c r="K367" s="170"/>
      <c r="L367" s="170"/>
      <c r="M367" s="170"/>
      <c r="N367" s="170"/>
      <c r="O367" s="170"/>
      <c r="P367" s="170"/>
      <c r="Q367" s="170"/>
      <c r="R367" s="170"/>
      <c r="S367" s="170"/>
      <c r="T367" s="170"/>
      <c r="U367" s="170"/>
      <c r="V367" s="170"/>
      <c r="W367" s="172"/>
      <c r="X367" s="170"/>
      <c r="Y367" s="170"/>
      <c r="Z367" s="170"/>
      <c r="AA367" s="170"/>
      <c r="AB367" s="170"/>
      <c r="AC367" s="170"/>
      <c r="AD367" s="174"/>
      <c r="AE367" s="172"/>
      <c r="AF367" s="176"/>
      <c r="AG367" s="176"/>
    </row>
    <row r="368" spans="1:33" s="175" customFormat="1" x14ac:dyDescent="0.2">
      <c r="A368" s="170"/>
      <c r="B368" s="170"/>
      <c r="C368" s="170"/>
      <c r="D368" s="170"/>
      <c r="E368" s="170"/>
      <c r="F368" s="170"/>
      <c r="G368" s="170"/>
      <c r="H368" s="278"/>
      <c r="I368" s="170"/>
      <c r="J368" s="170"/>
      <c r="K368" s="170"/>
      <c r="L368" s="170"/>
      <c r="M368" s="170"/>
      <c r="N368" s="170"/>
      <c r="O368" s="170"/>
      <c r="P368" s="170"/>
      <c r="Q368" s="170"/>
      <c r="R368" s="170"/>
      <c r="S368" s="170"/>
      <c r="T368" s="170"/>
      <c r="U368" s="170"/>
      <c r="V368" s="170"/>
      <c r="W368" s="172"/>
      <c r="X368" s="170"/>
      <c r="Y368" s="170"/>
      <c r="Z368" s="170"/>
      <c r="AA368" s="170"/>
      <c r="AB368" s="170"/>
      <c r="AC368" s="170"/>
      <c r="AD368" s="174"/>
      <c r="AE368" s="172"/>
      <c r="AF368" s="176"/>
      <c r="AG368" s="176"/>
    </row>
    <row r="369" spans="1:33" s="175" customFormat="1" x14ac:dyDescent="0.2">
      <c r="A369" s="170"/>
      <c r="B369" s="170"/>
      <c r="C369" s="170"/>
      <c r="D369" s="170"/>
      <c r="E369" s="170"/>
      <c r="F369" s="170"/>
      <c r="G369" s="170"/>
      <c r="H369" s="278"/>
      <c r="I369" s="170"/>
      <c r="J369" s="170"/>
      <c r="K369" s="170"/>
      <c r="L369" s="170"/>
      <c r="M369" s="170"/>
      <c r="N369" s="170"/>
      <c r="O369" s="170"/>
      <c r="P369" s="170"/>
      <c r="Q369" s="170"/>
      <c r="R369" s="170"/>
      <c r="S369" s="170"/>
      <c r="T369" s="170"/>
      <c r="U369" s="170"/>
      <c r="V369" s="170"/>
      <c r="W369" s="172"/>
      <c r="X369" s="170"/>
      <c r="Y369" s="170"/>
      <c r="Z369" s="170"/>
      <c r="AA369" s="170"/>
      <c r="AB369" s="170"/>
      <c r="AC369" s="170"/>
      <c r="AD369" s="174"/>
      <c r="AE369" s="172"/>
      <c r="AF369" s="176"/>
      <c r="AG369" s="176"/>
    </row>
    <row r="370" spans="1:33" s="175" customFormat="1" x14ac:dyDescent="0.2">
      <c r="A370" s="170"/>
      <c r="B370" s="170"/>
      <c r="C370" s="170"/>
      <c r="D370" s="170"/>
      <c r="E370" s="170"/>
      <c r="F370" s="170"/>
      <c r="G370" s="170"/>
      <c r="H370" s="278"/>
      <c r="I370" s="170"/>
      <c r="J370" s="170"/>
      <c r="K370" s="170"/>
      <c r="L370" s="170"/>
      <c r="M370" s="170"/>
      <c r="N370" s="170"/>
      <c r="O370" s="170"/>
      <c r="P370" s="170"/>
      <c r="Q370" s="170"/>
      <c r="R370" s="170"/>
      <c r="S370" s="170"/>
      <c r="T370" s="170"/>
      <c r="U370" s="170"/>
      <c r="V370" s="170"/>
      <c r="W370" s="172"/>
      <c r="X370" s="170"/>
      <c r="Y370" s="170"/>
      <c r="Z370" s="170"/>
      <c r="AA370" s="170"/>
      <c r="AB370" s="170"/>
      <c r="AC370" s="170"/>
      <c r="AD370" s="174"/>
      <c r="AE370" s="172"/>
      <c r="AF370" s="176"/>
      <c r="AG370" s="176"/>
    </row>
    <row r="371" spans="1:33" s="175" customFormat="1" x14ac:dyDescent="0.2">
      <c r="A371" s="170"/>
      <c r="B371" s="170"/>
      <c r="C371" s="170"/>
      <c r="D371" s="170"/>
      <c r="E371" s="170"/>
      <c r="F371" s="170"/>
      <c r="G371" s="170"/>
      <c r="H371" s="278"/>
      <c r="I371" s="170"/>
      <c r="J371" s="170"/>
      <c r="K371" s="170"/>
      <c r="L371" s="170"/>
      <c r="M371" s="170"/>
      <c r="N371" s="170"/>
      <c r="O371" s="170"/>
      <c r="P371" s="170"/>
      <c r="Q371" s="170"/>
      <c r="R371" s="170"/>
      <c r="S371" s="170"/>
      <c r="T371" s="170"/>
      <c r="U371" s="170"/>
      <c r="V371" s="170"/>
      <c r="W371" s="172"/>
      <c r="X371" s="170"/>
      <c r="Y371" s="170"/>
      <c r="Z371" s="170"/>
      <c r="AA371" s="170"/>
      <c r="AB371" s="170"/>
      <c r="AC371" s="170"/>
      <c r="AD371" s="174"/>
      <c r="AE371" s="172"/>
      <c r="AF371" s="176"/>
      <c r="AG371" s="176"/>
    </row>
    <row r="372" spans="1:33" s="175" customFormat="1" x14ac:dyDescent="0.2">
      <c r="A372" s="170"/>
      <c r="B372" s="170"/>
      <c r="C372" s="170"/>
      <c r="D372" s="170"/>
      <c r="E372" s="170"/>
      <c r="F372" s="170"/>
      <c r="G372" s="170"/>
      <c r="H372" s="278"/>
      <c r="I372" s="170"/>
      <c r="J372" s="170"/>
      <c r="K372" s="170"/>
      <c r="L372" s="170"/>
      <c r="M372" s="170"/>
      <c r="N372" s="170"/>
      <c r="O372" s="170"/>
      <c r="P372" s="170"/>
      <c r="Q372" s="170"/>
      <c r="R372" s="170"/>
      <c r="S372" s="170"/>
      <c r="T372" s="170"/>
      <c r="U372" s="170"/>
      <c r="V372" s="170"/>
      <c r="W372" s="172"/>
      <c r="X372" s="170"/>
      <c r="Y372" s="170"/>
      <c r="Z372" s="170"/>
      <c r="AA372" s="170"/>
      <c r="AB372" s="170"/>
      <c r="AC372" s="170"/>
      <c r="AD372" s="174"/>
      <c r="AE372" s="172"/>
      <c r="AF372" s="176"/>
      <c r="AG372" s="176"/>
    </row>
    <row r="373" spans="1:33" s="175" customFormat="1" x14ac:dyDescent="0.2">
      <c r="A373" s="170"/>
      <c r="B373" s="170"/>
      <c r="C373" s="170"/>
      <c r="D373" s="170"/>
      <c r="E373" s="170"/>
      <c r="F373" s="170"/>
      <c r="G373" s="170"/>
      <c r="H373" s="278"/>
      <c r="I373" s="170"/>
      <c r="J373" s="170"/>
      <c r="K373" s="170"/>
      <c r="L373" s="170"/>
      <c r="M373" s="170"/>
      <c r="N373" s="170"/>
      <c r="O373" s="170"/>
      <c r="P373" s="170"/>
      <c r="Q373" s="170"/>
      <c r="R373" s="170"/>
      <c r="S373" s="170"/>
      <c r="T373" s="170"/>
      <c r="U373" s="170"/>
      <c r="V373" s="170"/>
      <c r="W373" s="172"/>
      <c r="X373" s="170"/>
      <c r="Y373" s="170"/>
      <c r="Z373" s="170"/>
      <c r="AA373" s="170"/>
      <c r="AB373" s="170"/>
      <c r="AC373" s="170"/>
      <c r="AD373" s="174"/>
      <c r="AE373" s="172"/>
      <c r="AF373" s="176"/>
      <c r="AG373" s="176"/>
    </row>
    <row r="374" spans="1:33" s="175" customFormat="1" x14ac:dyDescent="0.2">
      <c r="A374" s="170"/>
      <c r="B374" s="170"/>
      <c r="C374" s="170"/>
      <c r="D374" s="170"/>
      <c r="E374" s="170"/>
      <c r="F374" s="170"/>
      <c r="G374" s="170"/>
      <c r="H374" s="278"/>
      <c r="I374" s="170"/>
      <c r="J374" s="170"/>
      <c r="K374" s="170"/>
      <c r="L374" s="170"/>
      <c r="M374" s="170"/>
      <c r="N374" s="170"/>
      <c r="O374" s="170"/>
      <c r="P374" s="170"/>
      <c r="Q374" s="170"/>
      <c r="R374" s="170"/>
      <c r="S374" s="170"/>
      <c r="T374" s="170"/>
      <c r="U374" s="170"/>
      <c r="V374" s="170"/>
      <c r="W374" s="172"/>
      <c r="X374" s="170"/>
      <c r="Y374" s="170"/>
      <c r="Z374" s="170"/>
      <c r="AA374" s="170"/>
      <c r="AB374" s="170"/>
      <c r="AC374" s="170"/>
      <c r="AD374" s="174"/>
      <c r="AE374" s="172"/>
      <c r="AF374" s="176"/>
      <c r="AG374" s="176"/>
    </row>
    <row r="375" spans="1:33" x14ac:dyDescent="0.2">
      <c r="A375" s="177"/>
      <c r="B375" s="177"/>
      <c r="C375" s="177"/>
      <c r="D375" s="177"/>
      <c r="E375" s="177"/>
      <c r="F375" s="177"/>
      <c r="G375" s="177"/>
      <c r="H375" s="245"/>
      <c r="I375" s="177"/>
      <c r="J375" s="170"/>
      <c r="K375" s="170"/>
      <c r="L375" s="177"/>
      <c r="M375" s="177"/>
      <c r="N375" s="177"/>
      <c r="O375" s="177"/>
      <c r="P375" s="177"/>
      <c r="Q375" s="177"/>
      <c r="R375" s="177"/>
      <c r="S375" s="177"/>
      <c r="T375" s="177"/>
      <c r="U375" s="177"/>
      <c r="V375" s="177"/>
      <c r="W375" s="178"/>
      <c r="X375" s="177"/>
      <c r="Y375" s="177"/>
      <c r="Z375" s="177"/>
      <c r="AA375" s="177"/>
      <c r="AB375" s="177"/>
      <c r="AC375" s="177"/>
      <c r="AD375" s="179"/>
      <c r="AE375" s="178"/>
    </row>
    <row r="376" spans="1:33" x14ac:dyDescent="0.2">
      <c r="A376" s="177"/>
      <c r="B376" s="177"/>
      <c r="C376" s="177"/>
      <c r="D376" s="177"/>
      <c r="E376" s="177"/>
      <c r="F376" s="177"/>
      <c r="G376" s="177"/>
      <c r="H376" s="245"/>
      <c r="I376" s="177"/>
      <c r="J376" s="170"/>
      <c r="K376" s="170"/>
      <c r="L376" s="177"/>
      <c r="M376" s="177"/>
      <c r="N376" s="177"/>
      <c r="O376" s="177"/>
      <c r="P376" s="177"/>
      <c r="Q376" s="177"/>
      <c r="R376" s="177"/>
      <c r="S376" s="177"/>
      <c r="T376" s="177"/>
      <c r="U376" s="177"/>
      <c r="V376" s="177"/>
      <c r="W376" s="178"/>
      <c r="X376" s="177"/>
      <c r="Y376" s="177"/>
      <c r="Z376" s="177"/>
      <c r="AA376" s="177"/>
      <c r="AB376" s="177"/>
      <c r="AC376" s="177"/>
      <c r="AD376" s="179"/>
      <c r="AE376" s="178"/>
    </row>
    <row r="377" spans="1:33" x14ac:dyDescent="0.2">
      <c r="A377" s="177"/>
      <c r="B377" s="177"/>
      <c r="C377" s="177"/>
      <c r="D377" s="177"/>
      <c r="E377" s="177"/>
      <c r="F377" s="177"/>
      <c r="G377" s="177"/>
      <c r="H377" s="245"/>
      <c r="I377" s="177"/>
      <c r="J377" s="170"/>
      <c r="K377" s="170"/>
      <c r="L377" s="177"/>
      <c r="M377" s="177"/>
      <c r="N377" s="177"/>
      <c r="O377" s="177"/>
      <c r="P377" s="177"/>
      <c r="Q377" s="177"/>
      <c r="R377" s="177"/>
      <c r="S377" s="177"/>
      <c r="T377" s="177"/>
      <c r="U377" s="177"/>
      <c r="V377" s="177"/>
      <c r="W377" s="178"/>
      <c r="X377" s="177"/>
      <c r="Y377" s="177"/>
      <c r="Z377" s="177"/>
      <c r="AA377" s="177"/>
      <c r="AB377" s="177"/>
      <c r="AC377" s="177"/>
      <c r="AD377" s="179"/>
      <c r="AE377" s="178"/>
    </row>
    <row r="378" spans="1:33" x14ac:dyDescent="0.2">
      <c r="A378" s="177"/>
      <c r="B378" s="177"/>
      <c r="C378" s="177"/>
      <c r="D378" s="177"/>
      <c r="E378" s="177"/>
      <c r="F378" s="177"/>
      <c r="G378" s="177"/>
      <c r="H378" s="245"/>
      <c r="I378" s="177"/>
      <c r="J378" s="170"/>
      <c r="K378" s="170"/>
      <c r="L378" s="177"/>
      <c r="M378" s="177"/>
      <c r="N378" s="177"/>
      <c r="O378" s="177"/>
      <c r="P378" s="177"/>
      <c r="Q378" s="177"/>
      <c r="R378" s="177"/>
      <c r="S378" s="177"/>
      <c r="T378" s="177"/>
      <c r="U378" s="177"/>
      <c r="V378" s="177"/>
      <c r="W378" s="178"/>
      <c r="X378" s="177"/>
      <c r="Y378" s="177"/>
      <c r="Z378" s="177"/>
      <c r="AA378" s="177"/>
      <c r="AB378" s="177"/>
      <c r="AC378" s="177"/>
      <c r="AD378" s="179"/>
      <c r="AE378" s="178"/>
    </row>
    <row r="379" spans="1:33" x14ac:dyDescent="0.2">
      <c r="A379" s="177"/>
      <c r="B379" s="177"/>
      <c r="C379" s="177"/>
      <c r="D379" s="177"/>
      <c r="E379" s="177"/>
      <c r="F379" s="177"/>
      <c r="G379" s="177"/>
      <c r="H379" s="245"/>
      <c r="I379" s="177"/>
      <c r="J379" s="170"/>
      <c r="K379" s="170"/>
      <c r="L379" s="177"/>
      <c r="M379" s="177"/>
      <c r="N379" s="177"/>
      <c r="O379" s="177"/>
      <c r="P379" s="177"/>
      <c r="Q379" s="177"/>
      <c r="R379" s="177"/>
      <c r="S379" s="177"/>
      <c r="T379" s="177"/>
      <c r="U379" s="177"/>
      <c r="V379" s="177"/>
      <c r="W379" s="178"/>
      <c r="X379" s="177"/>
      <c r="Y379" s="177"/>
      <c r="Z379" s="177"/>
      <c r="AA379" s="177"/>
      <c r="AB379" s="177"/>
      <c r="AC379" s="177"/>
      <c r="AD379" s="179"/>
      <c r="AE379" s="178"/>
    </row>
    <row r="380" spans="1:33" x14ac:dyDescent="0.2">
      <c r="A380" s="177"/>
      <c r="B380" s="177"/>
      <c r="C380" s="177"/>
      <c r="D380" s="177"/>
      <c r="E380" s="177"/>
      <c r="F380" s="177"/>
      <c r="G380" s="177"/>
      <c r="H380" s="245"/>
      <c r="I380" s="177"/>
      <c r="J380" s="170"/>
      <c r="K380" s="170"/>
      <c r="L380" s="177"/>
      <c r="M380" s="177"/>
      <c r="N380" s="177"/>
      <c r="O380" s="177"/>
      <c r="P380" s="177"/>
      <c r="Q380" s="177"/>
      <c r="R380" s="177"/>
      <c r="S380" s="177"/>
      <c r="T380" s="177"/>
      <c r="U380" s="177"/>
      <c r="V380" s="177"/>
      <c r="W380" s="178"/>
      <c r="X380" s="177"/>
      <c r="Y380" s="177"/>
      <c r="Z380" s="177"/>
      <c r="AA380" s="177"/>
      <c r="AB380" s="177"/>
      <c r="AC380" s="177"/>
      <c r="AD380" s="179"/>
      <c r="AE380" s="178"/>
    </row>
    <row r="381" spans="1:33" x14ac:dyDescent="0.2">
      <c r="A381" s="177"/>
      <c r="B381" s="177"/>
      <c r="C381" s="177"/>
      <c r="D381" s="177"/>
      <c r="E381" s="177"/>
      <c r="F381" s="177"/>
      <c r="G381" s="177"/>
      <c r="H381" s="245"/>
      <c r="I381" s="177"/>
      <c r="J381" s="170"/>
      <c r="K381" s="170"/>
      <c r="L381" s="177"/>
      <c r="M381" s="177"/>
      <c r="N381" s="177"/>
      <c r="O381" s="177"/>
      <c r="P381" s="177"/>
      <c r="Q381" s="177"/>
      <c r="R381" s="177"/>
      <c r="S381" s="177"/>
      <c r="T381" s="177"/>
      <c r="U381" s="177"/>
      <c r="V381" s="177"/>
      <c r="W381" s="178"/>
      <c r="X381" s="177"/>
      <c r="Y381" s="177"/>
      <c r="Z381" s="177"/>
      <c r="AA381" s="177"/>
      <c r="AB381" s="177"/>
      <c r="AC381" s="177"/>
      <c r="AD381" s="179"/>
      <c r="AE381" s="178"/>
    </row>
    <row r="382" spans="1:33" x14ac:dyDescent="0.2">
      <c r="A382" s="177"/>
      <c r="B382" s="177"/>
      <c r="C382" s="177"/>
      <c r="D382" s="177"/>
      <c r="E382" s="177"/>
      <c r="F382" s="177"/>
      <c r="G382" s="177"/>
      <c r="H382" s="245"/>
      <c r="I382" s="177"/>
      <c r="J382" s="170"/>
      <c r="K382" s="170"/>
      <c r="L382" s="177"/>
      <c r="M382" s="177"/>
      <c r="N382" s="177"/>
      <c r="O382" s="177"/>
      <c r="P382" s="177"/>
      <c r="Q382" s="177"/>
      <c r="R382" s="177"/>
      <c r="S382" s="177"/>
      <c r="T382" s="177"/>
      <c r="U382" s="177"/>
      <c r="V382" s="177"/>
      <c r="W382" s="178"/>
      <c r="X382" s="177"/>
      <c r="Y382" s="177"/>
      <c r="Z382" s="177"/>
      <c r="AA382" s="177"/>
      <c r="AB382" s="177"/>
      <c r="AC382" s="177"/>
      <c r="AD382" s="179"/>
      <c r="AE382" s="178"/>
    </row>
    <row r="383" spans="1:33" x14ac:dyDescent="0.2">
      <c r="A383" s="177"/>
      <c r="B383" s="177"/>
      <c r="C383" s="177"/>
      <c r="D383" s="177"/>
      <c r="E383" s="177"/>
      <c r="F383" s="177"/>
      <c r="G383" s="177"/>
      <c r="H383" s="245"/>
      <c r="I383" s="177"/>
      <c r="J383" s="170"/>
      <c r="K383" s="170"/>
      <c r="L383" s="177"/>
      <c r="M383" s="177"/>
      <c r="N383" s="177"/>
      <c r="O383" s="177"/>
      <c r="P383" s="177"/>
      <c r="Q383" s="177"/>
      <c r="R383" s="177"/>
      <c r="S383" s="177"/>
      <c r="T383" s="177"/>
      <c r="U383" s="177"/>
      <c r="V383" s="177"/>
      <c r="W383" s="178"/>
      <c r="X383" s="177"/>
      <c r="Y383" s="177"/>
      <c r="Z383" s="177"/>
      <c r="AA383" s="177"/>
      <c r="AB383" s="177"/>
      <c r="AC383" s="177"/>
      <c r="AD383" s="179"/>
      <c r="AE383" s="178"/>
    </row>
    <row r="384" spans="1:33" x14ac:dyDescent="0.2">
      <c r="A384" s="177"/>
      <c r="B384" s="177"/>
      <c r="C384" s="177"/>
      <c r="D384" s="177"/>
      <c r="E384" s="177"/>
      <c r="F384" s="177"/>
      <c r="G384" s="177"/>
      <c r="H384" s="245"/>
      <c r="I384" s="177"/>
      <c r="J384" s="170"/>
      <c r="K384" s="170"/>
      <c r="L384" s="177"/>
      <c r="M384" s="177"/>
      <c r="N384" s="177"/>
      <c r="O384" s="177"/>
      <c r="P384" s="177"/>
      <c r="Q384" s="177"/>
      <c r="R384" s="177"/>
      <c r="S384" s="177"/>
      <c r="T384" s="177"/>
      <c r="U384" s="177"/>
      <c r="V384" s="177"/>
      <c r="W384" s="178"/>
      <c r="X384" s="177"/>
      <c r="Y384" s="177"/>
      <c r="Z384" s="177"/>
      <c r="AA384" s="177"/>
      <c r="AB384" s="177"/>
      <c r="AC384" s="177"/>
      <c r="AD384" s="179"/>
      <c r="AE384" s="178"/>
    </row>
    <row r="385" spans="1:31" x14ac:dyDescent="0.2">
      <c r="A385" s="177"/>
      <c r="B385" s="177"/>
      <c r="C385" s="177"/>
      <c r="D385" s="177"/>
      <c r="E385" s="177"/>
      <c r="F385" s="177"/>
      <c r="G385" s="177"/>
      <c r="H385" s="245"/>
      <c r="I385" s="177"/>
      <c r="J385" s="170"/>
      <c r="K385" s="170"/>
      <c r="L385" s="177"/>
      <c r="M385" s="177"/>
      <c r="N385" s="177"/>
      <c r="O385" s="177"/>
      <c r="P385" s="177"/>
      <c r="Q385" s="177"/>
      <c r="R385" s="177"/>
      <c r="S385" s="177"/>
      <c r="T385" s="177"/>
      <c r="U385" s="177"/>
      <c r="V385" s="177"/>
      <c r="W385" s="178"/>
      <c r="X385" s="177"/>
      <c r="Y385" s="177"/>
      <c r="Z385" s="177"/>
      <c r="AA385" s="177"/>
      <c r="AB385" s="177"/>
      <c r="AC385" s="177"/>
      <c r="AD385" s="179"/>
      <c r="AE385" s="178"/>
    </row>
    <row r="386" spans="1:31" x14ac:dyDescent="0.2">
      <c r="A386" s="177"/>
      <c r="B386" s="177"/>
      <c r="C386" s="177"/>
      <c r="D386" s="177"/>
      <c r="E386" s="177"/>
      <c r="F386" s="177"/>
      <c r="G386" s="177"/>
      <c r="H386" s="245"/>
      <c r="I386" s="177"/>
      <c r="J386" s="170"/>
      <c r="K386" s="170"/>
      <c r="L386" s="177"/>
      <c r="M386" s="177"/>
      <c r="N386" s="177"/>
      <c r="O386" s="177"/>
      <c r="P386" s="177"/>
      <c r="Q386" s="177"/>
      <c r="R386" s="177"/>
      <c r="S386" s="177"/>
      <c r="T386" s="177"/>
      <c r="U386" s="177"/>
      <c r="V386" s="177"/>
      <c r="W386" s="178"/>
      <c r="X386" s="177"/>
      <c r="Y386" s="177"/>
      <c r="Z386" s="177"/>
      <c r="AA386" s="177"/>
      <c r="AB386" s="177"/>
      <c r="AC386" s="177"/>
      <c r="AD386" s="179"/>
      <c r="AE386" s="178"/>
    </row>
    <row r="387" spans="1:31" x14ac:dyDescent="0.2">
      <c r="A387" s="177"/>
      <c r="B387" s="177"/>
      <c r="C387" s="177"/>
      <c r="D387" s="177"/>
      <c r="E387" s="177"/>
      <c r="F387" s="177"/>
      <c r="G387" s="177"/>
      <c r="H387" s="245"/>
      <c r="I387" s="177"/>
      <c r="J387" s="170"/>
      <c r="K387" s="170"/>
      <c r="L387" s="177"/>
      <c r="M387" s="177"/>
      <c r="N387" s="177"/>
      <c r="O387" s="177"/>
      <c r="P387" s="177"/>
      <c r="Q387" s="177"/>
      <c r="R387" s="177"/>
      <c r="S387" s="177"/>
      <c r="T387" s="177"/>
      <c r="U387" s="177"/>
      <c r="V387" s="177"/>
      <c r="W387" s="178"/>
      <c r="X387" s="177"/>
      <c r="Y387" s="177"/>
      <c r="Z387" s="177"/>
      <c r="AA387" s="177"/>
      <c r="AB387" s="177"/>
      <c r="AC387" s="177"/>
      <c r="AD387" s="179"/>
      <c r="AE387" s="178"/>
    </row>
    <row r="388" spans="1:31" x14ac:dyDescent="0.2">
      <c r="A388" s="177"/>
      <c r="B388" s="177"/>
      <c r="C388" s="177"/>
      <c r="D388" s="177"/>
      <c r="E388" s="177"/>
      <c r="F388" s="177"/>
      <c r="G388" s="177"/>
      <c r="H388" s="245"/>
      <c r="I388" s="177"/>
      <c r="J388" s="170"/>
      <c r="K388" s="170"/>
      <c r="L388" s="177"/>
      <c r="M388" s="177"/>
      <c r="N388" s="177"/>
      <c r="O388" s="177"/>
      <c r="P388" s="177"/>
      <c r="Q388" s="177"/>
      <c r="R388" s="177"/>
      <c r="S388" s="177"/>
      <c r="T388" s="177"/>
      <c r="U388" s="177"/>
      <c r="V388" s="177"/>
      <c r="W388" s="178"/>
      <c r="X388" s="177"/>
      <c r="Y388" s="177"/>
      <c r="Z388" s="177"/>
      <c r="AA388" s="177"/>
      <c r="AB388" s="177"/>
      <c r="AC388" s="177"/>
      <c r="AD388" s="179"/>
      <c r="AE388" s="178"/>
    </row>
    <row r="389" spans="1:31" x14ac:dyDescent="0.2">
      <c r="A389" s="177"/>
      <c r="B389" s="177"/>
      <c r="C389" s="177"/>
      <c r="D389" s="177"/>
      <c r="E389" s="177"/>
      <c r="F389" s="177"/>
      <c r="G389" s="177"/>
      <c r="H389" s="245"/>
      <c r="I389" s="177"/>
      <c r="J389" s="170"/>
      <c r="K389" s="170"/>
      <c r="L389" s="177"/>
      <c r="M389" s="177"/>
      <c r="N389" s="177"/>
      <c r="O389" s="177"/>
      <c r="P389" s="177"/>
      <c r="Q389" s="177"/>
      <c r="R389" s="177"/>
      <c r="S389" s="177"/>
      <c r="T389" s="177"/>
      <c r="U389" s="177"/>
      <c r="V389" s="177"/>
      <c r="W389" s="178"/>
      <c r="X389" s="177"/>
      <c r="Y389" s="177"/>
      <c r="Z389" s="177"/>
      <c r="AA389" s="177"/>
      <c r="AB389" s="177"/>
      <c r="AC389" s="177"/>
      <c r="AD389" s="179"/>
      <c r="AE389" s="178"/>
    </row>
    <row r="390" spans="1:31" x14ac:dyDescent="0.2">
      <c r="A390" s="177"/>
      <c r="B390" s="177"/>
      <c r="C390" s="177"/>
      <c r="D390" s="177"/>
      <c r="E390" s="177"/>
      <c r="F390" s="177"/>
      <c r="G390" s="177"/>
      <c r="H390" s="245"/>
      <c r="I390" s="177"/>
      <c r="J390" s="170"/>
      <c r="K390" s="170"/>
      <c r="L390" s="177"/>
      <c r="M390" s="177"/>
      <c r="N390" s="177"/>
      <c r="O390" s="177"/>
      <c r="P390" s="177"/>
      <c r="Q390" s="177"/>
      <c r="R390" s="177"/>
      <c r="S390" s="177"/>
      <c r="T390" s="177"/>
      <c r="U390" s="177"/>
      <c r="V390" s="177"/>
      <c r="W390" s="178"/>
      <c r="X390" s="177"/>
      <c r="Y390" s="177"/>
      <c r="Z390" s="177"/>
      <c r="AA390" s="177"/>
      <c r="AB390" s="177"/>
      <c r="AC390" s="177"/>
      <c r="AD390" s="179"/>
      <c r="AE390" s="178"/>
    </row>
    <row r="391" spans="1:31" x14ac:dyDescent="0.2">
      <c r="A391" s="177"/>
      <c r="B391" s="177"/>
      <c r="C391" s="177"/>
      <c r="D391" s="177"/>
      <c r="E391" s="177"/>
      <c r="F391" s="177"/>
      <c r="G391" s="177"/>
      <c r="H391" s="245"/>
      <c r="I391" s="177"/>
      <c r="J391" s="170"/>
      <c r="K391" s="170"/>
      <c r="L391" s="177"/>
      <c r="M391" s="177"/>
      <c r="N391" s="177"/>
      <c r="O391" s="177"/>
      <c r="P391" s="177"/>
      <c r="Q391" s="177"/>
      <c r="R391" s="177"/>
      <c r="S391" s="177"/>
      <c r="T391" s="177"/>
      <c r="U391" s="177"/>
      <c r="V391" s="177"/>
      <c r="W391" s="178"/>
      <c r="X391" s="177"/>
      <c r="Y391" s="177"/>
      <c r="Z391" s="177"/>
      <c r="AA391" s="177"/>
      <c r="AB391" s="177"/>
      <c r="AC391" s="177"/>
      <c r="AD391" s="179"/>
      <c r="AE391" s="178"/>
    </row>
    <row r="392" spans="1:31" x14ac:dyDescent="0.2">
      <c r="A392" s="177"/>
      <c r="B392" s="177"/>
      <c r="C392" s="177"/>
      <c r="D392" s="177"/>
      <c r="E392" s="177"/>
      <c r="F392" s="177"/>
      <c r="G392" s="177"/>
      <c r="H392" s="245"/>
      <c r="I392" s="177"/>
      <c r="J392" s="170"/>
      <c r="K392" s="170"/>
      <c r="L392" s="177"/>
      <c r="M392" s="177"/>
      <c r="N392" s="177"/>
      <c r="O392" s="177"/>
      <c r="P392" s="177"/>
      <c r="Q392" s="177"/>
      <c r="R392" s="177"/>
      <c r="S392" s="177"/>
      <c r="T392" s="177"/>
      <c r="U392" s="177"/>
      <c r="V392" s="177"/>
      <c r="W392" s="178"/>
      <c r="X392" s="177"/>
      <c r="Y392" s="177"/>
      <c r="Z392" s="177"/>
      <c r="AA392" s="177"/>
      <c r="AB392" s="177"/>
      <c r="AC392" s="177"/>
      <c r="AD392" s="179"/>
      <c r="AE392" s="178"/>
    </row>
    <row r="393" spans="1:31" x14ac:dyDescent="0.2">
      <c r="A393" s="177"/>
      <c r="B393" s="177"/>
      <c r="C393" s="177"/>
      <c r="D393" s="177"/>
      <c r="E393" s="177"/>
      <c r="F393" s="177"/>
      <c r="G393" s="177"/>
      <c r="H393" s="245"/>
      <c r="I393" s="177"/>
      <c r="J393" s="170"/>
      <c r="K393" s="170"/>
      <c r="L393" s="177"/>
      <c r="M393" s="177"/>
      <c r="N393" s="177"/>
      <c r="O393" s="177"/>
      <c r="P393" s="177"/>
      <c r="Q393" s="177"/>
      <c r="R393" s="177"/>
      <c r="S393" s="177"/>
      <c r="T393" s="177"/>
      <c r="U393" s="177"/>
      <c r="V393" s="177"/>
      <c r="W393" s="178"/>
      <c r="X393" s="177"/>
      <c r="Y393" s="177"/>
      <c r="Z393" s="177"/>
      <c r="AA393" s="177"/>
      <c r="AB393" s="177"/>
      <c r="AC393" s="177"/>
      <c r="AD393" s="179"/>
      <c r="AE393" s="178"/>
    </row>
    <row r="394" spans="1:31" x14ac:dyDescent="0.2">
      <c r="A394" s="177"/>
      <c r="B394" s="177"/>
      <c r="C394" s="177"/>
      <c r="D394" s="177"/>
      <c r="E394" s="177"/>
      <c r="F394" s="177"/>
      <c r="G394" s="177"/>
      <c r="H394" s="245"/>
      <c r="I394" s="177"/>
      <c r="J394" s="170"/>
      <c r="K394" s="170"/>
      <c r="L394" s="177"/>
      <c r="M394" s="177"/>
      <c r="N394" s="177"/>
      <c r="O394" s="177"/>
      <c r="P394" s="177"/>
      <c r="Q394" s="177"/>
      <c r="R394" s="177"/>
      <c r="S394" s="177"/>
      <c r="T394" s="177"/>
      <c r="U394" s="177"/>
      <c r="V394" s="177"/>
      <c r="W394" s="178"/>
      <c r="X394" s="177"/>
      <c r="Y394" s="177"/>
      <c r="Z394" s="177"/>
      <c r="AA394" s="177"/>
      <c r="AB394" s="177"/>
      <c r="AC394" s="177"/>
      <c r="AD394" s="179"/>
      <c r="AE394" s="178"/>
    </row>
    <row r="395" spans="1:31" x14ac:dyDescent="0.2">
      <c r="A395" s="177"/>
      <c r="B395" s="177"/>
      <c r="C395" s="177"/>
      <c r="D395" s="177"/>
      <c r="E395" s="177"/>
      <c r="F395" s="177"/>
      <c r="G395" s="177"/>
      <c r="H395" s="245"/>
      <c r="I395" s="177"/>
      <c r="J395" s="170"/>
      <c r="K395" s="170"/>
      <c r="L395" s="177"/>
      <c r="M395" s="177"/>
      <c r="N395" s="177"/>
      <c r="O395" s="177"/>
      <c r="P395" s="177"/>
      <c r="Q395" s="177"/>
      <c r="R395" s="177"/>
      <c r="S395" s="177"/>
      <c r="T395" s="177"/>
      <c r="U395" s="177"/>
      <c r="V395" s="177"/>
      <c r="W395" s="178"/>
      <c r="X395" s="177"/>
      <c r="Y395" s="177"/>
      <c r="Z395" s="177"/>
      <c r="AA395" s="177"/>
      <c r="AB395" s="177"/>
      <c r="AC395" s="177"/>
      <c r="AD395" s="179"/>
      <c r="AE395" s="178"/>
    </row>
    <row r="396" spans="1:31" x14ac:dyDescent="0.2">
      <c r="A396" s="177"/>
      <c r="B396" s="177"/>
      <c r="C396" s="177"/>
      <c r="D396" s="177"/>
      <c r="E396" s="177"/>
      <c r="F396" s="177"/>
      <c r="G396" s="177"/>
      <c r="H396" s="245"/>
      <c r="I396" s="177"/>
      <c r="J396" s="170"/>
      <c r="K396" s="170"/>
      <c r="L396" s="177"/>
      <c r="M396" s="177"/>
      <c r="N396" s="177"/>
      <c r="O396" s="177"/>
      <c r="P396" s="177"/>
      <c r="Q396" s="177"/>
      <c r="R396" s="177"/>
      <c r="S396" s="177"/>
      <c r="T396" s="177"/>
      <c r="U396" s="177"/>
      <c r="V396" s="177"/>
      <c r="W396" s="178"/>
      <c r="X396" s="177"/>
      <c r="Y396" s="177"/>
      <c r="Z396" s="177"/>
      <c r="AA396" s="177"/>
      <c r="AB396" s="177"/>
      <c r="AC396" s="177"/>
      <c r="AD396" s="179"/>
      <c r="AE396" s="178"/>
    </row>
    <row r="397" spans="1:31" x14ac:dyDescent="0.2">
      <c r="A397" s="177"/>
      <c r="B397" s="177"/>
      <c r="C397" s="177"/>
      <c r="D397" s="177"/>
      <c r="E397" s="177"/>
      <c r="F397" s="177"/>
      <c r="G397" s="177"/>
      <c r="H397" s="245"/>
      <c r="I397" s="177"/>
      <c r="J397" s="170"/>
      <c r="K397" s="170"/>
      <c r="L397" s="177"/>
      <c r="M397" s="177"/>
      <c r="N397" s="177"/>
      <c r="O397" s="177"/>
      <c r="P397" s="177"/>
      <c r="Q397" s="177"/>
      <c r="R397" s="177"/>
      <c r="S397" s="177"/>
      <c r="T397" s="177"/>
      <c r="U397" s="177"/>
      <c r="V397" s="177"/>
      <c r="W397" s="178"/>
      <c r="X397" s="177"/>
      <c r="Y397" s="177"/>
      <c r="Z397" s="177"/>
      <c r="AA397" s="177"/>
      <c r="AB397" s="177"/>
      <c r="AC397" s="177"/>
      <c r="AD397" s="179"/>
      <c r="AE397" s="178"/>
    </row>
    <row r="398" spans="1:31" x14ac:dyDescent="0.2">
      <c r="A398" s="177"/>
      <c r="B398" s="177"/>
      <c r="C398" s="177"/>
      <c r="D398" s="177"/>
      <c r="E398" s="177"/>
      <c r="F398" s="177"/>
      <c r="G398" s="177"/>
      <c r="H398" s="245"/>
      <c r="I398" s="177"/>
      <c r="J398" s="170"/>
      <c r="K398" s="170"/>
      <c r="L398" s="177"/>
      <c r="M398" s="177"/>
      <c r="N398" s="177"/>
      <c r="O398" s="177"/>
      <c r="P398" s="177"/>
      <c r="Q398" s="177"/>
      <c r="R398" s="177"/>
      <c r="S398" s="177"/>
      <c r="T398" s="177"/>
      <c r="U398" s="177"/>
      <c r="V398" s="177"/>
      <c r="W398" s="178"/>
      <c r="X398" s="177"/>
      <c r="Y398" s="177"/>
      <c r="Z398" s="177"/>
      <c r="AA398" s="177"/>
      <c r="AB398" s="177"/>
      <c r="AC398" s="177"/>
      <c r="AD398" s="179"/>
      <c r="AE398" s="178"/>
    </row>
    <row r="399" spans="1:31" x14ac:dyDescent="0.2">
      <c r="A399" s="177"/>
      <c r="B399" s="177"/>
      <c r="C399" s="177"/>
      <c r="D399" s="177"/>
      <c r="E399" s="177"/>
      <c r="F399" s="177"/>
      <c r="G399" s="177"/>
      <c r="H399" s="245"/>
      <c r="I399" s="177"/>
      <c r="J399" s="170"/>
      <c r="K399" s="170"/>
      <c r="L399" s="177"/>
      <c r="M399" s="177"/>
      <c r="N399" s="177"/>
      <c r="O399" s="177"/>
      <c r="P399" s="177"/>
      <c r="Q399" s="177"/>
      <c r="R399" s="177"/>
      <c r="S399" s="177"/>
      <c r="T399" s="177"/>
      <c r="U399" s="177"/>
      <c r="V399" s="177"/>
      <c r="W399" s="178"/>
      <c r="X399" s="177"/>
      <c r="Y399" s="177"/>
      <c r="Z399" s="177"/>
      <c r="AA399" s="177"/>
      <c r="AB399" s="177"/>
      <c r="AC399" s="177"/>
      <c r="AD399" s="179"/>
      <c r="AE399" s="178"/>
    </row>
    <row r="400" spans="1:31" x14ac:dyDescent="0.2">
      <c r="A400" s="177"/>
      <c r="B400" s="177"/>
      <c r="C400" s="177"/>
      <c r="D400" s="177"/>
      <c r="E400" s="177"/>
      <c r="F400" s="177"/>
      <c r="G400" s="177"/>
      <c r="H400" s="245"/>
      <c r="I400" s="177"/>
      <c r="J400" s="170"/>
      <c r="K400" s="170"/>
      <c r="L400" s="177"/>
      <c r="M400" s="177"/>
      <c r="N400" s="177"/>
      <c r="O400" s="177"/>
      <c r="P400" s="177"/>
      <c r="Q400" s="177"/>
      <c r="R400" s="177"/>
      <c r="S400" s="177"/>
      <c r="T400" s="177"/>
      <c r="U400" s="177"/>
      <c r="V400" s="177"/>
      <c r="W400" s="178"/>
      <c r="X400" s="177"/>
      <c r="Y400" s="177"/>
      <c r="Z400" s="177"/>
      <c r="AA400" s="177"/>
      <c r="AB400" s="177"/>
      <c r="AC400" s="177"/>
      <c r="AD400" s="179"/>
      <c r="AE400" s="178"/>
    </row>
    <row r="401" spans="1:31" x14ac:dyDescent="0.2">
      <c r="A401" s="177"/>
      <c r="B401" s="177"/>
      <c r="C401" s="177"/>
      <c r="D401" s="177"/>
      <c r="E401" s="177"/>
      <c r="F401" s="177"/>
      <c r="G401" s="177"/>
      <c r="H401" s="245"/>
      <c r="I401" s="177"/>
      <c r="J401" s="170"/>
      <c r="K401" s="170"/>
      <c r="L401" s="177"/>
      <c r="M401" s="177"/>
      <c r="N401" s="177"/>
      <c r="O401" s="177"/>
      <c r="P401" s="177"/>
      <c r="Q401" s="177"/>
      <c r="R401" s="177"/>
      <c r="S401" s="177"/>
      <c r="T401" s="177"/>
      <c r="U401" s="177"/>
      <c r="V401" s="177"/>
      <c r="W401" s="178"/>
      <c r="X401" s="177"/>
      <c r="Y401" s="177"/>
      <c r="Z401" s="177"/>
      <c r="AA401" s="177"/>
      <c r="AB401" s="177"/>
      <c r="AC401" s="177"/>
      <c r="AD401" s="179"/>
      <c r="AE401" s="178"/>
    </row>
    <row r="402" spans="1:31" x14ac:dyDescent="0.2">
      <c r="A402" s="177"/>
      <c r="B402" s="177"/>
      <c r="C402" s="177"/>
      <c r="D402" s="177"/>
      <c r="E402" s="177"/>
      <c r="F402" s="177"/>
      <c r="G402" s="177"/>
      <c r="H402" s="245"/>
      <c r="I402" s="177"/>
      <c r="J402" s="170"/>
      <c r="K402" s="170"/>
      <c r="L402" s="177"/>
      <c r="M402" s="177"/>
      <c r="N402" s="177"/>
      <c r="O402" s="177"/>
      <c r="P402" s="177"/>
      <c r="Q402" s="177"/>
      <c r="R402" s="177"/>
      <c r="S402" s="177"/>
      <c r="T402" s="177"/>
      <c r="U402" s="177"/>
      <c r="V402" s="177"/>
      <c r="W402" s="178"/>
      <c r="X402" s="177"/>
      <c r="Y402" s="177"/>
      <c r="Z402" s="177"/>
      <c r="AA402" s="177"/>
      <c r="AB402" s="177"/>
      <c r="AC402" s="177"/>
      <c r="AD402" s="179"/>
      <c r="AE402" s="178"/>
    </row>
    <row r="403" spans="1:31" x14ac:dyDescent="0.2">
      <c r="A403" s="177"/>
      <c r="B403" s="177"/>
      <c r="C403" s="177"/>
      <c r="D403" s="177"/>
      <c r="E403" s="177"/>
      <c r="F403" s="177"/>
      <c r="G403" s="177"/>
      <c r="H403" s="245"/>
      <c r="I403" s="177"/>
      <c r="J403" s="170"/>
      <c r="K403" s="170"/>
      <c r="L403" s="177"/>
      <c r="M403" s="177"/>
      <c r="N403" s="177"/>
      <c r="O403" s="177"/>
      <c r="P403" s="177"/>
      <c r="Q403" s="177"/>
      <c r="R403" s="177"/>
      <c r="S403" s="177"/>
      <c r="T403" s="177"/>
      <c r="U403" s="177"/>
      <c r="V403" s="177"/>
      <c r="W403" s="178"/>
      <c r="X403" s="177"/>
      <c r="Y403" s="177"/>
      <c r="Z403" s="177"/>
      <c r="AA403" s="177"/>
      <c r="AB403" s="177"/>
      <c r="AC403" s="177"/>
      <c r="AD403" s="179"/>
      <c r="AE403" s="178"/>
    </row>
    <row r="404" spans="1:31" x14ac:dyDescent="0.2">
      <c r="A404" s="177"/>
      <c r="B404" s="177"/>
      <c r="C404" s="177"/>
      <c r="D404" s="177"/>
      <c r="E404" s="177"/>
      <c r="F404" s="177"/>
      <c r="G404" s="177"/>
      <c r="H404" s="245"/>
      <c r="I404" s="177"/>
      <c r="J404" s="170"/>
      <c r="K404" s="170"/>
      <c r="L404" s="177"/>
      <c r="M404" s="177"/>
      <c r="N404" s="177"/>
      <c r="O404" s="177"/>
      <c r="P404" s="177"/>
      <c r="Q404" s="177"/>
      <c r="R404" s="177"/>
      <c r="S404" s="177"/>
      <c r="T404" s="177"/>
      <c r="U404" s="177"/>
      <c r="V404" s="177"/>
      <c r="W404" s="178"/>
      <c r="X404" s="177"/>
      <c r="Y404" s="177"/>
      <c r="Z404" s="177"/>
      <c r="AA404" s="177"/>
      <c r="AB404" s="177"/>
      <c r="AC404" s="177"/>
      <c r="AD404" s="179"/>
      <c r="AE404" s="178"/>
    </row>
    <row r="405" spans="1:31" x14ac:dyDescent="0.2">
      <c r="A405" s="177"/>
      <c r="B405" s="177"/>
      <c r="C405" s="177"/>
      <c r="D405" s="177"/>
      <c r="E405" s="177"/>
      <c r="F405" s="177"/>
      <c r="G405" s="177"/>
      <c r="H405" s="245"/>
      <c r="I405" s="177"/>
      <c r="J405" s="170"/>
      <c r="K405" s="170"/>
      <c r="L405" s="177"/>
      <c r="M405" s="177"/>
      <c r="N405" s="177"/>
      <c r="O405" s="177"/>
      <c r="P405" s="177"/>
      <c r="Q405" s="177"/>
      <c r="R405" s="177"/>
      <c r="S405" s="177"/>
      <c r="T405" s="177"/>
      <c r="U405" s="177"/>
      <c r="V405" s="177"/>
      <c r="W405" s="178"/>
      <c r="X405" s="177"/>
      <c r="Y405" s="177"/>
      <c r="Z405" s="177"/>
      <c r="AA405" s="177"/>
      <c r="AB405" s="177"/>
      <c r="AC405" s="177"/>
      <c r="AD405" s="179"/>
      <c r="AE405" s="178"/>
    </row>
    <row r="406" spans="1:31" x14ac:dyDescent="0.2">
      <c r="A406" s="177"/>
      <c r="B406" s="177"/>
      <c r="C406" s="177"/>
      <c r="D406" s="177"/>
      <c r="E406" s="177"/>
      <c r="F406" s="177"/>
      <c r="G406" s="177"/>
      <c r="H406" s="245"/>
      <c r="I406" s="177"/>
      <c r="J406" s="170"/>
      <c r="K406" s="170"/>
      <c r="L406" s="177"/>
      <c r="M406" s="177"/>
      <c r="N406" s="177"/>
      <c r="O406" s="177"/>
      <c r="P406" s="177"/>
      <c r="Q406" s="177"/>
      <c r="R406" s="177"/>
      <c r="S406" s="177"/>
      <c r="T406" s="177"/>
      <c r="U406" s="177"/>
      <c r="V406" s="177"/>
      <c r="W406" s="178"/>
      <c r="X406" s="177"/>
      <c r="Y406" s="177"/>
      <c r="Z406" s="177"/>
      <c r="AA406" s="177"/>
      <c r="AB406" s="177"/>
      <c r="AC406" s="177"/>
      <c r="AD406" s="179"/>
      <c r="AE406" s="178"/>
    </row>
    <row r="407" spans="1:31" x14ac:dyDescent="0.2">
      <c r="A407" s="177"/>
      <c r="B407" s="177"/>
      <c r="C407" s="177"/>
      <c r="D407" s="177"/>
      <c r="E407" s="177"/>
      <c r="F407" s="177"/>
      <c r="G407" s="177"/>
      <c r="H407" s="245"/>
      <c r="I407" s="177"/>
      <c r="J407" s="170"/>
      <c r="K407" s="170"/>
      <c r="L407" s="177"/>
      <c r="M407" s="177"/>
      <c r="N407" s="177"/>
      <c r="O407" s="177"/>
      <c r="P407" s="177"/>
      <c r="Q407" s="177"/>
      <c r="R407" s="177"/>
      <c r="S407" s="177"/>
      <c r="T407" s="177"/>
      <c r="U407" s="177"/>
      <c r="V407" s="177"/>
      <c r="W407" s="178"/>
      <c r="X407" s="177"/>
      <c r="Y407" s="177"/>
      <c r="Z407" s="177"/>
      <c r="AA407" s="177"/>
      <c r="AB407" s="177"/>
      <c r="AC407" s="177"/>
      <c r="AD407" s="179"/>
      <c r="AE407" s="178"/>
    </row>
    <row r="408" spans="1:31" x14ac:dyDescent="0.2">
      <c r="A408" s="177"/>
      <c r="B408" s="177"/>
      <c r="C408" s="177"/>
      <c r="D408" s="177"/>
      <c r="E408" s="177"/>
      <c r="F408" s="177"/>
      <c r="G408" s="177"/>
      <c r="H408" s="245"/>
      <c r="I408" s="177"/>
      <c r="J408" s="170"/>
      <c r="K408" s="170"/>
      <c r="L408" s="177"/>
      <c r="M408" s="177"/>
      <c r="N408" s="177"/>
      <c r="O408" s="177"/>
      <c r="P408" s="177"/>
      <c r="Q408" s="177"/>
      <c r="R408" s="177"/>
      <c r="S408" s="177"/>
      <c r="T408" s="177"/>
      <c r="U408" s="177"/>
      <c r="V408" s="177"/>
      <c r="W408" s="178"/>
      <c r="X408" s="177"/>
      <c r="Y408" s="177"/>
      <c r="Z408" s="177"/>
      <c r="AA408" s="177"/>
      <c r="AB408" s="177"/>
      <c r="AC408" s="177"/>
      <c r="AD408" s="179"/>
      <c r="AE408" s="178"/>
    </row>
    <row r="409" spans="1:31" x14ac:dyDescent="0.2">
      <c r="A409" s="177"/>
      <c r="B409" s="177"/>
      <c r="C409" s="177"/>
      <c r="D409" s="177"/>
      <c r="E409" s="177"/>
      <c r="F409" s="177"/>
      <c r="G409" s="177"/>
      <c r="H409" s="245"/>
      <c r="I409" s="177"/>
      <c r="J409" s="170"/>
      <c r="K409" s="170"/>
      <c r="L409" s="177"/>
      <c r="M409" s="177"/>
      <c r="N409" s="177"/>
      <c r="O409" s="177"/>
      <c r="P409" s="177"/>
      <c r="Q409" s="177"/>
      <c r="R409" s="177"/>
      <c r="S409" s="177"/>
      <c r="T409" s="177"/>
      <c r="U409" s="177"/>
      <c r="V409" s="177"/>
      <c r="W409" s="178"/>
      <c r="X409" s="177"/>
      <c r="Y409" s="177"/>
      <c r="Z409" s="177"/>
      <c r="AA409" s="177"/>
      <c r="AB409" s="177"/>
      <c r="AC409" s="177"/>
      <c r="AD409" s="179"/>
      <c r="AE409" s="178"/>
    </row>
    <row r="410" spans="1:31" x14ac:dyDescent="0.2">
      <c r="A410" s="177"/>
      <c r="B410" s="177"/>
      <c r="C410" s="177"/>
      <c r="D410" s="177"/>
      <c r="E410" s="177"/>
      <c r="F410" s="177"/>
      <c r="G410" s="177"/>
      <c r="H410" s="245"/>
      <c r="I410" s="177"/>
      <c r="J410" s="170"/>
      <c r="K410" s="170"/>
      <c r="L410" s="177"/>
      <c r="M410" s="177"/>
      <c r="N410" s="177"/>
      <c r="O410" s="177"/>
      <c r="P410" s="177"/>
      <c r="Q410" s="177"/>
      <c r="R410" s="177"/>
      <c r="S410" s="177"/>
      <c r="T410" s="177"/>
      <c r="U410" s="177"/>
      <c r="V410" s="177"/>
      <c r="W410" s="178"/>
      <c r="X410" s="177"/>
      <c r="Y410" s="177"/>
      <c r="Z410" s="177"/>
      <c r="AA410" s="177"/>
      <c r="AB410" s="177"/>
      <c r="AC410" s="177"/>
      <c r="AD410" s="179"/>
      <c r="AE410" s="178"/>
    </row>
    <row r="411" spans="1:31" x14ac:dyDescent="0.2">
      <c r="A411" s="177"/>
      <c r="B411" s="177"/>
      <c r="C411" s="177"/>
      <c r="D411" s="177"/>
      <c r="E411" s="177"/>
      <c r="F411" s="177"/>
      <c r="G411" s="177"/>
      <c r="H411" s="245"/>
      <c r="I411" s="177"/>
      <c r="J411" s="170"/>
      <c r="K411" s="170"/>
      <c r="L411" s="177"/>
      <c r="M411" s="177"/>
      <c r="N411" s="177"/>
      <c r="O411" s="177"/>
      <c r="P411" s="177"/>
      <c r="Q411" s="177"/>
      <c r="R411" s="177"/>
      <c r="S411" s="177"/>
      <c r="T411" s="177"/>
      <c r="U411" s="177"/>
      <c r="V411" s="177"/>
      <c r="W411" s="178"/>
      <c r="X411" s="177"/>
      <c r="Y411" s="177"/>
      <c r="Z411" s="177"/>
      <c r="AA411" s="177"/>
      <c r="AB411" s="177"/>
      <c r="AC411" s="177"/>
      <c r="AD411" s="179"/>
      <c r="AE411" s="178"/>
    </row>
    <row r="412" spans="1:31" x14ac:dyDescent="0.2">
      <c r="A412" s="177"/>
      <c r="B412" s="177"/>
      <c r="C412" s="177"/>
      <c r="D412" s="177"/>
      <c r="E412" s="177"/>
      <c r="F412" s="177"/>
      <c r="G412" s="177"/>
      <c r="H412" s="245"/>
      <c r="I412" s="177"/>
      <c r="J412" s="170"/>
      <c r="K412" s="170"/>
      <c r="L412" s="177"/>
      <c r="M412" s="177"/>
      <c r="N412" s="177"/>
      <c r="O412" s="177"/>
      <c r="P412" s="177"/>
      <c r="Q412" s="177"/>
      <c r="R412" s="177"/>
      <c r="S412" s="177"/>
      <c r="T412" s="177"/>
      <c r="U412" s="177"/>
      <c r="V412" s="177"/>
      <c r="W412" s="178"/>
      <c r="X412" s="177"/>
      <c r="Y412" s="177"/>
      <c r="Z412" s="177"/>
      <c r="AA412" s="177"/>
      <c r="AB412" s="177"/>
      <c r="AC412" s="177"/>
      <c r="AD412" s="179"/>
      <c r="AE412" s="178"/>
    </row>
    <row r="413" spans="1:31" x14ac:dyDescent="0.2">
      <c r="A413" s="177"/>
      <c r="B413" s="177"/>
      <c r="C413" s="177"/>
      <c r="D413" s="177"/>
      <c r="E413" s="177"/>
      <c r="F413" s="177"/>
      <c r="G413" s="177"/>
      <c r="H413" s="245"/>
      <c r="I413" s="177"/>
      <c r="J413" s="170"/>
      <c r="K413" s="170"/>
      <c r="L413" s="177"/>
      <c r="M413" s="177"/>
      <c r="N413" s="177"/>
      <c r="O413" s="177"/>
      <c r="P413" s="177"/>
      <c r="Q413" s="177"/>
      <c r="R413" s="177"/>
      <c r="S413" s="177"/>
      <c r="T413" s="177"/>
      <c r="U413" s="177"/>
      <c r="V413" s="177"/>
      <c r="W413" s="178"/>
      <c r="X413" s="177"/>
      <c r="Y413" s="177"/>
      <c r="Z413" s="177"/>
      <c r="AA413" s="177"/>
      <c r="AB413" s="177"/>
      <c r="AC413" s="177"/>
      <c r="AD413" s="179"/>
      <c r="AE413" s="178"/>
    </row>
    <row r="414" spans="1:31" x14ac:dyDescent="0.2">
      <c r="A414" s="177"/>
      <c r="B414" s="177"/>
      <c r="C414" s="177"/>
      <c r="D414" s="177"/>
      <c r="E414" s="177"/>
      <c r="F414" s="177"/>
      <c r="G414" s="177"/>
      <c r="H414" s="245"/>
      <c r="I414" s="177"/>
      <c r="J414" s="170"/>
      <c r="K414" s="170"/>
      <c r="L414" s="177"/>
      <c r="M414" s="177"/>
      <c r="N414" s="177"/>
      <c r="O414" s="177"/>
      <c r="P414" s="177"/>
      <c r="Q414" s="177"/>
      <c r="R414" s="177"/>
      <c r="S414" s="177"/>
      <c r="T414" s="177"/>
      <c r="U414" s="177"/>
      <c r="V414" s="177"/>
      <c r="W414" s="178"/>
      <c r="X414" s="177"/>
      <c r="Y414" s="177"/>
      <c r="Z414" s="177"/>
      <c r="AA414" s="177"/>
      <c r="AB414" s="177"/>
      <c r="AC414" s="177"/>
      <c r="AD414" s="179"/>
      <c r="AE414" s="178"/>
    </row>
    <row r="415" spans="1:31" x14ac:dyDescent="0.2">
      <c r="A415" s="177"/>
      <c r="B415" s="177"/>
      <c r="C415" s="177"/>
      <c r="D415" s="177"/>
      <c r="E415" s="177"/>
      <c r="F415" s="177"/>
      <c r="G415" s="177"/>
      <c r="H415" s="245"/>
      <c r="I415" s="177"/>
      <c r="J415" s="170"/>
      <c r="K415" s="170"/>
      <c r="L415" s="177"/>
      <c r="M415" s="177"/>
      <c r="N415" s="177"/>
      <c r="O415" s="177"/>
      <c r="P415" s="177"/>
      <c r="Q415" s="177"/>
      <c r="R415" s="177"/>
      <c r="S415" s="177"/>
      <c r="T415" s="177"/>
      <c r="U415" s="177"/>
      <c r="V415" s="177"/>
      <c r="W415" s="178"/>
      <c r="X415" s="177"/>
      <c r="Y415" s="177"/>
      <c r="Z415" s="177"/>
      <c r="AA415" s="177"/>
      <c r="AB415" s="177"/>
      <c r="AC415" s="177"/>
      <c r="AD415" s="179"/>
      <c r="AE415" s="178"/>
    </row>
    <row r="416" spans="1:31" x14ac:dyDescent="0.2">
      <c r="A416" s="177"/>
      <c r="B416" s="177"/>
      <c r="C416" s="177"/>
      <c r="D416" s="177"/>
      <c r="E416" s="177"/>
      <c r="F416" s="177"/>
      <c r="G416" s="177"/>
      <c r="H416" s="245"/>
      <c r="I416" s="177"/>
      <c r="J416" s="170"/>
      <c r="K416" s="170"/>
      <c r="L416" s="177"/>
      <c r="M416" s="177"/>
      <c r="N416" s="177"/>
      <c r="O416" s="177"/>
      <c r="P416" s="177"/>
      <c r="Q416" s="177"/>
      <c r="R416" s="177"/>
      <c r="S416" s="177"/>
      <c r="T416" s="177"/>
      <c r="U416" s="177"/>
      <c r="V416" s="177"/>
      <c r="W416" s="178"/>
      <c r="X416" s="177"/>
      <c r="Y416" s="177"/>
      <c r="Z416" s="177"/>
      <c r="AA416" s="177"/>
      <c r="AB416" s="177"/>
      <c r="AC416" s="177"/>
      <c r="AD416" s="179"/>
      <c r="AE416" s="178"/>
    </row>
    <row r="417" spans="1:31" x14ac:dyDescent="0.2">
      <c r="A417" s="177"/>
      <c r="B417" s="177"/>
      <c r="C417" s="177"/>
      <c r="D417" s="177"/>
      <c r="E417" s="177"/>
      <c r="F417" s="177"/>
      <c r="G417" s="177"/>
      <c r="H417" s="245"/>
      <c r="I417" s="177"/>
      <c r="J417" s="170"/>
      <c r="K417" s="170"/>
      <c r="L417" s="177"/>
      <c r="M417" s="177"/>
      <c r="N417" s="177"/>
      <c r="O417" s="177"/>
      <c r="P417" s="177"/>
      <c r="Q417" s="177"/>
      <c r="R417" s="177"/>
      <c r="S417" s="177"/>
      <c r="T417" s="177"/>
      <c r="U417" s="177"/>
      <c r="V417" s="177"/>
      <c r="W417" s="178"/>
      <c r="X417" s="177"/>
      <c r="Y417" s="177"/>
      <c r="Z417" s="177"/>
      <c r="AA417" s="177"/>
      <c r="AB417" s="177"/>
      <c r="AC417" s="177"/>
      <c r="AD417" s="179"/>
      <c r="AE417" s="178"/>
    </row>
    <row r="418" spans="1:31" x14ac:dyDescent="0.2">
      <c r="A418" s="177"/>
      <c r="B418" s="177"/>
      <c r="C418" s="177"/>
      <c r="D418" s="177"/>
      <c r="E418" s="177"/>
      <c r="F418" s="177"/>
      <c r="G418" s="177"/>
      <c r="H418" s="245"/>
      <c r="I418" s="177"/>
      <c r="J418" s="170"/>
      <c r="K418" s="170"/>
      <c r="L418" s="177"/>
      <c r="M418" s="177"/>
      <c r="N418" s="177"/>
      <c r="O418" s="177"/>
      <c r="P418" s="177"/>
      <c r="Q418" s="177"/>
      <c r="R418" s="177"/>
      <c r="S418" s="177"/>
      <c r="T418" s="177"/>
      <c r="U418" s="177"/>
      <c r="V418" s="177"/>
      <c r="W418" s="178"/>
      <c r="X418" s="177"/>
      <c r="Y418" s="177"/>
      <c r="Z418" s="177"/>
      <c r="AA418" s="177"/>
      <c r="AB418" s="177"/>
      <c r="AC418" s="177"/>
      <c r="AD418" s="179"/>
      <c r="AE418" s="178"/>
    </row>
    <row r="419" spans="1:31" x14ac:dyDescent="0.2">
      <c r="A419" s="177"/>
    </row>
    <row r="461" spans="6:24" ht="13.5" thickBot="1" x14ac:dyDescent="0.25"/>
    <row r="462" spans="6:24" ht="51" x14ac:dyDescent="0.2">
      <c r="F462" s="181" t="s">
        <v>1241</v>
      </c>
      <c r="H462" s="279" t="s">
        <v>44</v>
      </c>
      <c r="L462" s="165"/>
      <c r="O462" s="182" t="s">
        <v>1242</v>
      </c>
      <c r="P462" s="183" t="s">
        <v>1243</v>
      </c>
      <c r="Q462" s="183"/>
      <c r="R462" s="185" t="s">
        <v>1245</v>
      </c>
      <c r="S462" s="186" t="s">
        <v>1247</v>
      </c>
      <c r="T462" s="187"/>
      <c r="U462" s="187"/>
      <c r="V462" s="187"/>
      <c r="X462" s="183" t="s">
        <v>1248</v>
      </c>
    </row>
    <row r="463" spans="6:24" x14ac:dyDescent="0.2">
      <c r="F463" s="188" t="s">
        <v>1249</v>
      </c>
      <c r="H463" s="279" t="s">
        <v>207</v>
      </c>
      <c r="L463" s="165" t="s">
        <v>288</v>
      </c>
      <c r="O463" s="189"/>
      <c r="P463" s="189"/>
      <c r="Q463" s="189"/>
      <c r="R463" s="191"/>
      <c r="S463" s="189"/>
      <c r="T463" s="189"/>
      <c r="U463" s="189"/>
      <c r="V463" s="189"/>
    </row>
    <row r="464" spans="6:24" x14ac:dyDescent="0.2">
      <c r="F464" s="192" t="s">
        <v>1250</v>
      </c>
      <c r="H464" s="279" t="s">
        <v>306</v>
      </c>
      <c r="L464" s="165" t="s">
        <v>160</v>
      </c>
      <c r="O464" s="20" t="s">
        <v>1251</v>
      </c>
      <c r="P464" s="193" t="s">
        <v>475</v>
      </c>
      <c r="Q464" s="20"/>
      <c r="R464" s="195" t="s">
        <v>1252</v>
      </c>
      <c r="X464" s="163" t="s">
        <v>100</v>
      </c>
    </row>
    <row r="465" spans="6:24" x14ac:dyDescent="0.2">
      <c r="F465" s="197" t="s">
        <v>1254</v>
      </c>
      <c r="H465" s="279" t="s">
        <v>456</v>
      </c>
      <c r="L465" s="165" t="s">
        <v>91</v>
      </c>
      <c r="O465" s="20" t="s">
        <v>1255</v>
      </c>
      <c r="P465" s="193" t="s">
        <v>1256</v>
      </c>
      <c r="Q465" s="20"/>
      <c r="R465" s="195" t="s">
        <v>413</v>
      </c>
      <c r="X465" s="163" t="s">
        <v>228</v>
      </c>
    </row>
    <row r="466" spans="6:24" x14ac:dyDescent="0.2">
      <c r="F466" s="198" t="s">
        <v>1260</v>
      </c>
      <c r="H466" s="279" t="s">
        <v>581</v>
      </c>
      <c r="L466" s="165" t="s">
        <v>173</v>
      </c>
      <c r="O466" s="20" t="s">
        <v>1261</v>
      </c>
      <c r="P466" s="193" t="s">
        <v>649</v>
      </c>
      <c r="Q466" s="20"/>
      <c r="R466" s="195" t="s">
        <v>1078</v>
      </c>
      <c r="X466" s="163" t="s">
        <v>80</v>
      </c>
    </row>
    <row r="467" spans="6:24" x14ac:dyDescent="0.2">
      <c r="F467" s="197" t="s">
        <v>1264</v>
      </c>
      <c r="H467" s="279" t="s">
        <v>739</v>
      </c>
      <c r="L467" s="165" t="s">
        <v>108</v>
      </c>
      <c r="O467" s="20" t="s">
        <v>1265</v>
      </c>
      <c r="P467" s="193" t="s">
        <v>115</v>
      </c>
      <c r="Q467" s="20"/>
      <c r="R467" s="195" t="s">
        <v>293</v>
      </c>
      <c r="X467" s="163" t="s">
        <v>128</v>
      </c>
    </row>
    <row r="468" spans="6:24" x14ac:dyDescent="0.2">
      <c r="F468" s="197" t="s">
        <v>1268</v>
      </c>
      <c r="H468" s="279" t="s">
        <v>832</v>
      </c>
      <c r="L468" s="165" t="s">
        <v>234</v>
      </c>
      <c r="O468" s="20" t="s">
        <v>1269</v>
      </c>
      <c r="P468" s="193" t="s">
        <v>226</v>
      </c>
      <c r="Q468" s="20"/>
      <c r="R468" s="195" t="s">
        <v>116</v>
      </c>
      <c r="X468" s="163" t="s">
        <v>302</v>
      </c>
    </row>
    <row r="469" spans="6:24" x14ac:dyDescent="0.2">
      <c r="F469" s="197" t="s">
        <v>1271</v>
      </c>
      <c r="H469" s="279" t="s">
        <v>919</v>
      </c>
      <c r="L469" s="165" t="s">
        <v>134</v>
      </c>
      <c r="O469" s="20" t="s">
        <v>1272</v>
      </c>
      <c r="P469" s="193" t="s">
        <v>1273</v>
      </c>
      <c r="Q469" s="20"/>
      <c r="R469" s="195" t="s">
        <v>329</v>
      </c>
      <c r="S469" s="189"/>
      <c r="T469" s="189"/>
      <c r="U469" s="189"/>
      <c r="V469" s="189"/>
      <c r="X469" s="163" t="s">
        <v>167</v>
      </c>
    </row>
    <row r="470" spans="6:24" x14ac:dyDescent="0.2">
      <c r="F470" s="198" t="s">
        <v>1276</v>
      </c>
      <c r="H470" s="279" t="s">
        <v>1092</v>
      </c>
      <c r="L470" s="165" t="s">
        <v>264</v>
      </c>
      <c r="O470" s="20" t="s">
        <v>1277</v>
      </c>
      <c r="P470" s="193" t="s">
        <v>59</v>
      </c>
      <c r="Q470" s="20"/>
      <c r="R470" s="195" t="s">
        <v>1280</v>
      </c>
      <c r="S470" s="189"/>
      <c r="T470" s="189"/>
      <c r="U470" s="189"/>
      <c r="V470" s="189"/>
      <c r="X470" s="163" t="s">
        <v>502</v>
      </c>
    </row>
    <row r="471" spans="6:24" x14ac:dyDescent="0.2">
      <c r="F471" s="197" t="s">
        <v>1282</v>
      </c>
      <c r="H471" s="279" t="s">
        <v>1142</v>
      </c>
      <c r="L471" s="165" t="s">
        <v>1283</v>
      </c>
      <c r="O471" s="189"/>
      <c r="P471" s="193" t="s">
        <v>99</v>
      </c>
      <c r="Q471" s="20"/>
      <c r="R471" s="195" t="s">
        <v>154</v>
      </c>
      <c r="S471" s="189"/>
      <c r="T471" s="189"/>
      <c r="U471" s="189"/>
      <c r="V471" s="189"/>
      <c r="X471" s="163" t="s">
        <v>61</v>
      </c>
    </row>
    <row r="472" spans="6:24" x14ac:dyDescent="0.2">
      <c r="F472" s="199" t="s">
        <v>1285</v>
      </c>
      <c r="H472" s="279" t="s">
        <v>1183</v>
      </c>
      <c r="L472" s="165" t="s">
        <v>1286</v>
      </c>
      <c r="O472" s="189"/>
      <c r="P472" s="193" t="s">
        <v>1138</v>
      </c>
      <c r="Q472" s="20"/>
      <c r="R472" s="195" t="s">
        <v>229</v>
      </c>
      <c r="S472" s="189"/>
      <c r="T472" s="189"/>
      <c r="U472" s="189"/>
      <c r="V472" s="189"/>
    </row>
    <row r="473" spans="6:24" x14ac:dyDescent="0.2">
      <c r="F473" s="199" t="s">
        <v>1289</v>
      </c>
      <c r="H473" s="279" t="s">
        <v>1290</v>
      </c>
      <c r="L473" s="165" t="s">
        <v>52</v>
      </c>
      <c r="O473" s="189"/>
      <c r="P473" s="193" t="s">
        <v>724</v>
      </c>
      <c r="Q473" s="20"/>
      <c r="R473" s="195" t="s">
        <v>81</v>
      </c>
      <c r="S473" s="189"/>
      <c r="T473" s="189"/>
      <c r="U473" s="189"/>
      <c r="V473" s="189"/>
    </row>
    <row r="474" spans="6:24" x14ac:dyDescent="0.2">
      <c r="F474" s="197" t="s">
        <v>1293</v>
      </c>
      <c r="L474" s="165" t="s">
        <v>73</v>
      </c>
      <c r="O474" s="189"/>
      <c r="P474" s="193" t="s">
        <v>1077</v>
      </c>
      <c r="Q474" s="20"/>
      <c r="R474" s="195" t="s">
        <v>180</v>
      </c>
      <c r="S474" s="189"/>
      <c r="T474" s="189"/>
      <c r="U474" s="189"/>
      <c r="V474" s="189"/>
    </row>
    <row r="475" spans="6:24" x14ac:dyDescent="0.2">
      <c r="F475" s="198" t="s">
        <v>1296</v>
      </c>
      <c r="L475" s="165"/>
      <c r="O475" s="189"/>
      <c r="P475" s="193" t="s">
        <v>216</v>
      </c>
      <c r="Q475" s="20"/>
      <c r="R475" s="195" t="s">
        <v>62</v>
      </c>
      <c r="S475" s="189"/>
      <c r="T475" s="189"/>
      <c r="U475" s="189"/>
      <c r="V475" s="189"/>
    </row>
    <row r="476" spans="6:24" x14ac:dyDescent="0.2">
      <c r="F476" s="198" t="s">
        <v>1299</v>
      </c>
      <c r="L476" s="165"/>
      <c r="O476" s="189"/>
      <c r="P476" s="193" t="s">
        <v>1300</v>
      </c>
      <c r="Q476" s="20"/>
      <c r="R476" s="195" t="s">
        <v>101</v>
      </c>
      <c r="S476" s="189"/>
      <c r="T476" s="189"/>
      <c r="U476" s="189"/>
      <c r="V476" s="189"/>
    </row>
    <row r="477" spans="6:24" x14ac:dyDescent="0.2">
      <c r="F477" s="198" t="s">
        <v>1303</v>
      </c>
      <c r="L477" s="165"/>
      <c r="O477" s="189"/>
      <c r="P477" s="193" t="s">
        <v>142</v>
      </c>
      <c r="Q477" s="20"/>
      <c r="R477" s="195" t="s">
        <v>303</v>
      </c>
      <c r="S477" s="189"/>
      <c r="T477" s="189"/>
      <c r="U477" s="189"/>
      <c r="V477" s="189"/>
    </row>
    <row r="478" spans="6:24" x14ac:dyDescent="0.2">
      <c r="F478" s="38" t="s">
        <v>1305</v>
      </c>
      <c r="L478" s="165"/>
      <c r="O478" s="189"/>
      <c r="P478" s="193" t="s">
        <v>277</v>
      </c>
      <c r="Q478" s="20"/>
      <c r="R478" s="195" t="s">
        <v>61</v>
      </c>
      <c r="S478" s="189"/>
      <c r="T478" s="189"/>
      <c r="U478" s="189"/>
      <c r="V478" s="189"/>
    </row>
    <row r="479" spans="6:24" x14ac:dyDescent="0.2">
      <c r="F479" s="165"/>
      <c r="L479" s="165"/>
      <c r="O479" s="189"/>
      <c r="P479" s="193" t="s">
        <v>301</v>
      </c>
      <c r="Q479" s="20"/>
      <c r="R479" s="195"/>
      <c r="S479" s="189"/>
      <c r="T479" s="189"/>
      <c r="U479" s="189"/>
      <c r="V479" s="189"/>
    </row>
    <row r="480" spans="6:24" x14ac:dyDescent="0.2">
      <c r="F480" s="165"/>
      <c r="L480" s="165"/>
      <c r="O480" s="189"/>
      <c r="P480" s="193" t="s">
        <v>373</v>
      </c>
      <c r="Q480" s="20"/>
      <c r="R480" s="195"/>
      <c r="S480" s="189"/>
      <c r="T480" s="189"/>
      <c r="U480" s="189"/>
      <c r="V480" s="189"/>
    </row>
    <row r="481" spans="6:22" x14ac:dyDescent="0.2">
      <c r="F481" s="165"/>
      <c r="L481" s="165"/>
      <c r="O481" s="189"/>
      <c r="P481" s="193" t="s">
        <v>700</v>
      </c>
      <c r="Q481" s="20"/>
      <c r="R481" s="195"/>
      <c r="S481" s="189"/>
      <c r="T481" s="189"/>
      <c r="U481" s="189"/>
      <c r="V481" s="189"/>
    </row>
    <row r="482" spans="6:22" x14ac:dyDescent="0.2">
      <c r="F482" s="165"/>
      <c r="L482" s="165"/>
      <c r="O482" s="189"/>
      <c r="P482" s="193" t="s">
        <v>425</v>
      </c>
      <c r="Q482" s="20"/>
      <c r="R482" s="195"/>
      <c r="S482" s="189"/>
      <c r="T482" s="189"/>
      <c r="U482" s="189"/>
      <c r="V482" s="189"/>
    </row>
    <row r="483" spans="6:22" x14ac:dyDescent="0.2">
      <c r="F483" s="165"/>
      <c r="L483" s="165"/>
      <c r="R483" s="165"/>
    </row>
    <row r="484" spans="6:22" x14ac:dyDescent="0.2">
      <c r="F484" s="165"/>
      <c r="L484" s="165"/>
      <c r="R484" s="165"/>
    </row>
    <row r="485" spans="6:22" x14ac:dyDescent="0.2">
      <c r="F485" s="165"/>
      <c r="L485" s="165"/>
      <c r="R485" s="165"/>
    </row>
    <row r="486" spans="6:22" x14ac:dyDescent="0.2">
      <c r="F486" s="165"/>
      <c r="L486" s="165"/>
      <c r="R486" s="165"/>
    </row>
    <row r="487" spans="6:22" x14ac:dyDescent="0.2">
      <c r="F487" s="165"/>
      <c r="L487" s="165"/>
      <c r="R487" s="165"/>
    </row>
    <row r="488" spans="6:22" x14ac:dyDescent="0.2">
      <c r="F488" s="165"/>
      <c r="L488" s="165"/>
      <c r="R488" s="165"/>
    </row>
    <row r="489" spans="6:22" x14ac:dyDescent="0.2">
      <c r="F489" s="165"/>
      <c r="L489" s="165"/>
      <c r="R489" s="165"/>
    </row>
    <row r="490" spans="6:22" x14ac:dyDescent="0.2">
      <c r="F490" s="165"/>
      <c r="L490" s="165"/>
      <c r="R490" s="165"/>
    </row>
    <row r="491" spans="6:22" x14ac:dyDescent="0.2">
      <c r="F491" s="165"/>
      <c r="L491" s="165"/>
      <c r="R491" s="165"/>
    </row>
    <row r="492" spans="6:22" x14ac:dyDescent="0.2">
      <c r="F492" s="165"/>
      <c r="L492" s="165"/>
      <c r="R492" s="165"/>
    </row>
    <row r="493" spans="6:22" x14ac:dyDescent="0.2">
      <c r="F493" s="165"/>
      <c r="L493" s="165"/>
      <c r="R493" s="165"/>
    </row>
    <row r="494" spans="6:22" x14ac:dyDescent="0.2">
      <c r="F494" s="165"/>
      <c r="L494" s="165"/>
      <c r="R494" s="165"/>
    </row>
    <row r="495" spans="6:22" x14ac:dyDescent="0.2">
      <c r="F495" s="165"/>
      <c r="L495" s="165"/>
      <c r="R495" s="165"/>
    </row>
    <row r="496" spans="6:22" x14ac:dyDescent="0.2">
      <c r="F496" s="165"/>
      <c r="L496" s="165"/>
      <c r="R496" s="165"/>
    </row>
    <row r="497" spans="6:18" x14ac:dyDescent="0.2">
      <c r="F497" s="165"/>
      <c r="L497" s="165"/>
      <c r="R497" s="165"/>
    </row>
    <row r="498" spans="6:18" x14ac:dyDescent="0.2">
      <c r="F498" s="165"/>
      <c r="L498" s="165"/>
      <c r="R498" s="165"/>
    </row>
    <row r="499" spans="6:18" x14ac:dyDescent="0.2">
      <c r="F499" s="165"/>
      <c r="L499" s="165"/>
      <c r="R499" s="165"/>
    </row>
  </sheetData>
  <autoFilter ref="A6:AG358" xr:uid="{00000000-0001-0000-0000-000000000000}">
    <filterColumn colId="9">
      <filters>
        <dateGroupItem year="2023" month="12" dateTimeGrouping="month"/>
      </filters>
    </filterColumn>
    <filterColumn colId="15">
      <filters>
        <filter val="EP"/>
      </filters>
    </filterColumn>
  </autoFilter>
  <dataConsolidate/>
  <mergeCells count="1">
    <mergeCell ref="E1:O1"/>
  </mergeCells>
  <phoneticPr fontId="22" type="noConversion"/>
  <dataValidations count="4">
    <dataValidation type="list" allowBlank="1" showInputMessage="1" showErrorMessage="1" sqref="AB7:AB358" xr:uid="{B2E9D26C-1684-41CE-B174-CEEE8786E4F3}">
      <formula1>$X$464:$X$471</formula1>
    </dataValidation>
    <dataValidation type="list" allowBlank="1" showInputMessage="1" showErrorMessage="1" sqref="Q361:Q65556 Q6:Q17 Q19:Q47 Q49:Q358" xr:uid="{6B59E843-D485-407B-A3B0-8DC77FE2F919}">
      <formula1>$L$463:$L$474</formula1>
    </dataValidation>
    <dataValidation type="list" allowBlank="1" showInputMessage="1" showErrorMessage="1" sqref="AI18" xr:uid="{1DA886F5-CB84-473E-91D7-B5271EB15304}">
      <formula1>$AD$462:$AD$469</formula1>
    </dataValidation>
    <dataValidation type="list" allowBlank="1" showInputMessage="1" showErrorMessage="1" sqref="Q18" xr:uid="{C0FD0368-E59E-41F1-AE0C-42DC2AB3C36A}">
      <formula1>$L$461:$L$472</formula1>
    </dataValidation>
  </dataValidations>
  <pageMargins left="0.7" right="0.7" top="0.75" bottom="0.75" header="0.3" footer="0.3"/>
  <pageSetup scale="1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564A3034-FF7C-41D3-A042-C7907CE830FC}">
          <x14:formula1>
            <xm:f>'Datos Total'!$G$4:$G$16</xm:f>
          </x14:formula1>
          <xm:sqref>AA7:AA358 AH18</xm:sqref>
        </x14:dataValidation>
        <x14:dataValidation type="list" allowBlank="1" showInputMessage="1" showErrorMessage="1" xr:uid="{CDB05AFF-124B-4AEA-BD0C-AB40FE9000B9}">
          <x14:formula1>
            <xm:f>'Datos Total'!$B$18:$B$33</xm:f>
          </x14:formula1>
          <xm:sqref>AC7:AC358 AJ18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T106"/>
  <sheetViews>
    <sheetView showGridLines="0" topLeftCell="J1" zoomScaleNormal="100" workbookViewId="0">
      <selection activeCell="S4" sqref="S4"/>
    </sheetView>
  </sheetViews>
  <sheetFormatPr baseColWidth="10" defaultColWidth="11" defaultRowHeight="12.75" x14ac:dyDescent="0.2"/>
  <cols>
    <col min="1" max="1" width="1.42578125" style="47" customWidth="1"/>
    <col min="2" max="2" width="20.42578125" style="47" bestFit="1" customWidth="1"/>
    <col min="3" max="3" width="22.42578125" style="47" bestFit="1" customWidth="1"/>
    <col min="4" max="4" width="9.42578125" style="47" bestFit="1" customWidth="1"/>
    <col min="5" max="5" width="12.5703125" style="47" bestFit="1" customWidth="1"/>
    <col min="6" max="6" width="3" style="47" bestFit="1" customWidth="1"/>
    <col min="7" max="7" width="24.7109375" style="47" bestFit="1" customWidth="1"/>
    <col min="8" max="8" width="12.5703125" style="47" bestFit="1" customWidth="1"/>
    <col min="9" max="9" width="11" style="47" bestFit="1" customWidth="1"/>
    <col min="10" max="10" width="9.42578125" style="47" customWidth="1"/>
    <col min="11" max="11" width="1.42578125" style="47" customWidth="1"/>
    <col min="12" max="12" width="28" style="47" customWidth="1"/>
    <col min="13" max="13" width="12" style="47" customWidth="1"/>
    <col min="14" max="15" width="11" style="47"/>
    <col min="16" max="16" width="1.85546875" style="47" customWidth="1"/>
    <col min="17" max="17" width="11" style="47"/>
    <col min="18" max="18" width="29.28515625" style="47" customWidth="1"/>
    <col min="19" max="16384" width="11" style="47"/>
  </cols>
  <sheetData>
    <row r="2" spans="2:20" ht="13.5" thickBot="1" x14ac:dyDescent="0.25"/>
    <row r="3" spans="2:20" ht="13.5" thickBot="1" x14ac:dyDescent="0.25">
      <c r="B3" s="48" t="s">
        <v>1498</v>
      </c>
      <c r="C3" s="49" t="s">
        <v>1499</v>
      </c>
      <c r="D3" s="50" t="s">
        <v>1500</v>
      </c>
      <c r="E3" s="49" t="s">
        <v>1501</v>
      </c>
      <c r="G3" s="51" t="s">
        <v>1502</v>
      </c>
      <c r="H3" s="49" t="s">
        <v>1499</v>
      </c>
      <c r="I3" s="49" t="s">
        <v>1500</v>
      </c>
      <c r="J3" s="49" t="s">
        <v>1501</v>
      </c>
      <c r="L3" s="48" t="s">
        <v>19</v>
      </c>
      <c r="M3" s="52" t="s">
        <v>1499</v>
      </c>
      <c r="N3" s="50" t="s">
        <v>1500</v>
      </c>
      <c r="O3" s="49" t="s">
        <v>1501</v>
      </c>
      <c r="R3" s="125" t="s">
        <v>19</v>
      </c>
      <c r="S3" s="126" t="s">
        <v>89</v>
      </c>
      <c r="T3" s="127" t="s">
        <v>1500</v>
      </c>
    </row>
    <row r="4" spans="2:20" x14ac:dyDescent="0.2">
      <c r="B4" s="218" t="s">
        <v>73</v>
      </c>
      <c r="C4" s="222">
        <f>'Grafica Sup.'!D127</f>
        <v>2</v>
      </c>
      <c r="D4" s="215">
        <f t="shared" ref="D4:D14" si="0">C4/$C$16</f>
        <v>5.4054054054054057E-2</v>
      </c>
      <c r="E4" s="217">
        <f>D4</f>
        <v>5.4054054054054057E-2</v>
      </c>
      <c r="G4" s="223" t="s">
        <v>60</v>
      </c>
      <c r="H4" s="219">
        <f>COUNTIF('Consolidado Accidentes'!$AH$6:$AH$445,"Manos / dedos")</f>
        <v>71</v>
      </c>
      <c r="I4" s="215">
        <f>H4/$H$19</f>
        <v>0.30603448275862066</v>
      </c>
      <c r="J4" s="215">
        <f>I4</f>
        <v>0.30603448275862066</v>
      </c>
      <c r="L4" s="218" t="s">
        <v>1503</v>
      </c>
      <c r="M4" s="219">
        <f>COUNTIF('Consolidado Accidentes'!S7:S458,"TROZADO DE POLLO")</f>
        <v>62</v>
      </c>
      <c r="N4" s="220">
        <f t="shared" ref="N4:N15" si="1">M4/$M$16</f>
        <v>0.26839826839826841</v>
      </c>
      <c r="O4" s="55">
        <f>N4</f>
        <v>0.26839826839826841</v>
      </c>
      <c r="R4" s="283" t="s">
        <v>173</v>
      </c>
      <c r="S4" s="138">
        <f>COUNTIFS('Consolidado Accidentes'!S:S,"SSGG",'Consolidado Accidentes'!Q:Q,"LGF")</f>
        <v>5</v>
      </c>
      <c r="T4" s="284" t="e">
        <f t="shared" ref="T4:T15" ca="1" si="2">S4*$T$15/$S$15</f>
        <v>#DIV/0!</v>
      </c>
    </row>
    <row r="5" spans="2:20" x14ac:dyDescent="0.2">
      <c r="B5" s="221" t="s">
        <v>173</v>
      </c>
      <c r="C5" s="222">
        <f>'Grafica Sup.'!D25</f>
        <v>10</v>
      </c>
      <c r="D5" s="211">
        <f t="shared" si="0"/>
        <v>0.27027027027027029</v>
      </c>
      <c r="E5" s="217">
        <f t="shared" ref="E5:E14" si="3">E4+D5</f>
        <v>0.32432432432432434</v>
      </c>
      <c r="G5" s="224" t="s">
        <v>166</v>
      </c>
      <c r="H5" s="209">
        <f>COUNTIF('Consolidado Accidentes'!$AH$6:$AH$445,"Pierna")</f>
        <v>29</v>
      </c>
      <c r="I5" s="211">
        <f t="shared" ref="I5:I16" si="4">H5/$H$19</f>
        <v>0.125</v>
      </c>
      <c r="J5" s="211">
        <f>J4+I5</f>
        <v>0.43103448275862066</v>
      </c>
      <c r="L5" s="221" t="s">
        <v>173</v>
      </c>
      <c r="M5" s="209">
        <f>COUNTIF('Consolidado Accidentes'!S7:S458,"SSGG")</f>
        <v>36</v>
      </c>
      <c r="N5" s="217">
        <f t="shared" si="1"/>
        <v>0.15584415584415584</v>
      </c>
      <c r="O5" s="55">
        <f t="shared" ref="O5:O15" si="5">O4+N5</f>
        <v>0.42424242424242425</v>
      </c>
      <c r="R5" s="139" t="s">
        <v>264</v>
      </c>
      <c r="S5" s="138">
        <f>COUNTIFS('Consolidado Accidentes'!S:S,"MANTENCION",'Consolidado Accidentes'!Q:Q,"LGF")</f>
        <v>4</v>
      </c>
      <c r="T5" s="143" t="e">
        <f t="shared" ca="1" si="2"/>
        <v>#DIV/0!</v>
      </c>
    </row>
    <row r="6" spans="2:20" x14ac:dyDescent="0.2">
      <c r="B6" s="221" t="s">
        <v>91</v>
      </c>
      <c r="C6" s="222">
        <f>'Grafica Sup.'!D50</f>
        <v>4</v>
      </c>
      <c r="D6" s="211">
        <f t="shared" si="0"/>
        <v>0.10810810810810811</v>
      </c>
      <c r="E6" s="217">
        <f t="shared" si="3"/>
        <v>0.43243243243243246</v>
      </c>
      <c r="G6" s="224" t="s">
        <v>227</v>
      </c>
      <c r="H6" s="209">
        <f>COUNTIF('Consolidado Accidentes'!$AH$6:$AH$445,"Ojos")</f>
        <v>26</v>
      </c>
      <c r="I6" s="211">
        <f t="shared" si="4"/>
        <v>0.11206896551724138</v>
      </c>
      <c r="J6" s="211">
        <f t="shared" ref="J6:J16" si="6">J5+I6</f>
        <v>0.5431034482758621</v>
      </c>
      <c r="L6" s="221" t="s">
        <v>73</v>
      </c>
      <c r="M6" s="209">
        <f>COUNTIF('Consolidado Accidentes'!S7:S458,"IQF Y CALIBRADO")</f>
        <v>37</v>
      </c>
      <c r="N6" s="217">
        <f t="shared" si="1"/>
        <v>0.16017316017316016</v>
      </c>
      <c r="O6" s="55">
        <f t="shared" si="5"/>
        <v>0.58441558441558439</v>
      </c>
      <c r="R6" s="283" t="s">
        <v>1504</v>
      </c>
      <c r="S6" s="138">
        <f>COUNTIFS('Consolidado Accidentes'!S:S,"P. POSTERIORES",'Consolidado Accidentes'!Q:Q,"LGF")</f>
        <v>4</v>
      </c>
      <c r="T6" s="284" t="e">
        <f t="shared" ca="1" si="2"/>
        <v>#DIV/0!</v>
      </c>
    </row>
    <row r="7" spans="2:20" x14ac:dyDescent="0.2">
      <c r="B7" s="45" t="s">
        <v>1503</v>
      </c>
      <c r="C7" s="53">
        <f>'Grafica Sup.'!D9</f>
        <v>14</v>
      </c>
      <c r="D7" s="56">
        <f t="shared" si="0"/>
        <v>0.3783783783783784</v>
      </c>
      <c r="E7" s="55">
        <f t="shared" si="3"/>
        <v>0.81081081081081086</v>
      </c>
      <c r="G7" s="46" t="s">
        <v>153</v>
      </c>
      <c r="H7" s="57">
        <f>COUNTIF('Consolidado Accidentes'!$AH$7:$AH$445,"Pie")</f>
        <v>29</v>
      </c>
      <c r="I7" s="56">
        <f t="shared" si="4"/>
        <v>0.125</v>
      </c>
      <c r="J7" s="56">
        <f t="shared" si="6"/>
        <v>0.6681034482758621</v>
      </c>
      <c r="L7" s="228" t="s">
        <v>91</v>
      </c>
      <c r="M7" s="229">
        <f>COUNTIF('Consolidado Accidentes'!S7:S458,"FAENACION")</f>
        <v>24</v>
      </c>
      <c r="N7" s="227">
        <f t="shared" si="1"/>
        <v>0.1038961038961039</v>
      </c>
      <c r="O7" s="55">
        <f t="shared" si="5"/>
        <v>0.68831168831168832</v>
      </c>
      <c r="R7" s="139" t="s">
        <v>1505</v>
      </c>
      <c r="S7" s="138">
        <f>COUNTIFS('Consolidado Accidentes'!S:S,"FRIGORIFICO",'Consolidado Accidentes'!Q:Q,"LGF")</f>
        <v>2</v>
      </c>
      <c r="T7" s="143" t="e">
        <f t="shared" ca="1" si="2"/>
        <v>#DIV/0!</v>
      </c>
    </row>
    <row r="8" spans="2:20" x14ac:dyDescent="0.2">
      <c r="B8" s="45" t="s">
        <v>1505</v>
      </c>
      <c r="C8" s="53">
        <f>'Grafica Sup.'!D77</f>
        <v>3</v>
      </c>
      <c r="D8" s="56">
        <f t="shared" si="0"/>
        <v>8.1081081081081086E-2</v>
      </c>
      <c r="E8" s="55">
        <f t="shared" si="3"/>
        <v>0.89189189189189189</v>
      </c>
      <c r="G8" s="46" t="s">
        <v>450</v>
      </c>
      <c r="H8" s="57">
        <f>COUNTIF('Consolidado Accidentes'!$AH$6:$AH$445,"Brazo")</f>
        <v>20</v>
      </c>
      <c r="I8" s="56">
        <f t="shared" si="4"/>
        <v>8.6206896551724144E-2</v>
      </c>
      <c r="J8" s="56">
        <f t="shared" si="6"/>
        <v>0.7543103448275863</v>
      </c>
      <c r="L8" s="45" t="s">
        <v>1505</v>
      </c>
      <c r="M8" s="57">
        <f>COUNTIF('Consolidado Accidentes'!S7:S458,"FRIGORIFICO")</f>
        <v>25</v>
      </c>
      <c r="N8" s="55">
        <f t="shared" si="1"/>
        <v>0.10822510822510822</v>
      </c>
      <c r="O8" s="55">
        <f t="shared" si="5"/>
        <v>0.79653679653679654</v>
      </c>
      <c r="R8" s="139" t="s">
        <v>73</v>
      </c>
      <c r="S8" s="138">
        <f>COUNTIFS('Consolidado Accidentes'!S:S,"IQF Y CALIBRADO",'Consolidado Accidentes'!Q:Q,"LGF")</f>
        <v>2</v>
      </c>
      <c r="T8" s="143" t="e">
        <f t="shared" ca="1" si="2"/>
        <v>#DIV/0!</v>
      </c>
    </row>
    <row r="9" spans="2:20" x14ac:dyDescent="0.2">
      <c r="B9" s="45"/>
      <c r="C9" s="53">
        <f>'Grafica Sup.'!D38</f>
        <v>1</v>
      </c>
      <c r="D9" s="56">
        <f t="shared" si="0"/>
        <v>2.7027027027027029E-2</v>
      </c>
      <c r="E9" s="55">
        <f t="shared" si="3"/>
        <v>0.91891891891891886</v>
      </c>
      <c r="G9" s="46" t="s">
        <v>127</v>
      </c>
      <c r="H9" s="57">
        <f>COUNTIF('Consolidado Accidentes'!$AH$6:$AH$445,"rostro")</f>
        <v>9</v>
      </c>
      <c r="I9" s="56">
        <f t="shared" si="4"/>
        <v>3.8793103448275863E-2</v>
      </c>
      <c r="J9" s="56">
        <f t="shared" si="6"/>
        <v>0.79310344827586221</v>
      </c>
      <c r="L9" s="45" t="s">
        <v>1504</v>
      </c>
      <c r="M9" s="57">
        <f>COUNTIF('Consolidado Accidentes'!S5:S458,"P. POSTERIORES")</f>
        <v>23</v>
      </c>
      <c r="N9" s="55">
        <f t="shared" si="1"/>
        <v>9.9567099567099568E-2</v>
      </c>
      <c r="O9" s="55">
        <f t="shared" si="5"/>
        <v>0.89610389610389607</v>
      </c>
      <c r="R9" s="283" t="s">
        <v>91</v>
      </c>
      <c r="S9" s="138">
        <f>COUNTIFS('Consolidado Accidentes'!S:S,"FAENACION",'Consolidado Accidentes'!Q:Q,"LGF")</f>
        <v>2</v>
      </c>
      <c r="T9" s="284" t="e">
        <f t="shared" ca="1" si="2"/>
        <v>#DIV/0!</v>
      </c>
    </row>
    <row r="10" spans="2:20" x14ac:dyDescent="0.2">
      <c r="B10" s="45" t="s">
        <v>52</v>
      </c>
      <c r="C10" s="53">
        <f>'Grafica Sup.'!D138</f>
        <v>0</v>
      </c>
      <c r="D10" s="56">
        <f t="shared" si="0"/>
        <v>0</v>
      </c>
      <c r="E10" s="55">
        <f t="shared" si="3"/>
        <v>0.91891891891891886</v>
      </c>
      <c r="G10" s="46" t="s">
        <v>1395</v>
      </c>
      <c r="H10" s="57">
        <f>COUNTIF('Consolidado Accidentes'!$AH$6:$AH$445,"Otro")</f>
        <v>0</v>
      </c>
      <c r="I10" s="56">
        <f t="shared" si="4"/>
        <v>0</v>
      </c>
      <c r="J10" s="56">
        <f t="shared" si="6"/>
        <v>0.79310344827586221</v>
      </c>
      <c r="L10" s="45" t="s">
        <v>264</v>
      </c>
      <c r="M10" s="57">
        <f>COUNTIF('Consolidado Accidentes'!S7:S458,"MANTENCION")</f>
        <v>18</v>
      </c>
      <c r="N10" s="55">
        <f t="shared" si="1"/>
        <v>7.792207792207792E-2</v>
      </c>
      <c r="O10" s="55">
        <f t="shared" si="5"/>
        <v>0.97402597402597402</v>
      </c>
      <c r="R10" s="283" t="s">
        <v>1503</v>
      </c>
      <c r="S10" s="138">
        <f>COUNTIFS('Consolidado Accidentes'!S:S,"TROZADO DE POLLO",'Consolidado Accidentes'!Q:Q,"LGF")</f>
        <v>2</v>
      </c>
      <c r="T10" s="284" t="e">
        <f t="shared" ca="1" si="2"/>
        <v>#DIV/0!</v>
      </c>
    </row>
    <row r="11" spans="2:20" x14ac:dyDescent="0.2">
      <c r="B11" s="45" t="s">
        <v>264</v>
      </c>
      <c r="C11" s="53">
        <f>'Grafica Sup.'!D98</f>
        <v>3</v>
      </c>
      <c r="D11" s="56">
        <f t="shared" si="0"/>
        <v>8.1081081081081086E-2</v>
      </c>
      <c r="E11" s="55">
        <f t="shared" si="3"/>
        <v>1</v>
      </c>
      <c r="G11" s="58" t="s">
        <v>238</v>
      </c>
      <c r="H11" s="57">
        <f>COUNTIF('Consolidado Accidentes'!$AH$6:$AH$445,"Pelvis")</f>
        <v>1</v>
      </c>
      <c r="I11" s="56">
        <f t="shared" si="4"/>
        <v>4.3103448275862068E-3</v>
      </c>
      <c r="J11" s="56">
        <f t="shared" si="6"/>
        <v>0.7974137931034484</v>
      </c>
      <c r="L11" s="45" t="s">
        <v>1506</v>
      </c>
      <c r="M11" s="57">
        <f>COUNTIF('Consolidado Accidentes'!S7:S458,"TROZADO DE PAVO")</f>
        <v>3</v>
      </c>
      <c r="N11" s="55">
        <f t="shared" si="1"/>
        <v>1.2987012987012988E-2</v>
      </c>
      <c r="O11" s="55">
        <f t="shared" si="5"/>
        <v>0.98701298701298701</v>
      </c>
      <c r="R11" s="283" t="s">
        <v>1506</v>
      </c>
      <c r="S11" s="138">
        <f>COUNTIFS('Consolidado Accidentes'!S:S,"TROZADO DE PAVO",'Consolidado Accidentes'!Q:Q,"LGF")</f>
        <v>0</v>
      </c>
      <c r="T11" s="284" t="e">
        <f t="shared" ca="1" si="2"/>
        <v>#DIV/0!</v>
      </c>
    </row>
    <row r="12" spans="2:20" x14ac:dyDescent="0.2">
      <c r="B12" s="45" t="s">
        <v>1506</v>
      </c>
      <c r="C12" s="53">
        <f>'Grafica Sup.'!D62</f>
        <v>0</v>
      </c>
      <c r="D12" s="56">
        <f t="shared" si="0"/>
        <v>0</v>
      </c>
      <c r="E12" s="55">
        <f t="shared" si="3"/>
        <v>1</v>
      </c>
      <c r="G12" s="46" t="s">
        <v>642</v>
      </c>
      <c r="H12" s="57">
        <f>COUNTIF('Consolidado Accidentes'!$AH$6:$AH$445,"Cabeza")</f>
        <v>8</v>
      </c>
      <c r="I12" s="56">
        <f t="shared" si="4"/>
        <v>3.4482758620689655E-2</v>
      </c>
      <c r="J12" s="56">
        <f t="shared" si="6"/>
        <v>0.83189655172413801</v>
      </c>
      <c r="L12" s="32" t="s">
        <v>108</v>
      </c>
      <c r="M12" s="57">
        <f>COUNTIF('Consolidado Accidentes'!S7:S458,"CALIDAD")</f>
        <v>2</v>
      </c>
      <c r="N12" s="55">
        <f t="shared" si="1"/>
        <v>8.658008658008658E-3</v>
      </c>
      <c r="O12" s="55">
        <f t="shared" si="5"/>
        <v>0.99567099567099571</v>
      </c>
      <c r="R12" s="139" t="s">
        <v>52</v>
      </c>
      <c r="S12" s="138">
        <f>COUNTIFS('Consolidado Accidentes'!S:S,"BODEGA",'Consolidado Accidentes'!Q:Q,"LGF")</f>
        <v>0</v>
      </c>
      <c r="T12" s="143" t="e">
        <f t="shared" ca="1" si="2"/>
        <v>#DIV/0!</v>
      </c>
    </row>
    <row r="13" spans="2:20" x14ac:dyDescent="0.2">
      <c r="B13" s="32" t="s">
        <v>108</v>
      </c>
      <c r="C13" s="53">
        <f>'Grafica Sup.'!D108</f>
        <v>0</v>
      </c>
      <c r="D13" s="56">
        <f t="shared" si="0"/>
        <v>0</v>
      </c>
      <c r="E13" s="55">
        <f t="shared" si="3"/>
        <v>1</v>
      </c>
      <c r="G13" s="46" t="s">
        <v>695</v>
      </c>
      <c r="H13" s="57">
        <f>COUNTIF('Consolidado Accidentes'!$AH$6:$AH$445,"Tronco")</f>
        <v>3</v>
      </c>
      <c r="I13" s="56">
        <f t="shared" si="4"/>
        <v>1.2931034482758621E-2</v>
      </c>
      <c r="J13" s="56">
        <f t="shared" si="6"/>
        <v>0.84482758620689669</v>
      </c>
      <c r="L13" s="45" t="s">
        <v>52</v>
      </c>
      <c r="M13" s="57">
        <f>COUNTIF('Consolidado Accidentes'!S7:S458,"BODEGA")</f>
        <v>1</v>
      </c>
      <c r="N13" s="55">
        <f t="shared" si="1"/>
        <v>4.329004329004329E-3</v>
      </c>
      <c r="O13" s="55">
        <f t="shared" si="5"/>
        <v>1</v>
      </c>
      <c r="R13" s="139" t="s">
        <v>1507</v>
      </c>
      <c r="S13" s="138">
        <f>COUNTIFS('Consolidado Accidentes'!S:S,"PERSONAL",'Consolidado Accidentes'!Q:Q,"LGF")</f>
        <v>0</v>
      </c>
      <c r="T13" s="143" t="e">
        <f t="shared" ca="1" si="2"/>
        <v>#DIV/0!</v>
      </c>
    </row>
    <row r="14" spans="2:20" x14ac:dyDescent="0.2">
      <c r="B14" s="45" t="s">
        <v>1508</v>
      </c>
      <c r="C14" s="53">
        <v>0</v>
      </c>
      <c r="D14" s="56">
        <f t="shared" si="0"/>
        <v>0</v>
      </c>
      <c r="E14" s="55">
        <f t="shared" si="3"/>
        <v>1</v>
      </c>
      <c r="G14" s="46" t="s">
        <v>256</v>
      </c>
      <c r="H14" s="57">
        <f>COUNTIF('Consolidado Accidentes'!$AH$6:$AH$445,"Espalda")</f>
        <v>17</v>
      </c>
      <c r="I14" s="56">
        <f t="shared" si="4"/>
        <v>7.3275862068965511E-2</v>
      </c>
      <c r="J14" s="56">
        <f t="shared" si="6"/>
        <v>0.91810344827586221</v>
      </c>
      <c r="L14" s="45" t="s">
        <v>1507</v>
      </c>
      <c r="M14" s="57">
        <f>COUNTIF('Consolidado Accidentes'!S7:S459,"PERSONAL")</f>
        <v>0</v>
      </c>
      <c r="N14" s="55">
        <f t="shared" si="1"/>
        <v>0</v>
      </c>
      <c r="O14" s="55">
        <f t="shared" si="5"/>
        <v>1</v>
      </c>
      <c r="R14" s="140" t="s">
        <v>108</v>
      </c>
      <c r="S14" s="138">
        <f>COUNTIFS('Consolidado Accidentes'!S:S,"CALIDAD",'Consolidado Accidentes'!Q:Q,"LGF")</f>
        <v>0</v>
      </c>
      <c r="T14" s="143" t="e">
        <f t="shared" ca="1" si="2"/>
        <v>#DIV/0!</v>
      </c>
    </row>
    <row r="15" spans="2:20" ht="13.5" thickBot="1" x14ac:dyDescent="0.25">
      <c r="B15" s="45"/>
      <c r="C15" s="53"/>
      <c r="D15" s="59"/>
      <c r="E15" s="55"/>
      <c r="G15" s="46" t="s">
        <v>143</v>
      </c>
      <c r="H15" s="57">
        <f>COUNTIF('Consolidado Accidentes'!$AH$6:$AH$445,"Multiples")</f>
        <v>18</v>
      </c>
      <c r="I15" s="56">
        <f t="shared" si="4"/>
        <v>7.7586206896551727E-2</v>
      </c>
      <c r="J15" s="56">
        <f t="shared" si="6"/>
        <v>0.99568965517241392</v>
      </c>
      <c r="L15" s="45" t="s">
        <v>1508</v>
      </c>
      <c r="M15" s="57">
        <f>COUNTIF('Consolidado Accidentes'!S7:S458,"ADMINISTRACION")</f>
        <v>0</v>
      </c>
      <c r="N15" s="55">
        <f t="shared" si="1"/>
        <v>0</v>
      </c>
      <c r="O15" s="55">
        <f t="shared" si="5"/>
        <v>1</v>
      </c>
      <c r="R15" s="336" t="s">
        <v>1508</v>
      </c>
      <c r="S15" s="338">
        <f>COUNTIFS('Consolidado Accidentes'!S:S,"ADMINISTRACION",'Consolidado Accidentes'!Q:Q,"LGF")</f>
        <v>0</v>
      </c>
      <c r="T15" s="340" t="e">
        <f t="shared" ca="1" si="2"/>
        <v>#DIV/0!</v>
      </c>
    </row>
    <row r="16" spans="2:20" ht="13.5" thickBot="1" x14ac:dyDescent="0.25">
      <c r="B16" s="60" t="s">
        <v>1509</v>
      </c>
      <c r="C16" s="61">
        <f>SUM(C4:C14)</f>
        <v>37</v>
      </c>
      <c r="D16" s="62">
        <f>SUM(D4:D14)</f>
        <v>1</v>
      </c>
      <c r="E16" s="63"/>
      <c r="G16" s="46" t="s">
        <v>816</v>
      </c>
      <c r="H16" s="57">
        <f>COUNTIF('Consolidado Accidentes'!$AH$6:$AH$445,"Lesion Interna")</f>
        <v>1</v>
      </c>
      <c r="I16" s="56">
        <f t="shared" si="4"/>
        <v>4.3103448275862068E-3</v>
      </c>
      <c r="J16" s="56">
        <f t="shared" si="6"/>
        <v>1.0000000000000002</v>
      </c>
      <c r="L16" s="60" t="s">
        <v>1509</v>
      </c>
      <c r="M16" s="61">
        <f>SUM(M4:M15)</f>
        <v>231</v>
      </c>
      <c r="N16" s="63">
        <f>SUM(N4:N14)</f>
        <v>1</v>
      </c>
      <c r="O16" s="63"/>
      <c r="R16" s="335" t="s">
        <v>1510</v>
      </c>
      <c r="S16" s="337">
        <f>SUM(S1:S3)</f>
        <v>0</v>
      </c>
      <c r="T16" s="339">
        <v>1</v>
      </c>
    </row>
    <row r="17" spans="2:20" ht="13.5" thickBot="1" x14ac:dyDescent="0.25">
      <c r="B17" s="64" t="s">
        <v>1511</v>
      </c>
      <c r="C17" s="65" t="s">
        <v>1499</v>
      </c>
      <c r="D17" s="66" t="s">
        <v>1500</v>
      </c>
      <c r="E17" s="65" t="s">
        <v>1501</v>
      </c>
      <c r="G17" s="46"/>
      <c r="H17" s="57"/>
      <c r="I17" s="56"/>
      <c r="J17" s="56"/>
      <c r="L17" s="67"/>
      <c r="M17" s="53"/>
      <c r="N17" s="56"/>
      <c r="O17" s="55"/>
    </row>
    <row r="18" spans="2:20" ht="13.5" thickBot="1" x14ac:dyDescent="0.25">
      <c r="B18" s="225" t="s">
        <v>81</v>
      </c>
      <c r="C18" s="209">
        <f>COUNTIF('Consolidado Accidentes'!AJ7:AJ445,"Caida de mismo nivel")</f>
        <v>37</v>
      </c>
      <c r="D18" s="210">
        <f t="shared" ref="D18:D33" si="7">C18/$C$36</f>
        <v>0.15948275862068967</v>
      </c>
      <c r="E18" s="211">
        <f>D18</f>
        <v>0.15948275862068967</v>
      </c>
      <c r="G18" s="70"/>
      <c r="H18" s="70"/>
      <c r="I18" s="70"/>
      <c r="J18" s="70"/>
      <c r="L18" s="48" t="s">
        <v>1512</v>
      </c>
      <c r="M18" s="49" t="s">
        <v>1499</v>
      </c>
      <c r="N18" s="71" t="s">
        <v>1500</v>
      </c>
      <c r="O18" s="49" t="s">
        <v>1501</v>
      </c>
      <c r="R18" s="125" t="s">
        <v>1513</v>
      </c>
      <c r="S18" s="126" t="s">
        <v>1514</v>
      </c>
      <c r="T18" s="127" t="s">
        <v>1500</v>
      </c>
    </row>
    <row r="19" spans="2:20" ht="13.5" thickBot="1" x14ac:dyDescent="0.25">
      <c r="B19" s="225" t="s">
        <v>129</v>
      </c>
      <c r="C19" s="209">
        <f>COUNTIF('Consolidado Accidentes'!AJ:AJ,"Golpeado Por")</f>
        <v>70</v>
      </c>
      <c r="D19" s="210">
        <f t="shared" si="7"/>
        <v>0.30172413793103448</v>
      </c>
      <c r="E19" s="211">
        <f t="shared" ref="E19:E33" si="8">E18+D19</f>
        <v>0.46120689655172414</v>
      </c>
      <c r="G19" s="72" t="s">
        <v>1499</v>
      </c>
      <c r="H19" s="60">
        <f>SUM(H4:H16)</f>
        <v>232</v>
      </c>
      <c r="I19" s="73">
        <f>SUM(I4:I16)</f>
        <v>1.0000000000000002</v>
      </c>
      <c r="J19" s="63"/>
      <c r="L19" s="74" t="s">
        <v>1515</v>
      </c>
      <c r="M19" s="75">
        <f>COUNTIF('Consolidado Accidentes'!B6:B514,"Enero")</f>
        <v>13</v>
      </c>
      <c r="N19" s="69">
        <f t="shared" ref="N19:N30" si="9">M19/$M$32</f>
        <v>5.9633027522935783E-2</v>
      </c>
      <c r="O19" s="56"/>
      <c r="R19" s="110" t="s">
        <v>1516</v>
      </c>
      <c r="S19" s="138">
        <f>COUNTIF('Consolidado Accidentes'!R:R,"LGF7")</f>
        <v>0</v>
      </c>
      <c r="T19" s="284">
        <f t="shared" ref="T19:T26" si="10">S19*$T$27/$S$27</f>
        <v>0</v>
      </c>
    </row>
    <row r="20" spans="2:20" ht="13.5" thickBot="1" x14ac:dyDescent="0.25">
      <c r="B20" s="225" t="s">
        <v>154</v>
      </c>
      <c r="C20" s="209">
        <f>COUNTIF('Consolidado Accidentes'!AJ7:AJ445,"Golpeado Contra")</f>
        <v>28</v>
      </c>
      <c r="D20" s="210">
        <f t="shared" si="7"/>
        <v>0.1206896551724138</v>
      </c>
      <c r="E20" s="211">
        <f t="shared" si="8"/>
        <v>0.5818965517241379</v>
      </c>
      <c r="G20" s="160"/>
      <c r="H20" s="158"/>
      <c r="I20" s="76"/>
      <c r="J20" s="76"/>
      <c r="L20" s="74" t="s">
        <v>1517</v>
      </c>
      <c r="M20" s="77">
        <f>COUNTIF('Consolidado Accidentes'!B6:B514,"Febrero")</f>
        <v>11</v>
      </c>
      <c r="N20" s="69">
        <f t="shared" si="9"/>
        <v>5.0458715596330278E-2</v>
      </c>
      <c r="O20" s="56"/>
      <c r="R20" s="110" t="s">
        <v>1518</v>
      </c>
      <c r="S20" s="138">
        <f>COUNTIF('Consolidado Accidentes'!R:R,"LGF4")</f>
        <v>7</v>
      </c>
      <c r="T20" s="284">
        <f t="shared" si="10"/>
        <v>0.33333333333333331</v>
      </c>
    </row>
    <row r="21" spans="2:20" ht="13.5" thickBot="1" x14ac:dyDescent="0.25">
      <c r="B21" s="68" t="s">
        <v>293</v>
      </c>
      <c r="C21" s="57">
        <f>COUNTIF('Consolidado Accidentes'!AJ7:AJ445,"Contacto con cuerpo cortante")</f>
        <v>13</v>
      </c>
      <c r="D21" s="69">
        <f t="shared" si="7"/>
        <v>5.6034482758620691E-2</v>
      </c>
      <c r="E21" s="56">
        <f t="shared" si="8"/>
        <v>0.63793103448275856</v>
      </c>
      <c r="G21" s="51" t="s">
        <v>1519</v>
      </c>
      <c r="H21" s="49" t="s">
        <v>1499</v>
      </c>
      <c r="I21" s="76"/>
      <c r="J21" s="76"/>
      <c r="K21" s="47">
        <v>1</v>
      </c>
      <c r="L21" s="74" t="s">
        <v>1520</v>
      </c>
      <c r="M21" s="77">
        <f>COUNTIF('Consolidado Accidentes'!B6:B514,"Marzo")</f>
        <v>24</v>
      </c>
      <c r="N21" s="69">
        <f t="shared" si="9"/>
        <v>0.11009174311926606</v>
      </c>
      <c r="O21" s="56"/>
      <c r="R21" s="110" t="s">
        <v>1521</v>
      </c>
      <c r="S21" s="138">
        <f>COUNTIF('Consolidado Accidentes'!R:R,"LGF2")</f>
        <v>6</v>
      </c>
      <c r="T21" s="284">
        <f t="shared" si="10"/>
        <v>0.2857142857142857</v>
      </c>
    </row>
    <row r="22" spans="2:20" ht="13.5" thickBot="1" x14ac:dyDescent="0.25">
      <c r="B22" s="68" t="s">
        <v>229</v>
      </c>
      <c r="C22" s="57">
        <f>COUNTIF('Consolidado Accidentes'!AJ7:AJ445,"Proyeccion de particulas")</f>
        <v>22</v>
      </c>
      <c r="D22" s="69">
        <f t="shared" si="7"/>
        <v>9.4827586206896547E-2</v>
      </c>
      <c r="E22" s="56">
        <f t="shared" si="8"/>
        <v>0.73275862068965514</v>
      </c>
      <c r="G22" s="78" t="s">
        <v>1522</v>
      </c>
      <c r="H22" s="79">
        <f>SUM('Consolidado Accidentes'!O7:O447)</f>
        <v>568</v>
      </c>
      <c r="I22" s="76"/>
      <c r="J22" s="76"/>
      <c r="K22" s="47">
        <v>2</v>
      </c>
      <c r="L22" s="74" t="s">
        <v>1523</v>
      </c>
      <c r="M22" s="77">
        <v>9</v>
      </c>
      <c r="N22" s="69">
        <f t="shared" si="9"/>
        <v>4.1284403669724773E-2</v>
      </c>
      <c r="O22" s="56"/>
      <c r="R22" s="110" t="s">
        <v>1524</v>
      </c>
      <c r="S22" s="138">
        <f>COUNTIF('Consolidado Accidentes'!R:R,"LGF1")</f>
        <v>0</v>
      </c>
      <c r="T22" s="284">
        <f t="shared" si="10"/>
        <v>0</v>
      </c>
    </row>
    <row r="23" spans="2:20" ht="13.5" thickBot="1" x14ac:dyDescent="0.25">
      <c r="B23" s="68" t="s">
        <v>61</v>
      </c>
      <c r="C23" s="57">
        <f>COUNTIF('Consolidado Accidentes'!AJ7:AJ445,"Otros")</f>
        <v>9</v>
      </c>
      <c r="D23" s="69">
        <f t="shared" si="7"/>
        <v>3.8793103448275863E-2</v>
      </c>
      <c r="E23" s="56">
        <f t="shared" si="8"/>
        <v>0.77155172413793105</v>
      </c>
      <c r="G23" s="159"/>
      <c r="H23" s="158"/>
      <c r="I23" s="76"/>
      <c r="J23" s="76"/>
      <c r="K23" s="47">
        <v>3</v>
      </c>
      <c r="L23" s="74" t="s">
        <v>1525</v>
      </c>
      <c r="M23" s="77">
        <f>COUNTIF('Consolidado Accidentes'!B6:B514,"Mayo")</f>
        <v>30</v>
      </c>
      <c r="N23" s="69">
        <f t="shared" si="9"/>
        <v>0.13761467889908258</v>
      </c>
      <c r="O23" s="56"/>
      <c r="R23" s="110" t="s">
        <v>1526</v>
      </c>
      <c r="S23" s="138">
        <f>COUNTIF('Consolidado Accidentes'!R:R,"LGF3")</f>
        <v>2</v>
      </c>
      <c r="T23" s="284">
        <f t="shared" si="10"/>
        <v>9.5238095238095233E-2</v>
      </c>
    </row>
    <row r="24" spans="2:20" ht="13.5" thickBot="1" x14ac:dyDescent="0.25">
      <c r="B24" s="68" t="s">
        <v>101</v>
      </c>
      <c r="C24" s="57">
        <f>COUNTIF('Consolidado Accidentes'!AJ7:AJ445,"Atrapamiento")</f>
        <v>6</v>
      </c>
      <c r="D24" s="69">
        <f t="shared" si="7"/>
        <v>2.5862068965517241E-2</v>
      </c>
      <c r="E24" s="56">
        <f t="shared" si="8"/>
        <v>0.79741379310344829</v>
      </c>
      <c r="G24" s="80" t="s">
        <v>1527</v>
      </c>
      <c r="H24" s="81">
        <f>AVERAGE(M19:M30)</f>
        <v>18.166666666666668</v>
      </c>
      <c r="K24" s="47">
        <v>4</v>
      </c>
      <c r="L24" s="74" t="s">
        <v>1528</v>
      </c>
      <c r="M24" s="77">
        <f>COUNTIF('Consolidado Accidentes'!B6:B514,"Junio")</f>
        <v>17</v>
      </c>
      <c r="N24" s="69">
        <f t="shared" si="9"/>
        <v>7.7981651376146793E-2</v>
      </c>
      <c r="O24" s="56"/>
      <c r="R24" s="110" t="s">
        <v>1529</v>
      </c>
      <c r="S24" s="138">
        <f>COUNTIF('Consolidado Accidentes'!R:R,"LGF5")</f>
        <v>0</v>
      </c>
      <c r="T24" s="284">
        <f t="shared" si="10"/>
        <v>0</v>
      </c>
    </row>
    <row r="25" spans="2:20" ht="13.5" thickBot="1" x14ac:dyDescent="0.25">
      <c r="B25" s="68" t="s">
        <v>180</v>
      </c>
      <c r="C25" s="57">
        <f>COUNTIF('Consolidado Accidentes'!AJ7:AJ445,"Caida de distinto nivel")</f>
        <v>11</v>
      </c>
      <c r="D25" s="69">
        <f t="shared" si="7"/>
        <v>4.7413793103448273E-2</v>
      </c>
      <c r="E25" s="56">
        <f t="shared" si="8"/>
        <v>0.84482758620689657</v>
      </c>
      <c r="K25" s="47">
        <v>5</v>
      </c>
      <c r="L25" s="74" t="s">
        <v>1530</v>
      </c>
      <c r="M25" s="77">
        <f>COUNTIF('Consolidado Accidentes'!B6:B514,"Julio")</f>
        <v>17</v>
      </c>
      <c r="N25" s="69">
        <f t="shared" si="9"/>
        <v>7.7981651376146793E-2</v>
      </c>
      <c r="O25" s="56"/>
      <c r="R25" s="110" t="s">
        <v>1531</v>
      </c>
      <c r="S25" s="138">
        <f>COUNTIF('Consolidado Accidentes'!R:R,"LGF6")</f>
        <v>1</v>
      </c>
      <c r="T25" s="284">
        <f t="shared" si="10"/>
        <v>4.7619047619047616E-2</v>
      </c>
    </row>
    <row r="26" spans="2:20" ht="13.5" thickBot="1" x14ac:dyDescent="0.25">
      <c r="B26" s="68" t="s">
        <v>303</v>
      </c>
      <c r="C26" s="57">
        <f>COUNTIF('Consolidado Accidentes'!AJ7:AJ445,"Exposicion a humo y gases")</f>
        <v>2</v>
      </c>
      <c r="D26" s="69">
        <f t="shared" si="7"/>
        <v>8.6206896551724137E-3</v>
      </c>
      <c r="E26" s="56">
        <f t="shared" si="8"/>
        <v>0.85344827586206895</v>
      </c>
      <c r="G26" s="48" t="s">
        <v>1532</v>
      </c>
      <c r="H26" s="49" t="s">
        <v>1499</v>
      </c>
      <c r="I26" s="71" t="s">
        <v>1500</v>
      </c>
      <c r="J26" s="49" t="s">
        <v>1501</v>
      </c>
      <c r="K26" s="47">
        <v>6</v>
      </c>
      <c r="L26" s="74" t="s">
        <v>1533</v>
      </c>
      <c r="M26" s="77">
        <f>COUNTIF('Consolidado Accidentes'!B6:B514,"Agosto")</f>
        <v>32</v>
      </c>
      <c r="N26" s="69">
        <f t="shared" si="9"/>
        <v>0.14678899082568808</v>
      </c>
      <c r="O26" s="56"/>
      <c r="R26" s="110" t="s">
        <v>1534</v>
      </c>
      <c r="S26" s="138">
        <f>COUNTIF('Consolidado Accidentes'!R:R,"LGF8")</f>
        <v>5</v>
      </c>
      <c r="T26" s="284">
        <f t="shared" si="10"/>
        <v>0.23809523809523808</v>
      </c>
    </row>
    <row r="27" spans="2:20" ht="13.5" thickBot="1" x14ac:dyDescent="0.25">
      <c r="B27" s="68" t="s">
        <v>62</v>
      </c>
      <c r="C27" s="57">
        <f>COUNTIF('Consolidado Accidentes'!AJ7:AJ445,"Sobreesfuerzo")</f>
        <v>14</v>
      </c>
      <c r="D27" s="69">
        <f t="shared" si="7"/>
        <v>6.0344827586206899E-2</v>
      </c>
      <c r="E27" s="56">
        <f t="shared" si="8"/>
        <v>0.9137931034482758</v>
      </c>
      <c r="G27" s="208" t="s">
        <v>142</v>
      </c>
      <c r="H27" s="209">
        <f>COUNTIF('Consolidado Accidentes'!AG7:AG448,"Superficies de trabajo")</f>
        <v>13</v>
      </c>
      <c r="I27" s="210">
        <f t="shared" ref="I27:I45" si="11">H27/$H$48</f>
        <v>6.3414634146341464E-2</v>
      </c>
      <c r="J27" s="211">
        <f>I27</f>
        <v>6.3414634146341464E-2</v>
      </c>
      <c r="K27" s="47">
        <v>7</v>
      </c>
      <c r="L27" s="74" t="s">
        <v>1535</v>
      </c>
      <c r="M27" s="77">
        <f>COUNTIF('Consolidado Accidentes'!B15:B361,"Septiembre")</f>
        <v>13</v>
      </c>
      <c r="N27" s="69">
        <f t="shared" si="9"/>
        <v>5.9633027522935783E-2</v>
      </c>
      <c r="O27" s="56"/>
      <c r="R27" s="141" t="s">
        <v>1510</v>
      </c>
      <c r="S27" s="144">
        <f>SUM(S19:S26)</f>
        <v>21</v>
      </c>
      <c r="T27" s="142">
        <v>1</v>
      </c>
    </row>
    <row r="28" spans="2:20" ht="13.5" thickBot="1" x14ac:dyDescent="0.25">
      <c r="B28" s="68" t="s">
        <v>116</v>
      </c>
      <c r="C28" s="57">
        <f>COUNTIF('Consolidado Accidentes'!AJ7:AJ445,"Contacto con cuerpo punzante")</f>
        <v>7</v>
      </c>
      <c r="D28" s="69">
        <f t="shared" si="7"/>
        <v>3.017241379310345E-2</v>
      </c>
      <c r="E28" s="56">
        <f t="shared" si="8"/>
        <v>0.94396551724137923</v>
      </c>
      <c r="G28" s="212" t="s">
        <v>115</v>
      </c>
      <c r="H28" s="209">
        <f>COUNTIF('Consolidado Accidentes'!AG7:AG449,"Infraestructura")</f>
        <v>29</v>
      </c>
      <c r="I28" s="210">
        <f t="shared" si="11"/>
        <v>0.14146341463414633</v>
      </c>
      <c r="J28" s="211">
        <f>J27+I28</f>
        <v>0.20487804878048779</v>
      </c>
      <c r="K28" s="47">
        <v>8</v>
      </c>
      <c r="L28" s="74" t="s">
        <v>1536</v>
      </c>
      <c r="M28" s="77">
        <f>COUNTIF('Consolidado Accidentes'!B17:B362,"Octubre")</f>
        <v>11</v>
      </c>
      <c r="N28" s="69">
        <f t="shared" si="9"/>
        <v>5.0458715596330278E-2</v>
      </c>
      <c r="O28" s="56"/>
    </row>
    <row r="29" spans="2:20" ht="13.5" thickBot="1" x14ac:dyDescent="0.25">
      <c r="B29" s="68" t="s">
        <v>329</v>
      </c>
      <c r="C29" s="57">
        <f>COUNTIF('Consolidado Accidentes'!AJ7:AJ445,"Contacto con temperaturas extremas")</f>
        <v>4</v>
      </c>
      <c r="D29" s="69">
        <f t="shared" si="7"/>
        <v>1.7241379310344827E-2</v>
      </c>
      <c r="E29" s="56">
        <f t="shared" si="8"/>
        <v>0.96120689655172409</v>
      </c>
      <c r="G29" s="224" t="s">
        <v>61</v>
      </c>
      <c r="H29" s="209">
        <f>COUNTIF('Consolidado Accidentes'!AG7:AG448,"Otros")</f>
        <v>9</v>
      </c>
      <c r="I29" s="210">
        <f t="shared" si="11"/>
        <v>4.3902439024390241E-2</v>
      </c>
      <c r="J29" s="211">
        <f t="shared" ref="J29:J45" si="12">J28+I29</f>
        <v>0.24878048780487805</v>
      </c>
      <c r="L29" s="74" t="s">
        <v>1537</v>
      </c>
      <c r="M29" s="77">
        <f>COUNTIF('Consolidado Accidentes'!B18:B363,"Noviembre")</f>
        <v>25</v>
      </c>
      <c r="N29" s="69">
        <f t="shared" si="9"/>
        <v>0.11467889908256881</v>
      </c>
      <c r="O29" s="56"/>
      <c r="R29" s="48" t="s">
        <v>1538</v>
      </c>
      <c r="S29" s="149" t="s">
        <v>88</v>
      </c>
      <c r="T29" s="71" t="s">
        <v>1500</v>
      </c>
    </row>
    <row r="30" spans="2:20" x14ac:dyDescent="0.2">
      <c r="B30" s="96" t="s">
        <v>384</v>
      </c>
      <c r="C30" s="57">
        <f>COUNTIF('Consolidado Accidentes'!AJ7:AJ445,"Picadura")</f>
        <v>3</v>
      </c>
      <c r="D30" s="69">
        <f t="shared" si="7"/>
        <v>1.2931034482758621E-2</v>
      </c>
      <c r="E30" s="56">
        <f t="shared" si="8"/>
        <v>0.97413793103448276</v>
      </c>
      <c r="G30" s="212" t="s">
        <v>226</v>
      </c>
      <c r="H30" s="209">
        <f>COUNTIF('Consolidado Accidentes'!AG7:AG448,"Materia Prima")</f>
        <v>23</v>
      </c>
      <c r="I30" s="210">
        <f t="shared" si="11"/>
        <v>0.11219512195121951</v>
      </c>
      <c r="J30" s="211">
        <f t="shared" si="12"/>
        <v>0.36097560975609755</v>
      </c>
      <c r="K30" s="47">
        <v>9</v>
      </c>
      <c r="L30" s="74" t="s">
        <v>1539</v>
      </c>
      <c r="M30" s="77">
        <f>COUNTIF('Consolidado Accidentes'!B19:B364,"Diciembre")</f>
        <v>16</v>
      </c>
      <c r="N30" s="69">
        <f t="shared" si="9"/>
        <v>7.3394495412844041E-2</v>
      </c>
      <c r="O30" s="56"/>
      <c r="R30" s="155" t="s">
        <v>1540</v>
      </c>
      <c r="S30" s="156">
        <f>COUNTIFS('Consolidado Accidentes'!K:K,"NUEVO",'Consolidado Accidentes'!P:P,"CTP")</f>
        <v>9</v>
      </c>
      <c r="T30" s="157">
        <f>S30*$T$33/$S$33</f>
        <v>0.2</v>
      </c>
    </row>
    <row r="31" spans="2:20" ht="13.5" thickBot="1" x14ac:dyDescent="0.25">
      <c r="B31" s="68" t="s">
        <v>413</v>
      </c>
      <c r="C31" s="57">
        <f>COUNTIF('Consolidado Accidentes'!AJ7:AJ445,"Contacto con sustancias toxicas")</f>
        <v>5</v>
      </c>
      <c r="D31" s="69">
        <f t="shared" si="7"/>
        <v>2.1551724137931036E-2</v>
      </c>
      <c r="E31" s="56">
        <f t="shared" si="8"/>
        <v>0.99568965517241381</v>
      </c>
      <c r="G31" s="212" t="s">
        <v>99</v>
      </c>
      <c r="H31" s="209">
        <f>COUNTIF('Consolidado Accidentes'!AG7:AG448,"Maquinarias")</f>
        <v>24</v>
      </c>
      <c r="I31" s="210">
        <f t="shared" si="11"/>
        <v>0.11707317073170732</v>
      </c>
      <c r="J31" s="211">
        <f t="shared" si="12"/>
        <v>0.47804878048780486</v>
      </c>
      <c r="K31" s="47">
        <v>10</v>
      </c>
      <c r="L31" s="83"/>
      <c r="M31" s="84"/>
      <c r="N31" s="85"/>
      <c r="O31" s="86"/>
      <c r="R31" s="110" t="s">
        <v>951</v>
      </c>
      <c r="S31" s="138">
        <f>COUNTIFS('Consolidado Accidentes'!K:K,"INTERMEDIO",'Consolidado Accidentes'!P:P,"CTP")</f>
        <v>6</v>
      </c>
      <c r="T31" s="153">
        <f>S31*$T$33/$S$33</f>
        <v>0.13333333333333333</v>
      </c>
    </row>
    <row r="32" spans="2:20" ht="13.5" thickBot="1" x14ac:dyDescent="0.25">
      <c r="B32" s="68" t="s">
        <v>1078</v>
      </c>
      <c r="C32" s="57">
        <f>COUNTIF('Consolidado Accidentes'!AJ7:AJ445,"Contacto con electricidad")</f>
        <v>1</v>
      </c>
      <c r="D32" s="69">
        <f t="shared" si="7"/>
        <v>4.3103448275862068E-3</v>
      </c>
      <c r="E32" s="56">
        <f t="shared" si="8"/>
        <v>1</v>
      </c>
      <c r="G32" s="212" t="s">
        <v>59</v>
      </c>
      <c r="H32" s="209">
        <f>COUNTIF('Consolidado Accidentes'!AG7:AG448,"Materiales")</f>
        <v>27</v>
      </c>
      <c r="I32" s="210">
        <f t="shared" si="11"/>
        <v>0.13170731707317074</v>
      </c>
      <c r="J32" s="211">
        <f t="shared" si="12"/>
        <v>0.6097560975609756</v>
      </c>
      <c r="K32" s="47">
        <v>11</v>
      </c>
      <c r="L32" s="87" t="s">
        <v>1499</v>
      </c>
      <c r="M32" s="61">
        <f>SUM(M19:M31)</f>
        <v>218</v>
      </c>
      <c r="N32" s="63">
        <f>SUM(N19:N30)</f>
        <v>1</v>
      </c>
      <c r="O32" s="62"/>
      <c r="R32" s="110" t="s">
        <v>1541</v>
      </c>
      <c r="S32" s="138">
        <f>COUNTIFS('Consolidado Accidentes'!K:K,"ANTIGUO",'Consolidado Accidentes'!P:P,"CTP")</f>
        <v>30</v>
      </c>
      <c r="T32" s="153">
        <f>S32*$T$33/$S$33</f>
        <v>0.66666666666666663</v>
      </c>
    </row>
    <row r="33" spans="2:20" ht="13.5" thickBot="1" x14ac:dyDescent="0.25">
      <c r="B33" s="161" t="s">
        <v>1252</v>
      </c>
      <c r="C33" s="57">
        <f>COUNTIF('Consolidado Accidentes'!AJ7:AJ445,"Contacto con sustancias corrosivas")</f>
        <v>0</v>
      </c>
      <c r="D33" s="69">
        <f t="shared" si="7"/>
        <v>0</v>
      </c>
      <c r="E33" s="56">
        <f t="shared" si="8"/>
        <v>1</v>
      </c>
      <c r="G33" s="212" t="s">
        <v>301</v>
      </c>
      <c r="H33" s="209">
        <f>COUNTIF('Consolidado Accidentes'!AG7:AG448,"Producto Quimico")</f>
        <v>13</v>
      </c>
      <c r="I33" s="210">
        <f t="shared" si="11"/>
        <v>6.3414634146341464E-2</v>
      </c>
      <c r="J33" s="211">
        <f t="shared" si="12"/>
        <v>0.673170731707317</v>
      </c>
      <c r="K33" s="47">
        <v>12</v>
      </c>
      <c r="R33" s="147" t="s">
        <v>1510</v>
      </c>
      <c r="S33" s="148">
        <f>SUM(S30:S32)</f>
        <v>45</v>
      </c>
      <c r="T33" s="152">
        <v>1</v>
      </c>
    </row>
    <row r="34" spans="2:20" ht="13.5" thickBot="1" x14ac:dyDescent="0.25">
      <c r="B34" s="88"/>
      <c r="C34" s="57"/>
      <c r="D34" s="69"/>
      <c r="E34" s="56"/>
      <c r="G34" s="82" t="s">
        <v>271</v>
      </c>
      <c r="H34" s="57">
        <f>COUNTIF('Consolidado Accidentes'!AG7:AG448,"Equipos Transporte de carga")</f>
        <v>19</v>
      </c>
      <c r="I34" s="69">
        <f t="shared" si="11"/>
        <v>9.2682926829268292E-2</v>
      </c>
      <c r="J34" s="56">
        <f t="shared" si="12"/>
        <v>0.76585365853658527</v>
      </c>
      <c r="L34" s="48" t="s">
        <v>1542</v>
      </c>
      <c r="M34" s="52" t="s">
        <v>1499</v>
      </c>
      <c r="N34" s="50" t="s">
        <v>1500</v>
      </c>
      <c r="O34" s="49" t="s">
        <v>1501</v>
      </c>
      <c r="R34" s="48" t="s">
        <v>1538</v>
      </c>
      <c r="S34" s="150" t="s">
        <v>51</v>
      </c>
      <c r="T34" s="151" t="s">
        <v>1500</v>
      </c>
    </row>
    <row r="35" spans="2:20" ht="13.5" thickBot="1" x14ac:dyDescent="0.25">
      <c r="B35" s="88"/>
      <c r="C35" s="57"/>
      <c r="D35" s="69"/>
      <c r="E35" s="56"/>
      <c r="G35" s="82" t="s">
        <v>216</v>
      </c>
      <c r="H35" s="57">
        <f>COUNTIF('Consolidado Accidentes'!AG7:AG448,"Bins")</f>
        <v>9</v>
      </c>
      <c r="I35" s="69">
        <f t="shared" si="11"/>
        <v>4.3902439024390241E-2</v>
      </c>
      <c r="J35" s="56">
        <f t="shared" si="12"/>
        <v>0.80975609756097555</v>
      </c>
      <c r="L35" s="89" t="s">
        <v>1543</v>
      </c>
      <c r="M35" s="90">
        <f>COUNTIF('Consolidado Accidentes'!F7:F367,"MASCULINO")</f>
        <v>152</v>
      </c>
      <c r="N35" s="54">
        <f>M35/$M$37</f>
        <v>0.65800865800865804</v>
      </c>
      <c r="O35" s="55">
        <f>N35</f>
        <v>0.65800865800865804</v>
      </c>
      <c r="P35" s="91"/>
      <c r="R35" s="155" t="s">
        <v>1540</v>
      </c>
      <c r="S35" s="156">
        <f>COUNTIFS('Consolidado Accidentes'!K:K,"NUEVO",'Consolidado Accidentes'!P:P,"STP",'Consolidado Accidentes'!AN:AN,"SI")</f>
        <v>15</v>
      </c>
      <c r="T35" s="157">
        <f>S35*$T$38/$S$38</f>
        <v>0.45454545454545453</v>
      </c>
    </row>
    <row r="36" spans="2:20" ht="13.5" thickBot="1" x14ac:dyDescent="0.25">
      <c r="B36" s="92" t="s">
        <v>1499</v>
      </c>
      <c r="C36" s="60">
        <f>SUM(C18:C33)</f>
        <v>232</v>
      </c>
      <c r="D36" s="93">
        <f>SUM(D18:D33)</f>
        <v>1</v>
      </c>
      <c r="E36" s="63"/>
      <c r="G36" s="82" t="s">
        <v>700</v>
      </c>
      <c r="H36" s="57">
        <f>COUNTIF('Consolidado Accidentes'!AG7:AG448,"Bandejas")</f>
        <v>8</v>
      </c>
      <c r="I36" s="69">
        <f t="shared" si="11"/>
        <v>3.9024390243902439E-2</v>
      </c>
      <c r="J36" s="56">
        <f t="shared" si="12"/>
        <v>0.84878048780487803</v>
      </c>
      <c r="L36" s="67" t="s">
        <v>1544</v>
      </c>
      <c r="M36" s="53">
        <f>COUNTIF('Consolidado Accidentes'!F7:F367,"FEMENINO")</f>
        <v>79</v>
      </c>
      <c r="N36" s="56">
        <f>M36/$M$37</f>
        <v>0.34199134199134201</v>
      </c>
      <c r="O36" s="55">
        <f>O35+N36</f>
        <v>1</v>
      </c>
      <c r="R36" s="110" t="s">
        <v>951</v>
      </c>
      <c r="S36" s="138">
        <f>COUNTIFS('Consolidado Accidentes'!K:K,"INTERMEDIO",'Consolidado Accidentes'!P:P,"STP",'Consolidado Accidentes'!AN:AN,"SI")</f>
        <v>3</v>
      </c>
      <c r="T36" s="153">
        <f>S36*$T$38/$S$38</f>
        <v>9.0909090909090912E-2</v>
      </c>
    </row>
    <row r="37" spans="2:20" ht="13.5" thickBot="1" x14ac:dyDescent="0.25">
      <c r="G37" s="82" t="s">
        <v>425</v>
      </c>
      <c r="H37" s="57">
        <f>COUNTIF('Consolidado Accidentes'!AG7:AG449,"Cuchillo")</f>
        <v>3</v>
      </c>
      <c r="I37" s="69">
        <f t="shared" si="11"/>
        <v>1.4634146341463415E-2</v>
      </c>
      <c r="J37" s="56">
        <f t="shared" si="12"/>
        <v>0.86341463414634145</v>
      </c>
      <c r="L37" s="60" t="s">
        <v>1509</v>
      </c>
      <c r="M37" s="94">
        <f>SUM(M35:M36)</f>
        <v>231</v>
      </c>
      <c r="N37" s="63">
        <f>SUM(N35:N36)</f>
        <v>1</v>
      </c>
      <c r="O37" s="63"/>
      <c r="R37" s="110" t="s">
        <v>1541</v>
      </c>
      <c r="S37" s="138">
        <f>COUNTIFS('Consolidado Accidentes'!K:K,"ANTIGUO",'Consolidado Accidentes'!P:P,"STP",'Consolidado Accidentes'!AN:AN,"SI")</f>
        <v>15</v>
      </c>
      <c r="T37" s="153">
        <f>S37*$T$38/$S$38</f>
        <v>0.45454545454545453</v>
      </c>
    </row>
    <row r="38" spans="2:20" ht="13.5" thickBot="1" x14ac:dyDescent="0.25">
      <c r="B38" s="95" t="s">
        <v>26</v>
      </c>
      <c r="C38" s="52" t="s">
        <v>1499</v>
      </c>
      <c r="D38" s="50" t="s">
        <v>1500</v>
      </c>
      <c r="E38" s="49" t="s">
        <v>1501</v>
      </c>
      <c r="G38" s="82" t="s">
        <v>277</v>
      </c>
      <c r="H38" s="57">
        <f>COUNTIF('Consolidado Accidentes'!AG7:AG448,"Pallet")</f>
        <v>3</v>
      </c>
      <c r="I38" s="69">
        <f t="shared" si="11"/>
        <v>1.4634146341463415E-2</v>
      </c>
      <c r="J38" s="56">
        <f t="shared" si="12"/>
        <v>0.87804878048780488</v>
      </c>
      <c r="P38" s="91"/>
      <c r="R38" s="145" t="s">
        <v>1510</v>
      </c>
      <c r="S38" s="146">
        <f>SUM(S35:S37)</f>
        <v>33</v>
      </c>
      <c r="T38" s="154">
        <v>1</v>
      </c>
    </row>
    <row r="39" spans="2:20" ht="13.5" thickBot="1" x14ac:dyDescent="0.25">
      <c r="B39" s="226" t="s">
        <v>1265</v>
      </c>
      <c r="C39" s="219">
        <f>COUNTIF('Consolidado Accidentes'!Z7:Z445,"Jueves")</f>
        <v>32</v>
      </c>
      <c r="D39" s="220">
        <f t="shared" ref="D39:D45" si="13">C39/$C$47</f>
        <v>0.13793103448275862</v>
      </c>
      <c r="E39" s="217">
        <f>D39</f>
        <v>0.13793103448275862</v>
      </c>
      <c r="G39" s="82" t="s">
        <v>475</v>
      </c>
      <c r="H39" s="57">
        <f>COUNTIF('Consolidado Accidentes'!AG7:AG448,"Cajas")</f>
        <v>15</v>
      </c>
      <c r="I39" s="69">
        <f t="shared" si="11"/>
        <v>7.3170731707317069E-2</v>
      </c>
      <c r="J39" s="56">
        <f t="shared" si="12"/>
        <v>0.95121951219512191</v>
      </c>
      <c r="L39" s="95" t="s">
        <v>1545</v>
      </c>
      <c r="M39" s="52" t="s">
        <v>1499</v>
      </c>
      <c r="N39" s="50" t="s">
        <v>1500</v>
      </c>
      <c r="O39" s="49" t="s">
        <v>1501</v>
      </c>
      <c r="P39" s="91"/>
    </row>
    <row r="40" spans="2:20" x14ac:dyDescent="0.2">
      <c r="B40" s="216" t="s">
        <v>1261</v>
      </c>
      <c r="C40" s="209">
        <f>COUNTIF('Consolidado Accidentes'!Z7:Z445,"MIERCOLES")</f>
        <v>50</v>
      </c>
      <c r="D40" s="217">
        <f t="shared" si="13"/>
        <v>0.21551724137931033</v>
      </c>
      <c r="E40" s="217">
        <f t="shared" ref="E40:E45" si="14">E39+D40</f>
        <v>0.35344827586206895</v>
      </c>
      <c r="G40" s="82" t="s">
        <v>383</v>
      </c>
      <c r="H40" s="57">
        <f>COUNTIF('Consolidado Accidentes'!AG7:AG448,"Animales - Insectos")</f>
        <v>4</v>
      </c>
      <c r="I40" s="69">
        <f t="shared" si="11"/>
        <v>1.9512195121951219E-2</v>
      </c>
      <c r="J40" s="56">
        <f t="shared" si="12"/>
        <v>0.97073170731707314</v>
      </c>
      <c r="L40" s="213" t="s">
        <v>1546</v>
      </c>
      <c r="M40" s="214">
        <f>COUNTIF('Consolidado Accidentes'!AL7:AL362,"Accion")</f>
        <v>152</v>
      </c>
      <c r="N40" s="215">
        <f>M40/$M$42</f>
        <v>0.66375545851528384</v>
      </c>
      <c r="O40" s="55">
        <f>N40</f>
        <v>0.66375545851528384</v>
      </c>
    </row>
    <row r="41" spans="2:20" ht="13.5" thickBot="1" x14ac:dyDescent="0.25">
      <c r="B41" s="216" t="s">
        <v>1251</v>
      </c>
      <c r="C41" s="209">
        <f>COUNTIF('Consolidado Accidentes'!Z7:Z445,"Lunes")</f>
        <v>39</v>
      </c>
      <c r="D41" s="217">
        <f t="shared" si="13"/>
        <v>0.16810344827586207</v>
      </c>
      <c r="E41" s="217">
        <f t="shared" si="14"/>
        <v>0.52155172413793105</v>
      </c>
      <c r="G41" s="82" t="s">
        <v>1138</v>
      </c>
      <c r="H41" s="57">
        <f>COUNTIF('Consolidado Accidentes'!AG7:AG448,"Herramientas de mano")</f>
        <v>1</v>
      </c>
      <c r="I41" s="69">
        <f t="shared" si="11"/>
        <v>4.8780487804878049E-3</v>
      </c>
      <c r="J41" s="56">
        <f t="shared" si="12"/>
        <v>0.97560975609756095</v>
      </c>
      <c r="L41" s="67" t="s">
        <v>1547</v>
      </c>
      <c r="M41" s="53">
        <f>COUNTIF('Consolidado Accidentes'!AL7:AL362,"Condicion")</f>
        <v>77</v>
      </c>
      <c r="N41" s="56">
        <f>M41/$M$42</f>
        <v>0.33624454148471616</v>
      </c>
      <c r="O41" s="55">
        <f>O40+N41</f>
        <v>1</v>
      </c>
    </row>
    <row r="42" spans="2:20" ht="13.5" thickBot="1" x14ac:dyDescent="0.25">
      <c r="B42" s="67" t="s">
        <v>1269</v>
      </c>
      <c r="C42" s="57">
        <f>COUNTIF('Consolidado Accidentes'!Z7:Z445,"Viernes")</f>
        <v>41</v>
      </c>
      <c r="D42" s="55">
        <f t="shared" si="13"/>
        <v>0.17672413793103448</v>
      </c>
      <c r="E42" s="227">
        <f t="shared" si="14"/>
        <v>0.69827586206896552</v>
      </c>
      <c r="G42" s="82" t="s">
        <v>649</v>
      </c>
      <c r="H42" s="57">
        <f>COUNTIF('Consolidado Accidentes'!AG7:AG448,"Vehículos")</f>
        <v>2</v>
      </c>
      <c r="I42" s="69">
        <f t="shared" si="11"/>
        <v>9.7560975609756097E-3</v>
      </c>
      <c r="J42" s="56">
        <f t="shared" si="12"/>
        <v>0.98536585365853657</v>
      </c>
      <c r="L42" s="60" t="s">
        <v>1509</v>
      </c>
      <c r="M42" s="94">
        <f>SUM(M40:M41)</f>
        <v>229</v>
      </c>
      <c r="N42" s="63">
        <f>SUM(N40:N41)</f>
        <v>1</v>
      </c>
      <c r="O42" s="63"/>
    </row>
    <row r="43" spans="2:20" ht="13.5" thickBot="1" x14ac:dyDescent="0.25">
      <c r="B43" s="67" t="s">
        <v>1255</v>
      </c>
      <c r="C43" s="57">
        <f>COUNTIF('Consolidado Accidentes'!Z7:Z445,"Martes")</f>
        <v>43</v>
      </c>
      <c r="D43" s="55">
        <f t="shared" si="13"/>
        <v>0.18534482758620691</v>
      </c>
      <c r="E43" s="227">
        <f t="shared" si="14"/>
        <v>0.88362068965517238</v>
      </c>
      <c r="G43" s="82" t="s">
        <v>1077</v>
      </c>
      <c r="H43" s="57">
        <f>COUNTIF('Consolidado Accidentes'!AG7:AG448,"Equipo electricos")</f>
        <v>1</v>
      </c>
      <c r="I43" s="69">
        <f t="shared" si="11"/>
        <v>4.8780487804878049E-3</v>
      </c>
      <c r="J43" s="56">
        <f t="shared" si="12"/>
        <v>0.99024390243902438</v>
      </c>
      <c r="L43" s="97"/>
      <c r="M43" s="97"/>
      <c r="N43" s="86"/>
      <c r="O43" s="98"/>
    </row>
    <row r="44" spans="2:20" ht="13.5" thickBot="1" x14ac:dyDescent="0.25">
      <c r="B44" s="67" t="s">
        <v>1548</v>
      </c>
      <c r="C44" s="57">
        <f>COUNTIF('Consolidado Accidentes'!Z7:Z445,"Sabado")</f>
        <v>25</v>
      </c>
      <c r="D44" s="55">
        <f t="shared" si="13"/>
        <v>0.10775862068965517</v>
      </c>
      <c r="E44" s="227">
        <f t="shared" si="14"/>
        <v>0.99137931034482751</v>
      </c>
      <c r="G44" s="82" t="s">
        <v>373</v>
      </c>
      <c r="H44" s="57">
        <f>COUNTIF('Consolidado Accidentes'!AG7:AG448,"Elemento Cortante")</f>
        <v>1</v>
      </c>
      <c r="I44" s="69">
        <f t="shared" si="11"/>
        <v>4.8780487804878049E-3</v>
      </c>
      <c r="J44" s="56">
        <f t="shared" si="12"/>
        <v>0.99512195121951219</v>
      </c>
      <c r="L44" s="48" t="s">
        <v>1549</v>
      </c>
      <c r="M44" s="49" t="s">
        <v>1499</v>
      </c>
      <c r="N44" s="71" t="s">
        <v>1500</v>
      </c>
      <c r="O44" s="49" t="s">
        <v>1501</v>
      </c>
    </row>
    <row r="45" spans="2:20" x14ac:dyDescent="0.2">
      <c r="B45" s="96" t="s">
        <v>1277</v>
      </c>
      <c r="C45" s="57">
        <f>COUNTIF('Consolidado Accidentes'!Z7:Z445,"Domingo")</f>
        <v>2</v>
      </c>
      <c r="D45" s="55">
        <f t="shared" si="13"/>
        <v>8.6206896551724137E-3</v>
      </c>
      <c r="E45" s="227">
        <f t="shared" si="14"/>
        <v>0.99999999999999989</v>
      </c>
      <c r="G45" s="82" t="s">
        <v>724</v>
      </c>
      <c r="H45" s="57">
        <f>COUNTIF('Consolidado Accidentes'!AG7:AG448,"Gases - Vapores")</f>
        <v>1</v>
      </c>
      <c r="I45" s="69">
        <f t="shared" si="11"/>
        <v>4.8780487804878049E-3</v>
      </c>
      <c r="J45" s="56">
        <f t="shared" si="12"/>
        <v>1</v>
      </c>
      <c r="L45" s="216" t="s">
        <v>1550</v>
      </c>
      <c r="M45" s="209">
        <f>COUNTIF('Consolidado Accidentes'!X7:X359,"Mañana")</f>
        <v>118</v>
      </c>
      <c r="N45" s="217">
        <f>M45/$M$49</f>
        <v>0.51754385964912286</v>
      </c>
      <c r="O45" s="56">
        <f>N45</f>
        <v>0.51754385964912286</v>
      </c>
    </row>
    <row r="46" spans="2:20" ht="13.5" thickBot="1" x14ac:dyDescent="0.25">
      <c r="B46" s="97"/>
      <c r="C46" s="86"/>
      <c r="D46" s="98"/>
      <c r="E46" s="98"/>
      <c r="G46" s="46" t="s">
        <v>79</v>
      </c>
      <c r="H46" s="57"/>
      <c r="I46" s="69"/>
      <c r="J46" s="56"/>
      <c r="L46" s="216" t="s">
        <v>1551</v>
      </c>
      <c r="M46" s="209">
        <f>COUNTIF('Consolidado Accidentes'!X7:X359,"Tarde")</f>
        <v>83</v>
      </c>
      <c r="N46" s="217">
        <f>M46/$M$49</f>
        <v>0.36403508771929827</v>
      </c>
      <c r="O46" s="211">
        <f>O45+N46</f>
        <v>0.88157894736842113</v>
      </c>
    </row>
    <row r="47" spans="2:20" ht="13.5" thickBot="1" x14ac:dyDescent="0.25">
      <c r="B47" s="99" t="s">
        <v>1509</v>
      </c>
      <c r="C47" s="100">
        <f>SUM(C39:C45)</f>
        <v>232</v>
      </c>
      <c r="D47" s="62">
        <f>SUM(D39:D45)</f>
        <v>0.99999999999999989</v>
      </c>
      <c r="E47" s="62"/>
      <c r="G47" s="86"/>
      <c r="H47" s="57"/>
      <c r="I47" s="69"/>
      <c r="J47" s="56"/>
      <c r="L47" s="67" t="s">
        <v>1552</v>
      </c>
      <c r="M47" s="57">
        <f>COUNTIF('Consolidado Accidentes'!X7:X359,"Noche")</f>
        <v>27</v>
      </c>
      <c r="N47" s="55">
        <f>M47/$M$49</f>
        <v>0.11842105263157894</v>
      </c>
      <c r="O47" s="56">
        <f>O46+N47</f>
        <v>1</v>
      </c>
    </row>
    <row r="48" spans="2:20" ht="13.5" thickBot="1" x14ac:dyDescent="0.25">
      <c r="G48" s="72" t="s">
        <v>1509</v>
      </c>
      <c r="H48" s="60">
        <f>SUM(H27:H45)</f>
        <v>205</v>
      </c>
      <c r="I48" s="73">
        <f>SUM(I27:I46)</f>
        <v>1</v>
      </c>
      <c r="J48" s="63"/>
      <c r="L48" s="97" t="s">
        <v>1553</v>
      </c>
      <c r="M48" s="101">
        <f>COUNTIF('Consolidado Accidentes'!X7:X359,"Administrativo")</f>
        <v>0</v>
      </c>
      <c r="N48" s="55">
        <f>M48/$M$16</f>
        <v>0</v>
      </c>
      <c r="O48" s="56">
        <f>O47+N48</f>
        <v>1</v>
      </c>
    </row>
    <row r="49" spans="2:15" ht="13.5" thickBot="1" x14ac:dyDescent="0.25">
      <c r="L49" s="60" t="s">
        <v>1509</v>
      </c>
      <c r="M49" s="100">
        <f>SUM(M45:M48)</f>
        <v>228</v>
      </c>
      <c r="N49" s="63">
        <f>SUM(N45:N48)</f>
        <v>1</v>
      </c>
      <c r="O49" s="63"/>
    </row>
    <row r="50" spans="2:15" ht="13.5" thickBot="1" x14ac:dyDescent="0.25">
      <c r="B50" s="95" t="s">
        <v>1554</v>
      </c>
      <c r="C50" s="102" t="s">
        <v>1499</v>
      </c>
      <c r="D50" s="102" t="s">
        <v>1500</v>
      </c>
      <c r="E50" s="50" t="s">
        <v>1501</v>
      </c>
      <c r="G50" s="95" t="s">
        <v>1555</v>
      </c>
      <c r="H50" s="52" t="s">
        <v>1499</v>
      </c>
      <c r="I50" s="50" t="s">
        <v>1500</v>
      </c>
      <c r="J50" s="52" t="s">
        <v>1501</v>
      </c>
    </row>
    <row r="51" spans="2:15" ht="13.5" thickBot="1" x14ac:dyDescent="0.25">
      <c r="B51" s="103" t="s">
        <v>1556</v>
      </c>
      <c r="C51" s="104">
        <f>COUNTIF('Consolidado Accidentes'!K6:K451,"NUEVO")</f>
        <v>70</v>
      </c>
      <c r="D51" s="105">
        <f>C51/$C$54</f>
        <v>0.30172413793103448</v>
      </c>
      <c r="E51" s="106">
        <f>D51</f>
        <v>0.30172413793103448</v>
      </c>
      <c r="G51" s="107" t="s">
        <v>1249</v>
      </c>
      <c r="H51" s="108">
        <f>COUNTIF('Consolidado Accidentes'!$P$7:$P$414,"STP")</f>
        <v>187</v>
      </c>
      <c r="I51" s="109">
        <f>H51/$H$55</f>
        <v>0.80603448275862066</v>
      </c>
      <c r="J51" s="54">
        <f>I51</f>
        <v>0.80603448275862066</v>
      </c>
      <c r="L51" s="48" t="s">
        <v>1557</v>
      </c>
      <c r="M51" s="49" t="s">
        <v>1499</v>
      </c>
      <c r="N51" s="71" t="s">
        <v>1500</v>
      </c>
      <c r="O51" s="49" t="s">
        <v>1501</v>
      </c>
    </row>
    <row r="52" spans="2:15" x14ac:dyDescent="0.2">
      <c r="B52" s="110" t="s">
        <v>1558</v>
      </c>
      <c r="C52" s="111">
        <f>COUNTIF('Consolidado Accidentes'!K6:K451,"ANTIGUO")</f>
        <v>120</v>
      </c>
      <c r="D52" s="112">
        <f>C52/$C$54</f>
        <v>0.51724137931034486</v>
      </c>
      <c r="E52" s="113">
        <f>E51+D52</f>
        <v>0.81896551724137934</v>
      </c>
      <c r="G52" s="114" t="s">
        <v>1241</v>
      </c>
      <c r="H52" s="115">
        <f>COUNTIF('Consolidado Accidentes'!$P$7:$P$414,"CTP")</f>
        <v>45</v>
      </c>
      <c r="I52" s="116">
        <f>H52/$H$55</f>
        <v>0.19396551724137931</v>
      </c>
      <c r="J52" s="56">
        <f>J51+I52</f>
        <v>1</v>
      </c>
      <c r="L52" s="74" t="s">
        <v>1515</v>
      </c>
      <c r="M52" s="75">
        <f>COUNTIFS('Consolidado Accidentes'!B:B,"ENERO",'Consolidado Accidentes'!P:P,"CTP")</f>
        <v>6</v>
      </c>
      <c r="N52" s="69">
        <f t="shared" ref="N52:N63" si="15">M52/$M$65</f>
        <v>0.13333333333333333</v>
      </c>
      <c r="O52" s="56"/>
    </row>
    <row r="53" spans="2:15" x14ac:dyDescent="0.2">
      <c r="B53" s="110" t="s">
        <v>1559</v>
      </c>
      <c r="C53" s="111">
        <f>COUNTIF('Consolidado Accidentes'!K7:K452,"INTERMEDIO")</f>
        <v>42</v>
      </c>
      <c r="D53" s="112">
        <f>C53/$C$54</f>
        <v>0.18103448275862069</v>
      </c>
      <c r="E53" s="55">
        <f>E52+D53</f>
        <v>1</v>
      </c>
      <c r="G53" s="117" t="s">
        <v>1264</v>
      </c>
      <c r="H53" s="115">
        <f>COUNTIF('Consolidado Accidentes'!$P$7:$P$414,"Acc. Grave")</f>
        <v>0</v>
      </c>
      <c r="I53" s="116">
        <f>H53/$H$55</f>
        <v>0</v>
      </c>
      <c r="J53" s="56">
        <f>J52+I53</f>
        <v>1</v>
      </c>
      <c r="L53" s="74" t="s">
        <v>1517</v>
      </c>
      <c r="M53" s="75">
        <f>COUNTIFS('Consolidado Accidentes'!B:B,"FEBRERO",'Consolidado Accidentes'!P:P,"CTP")</f>
        <v>1</v>
      </c>
      <c r="N53" s="69">
        <f t="shared" si="15"/>
        <v>2.2222222222222223E-2</v>
      </c>
      <c r="O53" s="56"/>
    </row>
    <row r="54" spans="2:15" ht="13.5" thickBot="1" x14ac:dyDescent="0.25">
      <c r="B54" s="118" t="s">
        <v>1510</v>
      </c>
      <c r="C54" s="119">
        <f>SUM(C51:C53)</f>
        <v>232</v>
      </c>
      <c r="D54" s="120">
        <f>SUM(D51:D53)</f>
        <v>1</v>
      </c>
      <c r="E54" s="121"/>
      <c r="G54" s="122" t="s">
        <v>1379</v>
      </c>
      <c r="H54" s="123">
        <f>COUNTIF('Consolidado Accidentes'!$P$7:$P$414,"EP")</f>
        <v>0</v>
      </c>
      <c r="I54" s="124">
        <f>H54/$H$55</f>
        <v>0</v>
      </c>
      <c r="J54" s="59">
        <f>J53+I54</f>
        <v>1</v>
      </c>
      <c r="L54" s="74" t="s">
        <v>1520</v>
      </c>
      <c r="M54" s="75">
        <f>COUNTIFS('Consolidado Accidentes'!B:B,"MARZO",'Consolidado Accidentes'!P:P,"CTP")</f>
        <v>3</v>
      </c>
      <c r="N54" s="69">
        <f t="shared" si="15"/>
        <v>6.6666666666666666E-2</v>
      </c>
      <c r="O54" s="56"/>
    </row>
    <row r="55" spans="2:15" ht="13.5" thickBot="1" x14ac:dyDescent="0.25">
      <c r="G55" s="99" t="s">
        <v>1509</v>
      </c>
      <c r="H55" s="100">
        <f>SUM(H51:H54)</f>
        <v>232</v>
      </c>
      <c r="I55" s="62">
        <f>SUM(I51:I54)</f>
        <v>1</v>
      </c>
      <c r="J55" s="62"/>
      <c r="L55" s="74" t="s">
        <v>1523</v>
      </c>
      <c r="M55" s="75">
        <f>COUNTIFS('Consolidado Accidentes'!B:B,"ABRIL",'Consolidado Accidentes'!P:P,"CTP")</f>
        <v>8</v>
      </c>
      <c r="N55" s="69">
        <f t="shared" si="15"/>
        <v>0.17777777777777778</v>
      </c>
      <c r="O55" s="56"/>
    </row>
    <row r="56" spans="2:15" x14ac:dyDescent="0.2">
      <c r="B56" s="125" t="s">
        <v>1560</v>
      </c>
      <c r="C56" s="126" t="s">
        <v>1499</v>
      </c>
      <c r="D56" s="126" t="s">
        <v>1500</v>
      </c>
      <c r="E56" s="127" t="s">
        <v>1501</v>
      </c>
      <c r="L56" s="74" t="s">
        <v>1525</v>
      </c>
      <c r="M56" s="75">
        <f>COUNTIFS('Consolidado Accidentes'!B:B,"MAYO",'Consolidado Accidentes'!P:P,"CTP")</f>
        <v>4</v>
      </c>
      <c r="N56" s="69">
        <f t="shared" si="15"/>
        <v>8.8888888888888892E-2</v>
      </c>
      <c r="O56" s="56"/>
    </row>
    <row r="57" spans="2:15" x14ac:dyDescent="0.2">
      <c r="B57" s="128" t="s">
        <v>1561</v>
      </c>
      <c r="C57" s="111">
        <f>COUNTIF('Consolidado Accidentes'!AM7:AM419,"Si")</f>
        <v>215</v>
      </c>
      <c r="D57" s="112">
        <f>C57/$C$59</f>
        <v>0.93478260869565222</v>
      </c>
      <c r="E57" s="113">
        <f>D57</f>
        <v>0.93478260869565222</v>
      </c>
      <c r="H57" s="129"/>
      <c r="I57" s="130"/>
      <c r="J57" s="131"/>
      <c r="K57" s="76"/>
      <c r="L57" s="74" t="s">
        <v>1528</v>
      </c>
      <c r="M57" s="75">
        <f>COUNTIFS('Consolidado Accidentes'!B:B,"JUNIO",'Consolidado Accidentes'!P:P,"CTP")</f>
        <v>3</v>
      </c>
      <c r="N57" s="69">
        <f t="shared" si="15"/>
        <v>6.6666666666666666E-2</v>
      </c>
      <c r="O57" s="56"/>
    </row>
    <row r="58" spans="2:15" x14ac:dyDescent="0.2">
      <c r="B58" s="128" t="s">
        <v>1562</v>
      </c>
      <c r="C58" s="111">
        <f>COUNTIF('Consolidado Accidentes'!AM7:AM419,"No")</f>
        <v>15</v>
      </c>
      <c r="D58" s="112">
        <f>C58/$C$59</f>
        <v>6.5217391304347824E-2</v>
      </c>
      <c r="E58" s="113">
        <f>E57+D58</f>
        <v>1</v>
      </c>
      <c r="H58" s="132"/>
      <c r="J58" s="131"/>
      <c r="K58" s="76"/>
      <c r="L58" s="74" t="s">
        <v>1530</v>
      </c>
      <c r="M58" s="75">
        <f>COUNTIFS('Consolidado Accidentes'!B:B,"JULIO",'Consolidado Accidentes'!P:P,"CTP")</f>
        <v>5</v>
      </c>
      <c r="N58" s="69">
        <f t="shared" si="15"/>
        <v>0.1111111111111111</v>
      </c>
      <c r="O58" s="56"/>
    </row>
    <row r="59" spans="2:15" ht="13.5" thickBot="1" x14ac:dyDescent="0.25">
      <c r="B59" s="118" t="s">
        <v>1509</v>
      </c>
      <c r="C59" s="119">
        <f>SUM(C57:C58)</f>
        <v>230</v>
      </c>
      <c r="D59" s="120">
        <f>SUM(D57:D58)</f>
        <v>1</v>
      </c>
      <c r="E59" s="121"/>
      <c r="G59" s="129"/>
      <c r="H59" s="130"/>
      <c r="I59" s="131"/>
      <c r="J59" s="76"/>
      <c r="L59" s="74" t="s">
        <v>1533</v>
      </c>
      <c r="M59" s="75">
        <f>COUNTIFS('Consolidado Accidentes'!B:B,"AGOSTO",'Consolidado Accidentes'!P:P,"CTP")</f>
        <v>5</v>
      </c>
      <c r="N59" s="69">
        <f t="shared" si="15"/>
        <v>0.1111111111111111</v>
      </c>
      <c r="O59" s="56"/>
    </row>
    <row r="60" spans="2:15" x14ac:dyDescent="0.2">
      <c r="G60" s="133"/>
      <c r="H60" s="130"/>
      <c r="I60" s="131"/>
      <c r="J60" s="76"/>
      <c r="L60" s="74" t="s">
        <v>1535</v>
      </c>
      <c r="M60" s="75">
        <f>COUNTIFS('Consolidado Accidentes'!B:B,"SEPTIEMBRE",'Consolidado Accidentes'!P:P,"CTP")</f>
        <v>0</v>
      </c>
      <c r="N60" s="69">
        <f t="shared" si="15"/>
        <v>0</v>
      </c>
      <c r="O60" s="56"/>
    </row>
    <row r="61" spans="2:15" x14ac:dyDescent="0.2">
      <c r="G61" s="132"/>
      <c r="H61" s="130"/>
      <c r="I61" s="131"/>
      <c r="J61" s="76" t="s">
        <v>1240</v>
      </c>
      <c r="L61" s="74" t="s">
        <v>1536</v>
      </c>
      <c r="M61" s="75">
        <f>COUNTIFS('Consolidado Accidentes'!B:B,"octubre",'Consolidado Accidentes'!P:P,"CTP")</f>
        <v>1</v>
      </c>
      <c r="N61" s="69">
        <f t="shared" si="15"/>
        <v>2.2222222222222223E-2</v>
      </c>
      <c r="O61" s="56"/>
    </row>
    <row r="62" spans="2:15" x14ac:dyDescent="0.2">
      <c r="G62" s="132"/>
      <c r="H62" s="130"/>
      <c r="I62" s="131"/>
      <c r="J62" s="76" t="s">
        <v>1240</v>
      </c>
      <c r="L62" s="74" t="s">
        <v>1537</v>
      </c>
      <c r="M62" s="75">
        <f>COUNTIFS('Consolidado Accidentes'!B:B,"noviembre",'Consolidado Accidentes'!P:P,"CTP")</f>
        <v>4</v>
      </c>
      <c r="N62" s="69">
        <f t="shared" si="15"/>
        <v>8.8888888888888892E-2</v>
      </c>
      <c r="O62" s="56"/>
    </row>
    <row r="63" spans="2:15" x14ac:dyDescent="0.2">
      <c r="G63" s="133"/>
      <c r="H63" s="130"/>
      <c r="I63" s="131"/>
      <c r="J63" s="76" t="s">
        <v>1240</v>
      </c>
      <c r="L63" s="74" t="s">
        <v>1539</v>
      </c>
      <c r="M63" s="75">
        <f>COUNTIFS('Consolidado Accidentes'!B:B,"diciembre",'Consolidado Accidentes'!P:P,"CTP")</f>
        <v>5</v>
      </c>
      <c r="N63" s="69">
        <f t="shared" si="15"/>
        <v>0.1111111111111111</v>
      </c>
      <c r="O63" s="56"/>
    </row>
    <row r="64" spans="2:15" ht="13.5" thickBot="1" x14ac:dyDescent="0.25">
      <c r="G64" s="132"/>
      <c r="H64" s="130"/>
      <c r="I64" s="131"/>
      <c r="J64" s="76"/>
      <c r="L64" s="83"/>
      <c r="M64" s="134"/>
      <c r="N64" s="85"/>
      <c r="O64" s="86"/>
    </row>
    <row r="65" spans="6:15" ht="13.5" thickBot="1" x14ac:dyDescent="0.25">
      <c r="G65" s="129"/>
      <c r="H65" s="130"/>
      <c r="I65" s="131"/>
      <c r="J65" s="76"/>
      <c r="L65" s="87" t="s">
        <v>1499</v>
      </c>
      <c r="M65" s="61">
        <f>SUM(M52:M63)</f>
        <v>45</v>
      </c>
      <c r="N65" s="63">
        <f>SUM(N52:N63)</f>
        <v>1.0000000000000002</v>
      </c>
      <c r="O65" s="62"/>
    </row>
    <row r="66" spans="6:15" x14ac:dyDescent="0.2">
      <c r="G66" s="129"/>
      <c r="H66" s="130"/>
      <c r="I66" s="131"/>
      <c r="J66" s="76"/>
    </row>
    <row r="67" spans="6:15" x14ac:dyDescent="0.2">
      <c r="G67" s="135"/>
      <c r="H67" s="130"/>
      <c r="I67" s="131"/>
      <c r="J67" s="76"/>
      <c r="M67" s="47" t="s">
        <v>1240</v>
      </c>
    </row>
    <row r="68" spans="6:15" x14ac:dyDescent="0.2">
      <c r="G68" s="136"/>
      <c r="H68" s="130"/>
      <c r="I68" s="131"/>
      <c r="J68" s="131"/>
    </row>
    <row r="78" spans="6:15" ht="15" x14ac:dyDescent="0.25">
      <c r="F78"/>
      <c r="G78"/>
      <c r="H78"/>
    </row>
    <row r="79" spans="6:15" ht="15" x14ac:dyDescent="0.25">
      <c r="F79"/>
      <c r="G79"/>
      <c r="H79"/>
    </row>
    <row r="80" spans="6:15" ht="15" x14ac:dyDescent="0.25">
      <c r="F80"/>
      <c r="G80"/>
      <c r="H80"/>
    </row>
    <row r="81" spans="2:8" ht="15" x14ac:dyDescent="0.25">
      <c r="F81"/>
      <c r="G81"/>
      <c r="H81"/>
    </row>
    <row r="82" spans="2:8" ht="15" x14ac:dyDescent="0.25">
      <c r="F82"/>
      <c r="G82"/>
      <c r="H82"/>
    </row>
    <row r="83" spans="2:8" ht="15" x14ac:dyDescent="0.25">
      <c r="F83"/>
      <c r="G83"/>
      <c r="H83"/>
    </row>
    <row r="84" spans="2:8" ht="15" x14ac:dyDescent="0.25">
      <c r="F84"/>
      <c r="G84"/>
      <c r="H84"/>
    </row>
    <row r="85" spans="2:8" ht="15" x14ac:dyDescent="0.25">
      <c r="F85"/>
      <c r="G85"/>
      <c r="H85"/>
    </row>
    <row r="86" spans="2:8" ht="15" x14ac:dyDescent="0.25">
      <c r="F86"/>
      <c r="G86"/>
      <c r="H86"/>
    </row>
    <row r="87" spans="2:8" ht="15" x14ac:dyDescent="0.25">
      <c r="F87"/>
      <c r="G87"/>
      <c r="H87"/>
    </row>
    <row r="88" spans="2:8" ht="15" x14ac:dyDescent="0.25">
      <c r="F88"/>
      <c r="G88"/>
      <c r="H88"/>
    </row>
    <row r="89" spans="2:8" ht="15" x14ac:dyDescent="0.25">
      <c r="F89"/>
      <c r="G89"/>
      <c r="H89"/>
    </row>
    <row r="90" spans="2:8" ht="15" x14ac:dyDescent="0.25">
      <c r="B90"/>
      <c r="C90"/>
      <c r="D90"/>
      <c r="E90"/>
      <c r="F90"/>
      <c r="G90"/>
      <c r="H90"/>
    </row>
    <row r="91" spans="2:8" ht="15" x14ac:dyDescent="0.25">
      <c r="B91"/>
      <c r="C91"/>
      <c r="D91"/>
      <c r="E91"/>
    </row>
    <row r="103" spans="2:7" ht="15" x14ac:dyDescent="0.25">
      <c r="B103"/>
      <c r="C103"/>
      <c r="D103"/>
      <c r="E103"/>
    </row>
    <row r="104" spans="2:7" ht="15" x14ac:dyDescent="0.25">
      <c r="B104"/>
      <c r="C104"/>
      <c r="D104"/>
      <c r="E104"/>
      <c r="G104" s="137"/>
    </row>
    <row r="105" spans="2:7" ht="15" x14ac:dyDescent="0.25">
      <c r="B105"/>
      <c r="C105"/>
      <c r="D105"/>
      <c r="E105"/>
      <c r="G105" s="137"/>
    </row>
    <row r="106" spans="2:7" x14ac:dyDescent="0.2">
      <c r="G106" s="137"/>
    </row>
  </sheetData>
  <sortState xmlns:xlrd2="http://schemas.microsoft.com/office/spreadsheetml/2017/richdata2" ref="R4:T16">
    <sortCondition descending="1" ref="S4:S16"/>
  </sortState>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M45:N142"/>
  <sheetViews>
    <sheetView showGridLines="0" topLeftCell="A40" zoomScale="110" zoomScaleNormal="110" workbookViewId="0">
      <selection activeCell="O47" sqref="O47"/>
    </sheetView>
  </sheetViews>
  <sheetFormatPr baseColWidth="10" defaultColWidth="11" defaultRowHeight="12.75" x14ac:dyDescent="0.2"/>
  <cols>
    <col min="1" max="16384" width="11" style="7"/>
  </cols>
  <sheetData>
    <row r="45" spans="14:14" x14ac:dyDescent="0.2">
      <c r="N45" s="8"/>
    </row>
    <row r="93" spans="13:13" x14ac:dyDescent="0.2">
      <c r="M93" s="8"/>
    </row>
    <row r="94" spans="13:13" x14ac:dyDescent="0.2">
      <c r="M94" s="8"/>
    </row>
    <row r="95" spans="13:13" x14ac:dyDescent="0.2">
      <c r="M95" s="8"/>
    </row>
    <row r="96" spans="13:13" x14ac:dyDescent="0.2">
      <c r="M96" s="8"/>
    </row>
    <row r="97" spans="13:13" x14ac:dyDescent="0.2">
      <c r="M97" s="8"/>
    </row>
    <row r="98" spans="13:13" x14ac:dyDescent="0.2">
      <c r="M98" s="8"/>
    </row>
    <row r="99" spans="13:13" x14ac:dyDescent="0.2">
      <c r="M99" s="8"/>
    </row>
    <row r="100" spans="13:13" x14ac:dyDescent="0.2">
      <c r="M100" s="8"/>
    </row>
    <row r="101" spans="13:13" x14ac:dyDescent="0.2">
      <c r="M101" s="8"/>
    </row>
    <row r="102" spans="13:13" x14ac:dyDescent="0.2">
      <c r="M102" s="8"/>
    </row>
    <row r="103" spans="13:13" x14ac:dyDescent="0.2">
      <c r="M103" s="8"/>
    </row>
    <row r="104" spans="13:13" x14ac:dyDescent="0.2">
      <c r="M104" s="8"/>
    </row>
    <row r="105" spans="13:13" x14ac:dyDescent="0.2">
      <c r="M105" s="8"/>
    </row>
    <row r="106" spans="13:13" x14ac:dyDescent="0.2">
      <c r="M106" s="8"/>
    </row>
    <row r="107" spans="13:13" x14ac:dyDescent="0.2">
      <c r="M107" s="8"/>
    </row>
    <row r="108" spans="13:13" x14ac:dyDescent="0.2">
      <c r="M108" s="8"/>
    </row>
    <row r="109" spans="13:13" x14ac:dyDescent="0.2">
      <c r="M109" s="8"/>
    </row>
    <row r="110" spans="13:13" x14ac:dyDescent="0.2">
      <c r="M110" s="8"/>
    </row>
    <row r="111" spans="13:13" x14ac:dyDescent="0.2">
      <c r="M111" s="8"/>
    </row>
    <row r="112" spans="13:13" x14ac:dyDescent="0.2">
      <c r="M112" s="8"/>
    </row>
    <row r="113" spans="13:13" x14ac:dyDescent="0.2">
      <c r="M113" s="8"/>
    </row>
    <row r="114" spans="13:13" x14ac:dyDescent="0.2">
      <c r="M114" s="8"/>
    </row>
    <row r="115" spans="13:13" x14ac:dyDescent="0.2">
      <c r="M115" s="8"/>
    </row>
    <row r="116" spans="13:13" x14ac:dyDescent="0.2">
      <c r="M116" s="8"/>
    </row>
    <row r="117" spans="13:13" x14ac:dyDescent="0.2">
      <c r="M117" s="8"/>
    </row>
    <row r="118" spans="13:13" x14ac:dyDescent="0.2">
      <c r="M118" s="8"/>
    </row>
    <row r="119" spans="13:13" x14ac:dyDescent="0.2">
      <c r="M119" s="8"/>
    </row>
    <row r="120" spans="13:13" x14ac:dyDescent="0.2">
      <c r="M120" s="8"/>
    </row>
    <row r="121" spans="13:13" x14ac:dyDescent="0.2">
      <c r="M121" s="8"/>
    </row>
    <row r="122" spans="13:13" x14ac:dyDescent="0.2">
      <c r="M122" s="8"/>
    </row>
    <row r="123" spans="13:13" x14ac:dyDescent="0.2">
      <c r="M123" s="8"/>
    </row>
    <row r="124" spans="13:13" x14ac:dyDescent="0.2">
      <c r="M124" s="8"/>
    </row>
    <row r="125" spans="13:13" x14ac:dyDescent="0.2">
      <c r="M125" s="8"/>
    </row>
    <row r="126" spans="13:13" x14ac:dyDescent="0.2">
      <c r="M126" s="8"/>
    </row>
    <row r="127" spans="13:13" x14ac:dyDescent="0.2">
      <c r="M127" s="8"/>
    </row>
    <row r="128" spans="13:13" x14ac:dyDescent="0.2">
      <c r="M128" s="8"/>
    </row>
    <row r="129" spans="13:13" x14ac:dyDescent="0.2">
      <c r="M129" s="8"/>
    </row>
    <row r="130" spans="13:13" x14ac:dyDescent="0.2">
      <c r="M130" s="8"/>
    </row>
    <row r="131" spans="13:13" x14ac:dyDescent="0.2">
      <c r="M131" s="8"/>
    </row>
    <row r="132" spans="13:13" x14ac:dyDescent="0.2">
      <c r="M132" s="8"/>
    </row>
    <row r="133" spans="13:13" x14ac:dyDescent="0.2">
      <c r="M133" s="8"/>
    </row>
    <row r="134" spans="13:13" x14ac:dyDescent="0.2">
      <c r="M134" s="8"/>
    </row>
    <row r="135" spans="13:13" x14ac:dyDescent="0.2">
      <c r="M135" s="8"/>
    </row>
    <row r="136" spans="13:13" x14ac:dyDescent="0.2">
      <c r="M136" s="8"/>
    </row>
    <row r="137" spans="13:13" x14ac:dyDescent="0.2">
      <c r="M137" s="8"/>
    </row>
    <row r="138" spans="13:13" x14ac:dyDescent="0.2">
      <c r="M138" s="8"/>
    </row>
    <row r="139" spans="13:13" x14ac:dyDescent="0.2">
      <c r="M139" s="8"/>
    </row>
    <row r="140" spans="13:13" x14ac:dyDescent="0.2">
      <c r="M140" s="8"/>
    </row>
    <row r="141" spans="13:13" x14ac:dyDescent="0.2">
      <c r="M141" s="8"/>
    </row>
    <row r="142" spans="13:13" x14ac:dyDescent="0.2">
      <c r="M142" s="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31"/>
  <sheetViews>
    <sheetView showGridLines="0" topLeftCell="A112" zoomScale="90" zoomScaleNormal="90" workbookViewId="0">
      <selection activeCell="M43" sqref="M43"/>
    </sheetView>
  </sheetViews>
  <sheetFormatPr baseColWidth="10" defaultColWidth="11" defaultRowHeight="15" x14ac:dyDescent="0.25"/>
  <cols>
    <col min="1" max="1" width="14.85546875" bestFit="1" customWidth="1"/>
    <col min="2" max="2" width="25" style="12" customWidth="1"/>
    <col min="4" max="4" width="12.5703125" customWidth="1"/>
    <col min="5" max="5" width="13.42578125" customWidth="1"/>
  </cols>
  <sheetData>
    <row r="1" spans="1:14" x14ac:dyDescent="0.25">
      <c r="B1" s="19"/>
    </row>
    <row r="2" spans="1:14" x14ac:dyDescent="0.25">
      <c r="A2" s="15" t="s">
        <v>19</v>
      </c>
      <c r="B2" s="16" t="s">
        <v>1563</v>
      </c>
      <c r="C2" s="15" t="s">
        <v>1564</v>
      </c>
      <c r="D2" s="15" t="s">
        <v>1565</v>
      </c>
      <c r="E2" s="15" t="s">
        <v>1566</v>
      </c>
    </row>
    <row r="3" spans="1:14" x14ac:dyDescent="0.25">
      <c r="A3" s="381" t="s">
        <v>1503</v>
      </c>
      <c r="B3" s="22" t="s">
        <v>485</v>
      </c>
      <c r="C3" s="9">
        <f>COUNTIF('Consolidado Accidentes'!AE7:AE419,"ARNALDO VERA")</f>
        <v>7</v>
      </c>
      <c r="D3" s="24">
        <f>COUNTIFS('Consolidado Accidentes'!P:P,"CTP",'Consolidado Accidentes'!AE:AE,"ARNALDO VERA")</f>
        <v>0</v>
      </c>
      <c r="E3" s="24">
        <f>COUNTIFS('Consolidado Accidentes'!P:P,"STP",'Consolidado Accidentes'!AE:AE,"ARNALDO VERA",'Consolidado Accidentes'!AN:AN,"SI")</f>
        <v>1</v>
      </c>
      <c r="M3" s="28" t="s">
        <v>1499</v>
      </c>
      <c r="N3" s="27">
        <f>SUM(C9+C25+C38+C50+C62+C77+C98+C108+C127+C138+C157)</f>
        <v>154</v>
      </c>
    </row>
    <row r="4" spans="1:14" x14ac:dyDescent="0.25">
      <c r="A4" s="384"/>
      <c r="B4" s="23" t="s">
        <v>165</v>
      </c>
      <c r="C4" s="9">
        <f>COUNTIF('Consolidado Accidentes'!AE7:AE420,"RAMIRO RAMIREZ")</f>
        <v>8</v>
      </c>
      <c r="D4" s="24">
        <f>COUNTIFS('Consolidado Accidentes'!P:P,"CTP",'Consolidado Accidentes'!AE:AE,"RAMIRO RAMIREZ")</f>
        <v>3</v>
      </c>
      <c r="E4" s="24">
        <f>COUNTIFS('Consolidado Accidentes'!P:P,"STP",'Consolidado Accidentes'!AE:AE,"RAMIRO RAMIREZ",'Consolidado Accidentes'!AN:AN,"SI")</f>
        <v>1</v>
      </c>
      <c r="M4" s="28" t="s">
        <v>1567</v>
      </c>
      <c r="N4">
        <f>SUM(D9,D25,D38,D50,D62,D77,D98,D108,D127,D138,D157)</f>
        <v>37</v>
      </c>
    </row>
    <row r="5" spans="1:14" x14ac:dyDescent="0.25">
      <c r="A5" s="384"/>
      <c r="B5" s="23" t="s">
        <v>1568</v>
      </c>
      <c r="C5" s="9">
        <f>COUNTIF('Consolidado Accidentes'!AE7:AE420,"FABIAN GONZALEZ")</f>
        <v>0</v>
      </c>
      <c r="D5" s="24">
        <f>COUNTIFS('Consolidado Accidentes'!P:P,"CTP",'Consolidado Accidentes'!AE:AE,"FABIAN GONZALEZ")</f>
        <v>0</v>
      </c>
      <c r="E5" s="24">
        <f>COUNTIFS('Consolidado Accidentes'!P:P,"STP",'Consolidado Accidentes'!AE:AE,"FABIAN GONZALEZ",'Consolidado Accidentes'!AN:AN,"SI")</f>
        <v>0</v>
      </c>
      <c r="M5" s="28"/>
    </row>
    <row r="6" spans="1:14" x14ac:dyDescent="0.25">
      <c r="A6" s="384"/>
      <c r="B6" s="22" t="s">
        <v>215</v>
      </c>
      <c r="C6" s="9">
        <f>COUNTIF('Consolidado Accidentes'!AE7:AE421,"JOSE CARVALLO")</f>
        <v>30</v>
      </c>
      <c r="D6" s="24">
        <f>COUNTIFS('Consolidado Accidentes'!P:P,"CTP",'Consolidado Accidentes'!AE:AE,"JOSE CARVALLO")</f>
        <v>9</v>
      </c>
      <c r="E6" s="24">
        <f>COUNTIFS('Consolidado Accidentes'!P:P,"STP",'Consolidado Accidentes'!AE:AE,"JOSE CARVALLO",'Consolidado Accidentes'!AN:AN,"SI")</f>
        <v>2</v>
      </c>
      <c r="M6" s="28" t="s">
        <v>1569</v>
      </c>
      <c r="N6">
        <f>SUM(E9,E25,E38,E50,E62,E77,E98,E108,E127,E138,E157)</f>
        <v>18</v>
      </c>
    </row>
    <row r="7" spans="1:14" x14ac:dyDescent="0.25">
      <c r="A7" s="384"/>
      <c r="B7" s="22" t="s">
        <v>1570</v>
      </c>
      <c r="C7" s="9">
        <f>COUNTIF('Consolidado Accidentes'!AE7:AE422,"RAFAEL ASTORGA")</f>
        <v>3</v>
      </c>
      <c r="D7" s="24">
        <f>COUNTIFS('Consolidado Accidentes'!P:P,"CTP",'Consolidado Accidentes'!AE:AE,"RAFAEL ASTORGA")</f>
        <v>2</v>
      </c>
      <c r="E7" s="24">
        <f>COUNTIFS('Consolidado Accidentes'!P:P,"STP",'Consolidado Accidentes'!AE:AE,"RAFAEL ASTORGA",'Consolidado Accidentes'!AN:AN,"SI")</f>
        <v>0</v>
      </c>
      <c r="M7" s="28" t="s">
        <v>1510</v>
      </c>
      <c r="N7">
        <f>SUM(N4:N6)</f>
        <v>55</v>
      </c>
    </row>
    <row r="8" spans="1:14" x14ac:dyDescent="0.25">
      <c r="A8" s="382"/>
      <c r="B8" s="22" t="s">
        <v>578</v>
      </c>
      <c r="C8" s="9">
        <f>COUNTIF('Consolidado Accidentes'!AE7:AE423,"GUSTAVO BLANCO")</f>
        <v>0</v>
      </c>
      <c r="D8" s="24">
        <f>COUNTIFS('Consolidado Accidentes'!P:P,"CTP",'Consolidado Accidentes'!AE:AE,"JORGE MEZA")</f>
        <v>0</v>
      </c>
      <c r="E8" s="24">
        <f>COUNTIFS('Consolidado Accidentes'!P:P,"STP",'Consolidado Accidentes'!AE:AE,"GUSTAVO BLANCO",'Consolidado Accidentes'!AN:AN,"SI")</f>
        <v>0</v>
      </c>
    </row>
    <row r="9" spans="1:14" x14ac:dyDescent="0.25">
      <c r="B9" s="17"/>
      <c r="C9" s="9">
        <f>SUM(C3:C8)</f>
        <v>48</v>
      </c>
      <c r="D9" s="9">
        <f>SUM(D3:D8)</f>
        <v>14</v>
      </c>
      <c r="E9" s="9">
        <f>SUM(E3:E8)</f>
        <v>4</v>
      </c>
    </row>
    <row r="10" spans="1:14" x14ac:dyDescent="0.25">
      <c r="B10" s="17"/>
    </row>
    <row r="11" spans="1:14" x14ac:dyDescent="0.25">
      <c r="B11" s="17"/>
    </row>
    <row r="12" spans="1:14" x14ac:dyDescent="0.25">
      <c r="B12" s="17"/>
    </row>
    <row r="13" spans="1:14" x14ac:dyDescent="0.25">
      <c r="B13" s="17"/>
    </row>
    <row r="14" spans="1:14" x14ac:dyDescent="0.25">
      <c r="B14" s="18"/>
    </row>
    <row r="15" spans="1:14" x14ac:dyDescent="0.25">
      <c r="B15" s="13"/>
    </row>
    <row r="16" spans="1:14" x14ac:dyDescent="0.25">
      <c r="A16" s="21" t="s">
        <v>19</v>
      </c>
      <c r="B16" s="16" t="s">
        <v>1563</v>
      </c>
      <c r="C16" s="15" t="s">
        <v>1564</v>
      </c>
      <c r="D16" s="15" t="s">
        <v>1565</v>
      </c>
      <c r="E16" s="15" t="s">
        <v>1566</v>
      </c>
    </row>
    <row r="17" spans="1:5" x14ac:dyDescent="0.25">
      <c r="A17" s="383" t="s">
        <v>173</v>
      </c>
      <c r="B17" s="33" t="s">
        <v>1055</v>
      </c>
      <c r="C17" s="9">
        <f>COUNTIF('Consolidado Accidentes'!AE7:AE419,"SERGIO AQUEVEQUE")</f>
        <v>1</v>
      </c>
      <c r="D17" s="24">
        <f>COUNTIFS('Consolidado Accidentes'!P:P,"CTP",'Consolidado Accidentes'!AE:AE,"SERGIO AQUEVEQUE")</f>
        <v>0</v>
      </c>
      <c r="E17" s="24">
        <f>COUNTIFS('Consolidado Accidentes'!P:P,"STP",'Consolidado Accidentes'!AE:AE,"SERGIO AQUEVEQUE",'Consolidado Accidentes'!AN:AN,"SI")</f>
        <v>1</v>
      </c>
    </row>
    <row r="18" spans="1:5" x14ac:dyDescent="0.25">
      <c r="A18" s="383"/>
      <c r="B18" s="33" t="s">
        <v>1571</v>
      </c>
      <c r="C18" s="9">
        <f>COUNTIF('Consolidado Accidentes'!AE7:AE421,"FELIPE HERRERA")</f>
        <v>0</v>
      </c>
      <c r="D18" s="24">
        <f>COUNTIFS('Consolidado Accidentes'!P:P,"CTP",'Consolidado Accidentes'!AE:AE,"FELIPE HERRERA")</f>
        <v>0</v>
      </c>
      <c r="E18" s="24">
        <f>COUNTIFS('Consolidado Accidentes'!P:P,"STP",'Consolidado Accidentes'!AE:AE,"FELIPE HERRERA",'Consolidado Accidentes'!AN:AN,"SI")</f>
        <v>0</v>
      </c>
    </row>
    <row r="19" spans="1:5" x14ac:dyDescent="0.25">
      <c r="A19" s="383"/>
      <c r="B19" s="33" t="s">
        <v>896</v>
      </c>
      <c r="C19" s="9">
        <f>COUNTIF('Consolidado Accidentes'!AE7:AE422,"DAVID ROMO")</f>
        <v>1</v>
      </c>
      <c r="D19" s="24">
        <f>COUNTIFS('Consolidado Accidentes'!P:P,"CTP",'Consolidado Accidentes'!AE:AE,"DAVID ROMO")</f>
        <v>0</v>
      </c>
      <c r="E19" s="24">
        <f>COUNTIFS('Consolidado Accidentes'!P:P,"STP",'Consolidado Accidentes'!AE:AE,"DAVID ROMO",'Consolidado Accidentes'!AN:AN,"SI")</f>
        <v>0</v>
      </c>
    </row>
    <row r="20" spans="1:5" x14ac:dyDescent="0.25">
      <c r="A20" s="383"/>
      <c r="B20" s="33" t="s">
        <v>980</v>
      </c>
      <c r="C20" s="9">
        <f>COUNTIF('Consolidado Accidentes'!AE7:AE425,"ROLANDO EMIHUEQUE")</f>
        <v>1</v>
      </c>
      <c r="D20" s="24">
        <f>COUNTIFS('Consolidado Accidentes'!P:P,"CTP",'Consolidado Accidentes'!AE:AE,"ROLANDO EMIHUEQUE")</f>
        <v>1</v>
      </c>
      <c r="E20" s="24">
        <f>COUNTIFS('Consolidado Accidentes'!P:P,"STP",'Consolidado Accidentes'!AE:AE,"ROLANDO EMIHUEQUE",'Consolidado Accidentes'!AN:AN,"SI")</f>
        <v>0</v>
      </c>
    </row>
    <row r="21" spans="1:5" x14ac:dyDescent="0.25">
      <c r="A21" s="383"/>
      <c r="B21" s="33" t="s">
        <v>179</v>
      </c>
      <c r="C21" s="9">
        <f>COUNTIF('Consolidado Accidentes'!AE7:AE425,"PATRICIO PALACIOS")</f>
        <v>13</v>
      </c>
      <c r="D21" s="24">
        <f>COUNTIFS('Consolidado Accidentes'!P:P,"CTP",'Consolidado Accidentes'!AE:AE,"PATRICIO PALACIOS")</f>
        <v>6</v>
      </c>
      <c r="E21" s="24">
        <f>COUNTIFS('Consolidado Accidentes'!P:P,"STP",'Consolidado Accidentes'!AE:AE,"PATRICIO PALACIOS",'Consolidado Accidentes'!AN:AN,"SI")</f>
        <v>1</v>
      </c>
    </row>
    <row r="22" spans="1:5" x14ac:dyDescent="0.25">
      <c r="A22" s="383"/>
      <c r="B22" s="33" t="s">
        <v>449</v>
      </c>
      <c r="C22" s="9">
        <f>COUNTIF('Consolidado Accidentes'!AE7:AE425,"ORLANDO FARIAS")</f>
        <v>1</v>
      </c>
      <c r="D22" s="24">
        <f>COUNTIFS('Consolidado Accidentes'!P:P,"CTP",'Consolidado Accidentes'!AE:AE,"ORLANDO FARIAS")</f>
        <v>0</v>
      </c>
      <c r="E22" s="24">
        <f>COUNTIFS('Consolidado Accidentes'!P:P,"STP",'Consolidado Accidentes'!AE:AE,"ORLANDO FARIAS",'Consolidado Accidentes'!AN:AN,"SI")</f>
        <v>1</v>
      </c>
    </row>
    <row r="23" spans="1:5" x14ac:dyDescent="0.25">
      <c r="A23" s="383"/>
      <c r="B23" s="34" t="s">
        <v>202</v>
      </c>
      <c r="C23" s="9">
        <f>COUNTIF('Consolidado Accidentes'!AE17:AE426,"LUIS URBINA")</f>
        <v>7</v>
      </c>
      <c r="D23" s="24">
        <f>COUNTIFS('Consolidado Accidentes'!P:P,"CTP",'Consolidado Accidentes'!AE:AE,"LUIS URBINA")</f>
        <v>3</v>
      </c>
      <c r="E23" s="24">
        <f>COUNTIFS('Consolidado Accidentes'!P:P,"STP",'Consolidado Accidentes'!AE:AE,"LUIS URBINA",'Consolidado Accidentes'!AN:AN,"SI")</f>
        <v>2</v>
      </c>
    </row>
    <row r="24" spans="1:5" x14ac:dyDescent="0.25">
      <c r="A24" s="44"/>
      <c r="B24" s="34" t="s">
        <v>1572</v>
      </c>
      <c r="C24" s="9">
        <f>COUNTIF('Consolidado Accidentes'!AE17:AE426,"CRISTIAN DURAN")</f>
        <v>0</v>
      </c>
      <c r="D24" s="24">
        <f>COUNTIFS('Consolidado Accidentes'!P:P,"CTP",'Consolidado Accidentes'!AE:AE,"CRISTIAN DURAN")</f>
        <v>0</v>
      </c>
      <c r="E24" s="24">
        <f>COUNTIFS('Consolidado Accidentes'!P:P,"STP",'Consolidado Accidentes'!AE:AE,"CRISTIAN DURAN",'Consolidado Accidentes'!AN:AN,"SI")</f>
        <v>0</v>
      </c>
    </row>
    <row r="25" spans="1:5" x14ac:dyDescent="0.25">
      <c r="B25" s="14"/>
      <c r="C25" s="9">
        <f>SUM(C17:C23)</f>
        <v>24</v>
      </c>
      <c r="D25" s="9">
        <f>SUM(D17:D23)</f>
        <v>10</v>
      </c>
      <c r="E25" s="9">
        <f>SUM(E17:E23)</f>
        <v>5</v>
      </c>
    </row>
    <row r="26" spans="1:5" x14ac:dyDescent="0.25">
      <c r="B26" s="17"/>
    </row>
    <row r="27" spans="1:5" x14ac:dyDescent="0.25">
      <c r="B27" s="13"/>
    </row>
    <row r="28" spans="1:5" x14ac:dyDescent="0.25">
      <c r="B28" s="13"/>
    </row>
    <row r="29" spans="1:5" x14ac:dyDescent="0.25">
      <c r="B29" s="13"/>
    </row>
    <row r="30" spans="1:5" x14ac:dyDescent="0.25">
      <c r="B30" s="13"/>
    </row>
    <row r="31" spans="1:5" x14ac:dyDescent="0.25">
      <c r="B31" s="13"/>
    </row>
    <row r="32" spans="1:5" x14ac:dyDescent="0.25">
      <c r="A32" s="15" t="s">
        <v>19</v>
      </c>
      <c r="B32" s="16" t="s">
        <v>1563</v>
      </c>
      <c r="C32" s="15" t="s">
        <v>1564</v>
      </c>
      <c r="D32" s="15" t="s">
        <v>1565</v>
      </c>
      <c r="E32" s="15" t="s">
        <v>1566</v>
      </c>
    </row>
    <row r="33" spans="1:5" x14ac:dyDescent="0.25">
      <c r="A33" s="385" t="s">
        <v>1504</v>
      </c>
      <c r="B33" s="35" t="s">
        <v>1573</v>
      </c>
      <c r="C33" s="9">
        <f>COUNTIF('Consolidado Accidentes'!AE7:AE438,"RONALD ONELL")</f>
        <v>0</v>
      </c>
      <c r="D33" s="24">
        <f>COUNTIFS('Consolidado Accidentes'!P:P,"CTP",'Consolidado Accidentes'!AE:AE,"RONALD ONELL")</f>
        <v>0</v>
      </c>
      <c r="E33" s="24">
        <f>COUNTIFS('Consolidado Accidentes'!P:P,"STP",'Consolidado Accidentes'!AE:AE,"RONALD ONELL",'Consolidado Accidentes'!AN:AN,"SI")</f>
        <v>0</v>
      </c>
    </row>
    <row r="34" spans="1:5" x14ac:dyDescent="0.25">
      <c r="A34" s="385"/>
      <c r="B34" s="35" t="s">
        <v>1574</v>
      </c>
      <c r="C34" s="9">
        <f>COUNTIF('Consolidado Accidentes'!AE7:AE443,"MARCO QUINTANILLA")</f>
        <v>0</v>
      </c>
      <c r="D34" s="24">
        <f>COUNTIFS('Consolidado Accidentes'!P:P,"CTP",'Consolidado Accidentes'!AE:AE,"MARCO QUINTANILLA")</f>
        <v>0</v>
      </c>
      <c r="E34" s="24">
        <f>COUNTIFS('Consolidado Accidentes'!P:P,"STP",'Consolidado Accidentes'!AE:AE,"RONALD ONELL",'Consolidado Accidentes'!AN:AN,"SI")</f>
        <v>0</v>
      </c>
    </row>
    <row r="35" spans="1:5" x14ac:dyDescent="0.25">
      <c r="A35" s="386"/>
      <c r="B35" s="36" t="s">
        <v>773</v>
      </c>
      <c r="C35" s="9">
        <f>COUNTIF('Consolidado Accidentes'!AE7:AE447,"EDGAR HERNANDEZ")</f>
        <v>5</v>
      </c>
      <c r="D35" s="24">
        <f>COUNTIFS('Consolidado Accidentes'!P:P,"CTP",'Consolidado Accidentes'!AE:AE,"EDGAR HERNANDEZ")</f>
        <v>0</v>
      </c>
      <c r="E35" s="24">
        <f>COUNTIFS('Consolidado Accidentes'!P:P,"STP",'Consolidado Accidentes'!AE:AE,"EDGAR HERNANDEZ",'Consolidado Accidentes'!AN:AN,"SI")</f>
        <v>2</v>
      </c>
    </row>
    <row r="36" spans="1:5" x14ac:dyDescent="0.25">
      <c r="A36" s="44"/>
      <c r="B36" s="36" t="s">
        <v>1575</v>
      </c>
      <c r="C36" s="9">
        <f>COUNTIF('Consolidado Accidentes'!AE7:AE448,"GERMAN RODRIGUEZ")</f>
        <v>0</v>
      </c>
      <c r="D36" s="24">
        <f>COUNTIFS('Consolidado Accidentes'!P:P,"CTP",'Consolidado Accidentes'!AE:AE,"GERMAN RODRIGUEZ")</f>
        <v>0</v>
      </c>
      <c r="E36" s="24">
        <f>COUNTIFS('Consolidado Accidentes'!P:P,"STP",'Consolidado Accidentes'!AE:AE,"GERMAN RODRIGUEZ",'Consolidado Accidentes'!AN:AN,"SI")</f>
        <v>0</v>
      </c>
    </row>
    <row r="37" spans="1:5" x14ac:dyDescent="0.25">
      <c r="A37" s="44"/>
      <c r="B37" s="204" t="s">
        <v>237</v>
      </c>
      <c r="C37" s="31">
        <f>COUNTIF('Consolidado Accidentes'!AE7:AE448,"ALEJANDRO SALAS")</f>
        <v>5</v>
      </c>
      <c r="D37" s="205">
        <f>COUNTIFS('Consolidado Accidentes'!P:P,"CTP",'Consolidado Accidentes'!AE:AE,"ALEJANDRO SALAS")</f>
        <v>1</v>
      </c>
      <c r="E37" s="205">
        <f>COUNTIFS('Consolidado Accidentes'!P:P,"STP",'Consolidado Accidentes'!AE:AE,"ALEJANDRO SALAS",'Consolidado Accidentes'!AN:AN,"SI")</f>
        <v>1</v>
      </c>
    </row>
    <row r="38" spans="1:5" x14ac:dyDescent="0.25">
      <c r="B38" s="13"/>
      <c r="C38" s="31">
        <f>SUM(C33:C37)</f>
        <v>10</v>
      </c>
      <c r="D38" s="31">
        <f t="shared" ref="D38:E38" si="0">SUM(D33:D37)</f>
        <v>1</v>
      </c>
      <c r="E38" s="31">
        <f t="shared" si="0"/>
        <v>3</v>
      </c>
    </row>
    <row r="39" spans="1:5" x14ac:dyDescent="0.25">
      <c r="B39" s="13"/>
    </row>
    <row r="40" spans="1:5" x14ac:dyDescent="0.25">
      <c r="B40" s="13"/>
    </row>
    <row r="41" spans="1:5" x14ac:dyDescent="0.25">
      <c r="B41" s="13"/>
    </row>
    <row r="42" spans="1:5" x14ac:dyDescent="0.25">
      <c r="B42" s="14"/>
      <c r="C42" s="6"/>
      <c r="D42" s="6"/>
      <c r="E42" s="6"/>
    </row>
    <row r="43" spans="1:5" x14ac:dyDescent="0.25">
      <c r="B43" s="13"/>
    </row>
    <row r="44" spans="1:5" x14ac:dyDescent="0.25">
      <c r="B44" s="13"/>
    </row>
    <row r="45" spans="1:5" x14ac:dyDescent="0.25">
      <c r="A45" s="21" t="s">
        <v>19</v>
      </c>
      <c r="B45" s="16" t="s">
        <v>1563</v>
      </c>
      <c r="C45" s="15" t="s">
        <v>1564</v>
      </c>
      <c r="D45" s="15" t="s">
        <v>1565</v>
      </c>
      <c r="E45" s="15" t="s">
        <v>1566</v>
      </c>
    </row>
    <row r="46" spans="1:5" x14ac:dyDescent="0.25">
      <c r="A46" s="383" t="s">
        <v>201</v>
      </c>
      <c r="B46" s="33" t="s">
        <v>98</v>
      </c>
      <c r="C46" s="9">
        <f>COUNTIF('Consolidado Accidentes'!AE7:AE437,"ERWIN GATICA")</f>
        <v>9</v>
      </c>
      <c r="D46" s="24">
        <f>COUNTIFS('Consolidado Accidentes'!P:P,"CTP",'Consolidado Accidentes'!AE:AE,"ERWIN GATICA")</f>
        <v>2</v>
      </c>
      <c r="E46" s="24">
        <f>COUNTIFS('Consolidado Accidentes'!P:P,"STP",'Consolidado Accidentes'!AE:AE,"ERWIN GATICA",'Consolidado Accidentes'!AN:AN,"SI")</f>
        <v>0</v>
      </c>
    </row>
    <row r="47" spans="1:5" x14ac:dyDescent="0.25">
      <c r="A47" s="383"/>
      <c r="B47" s="26" t="s">
        <v>225</v>
      </c>
      <c r="C47" s="39">
        <f>COUNTIF('Consolidado Accidentes'!AE7:AE438,"CESAR CARTAGENA")</f>
        <v>6</v>
      </c>
      <c r="D47" s="24">
        <f>COUNTIFS('Consolidado Accidentes'!P:P,"CTP",'Consolidado Accidentes'!AE:AE,"CESAR CARTAGENA")</f>
        <v>2</v>
      </c>
      <c r="E47" s="24">
        <f>COUNTIFS('Consolidado Accidentes'!P:P,"STP",'Consolidado Accidentes'!AE:AE,"CESAR CARTAGENA",'Consolidado Accidentes'!AN:AN,"SI")</f>
        <v>1</v>
      </c>
    </row>
    <row r="48" spans="1:5" x14ac:dyDescent="0.25">
      <c r="A48" s="383"/>
      <c r="B48" s="35" t="s">
        <v>1123</v>
      </c>
      <c r="C48" s="9">
        <f>COUNTIF('Consolidado Accidentes'!AE7:AE439,"ANTONIO RIVAS")</f>
        <v>2</v>
      </c>
      <c r="D48" s="24">
        <f>COUNTIFS('Consolidado Accidentes'!P:P,"CTP",'Consolidado Accidentes'!AE:AE,"ANTONIO RIVAS")</f>
        <v>0</v>
      </c>
      <c r="E48" s="24">
        <f>COUNTIFS('Consolidado Accidentes'!P:P,"STP",'Consolidado Accidentes'!AE:AE,"ANTONIO RIVAS",'Consolidado Accidentes'!AN:AN,"SI")</f>
        <v>0</v>
      </c>
    </row>
    <row r="49" spans="1:5" x14ac:dyDescent="0.25">
      <c r="A49" s="383"/>
      <c r="B49" s="33" t="s">
        <v>1576</v>
      </c>
      <c r="C49" s="9">
        <f>COUNTIF('Consolidado Accidentes'!AE7:AE441,"CRISTIAN MEZA")</f>
        <v>0</v>
      </c>
      <c r="D49" s="24">
        <f>COUNTIFS('Consolidado Accidentes'!P:P,"CTP",'Consolidado Accidentes'!AE:AE,"CRISTIAN MEZA")</f>
        <v>0</v>
      </c>
      <c r="E49" s="24">
        <f>COUNTIFS('Consolidado Accidentes'!P:P,"STP",'Consolidado Accidentes'!AE:AE,"CRISTIAN MEZA",'Consolidado Accidentes'!AN:AN,"SI")</f>
        <v>0</v>
      </c>
    </row>
    <row r="50" spans="1:5" x14ac:dyDescent="0.25">
      <c r="B50" s="13"/>
      <c r="C50" s="9">
        <f>SUM(C46:C49)</f>
        <v>17</v>
      </c>
      <c r="D50" s="9">
        <f>SUM(D46:D49)</f>
        <v>4</v>
      </c>
      <c r="E50" s="9">
        <f>SUM(E46:E49)</f>
        <v>1</v>
      </c>
    </row>
    <row r="51" spans="1:5" x14ac:dyDescent="0.25">
      <c r="B51" s="13"/>
    </row>
    <row r="52" spans="1:5" x14ac:dyDescent="0.25">
      <c r="B52" s="13"/>
    </row>
    <row r="53" spans="1:5" x14ac:dyDescent="0.25">
      <c r="B53" s="13"/>
    </row>
    <row r="54" spans="1:5" x14ac:dyDescent="0.25">
      <c r="B54" s="13"/>
    </row>
    <row r="55" spans="1:5" x14ac:dyDescent="0.25">
      <c r="B55" s="13"/>
    </row>
    <row r="56" spans="1:5" x14ac:dyDescent="0.25">
      <c r="B56" s="13"/>
    </row>
    <row r="57" spans="1:5" x14ac:dyDescent="0.25">
      <c r="B57" s="13"/>
    </row>
    <row r="58" spans="1:5" x14ac:dyDescent="0.25">
      <c r="B58" s="14"/>
      <c r="C58" s="6"/>
      <c r="D58" s="6"/>
      <c r="E58" s="6"/>
    </row>
    <row r="59" spans="1:5" x14ac:dyDescent="0.25">
      <c r="A59" s="21" t="s">
        <v>19</v>
      </c>
      <c r="B59" s="16" t="s">
        <v>1563</v>
      </c>
      <c r="C59" s="15" t="s">
        <v>1564</v>
      </c>
      <c r="D59" s="15" t="s">
        <v>1565</v>
      </c>
      <c r="E59" s="15" t="s">
        <v>1566</v>
      </c>
    </row>
    <row r="60" spans="1:5" x14ac:dyDescent="0.25">
      <c r="A60" s="383" t="s">
        <v>1506</v>
      </c>
      <c r="B60" s="25" t="s">
        <v>1408</v>
      </c>
      <c r="C60" s="9">
        <f>COUNTIF('Consolidado Accidentes'!AE7:AE437,"JAQUELINE PAVEZ")</f>
        <v>0</v>
      </c>
      <c r="D60" s="24">
        <f>COUNTIFS('Consolidado Accidentes'!P:P,"CTP",'Consolidado Accidentes'!AE:AE,"JAQUELINE PAVEZ")</f>
        <v>0</v>
      </c>
      <c r="E60" s="24">
        <f>COUNTIFS('Consolidado Accidentes'!P:P,"STP",'Consolidado Accidentes'!AE:AE,"JAQUELINE PAVEZ",'Consolidado Accidentes'!AN:AN,"SI")</f>
        <v>0</v>
      </c>
    </row>
    <row r="61" spans="1:5" x14ac:dyDescent="0.25">
      <c r="A61" s="383"/>
      <c r="B61" s="23" t="s">
        <v>1577</v>
      </c>
      <c r="C61" s="9">
        <f>COUNTIF('Consolidado Accidentes'!AE7:AE438,"ADRIAN TEJIAS")</f>
        <v>0</v>
      </c>
      <c r="D61" s="24">
        <f>COUNTIFS('Consolidado Accidentes'!P:P,"CTP",'Consolidado Accidentes'!AE:AE,"MARCELA MARDONES")</f>
        <v>0</v>
      </c>
      <c r="E61" s="24">
        <f>COUNTIFS('Consolidado Accidentes'!P:P,"STP",'Consolidado Accidentes'!AE:AE,"MARCELA MARDONES",'Consolidado Accidentes'!AN:AN,"SI")</f>
        <v>0</v>
      </c>
    </row>
    <row r="62" spans="1:5" x14ac:dyDescent="0.25">
      <c r="B62" s="13"/>
      <c r="C62" s="9">
        <f>SUM(C60:C61)</f>
        <v>0</v>
      </c>
      <c r="D62" s="9">
        <f>SUM(D60:D61)</f>
        <v>0</v>
      </c>
      <c r="E62" s="9">
        <f>SUM(E60:E61)</f>
        <v>0</v>
      </c>
    </row>
    <row r="63" spans="1:5" x14ac:dyDescent="0.25">
      <c r="B63" s="13"/>
    </row>
    <row r="64" spans="1:5" x14ac:dyDescent="0.25">
      <c r="B64" s="13"/>
    </row>
    <row r="65" spans="1:5" x14ac:dyDescent="0.25">
      <c r="B65" s="13"/>
    </row>
    <row r="66" spans="1:5" x14ac:dyDescent="0.25">
      <c r="B66" s="13"/>
    </row>
    <row r="67" spans="1:5" x14ac:dyDescent="0.25">
      <c r="B67" s="13"/>
    </row>
    <row r="68" spans="1:5" x14ac:dyDescent="0.25">
      <c r="B68" s="13"/>
    </row>
    <row r="69" spans="1:5" x14ac:dyDescent="0.25">
      <c r="B69" s="13"/>
    </row>
    <row r="70" spans="1:5" x14ac:dyDescent="0.25">
      <c r="B70" s="13"/>
    </row>
    <row r="71" spans="1:5" x14ac:dyDescent="0.25">
      <c r="B71" s="13"/>
    </row>
    <row r="72" spans="1:5" x14ac:dyDescent="0.25">
      <c r="B72" s="14"/>
      <c r="C72" s="6"/>
      <c r="D72" s="6"/>
      <c r="E72" s="6"/>
    </row>
    <row r="73" spans="1:5" x14ac:dyDescent="0.25">
      <c r="A73" s="21" t="s">
        <v>19</v>
      </c>
      <c r="B73" s="16" t="s">
        <v>1563</v>
      </c>
      <c r="C73" s="15" t="s">
        <v>1564</v>
      </c>
      <c r="D73" s="15" t="s">
        <v>1565</v>
      </c>
      <c r="E73" s="15" t="s">
        <v>1566</v>
      </c>
    </row>
    <row r="74" spans="1:5" x14ac:dyDescent="0.25">
      <c r="A74" s="381" t="s">
        <v>134</v>
      </c>
      <c r="B74" s="33" t="s">
        <v>344</v>
      </c>
      <c r="C74" s="9">
        <f>COUNTIF('Consolidado Accidentes'!AE7:AE437,"MAURICIO HERNANDEZ")</f>
        <v>4</v>
      </c>
      <c r="D74" s="24">
        <f>COUNTIFS('Consolidado Accidentes'!P:P,"CTP",'Consolidado Accidentes'!AE:AE,"MAURICIO HERNANDEZ")</f>
        <v>1</v>
      </c>
      <c r="E74" s="24">
        <f>COUNTIFS('Consolidado Accidentes'!P:P,"STP",'Consolidado Accidentes'!AE:AE,"MAURICIO HERNANDEZ",'Consolidado Accidentes'!AN:AN,"SI")</f>
        <v>0</v>
      </c>
    </row>
    <row r="75" spans="1:5" x14ac:dyDescent="0.25">
      <c r="A75" s="384"/>
      <c r="B75" s="33" t="s">
        <v>1578</v>
      </c>
      <c r="C75" s="9">
        <f>COUNTIF('Consolidado Accidentes'!AE7:AE440,"MARIA EUGENIA YAÑEZ")</f>
        <v>0</v>
      </c>
      <c r="D75" s="24">
        <f>COUNTIFS('Consolidado Accidentes'!P:P,"CTP",'Consolidado Accidentes'!AE:AE,"MARIA EUGENIA YAÑEZ")</f>
        <v>0</v>
      </c>
      <c r="E75" s="24">
        <f>COUNTIFS('Consolidado Accidentes'!P:P,"STP",'Consolidado Accidentes'!AE:AE,"MARIA EUGENIA YAÑEZ",'Consolidado Accidentes'!AN:AN,"SI")</f>
        <v>0</v>
      </c>
    </row>
    <row r="76" spans="1:5" x14ac:dyDescent="0.25">
      <c r="A76" s="382"/>
      <c r="B76" s="34" t="s">
        <v>141</v>
      </c>
      <c r="C76" s="9">
        <f>COUNTIF('Consolidado Accidentes'!AE7:AE442,"JUAN VILLAVICENCIO")</f>
        <v>2</v>
      </c>
      <c r="D76" s="24">
        <f>COUNTIFS('Consolidado Accidentes'!P:P,"CTP",'Consolidado Accidentes'!AE:AE,"JUAN VILLAVICENCIO")</f>
        <v>2</v>
      </c>
      <c r="E76" s="24">
        <f>COUNTIFS('Consolidado Accidentes'!P:P,"STP",'Consolidado Accidentes'!AE:AE,"JUAN VILLAVICENCIO",'Consolidado Accidentes'!AN:AN,"SI")</f>
        <v>0</v>
      </c>
    </row>
    <row r="77" spans="1:5" x14ac:dyDescent="0.25">
      <c r="B77" s="13"/>
      <c r="C77" s="9">
        <f>SUM(C74:C76)</f>
        <v>6</v>
      </c>
      <c r="D77" s="9">
        <f>SUM(D74:D76)</f>
        <v>3</v>
      </c>
      <c r="E77" s="9">
        <f>SUM(E74:E76)</f>
        <v>0</v>
      </c>
    </row>
    <row r="78" spans="1:5" x14ac:dyDescent="0.25">
      <c r="B78" s="13"/>
    </row>
    <row r="79" spans="1:5" x14ac:dyDescent="0.25">
      <c r="B79" s="13"/>
    </row>
    <row r="80" spans="1:5" x14ac:dyDescent="0.25">
      <c r="B80" s="13"/>
    </row>
    <row r="81" spans="1:5" x14ac:dyDescent="0.25">
      <c r="B81" s="13"/>
    </row>
    <row r="82" spans="1:5" x14ac:dyDescent="0.25">
      <c r="B82" s="13"/>
    </row>
    <row r="83" spans="1:5" x14ac:dyDescent="0.25">
      <c r="B83" s="13"/>
    </row>
    <row r="84" spans="1:5" x14ac:dyDescent="0.25">
      <c r="B84" s="13"/>
    </row>
    <row r="85" spans="1:5" x14ac:dyDescent="0.25">
      <c r="B85" s="13"/>
    </row>
    <row r="86" spans="1:5" x14ac:dyDescent="0.25">
      <c r="A86" s="21" t="s">
        <v>19</v>
      </c>
      <c r="B86" s="16" t="s">
        <v>1563</v>
      </c>
      <c r="C86" s="15" t="s">
        <v>1564</v>
      </c>
      <c r="D86" s="15" t="s">
        <v>1565</v>
      </c>
      <c r="E86" s="15" t="s">
        <v>1566</v>
      </c>
    </row>
    <row r="87" spans="1:5" x14ac:dyDescent="0.25">
      <c r="A87" s="380" t="s">
        <v>264</v>
      </c>
      <c r="B87" s="40" t="s">
        <v>1579</v>
      </c>
      <c r="C87" s="9">
        <f>COUNTIF('Consolidado Accidentes'!AE7:AE438,"MICHEL CARVAJAL")</f>
        <v>0</v>
      </c>
      <c r="D87" s="24">
        <f>COUNTIFS('Consolidado Accidentes'!P:P,"CTP",'Consolidado Accidentes'!AE:AE,"MICHEL CARVAJAL")</f>
        <v>0</v>
      </c>
      <c r="E87" s="24">
        <f>COUNTIFS('Consolidado Accidentes'!P:P,"STP",'Consolidado Accidentes'!AE:AE,"MICHEL CARVAJAL",'Consolidado Accidentes'!AN:AN,"SI")</f>
        <v>0</v>
      </c>
    </row>
    <row r="88" spans="1:5" x14ac:dyDescent="0.25">
      <c r="A88" s="380"/>
      <c r="B88" s="41" t="s">
        <v>1580</v>
      </c>
      <c r="C88" s="9">
        <f>COUNTIF('Consolidado Accidentes'!AE7:AE439,"ISMAEL SANTIS")</f>
        <v>0</v>
      </c>
      <c r="D88" s="24">
        <f>COUNTIFS('Consolidado Accidentes'!P:P,"CTP",'Consolidado Accidentes'!AE:AE,"ISMAEL SANTIS")</f>
        <v>0</v>
      </c>
      <c r="E88" s="24">
        <f>COUNTIFS('Consolidado Accidentes'!P:P,"STP",'Consolidado Accidentes'!AE:AE,"ISMAEL SANTIS",'Consolidado Accidentes'!AN:AN,"SI")</f>
        <v>0</v>
      </c>
    </row>
    <row r="89" spans="1:5" x14ac:dyDescent="0.25">
      <c r="A89" s="380"/>
      <c r="B89" s="25" t="s">
        <v>405</v>
      </c>
      <c r="C89" s="9">
        <f>COUNTIF('Consolidado Accidentes'!AE7:AE440,"DANIEL GONZALEZ")</f>
        <v>3</v>
      </c>
      <c r="D89" s="24">
        <f>COUNTIFS('Consolidado Accidentes'!P:P,"CTP",'Consolidado Accidentes'!AE:AE,"DANIEL GONZALEZ")</f>
        <v>1</v>
      </c>
      <c r="E89" s="24">
        <f>COUNTIFS('Consolidado Accidentes'!P:P,"STP",'Consolidado Accidentes'!AE:AE,"DANIEL GONZALEZ",'Consolidado Accidentes'!AN:AN,"SI")</f>
        <v>0</v>
      </c>
    </row>
    <row r="90" spans="1:5" x14ac:dyDescent="0.25">
      <c r="A90" s="380"/>
      <c r="B90" s="25" t="s">
        <v>270</v>
      </c>
      <c r="C90" s="9">
        <f>COUNTIF('Consolidado Accidentes'!AE7:AE443,"NICOLAS ROJAS")</f>
        <v>3</v>
      </c>
      <c r="D90" s="24">
        <f>COUNTIFS('Consolidado Accidentes'!P:P,"CTP",'Consolidado Accidentes'!AE:AE,"NICOLAS ROJAS")</f>
        <v>1</v>
      </c>
      <c r="E90" s="24">
        <f>COUNTIFS('Consolidado Accidentes'!P:P,"STP",'Consolidado Accidentes'!AE:AE,"NICOLAS ROJAS",'Consolidado Accidentes'!AN:AN,"SI")</f>
        <v>0</v>
      </c>
    </row>
    <row r="91" spans="1:5" x14ac:dyDescent="0.25">
      <c r="A91" s="380"/>
      <c r="B91" s="25" t="s">
        <v>737</v>
      </c>
      <c r="C91" s="9">
        <f>COUNTIF('Consolidado Accidentes'!AE7:AE444,"EMANUEL MELLADO")</f>
        <v>5</v>
      </c>
      <c r="D91" s="24">
        <f>COUNTIFS('Consolidado Accidentes'!P:P,"CTP",'Consolidado Accidentes'!AE:AE,"EMANUEL MELLADO")</f>
        <v>0</v>
      </c>
      <c r="E91" s="24">
        <f>COUNTIFS('Consolidado Accidentes'!P:P,"STP",'Consolidado Accidentes'!AE:AE,"EMANUEL MELLADO",'Consolidado Accidentes'!AN:AN,"SI")</f>
        <v>1</v>
      </c>
    </row>
    <row r="92" spans="1:5" x14ac:dyDescent="0.25">
      <c r="A92" s="380"/>
      <c r="B92" s="41" t="s">
        <v>1581</v>
      </c>
      <c r="C92" s="9">
        <f>COUNTIF('Consolidado Accidentes'!AE7:AE445,"DAVID ROJAS")</f>
        <v>0</v>
      </c>
      <c r="D92" s="24">
        <f>COUNTIFS('Consolidado Accidentes'!P:P,"CTP",'Consolidado Accidentes'!AE:AE,"DAVID ROJAS")</f>
        <v>0</v>
      </c>
      <c r="E92" s="24">
        <f>COUNTIFS('Consolidado Accidentes'!P:P,"STP",'Consolidado Accidentes'!AE:AE,"DAVID ROJAS",'Consolidado Accidentes'!AN:AN,"SI")</f>
        <v>0</v>
      </c>
    </row>
    <row r="93" spans="1:5" x14ac:dyDescent="0.25">
      <c r="A93" s="380"/>
      <c r="B93" s="26" t="s">
        <v>1582</v>
      </c>
      <c r="C93" s="9">
        <f>COUNTIF('Consolidado Accidentes'!AE7:AE446,"DAVID MADARIAGA")</f>
        <v>0</v>
      </c>
      <c r="D93" s="24">
        <f>COUNTIFS('Consolidado Accidentes'!P:P,"CTP",'Consolidado Accidentes'!AE:AE,"DAVID MADARIAGA")</f>
        <v>0</v>
      </c>
      <c r="E93" s="24">
        <f>COUNTIFS('Consolidado Accidentes'!P:P,"STP",'Consolidado Accidentes'!AE:AE,"DAVID MADARIAGA",'Consolidado Accidentes'!AN:AN,"SI")</f>
        <v>0</v>
      </c>
    </row>
    <row r="94" spans="1:5" x14ac:dyDescent="0.25">
      <c r="A94" s="380"/>
      <c r="B94" s="25" t="s">
        <v>1583</v>
      </c>
      <c r="C94" s="9">
        <f>COUNTIF('Consolidado Accidentes'!AE7:AE447,"JORGE CONTRERAS")</f>
        <v>0</v>
      </c>
      <c r="D94" s="24">
        <f>COUNTIFS('Consolidado Accidentes'!P:P,"CTP",'Consolidado Accidentes'!AE:AE,"JORGE CONTRERAS")</f>
        <v>0</v>
      </c>
      <c r="E94" s="24">
        <f>COUNTIFS('Consolidado Accidentes'!P:P,"STP",'Consolidado Accidentes'!AE:AE,"JORGE CONTRERAS",'Consolidado Accidentes'!AN:AN,"SI")</f>
        <v>0</v>
      </c>
    </row>
    <row r="95" spans="1:5" x14ac:dyDescent="0.25">
      <c r="A95" s="380"/>
      <c r="B95" s="25" t="s">
        <v>1584</v>
      </c>
      <c r="C95" s="9">
        <f>COUNTIF('Consolidado Accidentes'!AE9:AE448,"SERGIO LETELIER")</f>
        <v>0</v>
      </c>
      <c r="D95" s="24">
        <f>COUNTIFS('Consolidado Accidentes'!P:P,"CTP",'Consolidado Accidentes'!AE:AE,"SERGIO LETELIER")</f>
        <v>0</v>
      </c>
      <c r="E95" s="24">
        <f>COUNTIFS('Consolidado Accidentes'!P:P,"STP",'Consolidado Accidentes'!AE:AE,"SERGIO LETELIER",'Consolidado Accidentes'!AN:AN,"SI")</f>
        <v>0</v>
      </c>
    </row>
    <row r="96" spans="1:5" x14ac:dyDescent="0.25">
      <c r="A96" s="380"/>
      <c r="B96" s="25" t="s">
        <v>353</v>
      </c>
      <c r="C96" s="9">
        <f>COUNTIF('Consolidado Accidentes'!AE10:AE449,"FRANCISCO ACEVEDO")</f>
        <v>1</v>
      </c>
      <c r="D96" s="24">
        <f>COUNTIFS('Consolidado Accidentes'!P:P,"CTP",'Consolidado Accidentes'!AE:AE,"FRANCISCO ACEVEDO")</f>
        <v>1</v>
      </c>
      <c r="E96" s="24">
        <f>COUNTIFS('Consolidado Accidentes'!P:P,"STP",'Consolidado Accidentes'!AE:AE,"FRANCISCO ACEVEDO",'Consolidado Accidentes'!AN:AN,"SI")</f>
        <v>0</v>
      </c>
    </row>
    <row r="97" spans="1:5" x14ac:dyDescent="0.25">
      <c r="A97" s="380"/>
      <c r="B97" s="41" t="s">
        <v>1585</v>
      </c>
      <c r="C97" s="9">
        <f>COUNTIF('Consolidado Accidentes'!AE7:AE448,"PEDRO HUERTA")</f>
        <v>0</v>
      </c>
      <c r="D97" s="24">
        <f>COUNTIFS('Consolidado Accidentes'!P:P,"CTP",'Consolidado Accidentes'!AE:AE,"PEDRO HUERTA")</f>
        <v>0</v>
      </c>
      <c r="E97" s="24">
        <f>COUNTIFS('Consolidado Accidentes'!P:P,"STP",'Consolidado Accidentes'!AE:AE,"PEDRO HUERTA",'Consolidado Accidentes'!AN:AN,"SI")</f>
        <v>0</v>
      </c>
    </row>
    <row r="98" spans="1:5" x14ac:dyDescent="0.25">
      <c r="B98" s="13"/>
      <c r="C98" s="9">
        <f>SUM(C87:C97)</f>
        <v>12</v>
      </c>
      <c r="D98" s="9">
        <f>SUM(D87:D97)</f>
        <v>3</v>
      </c>
      <c r="E98" s="9">
        <f>SUM(E87:E97)</f>
        <v>1</v>
      </c>
    </row>
    <row r="99" spans="1:5" x14ac:dyDescent="0.25">
      <c r="B99" s="13"/>
    </row>
    <row r="100" spans="1:5" x14ac:dyDescent="0.25">
      <c r="B100" s="13"/>
    </row>
    <row r="101" spans="1:5" x14ac:dyDescent="0.25">
      <c r="B101" s="13"/>
    </row>
    <row r="102" spans="1:5" x14ac:dyDescent="0.25">
      <c r="B102" s="13"/>
    </row>
    <row r="103" spans="1:5" x14ac:dyDescent="0.25">
      <c r="B103" s="13"/>
    </row>
    <row r="104" spans="1:5" x14ac:dyDescent="0.25">
      <c r="B104" s="13"/>
    </row>
    <row r="105" spans="1:5" x14ac:dyDescent="0.25">
      <c r="A105" s="21" t="s">
        <v>19</v>
      </c>
      <c r="B105" s="16" t="s">
        <v>1563</v>
      </c>
      <c r="C105" s="15" t="s">
        <v>1564</v>
      </c>
      <c r="D105" s="15" t="s">
        <v>1565</v>
      </c>
      <c r="E105" s="15" t="s">
        <v>1566</v>
      </c>
    </row>
    <row r="106" spans="1:5" x14ac:dyDescent="0.25">
      <c r="A106" s="381" t="s">
        <v>108</v>
      </c>
      <c r="B106" s="26" t="s">
        <v>1586</v>
      </c>
      <c r="C106" s="9">
        <f>COUNTIF('Consolidado Accidentes'!AE7:AE452,"SOLEDAD CARRASCO")</f>
        <v>1</v>
      </c>
      <c r="D106" s="24">
        <f>COUNTIFS('Consolidado Accidentes'!P:P,"CTP",'Consolidado Accidentes'!AE:AE,"SOLEDAD CARRASCO")</f>
        <v>0</v>
      </c>
      <c r="E106" s="24">
        <v>0</v>
      </c>
    </row>
    <row r="107" spans="1:5" x14ac:dyDescent="0.25">
      <c r="A107" s="382"/>
      <c r="B107" s="22" t="s">
        <v>114</v>
      </c>
      <c r="C107" s="9">
        <f>COUNTIF('Consolidado Accidentes'!AE7:AE453,"HECNIMAR URDANETA")</f>
        <v>1</v>
      </c>
      <c r="D107" s="24">
        <f>COUNTIFS('Consolidado Accidentes'!P:P,"CTP",'Consolidado Accidentes'!AE:AE,"HECNIMAR URDANETA")</f>
        <v>0</v>
      </c>
      <c r="E107" s="24">
        <v>0</v>
      </c>
    </row>
    <row r="108" spans="1:5" x14ac:dyDescent="0.25">
      <c r="B108" s="13"/>
      <c r="C108" s="9">
        <f>SUM(C106:C107)</f>
        <v>2</v>
      </c>
      <c r="D108" s="9">
        <f>SUM(D106:D107)</f>
        <v>0</v>
      </c>
      <c r="E108" s="9">
        <f>SUM(E106:E107)</f>
        <v>0</v>
      </c>
    </row>
    <row r="109" spans="1:5" x14ac:dyDescent="0.25">
      <c r="B109" s="13"/>
    </row>
    <row r="110" spans="1:5" x14ac:dyDescent="0.25">
      <c r="B110" s="13"/>
    </row>
    <row r="111" spans="1:5" x14ac:dyDescent="0.25">
      <c r="B111" s="13"/>
    </row>
    <row r="112" spans="1:5" x14ac:dyDescent="0.25">
      <c r="B112" s="13"/>
    </row>
    <row r="113" spans="1:5" x14ac:dyDescent="0.25">
      <c r="B113" s="13"/>
    </row>
    <row r="114" spans="1:5" x14ac:dyDescent="0.25">
      <c r="B114" s="13"/>
    </row>
    <row r="115" spans="1:5" x14ac:dyDescent="0.25">
      <c r="B115" s="13"/>
    </row>
    <row r="116" spans="1:5" x14ac:dyDescent="0.25">
      <c r="B116" s="13"/>
    </row>
    <row r="117" spans="1:5" x14ac:dyDescent="0.25">
      <c r="B117" s="13"/>
    </row>
    <row r="118" spans="1:5" x14ac:dyDescent="0.25">
      <c r="B118" s="13"/>
    </row>
    <row r="119" spans="1:5" x14ac:dyDescent="0.25">
      <c r="B119" s="13"/>
    </row>
    <row r="120" spans="1:5" x14ac:dyDescent="0.25">
      <c r="B120" s="13"/>
    </row>
    <row r="121" spans="1:5" x14ac:dyDescent="0.25">
      <c r="A121" s="15" t="s">
        <v>19</v>
      </c>
      <c r="B121" s="16" t="s">
        <v>1563</v>
      </c>
      <c r="C121" s="15" t="s">
        <v>1564</v>
      </c>
      <c r="D121" s="15" t="s">
        <v>1565</v>
      </c>
      <c r="E121" s="15" t="s">
        <v>1566</v>
      </c>
    </row>
    <row r="122" spans="1:5" ht="15" customHeight="1" x14ac:dyDescent="0.25">
      <c r="A122" s="383" t="s">
        <v>73</v>
      </c>
      <c r="B122" s="42" t="s">
        <v>1587</v>
      </c>
      <c r="C122" s="9">
        <f>COUNTIF('Consolidado Accidentes'!AE7:AE468,"MAXIMO CAMPOS")</f>
        <v>11</v>
      </c>
      <c r="D122" s="24">
        <f>COUNTIFS('Consolidado Accidentes'!P:P,"CTP",'Consolidado Accidentes'!AE:AE,"MAXIMO CAMPOS")</f>
        <v>0</v>
      </c>
      <c r="E122" s="9">
        <f>COUNTIFS('Consolidado Accidentes'!P:P,"STP",'Consolidado Accidentes'!AE:AE,"MAXIMO CAMPOS",'Consolidado Accidentes'!AN:AN,"SI")</f>
        <v>3</v>
      </c>
    </row>
    <row r="123" spans="1:5" x14ac:dyDescent="0.25">
      <c r="A123" s="383"/>
      <c r="B123" s="43" t="s">
        <v>78</v>
      </c>
      <c r="C123" s="9">
        <f>COUNTIF('Consolidado Accidentes'!AE7:AE469,"FERNANDO FUENTEALBA")</f>
        <v>7</v>
      </c>
      <c r="D123" s="24">
        <f>COUNTIFS('Consolidado Accidentes'!P:P,"CTP",'Consolidado Accidentes'!AE:AE,"FERNANDO FUENTEALBA")</f>
        <v>0</v>
      </c>
      <c r="E123" s="9">
        <f>COUNTIFS('Consolidado Accidentes'!P:P,"STP",'Consolidado Accidentes'!AE:AE,"FERNANDO FUENTEALBA",'Consolidado Accidentes'!AN:AN,"SI")</f>
        <v>0</v>
      </c>
    </row>
    <row r="124" spans="1:5" x14ac:dyDescent="0.25">
      <c r="A124" s="383"/>
      <c r="B124" s="42" t="s">
        <v>1240</v>
      </c>
      <c r="C124" s="9" t="s">
        <v>1240</v>
      </c>
      <c r="D124" s="24" t="s">
        <v>1240</v>
      </c>
      <c r="E124" s="9" t="s">
        <v>1240</v>
      </c>
    </row>
    <row r="125" spans="1:5" x14ac:dyDescent="0.25">
      <c r="A125" s="383"/>
      <c r="B125" s="42" t="s">
        <v>323</v>
      </c>
      <c r="C125" s="9">
        <f>COUNTIF('Consolidado Accidentes'!AE9:AE471,"FRANCISCO SANCHEZ")</f>
        <v>10</v>
      </c>
      <c r="D125" s="24">
        <f>COUNTIFS('Consolidado Accidentes'!P:P,"CTP",'Consolidado Accidentes'!AE:AE,"FRANCISCO SANCHEZ")</f>
        <v>1</v>
      </c>
      <c r="E125" s="9">
        <f>COUNTIFS('Consolidado Accidentes'!P:P,"STP",'Consolidado Accidentes'!AE:AE,"FRANCISCO SANCHEZ",'Consolidado Accidentes'!AN:AN,"SI")</f>
        <v>1</v>
      </c>
    </row>
    <row r="126" spans="1:5" x14ac:dyDescent="0.25">
      <c r="A126" s="383"/>
      <c r="B126" s="43" t="s">
        <v>861</v>
      </c>
      <c r="C126" s="9">
        <f>COUNTIF('Consolidado Accidentes'!AE7:AE471,"MIGUEL HENRRIQUEZ")</f>
        <v>7</v>
      </c>
      <c r="D126" s="24">
        <f>COUNTIFS('Consolidado Accidentes'!P:P,"CTP",'Consolidado Accidentes'!AE:AE,"MIGUEL HENRRIQUEZ")</f>
        <v>1</v>
      </c>
      <c r="E126" s="9">
        <f>COUNTIFS('Consolidado Accidentes'!P:P,"STP",'Consolidado Accidentes'!AE:AE,"MIGUEL HENRRIQUEZ",'Consolidado Accidentes'!AN:AN,"SI")</f>
        <v>0</v>
      </c>
    </row>
    <row r="127" spans="1:5" x14ac:dyDescent="0.25">
      <c r="B127" s="13"/>
      <c r="C127" s="31">
        <f>SUM(C122:C126)</f>
        <v>35</v>
      </c>
      <c r="D127" s="31">
        <f>SUM(D122:D126)</f>
        <v>2</v>
      </c>
      <c r="E127" s="31">
        <f>SUM(E122:E126)</f>
        <v>4</v>
      </c>
    </row>
    <row r="128" spans="1:5" x14ac:dyDescent="0.25">
      <c r="B128" s="13"/>
    </row>
    <row r="129" spans="1:5" x14ac:dyDescent="0.25">
      <c r="B129" s="13"/>
    </row>
    <row r="130" spans="1:5" x14ac:dyDescent="0.25">
      <c r="B130" s="13"/>
    </row>
    <row r="131" spans="1:5" x14ac:dyDescent="0.25">
      <c r="B131" s="13"/>
      <c r="D131" t="s">
        <v>1240</v>
      </c>
    </row>
    <row r="132" spans="1:5" x14ac:dyDescent="0.25">
      <c r="B132" s="13"/>
      <c r="D132" t="s">
        <v>1240</v>
      </c>
    </row>
    <row r="133" spans="1:5" x14ac:dyDescent="0.25">
      <c r="B133" s="13"/>
    </row>
    <row r="134" spans="1:5" x14ac:dyDescent="0.25">
      <c r="B134" s="13"/>
    </row>
    <row r="135" spans="1:5" x14ac:dyDescent="0.25">
      <c r="B135" s="13"/>
    </row>
    <row r="136" spans="1:5" x14ac:dyDescent="0.25">
      <c r="B136" s="13"/>
    </row>
    <row r="137" spans="1:5" x14ac:dyDescent="0.25">
      <c r="A137" s="15" t="s">
        <v>19</v>
      </c>
      <c r="B137" s="16" t="s">
        <v>1563</v>
      </c>
      <c r="C137" s="15" t="s">
        <v>1564</v>
      </c>
      <c r="D137" s="15" t="s">
        <v>1565</v>
      </c>
      <c r="E137" s="15" t="s">
        <v>1566</v>
      </c>
    </row>
    <row r="138" spans="1:5" x14ac:dyDescent="0.25">
      <c r="A138" s="1" t="s">
        <v>52</v>
      </c>
      <c r="B138" s="43" t="s">
        <v>1588</v>
      </c>
      <c r="C138" s="9">
        <f>COUNTIF('Consolidado Accidentes'!AE20:AE483,"VICTORIA MILLARES")</f>
        <v>0</v>
      </c>
      <c r="D138" s="24">
        <f>COUNTIFS('Consolidado Accidentes'!P:P,"CTP",'Consolidado Accidentes'!AE:AE,"VICTORIA MILLARES")</f>
        <v>0</v>
      </c>
      <c r="E138" s="9">
        <f>COUNTIFS('Consolidado Accidentes'!P:P,"STP",'Consolidado Accidentes'!AE:AE,"VICTORIA MILLARES")</f>
        <v>0</v>
      </c>
    </row>
    <row r="139" spans="1:5" x14ac:dyDescent="0.25">
      <c r="B139" s="13"/>
    </row>
    <row r="140" spans="1:5" x14ac:dyDescent="0.25">
      <c r="B140" s="13"/>
    </row>
    <row r="141" spans="1:5" x14ac:dyDescent="0.25">
      <c r="B141" s="13"/>
    </row>
    <row r="142" spans="1:5" x14ac:dyDescent="0.25">
      <c r="B142" s="13"/>
    </row>
    <row r="143" spans="1:5" x14ac:dyDescent="0.25">
      <c r="B143" s="13"/>
    </row>
    <row r="144" spans="1:5" x14ac:dyDescent="0.25">
      <c r="B144" s="13"/>
    </row>
    <row r="145" spans="1:5" x14ac:dyDescent="0.25">
      <c r="B145" s="13"/>
    </row>
    <row r="146" spans="1:5" x14ac:dyDescent="0.25">
      <c r="B146" s="13"/>
    </row>
    <row r="147" spans="1:5" x14ac:dyDescent="0.25">
      <c r="B147" s="13"/>
    </row>
    <row r="148" spans="1:5" x14ac:dyDescent="0.25">
      <c r="B148" s="13"/>
    </row>
    <row r="149" spans="1:5" x14ac:dyDescent="0.25">
      <c r="B149" s="13"/>
    </row>
    <row r="150" spans="1:5" x14ac:dyDescent="0.25">
      <c r="B150" s="13"/>
    </row>
    <row r="151" spans="1:5" x14ac:dyDescent="0.25">
      <c r="B151" s="13"/>
    </row>
    <row r="152" spans="1:5" x14ac:dyDescent="0.25">
      <c r="B152" s="13"/>
    </row>
    <row r="153" spans="1:5" x14ac:dyDescent="0.25">
      <c r="B153" s="13"/>
    </row>
    <row r="154" spans="1:5" x14ac:dyDescent="0.25">
      <c r="A154" s="15" t="s">
        <v>19</v>
      </c>
      <c r="B154" s="16" t="s">
        <v>1563</v>
      </c>
      <c r="C154" s="15" t="s">
        <v>1564</v>
      </c>
      <c r="D154" s="15" t="s">
        <v>1565</v>
      </c>
      <c r="E154" s="15" t="s">
        <v>1566</v>
      </c>
    </row>
    <row r="155" spans="1:5" x14ac:dyDescent="0.25">
      <c r="A155" s="1" t="s">
        <v>1589</v>
      </c>
      <c r="B155" s="43" t="s">
        <v>1590</v>
      </c>
      <c r="C155" s="9">
        <f>COUNTIF('Consolidado Accidentes'!AE7:AE500,"FRANCISCA YANTEN")</f>
        <v>0</v>
      </c>
      <c r="D155" s="9">
        <v>0</v>
      </c>
      <c r="E155" s="9">
        <v>0</v>
      </c>
    </row>
    <row r="156" spans="1:5" x14ac:dyDescent="0.25">
      <c r="B156" s="43" t="s">
        <v>1591</v>
      </c>
      <c r="C156" s="9">
        <f>COUNTIF('Consolidado Accidentes'!AE7:AE500,"CALIXTO DIAZ")</f>
        <v>0</v>
      </c>
      <c r="D156" s="9">
        <v>0</v>
      </c>
      <c r="E156" s="9">
        <v>0</v>
      </c>
    </row>
    <row r="157" spans="1:5" x14ac:dyDescent="0.25">
      <c r="B157" s="13"/>
      <c r="C157" s="37">
        <f>SUM(C155:C156)</f>
        <v>0</v>
      </c>
      <c r="D157" s="37">
        <f>SUM(D155:D156)</f>
        <v>0</v>
      </c>
      <c r="E157" s="37">
        <f>SUM(E155:E156)</f>
        <v>0</v>
      </c>
    </row>
    <row r="158" spans="1:5" x14ac:dyDescent="0.25">
      <c r="B158" s="13"/>
    </row>
    <row r="159" spans="1:5" x14ac:dyDescent="0.25">
      <c r="B159" s="13"/>
    </row>
    <row r="160" spans="1:5" x14ac:dyDescent="0.25">
      <c r="B160" s="13"/>
    </row>
    <row r="161" spans="2:2" x14ac:dyDescent="0.25">
      <c r="B161" s="13"/>
    </row>
    <row r="162" spans="2:2" x14ac:dyDescent="0.25">
      <c r="B162" s="13"/>
    </row>
    <row r="163" spans="2:2" x14ac:dyDescent="0.25">
      <c r="B163" s="13"/>
    </row>
    <row r="164" spans="2:2" x14ac:dyDescent="0.25">
      <c r="B164" s="13"/>
    </row>
    <row r="165" spans="2:2" x14ac:dyDescent="0.25">
      <c r="B165" s="13"/>
    </row>
    <row r="166" spans="2:2" x14ac:dyDescent="0.25">
      <c r="B166" s="13"/>
    </row>
    <row r="167" spans="2:2" x14ac:dyDescent="0.25">
      <c r="B167" s="13"/>
    </row>
    <row r="168" spans="2:2" x14ac:dyDescent="0.25">
      <c r="B168" s="13"/>
    </row>
    <row r="169" spans="2:2" x14ac:dyDescent="0.25">
      <c r="B169" s="13"/>
    </row>
    <row r="170" spans="2:2" x14ac:dyDescent="0.25">
      <c r="B170" s="13"/>
    </row>
    <row r="171" spans="2:2" x14ac:dyDescent="0.25">
      <c r="B171" s="13"/>
    </row>
    <row r="172" spans="2:2" x14ac:dyDescent="0.25">
      <c r="B172" s="13"/>
    </row>
    <row r="173" spans="2:2" x14ac:dyDescent="0.25">
      <c r="B173" s="13"/>
    </row>
    <row r="174" spans="2:2" x14ac:dyDescent="0.25">
      <c r="B174" s="13"/>
    </row>
    <row r="175" spans="2:2" x14ac:dyDescent="0.25">
      <c r="B175" s="13"/>
    </row>
    <row r="176" spans="2:2" x14ac:dyDescent="0.25">
      <c r="B176" s="13"/>
    </row>
    <row r="177" spans="2:2" x14ac:dyDescent="0.25">
      <c r="B177" s="13"/>
    </row>
    <row r="178" spans="2:2" x14ac:dyDescent="0.25">
      <c r="B178" s="13"/>
    </row>
    <row r="179" spans="2:2" x14ac:dyDescent="0.25">
      <c r="B179" s="13"/>
    </row>
    <row r="180" spans="2:2" x14ac:dyDescent="0.25">
      <c r="B180" s="13"/>
    </row>
    <row r="181" spans="2:2" x14ac:dyDescent="0.25">
      <c r="B181" s="13"/>
    </row>
    <row r="182" spans="2:2" x14ac:dyDescent="0.25">
      <c r="B182" s="13"/>
    </row>
    <row r="183" spans="2:2" x14ac:dyDescent="0.25">
      <c r="B183" s="13"/>
    </row>
    <row r="184" spans="2:2" x14ac:dyDescent="0.25">
      <c r="B184" s="13"/>
    </row>
    <row r="185" spans="2:2" x14ac:dyDescent="0.25">
      <c r="B185" s="13"/>
    </row>
    <row r="186" spans="2:2" x14ac:dyDescent="0.25">
      <c r="B186" s="13"/>
    </row>
    <row r="187" spans="2:2" x14ac:dyDescent="0.25">
      <c r="B187" s="13"/>
    </row>
    <row r="188" spans="2:2" x14ac:dyDescent="0.25">
      <c r="B188" s="13"/>
    </row>
    <row r="189" spans="2:2" x14ac:dyDescent="0.25">
      <c r="B189" s="13"/>
    </row>
    <row r="190" spans="2:2" x14ac:dyDescent="0.25">
      <c r="B190" s="13"/>
    </row>
    <row r="191" spans="2:2" x14ac:dyDescent="0.25">
      <c r="B191" s="13"/>
    </row>
    <row r="192" spans="2:2" x14ac:dyDescent="0.25">
      <c r="B192" s="13"/>
    </row>
    <row r="193" spans="2:2" x14ac:dyDescent="0.25">
      <c r="B193" s="13"/>
    </row>
    <row r="194" spans="2:2" x14ac:dyDescent="0.25">
      <c r="B194" s="13"/>
    </row>
    <row r="195" spans="2:2" x14ac:dyDescent="0.25">
      <c r="B195" s="13"/>
    </row>
    <row r="196" spans="2:2" x14ac:dyDescent="0.25">
      <c r="B196" s="13"/>
    </row>
    <row r="197" spans="2:2" x14ac:dyDescent="0.25">
      <c r="B197" s="13"/>
    </row>
    <row r="198" spans="2:2" x14ac:dyDescent="0.25">
      <c r="B198" s="13"/>
    </row>
    <row r="199" spans="2:2" x14ac:dyDescent="0.25">
      <c r="B199" s="13"/>
    </row>
    <row r="200" spans="2:2" x14ac:dyDescent="0.25">
      <c r="B200" s="13"/>
    </row>
    <row r="201" spans="2:2" x14ac:dyDescent="0.25">
      <c r="B201" s="13"/>
    </row>
    <row r="202" spans="2:2" x14ac:dyDescent="0.25">
      <c r="B202" s="13"/>
    </row>
    <row r="203" spans="2:2" x14ac:dyDescent="0.25">
      <c r="B203" s="13"/>
    </row>
    <row r="204" spans="2:2" x14ac:dyDescent="0.25">
      <c r="B204" s="13"/>
    </row>
    <row r="205" spans="2:2" x14ac:dyDescent="0.25">
      <c r="B205" s="13"/>
    </row>
    <row r="206" spans="2:2" x14ac:dyDescent="0.25">
      <c r="B206" s="13"/>
    </row>
    <row r="207" spans="2:2" x14ac:dyDescent="0.25">
      <c r="B207" s="13"/>
    </row>
    <row r="208" spans="2:2" x14ac:dyDescent="0.25">
      <c r="B208" s="13"/>
    </row>
    <row r="209" spans="2:2" x14ac:dyDescent="0.25">
      <c r="B209" s="13"/>
    </row>
    <row r="210" spans="2:2" x14ac:dyDescent="0.25">
      <c r="B210" s="13"/>
    </row>
    <row r="211" spans="2:2" x14ac:dyDescent="0.25">
      <c r="B211" s="13"/>
    </row>
    <row r="212" spans="2:2" x14ac:dyDescent="0.25">
      <c r="B212" s="13"/>
    </row>
    <row r="213" spans="2:2" x14ac:dyDescent="0.25">
      <c r="B213" s="13"/>
    </row>
    <row r="214" spans="2:2" x14ac:dyDescent="0.25">
      <c r="B214" s="13"/>
    </row>
    <row r="215" spans="2:2" x14ac:dyDescent="0.25">
      <c r="B215" s="13"/>
    </row>
    <row r="216" spans="2:2" x14ac:dyDescent="0.25">
      <c r="B216" s="13"/>
    </row>
    <row r="217" spans="2:2" x14ac:dyDescent="0.25">
      <c r="B217" s="13"/>
    </row>
    <row r="218" spans="2:2" x14ac:dyDescent="0.25">
      <c r="B218" s="13"/>
    </row>
    <row r="219" spans="2:2" x14ac:dyDescent="0.25">
      <c r="B219" s="13"/>
    </row>
    <row r="220" spans="2:2" x14ac:dyDescent="0.25">
      <c r="B220" s="13"/>
    </row>
    <row r="221" spans="2:2" x14ac:dyDescent="0.25">
      <c r="B221" s="13"/>
    </row>
    <row r="222" spans="2:2" x14ac:dyDescent="0.25">
      <c r="B222" s="13"/>
    </row>
    <row r="223" spans="2:2" x14ac:dyDescent="0.25">
      <c r="B223" s="13"/>
    </row>
    <row r="224" spans="2:2" x14ac:dyDescent="0.25">
      <c r="B224" s="13"/>
    </row>
    <row r="225" spans="2:2" x14ac:dyDescent="0.25">
      <c r="B225" s="13"/>
    </row>
    <row r="226" spans="2:2" x14ac:dyDescent="0.25">
      <c r="B226" s="13"/>
    </row>
    <row r="227" spans="2:2" x14ac:dyDescent="0.25">
      <c r="B227" s="13"/>
    </row>
    <row r="228" spans="2:2" x14ac:dyDescent="0.25">
      <c r="B228" s="13"/>
    </row>
    <row r="229" spans="2:2" x14ac:dyDescent="0.25">
      <c r="B229" s="13"/>
    </row>
    <row r="230" spans="2:2" x14ac:dyDescent="0.25">
      <c r="B230" s="13"/>
    </row>
    <row r="231" spans="2:2" x14ac:dyDescent="0.25">
      <c r="B231" s="13"/>
    </row>
    <row r="232" spans="2:2" x14ac:dyDescent="0.25">
      <c r="B232" s="13"/>
    </row>
    <row r="233" spans="2:2" x14ac:dyDescent="0.25">
      <c r="B233" s="13"/>
    </row>
    <row r="234" spans="2:2" x14ac:dyDescent="0.25">
      <c r="B234" s="13"/>
    </row>
    <row r="235" spans="2:2" x14ac:dyDescent="0.25">
      <c r="B235" s="13"/>
    </row>
    <row r="236" spans="2:2" x14ac:dyDescent="0.25">
      <c r="B236" s="13"/>
    </row>
    <row r="237" spans="2:2" x14ac:dyDescent="0.25">
      <c r="B237" s="13"/>
    </row>
    <row r="238" spans="2:2" x14ac:dyDescent="0.25">
      <c r="B238" s="13"/>
    </row>
    <row r="239" spans="2:2" x14ac:dyDescent="0.25">
      <c r="B239" s="13"/>
    </row>
    <row r="240" spans="2:2" x14ac:dyDescent="0.25">
      <c r="B240" s="13"/>
    </row>
    <row r="241" spans="2:2" x14ac:dyDescent="0.25">
      <c r="B241" s="13"/>
    </row>
    <row r="242" spans="2:2" x14ac:dyDescent="0.25">
      <c r="B242" s="13"/>
    </row>
    <row r="243" spans="2:2" x14ac:dyDescent="0.25">
      <c r="B243" s="13"/>
    </row>
    <row r="244" spans="2:2" x14ac:dyDescent="0.25">
      <c r="B244" s="13"/>
    </row>
    <row r="245" spans="2:2" x14ac:dyDescent="0.25">
      <c r="B245" s="13"/>
    </row>
    <row r="246" spans="2:2" x14ac:dyDescent="0.25">
      <c r="B246" s="13"/>
    </row>
    <row r="247" spans="2:2" x14ac:dyDescent="0.25">
      <c r="B247" s="13"/>
    </row>
    <row r="248" spans="2:2" x14ac:dyDescent="0.25">
      <c r="B248" s="13"/>
    </row>
    <row r="249" spans="2:2" x14ac:dyDescent="0.25">
      <c r="B249" s="13"/>
    </row>
    <row r="250" spans="2:2" x14ac:dyDescent="0.25">
      <c r="B250" s="13"/>
    </row>
    <row r="251" spans="2:2" x14ac:dyDescent="0.25">
      <c r="B251" s="13"/>
    </row>
    <row r="252" spans="2:2" x14ac:dyDescent="0.25">
      <c r="B252" s="13"/>
    </row>
    <row r="253" spans="2:2" x14ac:dyDescent="0.25">
      <c r="B253" s="13"/>
    </row>
    <row r="254" spans="2:2" x14ac:dyDescent="0.25">
      <c r="B254" s="13"/>
    </row>
    <row r="255" spans="2:2" x14ac:dyDescent="0.25">
      <c r="B255" s="13"/>
    </row>
    <row r="256" spans="2:2" x14ac:dyDescent="0.25">
      <c r="B256" s="13"/>
    </row>
    <row r="257" spans="2:2" x14ac:dyDescent="0.25">
      <c r="B257" s="13"/>
    </row>
    <row r="258" spans="2:2" x14ac:dyDescent="0.25">
      <c r="B258" s="13"/>
    </row>
    <row r="259" spans="2:2" x14ac:dyDescent="0.25">
      <c r="B259" s="13"/>
    </row>
    <row r="260" spans="2:2" x14ac:dyDescent="0.25">
      <c r="B260" s="13"/>
    </row>
    <row r="261" spans="2:2" x14ac:dyDescent="0.25">
      <c r="B261" s="13"/>
    </row>
    <row r="262" spans="2:2" x14ac:dyDescent="0.25">
      <c r="B262" s="13"/>
    </row>
    <row r="263" spans="2:2" x14ac:dyDescent="0.25">
      <c r="B263" s="13"/>
    </row>
    <row r="264" spans="2:2" x14ac:dyDescent="0.25">
      <c r="B264" s="13"/>
    </row>
    <row r="265" spans="2:2" x14ac:dyDescent="0.25">
      <c r="B265" s="13"/>
    </row>
    <row r="266" spans="2:2" x14ac:dyDescent="0.25">
      <c r="B266" s="13"/>
    </row>
    <row r="267" spans="2:2" x14ac:dyDescent="0.25">
      <c r="B267" s="13"/>
    </row>
    <row r="268" spans="2:2" x14ac:dyDescent="0.25">
      <c r="B268" s="13"/>
    </row>
    <row r="269" spans="2:2" x14ac:dyDescent="0.25">
      <c r="B269" s="13"/>
    </row>
    <row r="270" spans="2:2" x14ac:dyDescent="0.25">
      <c r="B270" s="13"/>
    </row>
    <row r="271" spans="2:2" x14ac:dyDescent="0.25">
      <c r="B271" s="13"/>
    </row>
    <row r="272" spans="2:2" x14ac:dyDescent="0.25">
      <c r="B272" s="13"/>
    </row>
    <row r="273" spans="2:2" x14ac:dyDescent="0.25">
      <c r="B273" s="13"/>
    </row>
    <row r="274" spans="2:2" x14ac:dyDescent="0.25">
      <c r="B274" s="13"/>
    </row>
    <row r="275" spans="2:2" x14ac:dyDescent="0.25">
      <c r="B275" s="13"/>
    </row>
    <row r="276" spans="2:2" x14ac:dyDescent="0.25">
      <c r="B276" s="13"/>
    </row>
    <row r="277" spans="2:2" x14ac:dyDescent="0.25">
      <c r="B277" s="13"/>
    </row>
    <row r="278" spans="2:2" x14ac:dyDescent="0.25">
      <c r="B278" s="13"/>
    </row>
    <row r="279" spans="2:2" x14ac:dyDescent="0.25">
      <c r="B279" s="13"/>
    </row>
    <row r="280" spans="2:2" x14ac:dyDescent="0.25">
      <c r="B280" s="13"/>
    </row>
    <row r="281" spans="2:2" x14ac:dyDescent="0.25">
      <c r="B281" s="13"/>
    </row>
    <row r="282" spans="2:2" x14ac:dyDescent="0.25">
      <c r="B282" s="13"/>
    </row>
    <row r="283" spans="2:2" x14ac:dyDescent="0.25">
      <c r="B283" s="13"/>
    </row>
    <row r="284" spans="2:2" x14ac:dyDescent="0.25">
      <c r="B284" s="13"/>
    </row>
    <row r="285" spans="2:2" x14ac:dyDescent="0.25">
      <c r="B285" s="13"/>
    </row>
    <row r="286" spans="2:2" x14ac:dyDescent="0.25">
      <c r="B286" s="13"/>
    </row>
    <row r="287" spans="2:2" x14ac:dyDescent="0.25">
      <c r="B287" s="13"/>
    </row>
    <row r="288" spans="2:2" x14ac:dyDescent="0.25">
      <c r="B288" s="13"/>
    </row>
    <row r="289" spans="2:2" x14ac:dyDescent="0.25">
      <c r="B289" s="13"/>
    </row>
    <row r="290" spans="2:2" x14ac:dyDescent="0.25">
      <c r="B290" s="13"/>
    </row>
    <row r="291" spans="2:2" x14ac:dyDescent="0.25">
      <c r="B291" s="13"/>
    </row>
    <row r="292" spans="2:2" x14ac:dyDescent="0.25">
      <c r="B292" s="13"/>
    </row>
    <row r="293" spans="2:2" x14ac:dyDescent="0.25">
      <c r="B293" s="13"/>
    </row>
    <row r="294" spans="2:2" x14ac:dyDescent="0.25">
      <c r="B294" s="13"/>
    </row>
    <row r="295" spans="2:2" x14ac:dyDescent="0.25">
      <c r="B295" s="13"/>
    </row>
    <row r="296" spans="2:2" x14ac:dyDescent="0.25">
      <c r="B296" s="13"/>
    </row>
    <row r="297" spans="2:2" x14ac:dyDescent="0.25">
      <c r="B297" s="13"/>
    </row>
    <row r="298" spans="2:2" x14ac:dyDescent="0.25">
      <c r="B298" s="13"/>
    </row>
    <row r="299" spans="2:2" x14ac:dyDescent="0.25">
      <c r="B299" s="13"/>
    </row>
    <row r="300" spans="2:2" x14ac:dyDescent="0.25">
      <c r="B300" s="13"/>
    </row>
    <row r="301" spans="2:2" x14ac:dyDescent="0.25">
      <c r="B301" s="13"/>
    </row>
    <row r="302" spans="2:2" x14ac:dyDescent="0.25">
      <c r="B302" s="13"/>
    </row>
    <row r="303" spans="2:2" x14ac:dyDescent="0.25">
      <c r="B303" s="13"/>
    </row>
    <row r="304" spans="2:2" x14ac:dyDescent="0.25">
      <c r="B304" s="13"/>
    </row>
    <row r="305" spans="2:2" x14ac:dyDescent="0.25">
      <c r="B305" s="13"/>
    </row>
    <row r="306" spans="2:2" x14ac:dyDescent="0.25">
      <c r="B306" s="13"/>
    </row>
    <row r="307" spans="2:2" x14ac:dyDescent="0.25">
      <c r="B307" s="13"/>
    </row>
    <row r="308" spans="2:2" x14ac:dyDescent="0.25">
      <c r="B308" s="13"/>
    </row>
    <row r="309" spans="2:2" x14ac:dyDescent="0.25">
      <c r="B309" s="13"/>
    </row>
    <row r="310" spans="2:2" x14ac:dyDescent="0.25">
      <c r="B310" s="13"/>
    </row>
    <row r="311" spans="2:2" x14ac:dyDescent="0.25">
      <c r="B311" s="13"/>
    </row>
    <row r="312" spans="2:2" x14ac:dyDescent="0.25">
      <c r="B312" s="13"/>
    </row>
    <row r="313" spans="2:2" x14ac:dyDescent="0.25">
      <c r="B313" s="13"/>
    </row>
    <row r="314" spans="2:2" x14ac:dyDescent="0.25">
      <c r="B314" s="13"/>
    </row>
    <row r="315" spans="2:2" x14ac:dyDescent="0.25">
      <c r="B315" s="13"/>
    </row>
    <row r="316" spans="2:2" x14ac:dyDescent="0.25">
      <c r="B316" s="13"/>
    </row>
    <row r="317" spans="2:2" x14ac:dyDescent="0.25">
      <c r="B317" s="13"/>
    </row>
    <row r="318" spans="2:2" x14ac:dyDescent="0.25">
      <c r="B318" s="13"/>
    </row>
    <row r="319" spans="2:2" x14ac:dyDescent="0.25">
      <c r="B319" s="13"/>
    </row>
    <row r="320" spans="2:2" x14ac:dyDescent="0.25">
      <c r="B320" s="13"/>
    </row>
    <row r="321" spans="2:2" x14ac:dyDescent="0.25">
      <c r="B321" s="13"/>
    </row>
    <row r="322" spans="2:2" x14ac:dyDescent="0.25">
      <c r="B322" s="13"/>
    </row>
    <row r="323" spans="2:2" x14ac:dyDescent="0.25">
      <c r="B323" s="13"/>
    </row>
    <row r="324" spans="2:2" x14ac:dyDescent="0.25">
      <c r="B324" s="13"/>
    </row>
    <row r="325" spans="2:2" x14ac:dyDescent="0.25">
      <c r="B325" s="13"/>
    </row>
    <row r="326" spans="2:2" x14ac:dyDescent="0.25">
      <c r="B326" s="13"/>
    </row>
    <row r="327" spans="2:2" x14ac:dyDescent="0.25">
      <c r="B327" s="13"/>
    </row>
    <row r="328" spans="2:2" x14ac:dyDescent="0.25">
      <c r="B328" s="13"/>
    </row>
    <row r="329" spans="2:2" x14ac:dyDescent="0.25">
      <c r="B329" s="13"/>
    </row>
    <row r="330" spans="2:2" x14ac:dyDescent="0.25">
      <c r="B330" s="13"/>
    </row>
    <row r="331" spans="2:2" x14ac:dyDescent="0.25">
      <c r="B331" s="13"/>
    </row>
  </sheetData>
  <mergeCells count="9">
    <mergeCell ref="A87:A97"/>
    <mergeCell ref="A106:A107"/>
    <mergeCell ref="A122:A126"/>
    <mergeCell ref="A3:A8"/>
    <mergeCell ref="A17:A23"/>
    <mergeCell ref="A33:A35"/>
    <mergeCell ref="A46:A49"/>
    <mergeCell ref="A60:A61"/>
    <mergeCell ref="A74:A7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2150E-E1E4-4587-9B7F-4B9958068FC9}">
  <dimension ref="A3:D247"/>
  <sheetViews>
    <sheetView topLeftCell="A118" workbookViewId="0">
      <selection activeCell="B132" sqref="B132"/>
    </sheetView>
  </sheetViews>
  <sheetFormatPr baseColWidth="10" defaultColWidth="11.42578125" defaultRowHeight="15" x14ac:dyDescent="0.25"/>
  <cols>
    <col min="1" max="1" width="26" bestFit="1" customWidth="1"/>
    <col min="2" max="2" width="21.85546875" bestFit="1" customWidth="1"/>
    <col min="3" max="3" width="4.140625" bestFit="1" customWidth="1"/>
    <col min="4" max="4" width="12.5703125" bestFit="1" customWidth="1"/>
  </cols>
  <sheetData>
    <row r="3" spans="1:4" x14ac:dyDescent="0.25">
      <c r="A3" s="206" t="s">
        <v>40</v>
      </c>
      <c r="B3" t="s">
        <v>65</v>
      </c>
    </row>
    <row r="5" spans="1:4" x14ac:dyDescent="0.25">
      <c r="A5" s="206" t="s">
        <v>1592</v>
      </c>
      <c r="B5" s="206" t="s">
        <v>1593</v>
      </c>
    </row>
    <row r="6" spans="1:4" x14ac:dyDescent="0.25">
      <c r="A6" s="206" t="s">
        <v>1594</v>
      </c>
      <c r="B6" t="s">
        <v>88</v>
      </c>
      <c r="C6" t="s">
        <v>51</v>
      </c>
      <c r="D6" t="s">
        <v>1595</v>
      </c>
    </row>
    <row r="7" spans="1:4" x14ac:dyDescent="0.25">
      <c r="A7" s="27" t="s">
        <v>173</v>
      </c>
      <c r="B7">
        <v>6</v>
      </c>
      <c r="C7">
        <v>2</v>
      </c>
      <c r="D7">
        <v>8</v>
      </c>
    </row>
    <row r="8" spans="1:4" x14ac:dyDescent="0.25">
      <c r="A8" s="27" t="s">
        <v>160</v>
      </c>
      <c r="B8">
        <v>6</v>
      </c>
      <c r="C8">
        <v>2</v>
      </c>
      <c r="D8">
        <v>8</v>
      </c>
    </row>
    <row r="9" spans="1:4" x14ac:dyDescent="0.25">
      <c r="A9" s="27" t="s">
        <v>134</v>
      </c>
      <c r="B9">
        <v>3</v>
      </c>
      <c r="C9">
        <v>1</v>
      </c>
      <c r="D9">
        <v>4</v>
      </c>
    </row>
    <row r="10" spans="1:4" x14ac:dyDescent="0.25">
      <c r="A10" s="27" t="s">
        <v>91</v>
      </c>
      <c r="B10">
        <v>1</v>
      </c>
      <c r="C10">
        <v>1</v>
      </c>
      <c r="D10">
        <v>2</v>
      </c>
    </row>
    <row r="11" spans="1:4" x14ac:dyDescent="0.25">
      <c r="A11" s="27" t="s">
        <v>73</v>
      </c>
      <c r="C11">
        <v>2</v>
      </c>
      <c r="D11">
        <v>2</v>
      </c>
    </row>
    <row r="12" spans="1:4" x14ac:dyDescent="0.25">
      <c r="A12" s="27" t="s">
        <v>264</v>
      </c>
      <c r="B12">
        <v>2</v>
      </c>
      <c r="D12">
        <v>2</v>
      </c>
    </row>
    <row r="13" spans="1:4" x14ac:dyDescent="0.25">
      <c r="A13" s="27" t="s">
        <v>234</v>
      </c>
      <c r="B13">
        <v>1</v>
      </c>
      <c r="D13">
        <v>1</v>
      </c>
    </row>
    <row r="14" spans="1:4" x14ac:dyDescent="0.25">
      <c r="A14" s="27" t="s">
        <v>1595</v>
      </c>
      <c r="B14">
        <v>19</v>
      </c>
      <c r="C14">
        <v>8</v>
      </c>
      <c r="D14">
        <v>27</v>
      </c>
    </row>
    <row r="22" spans="1:2" x14ac:dyDescent="0.25">
      <c r="A22" s="206" t="s">
        <v>40</v>
      </c>
      <c r="B22" t="s">
        <v>1596</v>
      </c>
    </row>
    <row r="24" spans="1:2" x14ac:dyDescent="0.25">
      <c r="A24" s="206" t="s">
        <v>1594</v>
      </c>
      <c r="B24" t="s">
        <v>1597</v>
      </c>
    </row>
    <row r="25" spans="1:2" x14ac:dyDescent="0.25">
      <c r="A25" s="27" t="s">
        <v>55</v>
      </c>
      <c r="B25">
        <v>17</v>
      </c>
    </row>
    <row r="26" spans="1:2" x14ac:dyDescent="0.25">
      <c r="A26" s="27" t="s">
        <v>111</v>
      </c>
      <c r="B26">
        <v>15</v>
      </c>
    </row>
    <row r="27" spans="1:2" x14ac:dyDescent="0.25">
      <c r="A27" s="27" t="s">
        <v>125</v>
      </c>
      <c r="B27">
        <v>12</v>
      </c>
    </row>
    <row r="28" spans="1:2" x14ac:dyDescent="0.25">
      <c r="A28" s="27" t="s">
        <v>137</v>
      </c>
      <c r="B28">
        <v>11</v>
      </c>
    </row>
    <row r="29" spans="1:2" x14ac:dyDescent="0.25">
      <c r="A29" s="27" t="s">
        <v>95</v>
      </c>
      <c r="B29">
        <v>10</v>
      </c>
    </row>
    <row r="30" spans="1:2" x14ac:dyDescent="0.25">
      <c r="A30" s="27" t="s">
        <v>76</v>
      </c>
      <c r="B30">
        <v>9</v>
      </c>
    </row>
    <row r="31" spans="1:2" x14ac:dyDescent="0.25">
      <c r="A31" s="27" t="s">
        <v>404</v>
      </c>
      <c r="B31">
        <v>1</v>
      </c>
    </row>
    <row r="32" spans="1:2" x14ac:dyDescent="0.25">
      <c r="A32" s="27" t="s">
        <v>1595</v>
      </c>
      <c r="B32">
        <v>75</v>
      </c>
    </row>
    <row r="38" spans="1:2" x14ac:dyDescent="0.25">
      <c r="A38" s="206" t="s">
        <v>40</v>
      </c>
      <c r="B38" t="s">
        <v>65</v>
      </c>
    </row>
    <row r="40" spans="1:2" x14ac:dyDescent="0.25">
      <c r="A40" s="206" t="s">
        <v>1594</v>
      </c>
      <c r="B40" t="s">
        <v>1598</v>
      </c>
    </row>
    <row r="41" spans="1:2" x14ac:dyDescent="0.25">
      <c r="A41" s="27" t="s">
        <v>1541</v>
      </c>
      <c r="B41">
        <v>14</v>
      </c>
    </row>
    <row r="42" spans="1:2" x14ac:dyDescent="0.25">
      <c r="A42" s="27" t="s">
        <v>1540</v>
      </c>
      <c r="B42">
        <v>8</v>
      </c>
    </row>
    <row r="43" spans="1:2" x14ac:dyDescent="0.25">
      <c r="A43" s="27" t="s">
        <v>951</v>
      </c>
      <c r="B43">
        <v>5</v>
      </c>
    </row>
    <row r="44" spans="1:2" x14ac:dyDescent="0.25">
      <c r="A44" s="27" t="s">
        <v>1595</v>
      </c>
      <c r="B44">
        <v>27</v>
      </c>
    </row>
    <row r="52" spans="1:2" x14ac:dyDescent="0.25">
      <c r="A52" s="206" t="s">
        <v>40</v>
      </c>
      <c r="B52" t="s">
        <v>65</v>
      </c>
    </row>
    <row r="54" spans="1:2" x14ac:dyDescent="0.25">
      <c r="A54" s="206" t="s">
        <v>1594</v>
      </c>
      <c r="B54" t="s">
        <v>1599</v>
      </c>
    </row>
    <row r="55" spans="1:2" x14ac:dyDescent="0.25">
      <c r="A55" s="27" t="s">
        <v>81</v>
      </c>
      <c r="B55">
        <v>8</v>
      </c>
    </row>
    <row r="56" spans="1:2" x14ac:dyDescent="0.25">
      <c r="A56" s="27" t="s">
        <v>154</v>
      </c>
      <c r="B56">
        <v>4</v>
      </c>
    </row>
    <row r="57" spans="1:2" x14ac:dyDescent="0.25">
      <c r="A57" s="27" t="s">
        <v>101</v>
      </c>
      <c r="B57">
        <v>3</v>
      </c>
    </row>
    <row r="58" spans="1:2" x14ac:dyDescent="0.25">
      <c r="A58" s="27" t="s">
        <v>129</v>
      </c>
      <c r="B58">
        <v>2</v>
      </c>
    </row>
    <row r="59" spans="1:2" x14ac:dyDescent="0.25">
      <c r="A59" s="27" t="s">
        <v>180</v>
      </c>
      <c r="B59">
        <v>2</v>
      </c>
    </row>
    <row r="60" spans="1:2" x14ac:dyDescent="0.25">
      <c r="A60" s="27" t="s">
        <v>229</v>
      </c>
      <c r="B60">
        <v>2</v>
      </c>
    </row>
    <row r="61" spans="1:2" x14ac:dyDescent="0.25">
      <c r="A61" s="27" t="s">
        <v>413</v>
      </c>
      <c r="B61">
        <v>2</v>
      </c>
    </row>
    <row r="62" spans="1:2" x14ac:dyDescent="0.25">
      <c r="A62" s="27" t="s">
        <v>116</v>
      </c>
      <c r="B62">
        <v>2</v>
      </c>
    </row>
    <row r="63" spans="1:2" x14ac:dyDescent="0.25">
      <c r="A63" s="27" t="s">
        <v>293</v>
      </c>
      <c r="B63">
        <v>1</v>
      </c>
    </row>
    <row r="64" spans="1:2" x14ac:dyDescent="0.25">
      <c r="A64" s="27" t="s">
        <v>61</v>
      </c>
      <c r="B64">
        <v>1</v>
      </c>
    </row>
    <row r="65" spans="1:2" x14ac:dyDescent="0.25">
      <c r="A65" s="27" t="s">
        <v>1595</v>
      </c>
      <c r="B65">
        <v>27</v>
      </c>
    </row>
    <row r="72" spans="1:2" x14ac:dyDescent="0.25">
      <c r="A72" s="206" t="s">
        <v>40</v>
      </c>
      <c r="B72" t="s">
        <v>65</v>
      </c>
    </row>
    <row r="74" spans="1:2" x14ac:dyDescent="0.25">
      <c r="A74" s="206" t="s">
        <v>1594</v>
      </c>
      <c r="B74" t="s">
        <v>1600</v>
      </c>
    </row>
    <row r="75" spans="1:2" x14ac:dyDescent="0.25">
      <c r="A75" s="27" t="s">
        <v>80</v>
      </c>
      <c r="B75">
        <v>15</v>
      </c>
    </row>
    <row r="76" spans="1:2" x14ac:dyDescent="0.25">
      <c r="A76" s="27" t="s">
        <v>128</v>
      </c>
      <c r="B76">
        <v>4</v>
      </c>
    </row>
    <row r="77" spans="1:2" x14ac:dyDescent="0.25">
      <c r="A77" s="27" t="s">
        <v>228</v>
      </c>
      <c r="B77">
        <v>2</v>
      </c>
    </row>
    <row r="78" spans="1:2" x14ac:dyDescent="0.25">
      <c r="A78" s="27" t="s">
        <v>302</v>
      </c>
      <c r="B78">
        <v>2</v>
      </c>
    </row>
    <row r="79" spans="1:2" x14ac:dyDescent="0.25">
      <c r="A79" s="27" t="s">
        <v>167</v>
      </c>
      <c r="B79">
        <v>2</v>
      </c>
    </row>
    <row r="80" spans="1:2" x14ac:dyDescent="0.25">
      <c r="A80" s="27" t="s">
        <v>100</v>
      </c>
      <c r="B80">
        <v>1</v>
      </c>
    </row>
    <row r="81" spans="1:2" x14ac:dyDescent="0.25">
      <c r="A81" s="27" t="s">
        <v>502</v>
      </c>
      <c r="B81">
        <v>1</v>
      </c>
    </row>
    <row r="82" spans="1:2" x14ac:dyDescent="0.25">
      <c r="A82" s="27" t="s">
        <v>1595</v>
      </c>
      <c r="B82">
        <v>27</v>
      </c>
    </row>
    <row r="88" spans="1:2" x14ac:dyDescent="0.25">
      <c r="A88" s="206" t="s">
        <v>40</v>
      </c>
      <c r="B88" t="s">
        <v>65</v>
      </c>
    </row>
    <row r="90" spans="1:2" x14ac:dyDescent="0.25">
      <c r="A90" s="206" t="s">
        <v>1594</v>
      </c>
      <c r="B90" t="s">
        <v>1601</v>
      </c>
    </row>
    <row r="91" spans="1:2" x14ac:dyDescent="0.25">
      <c r="A91" s="27" t="s">
        <v>60</v>
      </c>
      <c r="B91">
        <v>9</v>
      </c>
    </row>
    <row r="92" spans="1:2" x14ac:dyDescent="0.25">
      <c r="A92" s="27" t="s">
        <v>153</v>
      </c>
      <c r="B92">
        <v>5</v>
      </c>
    </row>
    <row r="93" spans="1:2" x14ac:dyDescent="0.25">
      <c r="A93" s="27" t="s">
        <v>166</v>
      </c>
      <c r="B93">
        <v>5</v>
      </c>
    </row>
    <row r="94" spans="1:2" x14ac:dyDescent="0.25">
      <c r="A94" s="27" t="s">
        <v>143</v>
      </c>
      <c r="B94">
        <v>4</v>
      </c>
    </row>
    <row r="95" spans="1:2" x14ac:dyDescent="0.25">
      <c r="A95" s="27" t="s">
        <v>227</v>
      </c>
      <c r="B95">
        <v>2</v>
      </c>
    </row>
    <row r="96" spans="1:2" x14ac:dyDescent="0.25">
      <c r="A96" s="27" t="s">
        <v>450</v>
      </c>
      <c r="B96">
        <v>2</v>
      </c>
    </row>
    <row r="97" spans="1:2" x14ac:dyDescent="0.25">
      <c r="A97" s="27" t="s">
        <v>1595</v>
      </c>
      <c r="B97">
        <v>27</v>
      </c>
    </row>
    <row r="106" spans="1:2" x14ac:dyDescent="0.25">
      <c r="A106" s="206" t="s">
        <v>40</v>
      </c>
      <c r="B106" t="s">
        <v>65</v>
      </c>
    </row>
    <row r="108" spans="1:2" x14ac:dyDescent="0.25">
      <c r="A108" s="206" t="s">
        <v>1594</v>
      </c>
      <c r="B108" t="s">
        <v>1602</v>
      </c>
    </row>
    <row r="109" spans="1:2" x14ac:dyDescent="0.25">
      <c r="A109" s="27" t="s">
        <v>115</v>
      </c>
      <c r="B109">
        <v>4</v>
      </c>
    </row>
    <row r="110" spans="1:2" x14ac:dyDescent="0.25">
      <c r="A110" s="27" t="s">
        <v>142</v>
      </c>
      <c r="B110">
        <v>4</v>
      </c>
    </row>
    <row r="111" spans="1:2" x14ac:dyDescent="0.25">
      <c r="A111" s="27" t="s">
        <v>99</v>
      </c>
      <c r="B111">
        <v>4</v>
      </c>
    </row>
    <row r="112" spans="1:2" x14ac:dyDescent="0.25">
      <c r="A112" s="27" t="s">
        <v>79</v>
      </c>
      <c r="B112">
        <v>3</v>
      </c>
    </row>
    <row r="113" spans="1:2" x14ac:dyDescent="0.25">
      <c r="A113" s="27" t="s">
        <v>226</v>
      </c>
      <c r="B113">
        <v>2</v>
      </c>
    </row>
    <row r="114" spans="1:2" x14ac:dyDescent="0.25">
      <c r="A114" s="27" t="s">
        <v>301</v>
      </c>
      <c r="B114">
        <v>2</v>
      </c>
    </row>
    <row r="115" spans="1:2" x14ac:dyDescent="0.25">
      <c r="A115" s="27" t="s">
        <v>216</v>
      </c>
      <c r="B115">
        <v>2</v>
      </c>
    </row>
    <row r="116" spans="1:2" x14ac:dyDescent="0.25">
      <c r="A116" s="27" t="s">
        <v>59</v>
      </c>
      <c r="B116">
        <v>2</v>
      </c>
    </row>
    <row r="117" spans="1:2" x14ac:dyDescent="0.25">
      <c r="A117" s="27" t="s">
        <v>271</v>
      </c>
      <c r="B117">
        <v>1</v>
      </c>
    </row>
    <row r="118" spans="1:2" x14ac:dyDescent="0.25">
      <c r="A118" s="27" t="s">
        <v>373</v>
      </c>
      <c r="B118">
        <v>1</v>
      </c>
    </row>
    <row r="119" spans="1:2" x14ac:dyDescent="0.25">
      <c r="A119" s="27" t="s">
        <v>61</v>
      </c>
      <c r="B119">
        <v>1</v>
      </c>
    </row>
    <row r="120" spans="1:2" x14ac:dyDescent="0.25">
      <c r="A120" s="27" t="s">
        <v>383</v>
      </c>
      <c r="B120">
        <v>1</v>
      </c>
    </row>
    <row r="121" spans="1:2" x14ac:dyDescent="0.25">
      <c r="A121" s="27" t="s">
        <v>1595</v>
      </c>
      <c r="B121">
        <v>27</v>
      </c>
    </row>
    <row r="126" spans="1:2" x14ac:dyDescent="0.25">
      <c r="A126" s="206" t="s">
        <v>40</v>
      </c>
      <c r="B126" t="s">
        <v>1596</v>
      </c>
    </row>
    <row r="127" spans="1:2" x14ac:dyDescent="0.25">
      <c r="A127" s="206" t="s">
        <v>38</v>
      </c>
      <c r="B127" t="s">
        <v>1596</v>
      </c>
    </row>
    <row r="129" spans="1:2" x14ac:dyDescent="0.25">
      <c r="A129" s="206" t="s">
        <v>1594</v>
      </c>
      <c r="B129" t="s">
        <v>1603</v>
      </c>
    </row>
    <row r="130" spans="1:2" x14ac:dyDescent="0.25">
      <c r="A130" s="27" t="s">
        <v>146</v>
      </c>
      <c r="B130">
        <v>7</v>
      </c>
    </row>
    <row r="131" spans="1:2" x14ac:dyDescent="0.25">
      <c r="A131" s="27" t="s">
        <v>169</v>
      </c>
      <c r="B131">
        <v>6</v>
      </c>
    </row>
    <row r="132" spans="1:2" x14ac:dyDescent="0.25">
      <c r="A132" s="27" t="s">
        <v>219</v>
      </c>
      <c r="B132">
        <v>6</v>
      </c>
    </row>
    <row r="133" spans="1:2" x14ac:dyDescent="0.25">
      <c r="A133" s="27" t="s">
        <v>361</v>
      </c>
      <c r="B133">
        <v>5</v>
      </c>
    </row>
    <row r="134" spans="1:2" x14ac:dyDescent="0.25">
      <c r="A134" s="27" t="s">
        <v>305</v>
      </c>
      <c r="B134">
        <v>4</v>
      </c>
    </row>
    <row r="135" spans="1:2" x14ac:dyDescent="0.25">
      <c r="A135" s="27" t="s">
        <v>182</v>
      </c>
      <c r="B135">
        <v>3</v>
      </c>
    </row>
    <row r="136" spans="1:2" x14ac:dyDescent="0.25">
      <c r="A136" s="27" t="s">
        <v>195</v>
      </c>
      <c r="B136">
        <v>3</v>
      </c>
    </row>
    <row r="137" spans="1:2" x14ac:dyDescent="0.25">
      <c r="A137" s="27" t="s">
        <v>399</v>
      </c>
      <c r="B137">
        <v>2</v>
      </c>
    </row>
    <row r="138" spans="1:2" x14ac:dyDescent="0.25">
      <c r="A138" s="27" t="s">
        <v>259</v>
      </c>
      <c r="B138">
        <v>2</v>
      </c>
    </row>
    <row r="139" spans="1:2" x14ac:dyDescent="0.25">
      <c r="A139" s="27" t="s">
        <v>156</v>
      </c>
      <c r="B139">
        <v>2</v>
      </c>
    </row>
    <row r="140" spans="1:2" x14ac:dyDescent="0.25">
      <c r="A140" s="27" t="s">
        <v>550</v>
      </c>
      <c r="B140">
        <v>1</v>
      </c>
    </row>
    <row r="141" spans="1:2" x14ac:dyDescent="0.25">
      <c r="A141" s="27" t="s">
        <v>439</v>
      </c>
      <c r="B141">
        <v>1</v>
      </c>
    </row>
    <row r="142" spans="1:2" x14ac:dyDescent="0.25">
      <c r="A142" s="27" t="s">
        <v>504</v>
      </c>
      <c r="B142">
        <v>1</v>
      </c>
    </row>
    <row r="143" spans="1:2" x14ac:dyDescent="0.25">
      <c r="A143" s="27" t="s">
        <v>318</v>
      </c>
      <c r="B143">
        <v>1</v>
      </c>
    </row>
    <row r="144" spans="1:2" x14ac:dyDescent="0.25">
      <c r="A144" s="27" t="s">
        <v>580</v>
      </c>
      <c r="B144">
        <v>1</v>
      </c>
    </row>
    <row r="145" spans="1:2" x14ac:dyDescent="0.25">
      <c r="A145" s="27" t="s">
        <v>366</v>
      </c>
      <c r="B145">
        <v>1</v>
      </c>
    </row>
    <row r="146" spans="1:2" x14ac:dyDescent="0.25">
      <c r="A146" s="27" t="s">
        <v>375</v>
      </c>
      <c r="B146">
        <v>1</v>
      </c>
    </row>
    <row r="147" spans="1:2" x14ac:dyDescent="0.25">
      <c r="A147" s="27" t="s">
        <v>528</v>
      </c>
      <c r="B147">
        <v>1</v>
      </c>
    </row>
    <row r="148" spans="1:2" x14ac:dyDescent="0.25">
      <c r="A148" s="27" t="s">
        <v>104</v>
      </c>
      <c r="B148">
        <v>1</v>
      </c>
    </row>
    <row r="149" spans="1:2" x14ac:dyDescent="0.25">
      <c r="A149" s="27" t="s">
        <v>1604</v>
      </c>
    </row>
    <row r="150" spans="1:2" x14ac:dyDescent="0.25">
      <c r="A150" s="27" t="s">
        <v>1595</v>
      </c>
      <c r="B150">
        <v>49</v>
      </c>
    </row>
    <row r="154" spans="1:2" x14ac:dyDescent="0.25">
      <c r="A154" s="206" t="s">
        <v>40</v>
      </c>
      <c r="B154" t="s">
        <v>65</v>
      </c>
    </row>
    <row r="156" spans="1:2" x14ac:dyDescent="0.25">
      <c r="A156" s="206" t="s">
        <v>1594</v>
      </c>
      <c r="B156" t="s">
        <v>1605</v>
      </c>
    </row>
    <row r="157" spans="1:2" x14ac:dyDescent="0.25">
      <c r="A157" s="27" t="s">
        <v>151</v>
      </c>
      <c r="B157">
        <v>12</v>
      </c>
    </row>
    <row r="158" spans="1:2" x14ac:dyDescent="0.25">
      <c r="A158" s="27" t="s">
        <v>54</v>
      </c>
      <c r="B158">
        <v>11</v>
      </c>
    </row>
    <row r="159" spans="1:2" x14ac:dyDescent="0.25">
      <c r="A159" s="27" t="s">
        <v>176</v>
      </c>
      <c r="B159">
        <v>4</v>
      </c>
    </row>
    <row r="160" spans="1:2" x14ac:dyDescent="0.25">
      <c r="A160" s="27" t="s">
        <v>1595</v>
      </c>
      <c r="B160">
        <v>27</v>
      </c>
    </row>
    <row r="170" spans="1:2" x14ac:dyDescent="0.25">
      <c r="A170" s="206" t="s">
        <v>40</v>
      </c>
      <c r="B170" t="s">
        <v>65</v>
      </c>
    </row>
    <row r="172" spans="1:2" x14ac:dyDescent="0.25">
      <c r="A172" s="206" t="s">
        <v>1594</v>
      </c>
      <c r="B172" t="s">
        <v>1606</v>
      </c>
    </row>
    <row r="173" spans="1:2" x14ac:dyDescent="0.25">
      <c r="A173" s="27" t="s">
        <v>64</v>
      </c>
      <c r="B173">
        <v>16</v>
      </c>
    </row>
    <row r="174" spans="1:2" x14ac:dyDescent="0.25">
      <c r="A174" s="27" t="s">
        <v>118</v>
      </c>
      <c r="B174">
        <v>11</v>
      </c>
    </row>
    <row r="175" spans="1:2" x14ac:dyDescent="0.25">
      <c r="A175" s="27" t="s">
        <v>1595</v>
      </c>
      <c r="B175">
        <v>27</v>
      </c>
    </row>
    <row r="184" spans="1:2" x14ac:dyDescent="0.25">
      <c r="A184" s="206" t="s">
        <v>2</v>
      </c>
      <c r="B184" t="s">
        <v>1607</v>
      </c>
    </row>
    <row r="185" spans="1:2" x14ac:dyDescent="0.25">
      <c r="A185" s="206" t="s">
        <v>19</v>
      </c>
      <c r="B185" t="s">
        <v>160</v>
      </c>
    </row>
    <row r="187" spans="1:2" x14ac:dyDescent="0.25">
      <c r="A187" s="206" t="s">
        <v>1594</v>
      </c>
      <c r="B187" t="s">
        <v>1602</v>
      </c>
    </row>
    <row r="188" spans="1:2" x14ac:dyDescent="0.25">
      <c r="A188" s="27" t="s">
        <v>79</v>
      </c>
      <c r="B188">
        <v>7</v>
      </c>
    </row>
    <row r="189" spans="1:2" x14ac:dyDescent="0.25">
      <c r="A189" s="27" t="s">
        <v>226</v>
      </c>
      <c r="B189">
        <v>6</v>
      </c>
    </row>
    <row r="190" spans="1:2" x14ac:dyDescent="0.25">
      <c r="A190" s="27" t="s">
        <v>59</v>
      </c>
      <c r="B190">
        <v>5</v>
      </c>
    </row>
    <row r="191" spans="1:2" x14ac:dyDescent="0.25">
      <c r="A191" s="27" t="s">
        <v>271</v>
      </c>
      <c r="B191">
        <v>5</v>
      </c>
    </row>
    <row r="192" spans="1:2" x14ac:dyDescent="0.25">
      <c r="A192" s="27" t="s">
        <v>99</v>
      </c>
      <c r="B192">
        <v>4</v>
      </c>
    </row>
    <row r="193" spans="1:2" x14ac:dyDescent="0.25">
      <c r="A193" s="27" t="s">
        <v>216</v>
      </c>
      <c r="B193">
        <v>3</v>
      </c>
    </row>
    <row r="194" spans="1:2" x14ac:dyDescent="0.25">
      <c r="A194" s="27" t="s">
        <v>142</v>
      </c>
      <c r="B194">
        <v>3</v>
      </c>
    </row>
    <row r="195" spans="1:2" x14ac:dyDescent="0.25">
      <c r="A195" s="27" t="s">
        <v>115</v>
      </c>
      <c r="B195">
        <v>2</v>
      </c>
    </row>
    <row r="196" spans="1:2" x14ac:dyDescent="0.25">
      <c r="A196" s="27" t="s">
        <v>475</v>
      </c>
      <c r="B196">
        <v>2</v>
      </c>
    </row>
    <row r="197" spans="1:2" x14ac:dyDescent="0.25">
      <c r="A197" s="27" t="s">
        <v>649</v>
      </c>
      <c r="B197">
        <v>2</v>
      </c>
    </row>
    <row r="198" spans="1:2" x14ac:dyDescent="0.25">
      <c r="A198" s="27" t="s">
        <v>700</v>
      </c>
      <c r="B198">
        <v>1</v>
      </c>
    </row>
    <row r="199" spans="1:2" x14ac:dyDescent="0.25">
      <c r="A199" s="27" t="s">
        <v>301</v>
      </c>
      <c r="B199">
        <v>1</v>
      </c>
    </row>
    <row r="200" spans="1:2" x14ac:dyDescent="0.25">
      <c r="A200" s="27" t="s">
        <v>373</v>
      </c>
      <c r="B200">
        <v>1</v>
      </c>
    </row>
    <row r="201" spans="1:2" x14ac:dyDescent="0.25">
      <c r="A201" s="27" t="s">
        <v>61</v>
      </c>
      <c r="B201">
        <v>1</v>
      </c>
    </row>
    <row r="202" spans="1:2" x14ac:dyDescent="0.25">
      <c r="A202" s="27" t="s">
        <v>1595</v>
      </c>
      <c r="B202">
        <v>43</v>
      </c>
    </row>
    <row r="206" spans="1:2" x14ac:dyDescent="0.25">
      <c r="A206" s="206" t="s">
        <v>2</v>
      </c>
      <c r="B206" t="s">
        <v>1607</v>
      </c>
    </row>
    <row r="207" spans="1:2" x14ac:dyDescent="0.25">
      <c r="A207" s="206" t="s">
        <v>19</v>
      </c>
      <c r="B207" t="s">
        <v>160</v>
      </c>
    </row>
    <row r="209" spans="1:2" x14ac:dyDescent="0.25">
      <c r="A209" s="206" t="s">
        <v>1594</v>
      </c>
      <c r="B209" t="s">
        <v>1601</v>
      </c>
    </row>
    <row r="210" spans="1:2" x14ac:dyDescent="0.25">
      <c r="A210" s="27" t="s">
        <v>60</v>
      </c>
      <c r="B210">
        <v>15</v>
      </c>
    </row>
    <row r="211" spans="1:2" x14ac:dyDescent="0.25">
      <c r="A211" s="27" t="s">
        <v>256</v>
      </c>
      <c r="B211">
        <v>6</v>
      </c>
    </row>
    <row r="212" spans="1:2" x14ac:dyDescent="0.25">
      <c r="A212" s="27" t="s">
        <v>153</v>
      </c>
      <c r="B212">
        <v>6</v>
      </c>
    </row>
    <row r="213" spans="1:2" x14ac:dyDescent="0.25">
      <c r="A213" s="27" t="s">
        <v>143</v>
      </c>
      <c r="B213">
        <v>5</v>
      </c>
    </row>
    <row r="214" spans="1:2" x14ac:dyDescent="0.25">
      <c r="A214" s="27" t="s">
        <v>166</v>
      </c>
      <c r="B214">
        <v>4</v>
      </c>
    </row>
    <row r="215" spans="1:2" x14ac:dyDescent="0.25">
      <c r="A215" s="27" t="s">
        <v>227</v>
      </c>
      <c r="B215">
        <v>4</v>
      </c>
    </row>
    <row r="216" spans="1:2" x14ac:dyDescent="0.25">
      <c r="A216" s="27" t="s">
        <v>450</v>
      </c>
      <c r="B216">
        <v>2</v>
      </c>
    </row>
    <row r="217" spans="1:2" x14ac:dyDescent="0.25">
      <c r="A217" s="27" t="s">
        <v>642</v>
      </c>
      <c r="B217">
        <v>1</v>
      </c>
    </row>
    <row r="218" spans="1:2" x14ac:dyDescent="0.25">
      <c r="A218" s="27" t="s">
        <v>1595</v>
      </c>
      <c r="B218">
        <v>43</v>
      </c>
    </row>
    <row r="221" spans="1:2" x14ac:dyDescent="0.25">
      <c r="A221" s="206" t="s">
        <v>2</v>
      </c>
      <c r="B221" t="s">
        <v>1607</v>
      </c>
    </row>
    <row r="222" spans="1:2" x14ac:dyDescent="0.25">
      <c r="A222" s="206" t="s">
        <v>19</v>
      </c>
      <c r="B222" t="s">
        <v>160</v>
      </c>
    </row>
    <row r="224" spans="1:2" x14ac:dyDescent="0.25">
      <c r="A224" s="206" t="s">
        <v>1594</v>
      </c>
      <c r="B224" t="s">
        <v>1599</v>
      </c>
    </row>
    <row r="225" spans="1:2" x14ac:dyDescent="0.25">
      <c r="A225" s="27" t="s">
        <v>81</v>
      </c>
      <c r="B225">
        <v>9</v>
      </c>
    </row>
    <row r="226" spans="1:2" x14ac:dyDescent="0.25">
      <c r="A226" s="27" t="s">
        <v>129</v>
      </c>
      <c r="B226">
        <v>6</v>
      </c>
    </row>
    <row r="227" spans="1:2" x14ac:dyDescent="0.25">
      <c r="A227" s="27" t="s">
        <v>62</v>
      </c>
      <c r="B227">
        <v>6</v>
      </c>
    </row>
    <row r="228" spans="1:2" x14ac:dyDescent="0.25">
      <c r="A228" s="27" t="s">
        <v>154</v>
      </c>
      <c r="B228">
        <v>5</v>
      </c>
    </row>
    <row r="229" spans="1:2" x14ac:dyDescent="0.25">
      <c r="A229" s="27" t="s">
        <v>229</v>
      </c>
      <c r="B229">
        <v>4</v>
      </c>
    </row>
    <row r="230" spans="1:2" x14ac:dyDescent="0.25">
      <c r="A230" s="27" t="s">
        <v>293</v>
      </c>
      <c r="B230">
        <v>4</v>
      </c>
    </row>
    <row r="231" spans="1:2" x14ac:dyDescent="0.25">
      <c r="A231" s="27" t="s">
        <v>116</v>
      </c>
      <c r="B231">
        <v>4</v>
      </c>
    </row>
    <row r="232" spans="1:2" x14ac:dyDescent="0.25">
      <c r="A232" s="27" t="s">
        <v>180</v>
      </c>
      <c r="B232">
        <v>3</v>
      </c>
    </row>
    <row r="233" spans="1:2" x14ac:dyDescent="0.25">
      <c r="A233" s="27" t="s">
        <v>101</v>
      </c>
      <c r="B233">
        <v>1</v>
      </c>
    </row>
    <row r="234" spans="1:2" x14ac:dyDescent="0.25">
      <c r="A234" s="27" t="s">
        <v>61</v>
      </c>
      <c r="B234">
        <v>1</v>
      </c>
    </row>
    <row r="235" spans="1:2" x14ac:dyDescent="0.25">
      <c r="A235" s="27" t="s">
        <v>1595</v>
      </c>
      <c r="B235">
        <v>43</v>
      </c>
    </row>
    <row r="238" spans="1:2" x14ac:dyDescent="0.25">
      <c r="A238" s="206" t="s">
        <v>2</v>
      </c>
      <c r="B238" t="s">
        <v>1607</v>
      </c>
    </row>
    <row r="239" spans="1:2" x14ac:dyDescent="0.25">
      <c r="A239" s="206" t="s">
        <v>19</v>
      </c>
      <c r="B239" t="s">
        <v>160</v>
      </c>
    </row>
    <row r="241" spans="1:2" x14ac:dyDescent="0.25">
      <c r="A241" s="206" t="s">
        <v>1594</v>
      </c>
      <c r="B241" t="s">
        <v>1608</v>
      </c>
    </row>
    <row r="242" spans="1:2" x14ac:dyDescent="0.25">
      <c r="A242" s="27" t="s">
        <v>215</v>
      </c>
      <c r="B242">
        <v>8</v>
      </c>
    </row>
    <row r="243" spans="1:2" x14ac:dyDescent="0.25">
      <c r="A243" s="27" t="s">
        <v>578</v>
      </c>
      <c r="B243">
        <v>4</v>
      </c>
    </row>
    <row r="244" spans="1:2" x14ac:dyDescent="0.25">
      <c r="A244" s="27" t="s">
        <v>485</v>
      </c>
      <c r="B244">
        <v>3</v>
      </c>
    </row>
    <row r="245" spans="1:2" x14ac:dyDescent="0.25">
      <c r="A245" s="27" t="s">
        <v>165</v>
      </c>
      <c r="B245">
        <v>1</v>
      </c>
    </row>
    <row r="246" spans="1:2" x14ac:dyDescent="0.25">
      <c r="A246" s="27" t="s">
        <v>958</v>
      </c>
      <c r="B246">
        <v>1</v>
      </c>
    </row>
    <row r="247" spans="1:2" x14ac:dyDescent="0.25">
      <c r="A247" s="27" t="s">
        <v>1595</v>
      </c>
      <c r="B247">
        <v>17</v>
      </c>
    </row>
  </sheetData>
  <pageMargins left="0.7" right="0.7" top="0.75" bottom="0.75" header="0.3" footer="0.3"/>
  <drawing r:id="rId1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B6EA0-56AC-4D6E-8B9D-6E7146802977}">
  <dimension ref="A1:K88"/>
  <sheetViews>
    <sheetView workbookViewId="0">
      <selection activeCell="D14" sqref="D14"/>
    </sheetView>
  </sheetViews>
  <sheetFormatPr baseColWidth="10" defaultColWidth="11.42578125" defaultRowHeight="15" x14ac:dyDescent="0.25"/>
  <cols>
    <col min="1" max="2" width="14.7109375" bestFit="1" customWidth="1"/>
    <col min="3" max="3" width="5.28515625" customWidth="1"/>
    <col min="4" max="5" width="14.7109375" bestFit="1" customWidth="1"/>
    <col min="6" max="6" width="5" customWidth="1"/>
    <col min="7" max="8" width="18" bestFit="1" customWidth="1"/>
    <col min="9" max="9" width="4.140625" customWidth="1"/>
    <col min="10" max="10" width="14.7109375" bestFit="1" customWidth="1"/>
    <col min="11" max="11" width="24.42578125" bestFit="1" customWidth="1"/>
    <col min="12" max="12" width="20.42578125" bestFit="1" customWidth="1"/>
  </cols>
  <sheetData>
    <row r="1" spans="1:11" x14ac:dyDescent="0.25">
      <c r="A1" s="206" t="s">
        <v>16</v>
      </c>
      <c r="B1" t="s">
        <v>88</v>
      </c>
      <c r="G1" s="206" t="s">
        <v>1594</v>
      </c>
      <c r="H1" t="s">
        <v>1599</v>
      </c>
      <c r="J1" s="206" t="s">
        <v>1594</v>
      </c>
      <c r="K1" t="s">
        <v>1599</v>
      </c>
    </row>
    <row r="2" spans="1:11" x14ac:dyDescent="0.25">
      <c r="G2" s="27" t="s">
        <v>44</v>
      </c>
      <c r="H2">
        <v>14</v>
      </c>
      <c r="J2" s="27" t="s">
        <v>1595</v>
      </c>
    </row>
    <row r="3" spans="1:11" x14ac:dyDescent="0.25">
      <c r="A3" s="206" t="s">
        <v>1594</v>
      </c>
      <c r="B3" t="s">
        <v>1609</v>
      </c>
      <c r="G3" s="27" t="s">
        <v>207</v>
      </c>
      <c r="H3">
        <v>11</v>
      </c>
    </row>
    <row r="4" spans="1:11" x14ac:dyDescent="0.25">
      <c r="A4" s="27" t="s">
        <v>91</v>
      </c>
      <c r="B4">
        <v>2</v>
      </c>
      <c r="G4" s="27" t="s">
        <v>306</v>
      </c>
      <c r="H4">
        <v>24</v>
      </c>
    </row>
    <row r="5" spans="1:11" x14ac:dyDescent="0.25">
      <c r="A5" s="27" t="s">
        <v>134</v>
      </c>
      <c r="B5">
        <v>3</v>
      </c>
      <c r="G5" s="27" t="s">
        <v>1595</v>
      </c>
      <c r="H5">
        <v>49</v>
      </c>
    </row>
    <row r="6" spans="1:11" x14ac:dyDescent="0.25">
      <c r="A6" s="27" t="s">
        <v>264</v>
      </c>
      <c r="B6">
        <v>2</v>
      </c>
    </row>
    <row r="7" spans="1:11" x14ac:dyDescent="0.25">
      <c r="A7" s="27" t="s">
        <v>234</v>
      </c>
      <c r="B7">
        <v>2</v>
      </c>
    </row>
    <row r="8" spans="1:11" x14ac:dyDescent="0.25">
      <c r="A8" s="27" t="s">
        <v>173</v>
      </c>
      <c r="B8">
        <v>8</v>
      </c>
      <c r="J8" s="206" t="s">
        <v>16</v>
      </c>
      <c r="K8" t="s">
        <v>88</v>
      </c>
    </row>
    <row r="9" spans="1:11" x14ac:dyDescent="0.25">
      <c r="A9" s="27" t="s">
        <v>160</v>
      </c>
      <c r="B9">
        <v>7</v>
      </c>
    </row>
    <row r="10" spans="1:11" x14ac:dyDescent="0.25">
      <c r="A10" s="27" t="s">
        <v>1595</v>
      </c>
      <c r="B10">
        <v>24</v>
      </c>
      <c r="J10" s="206" t="s">
        <v>1594</v>
      </c>
      <c r="K10" t="s">
        <v>1592</v>
      </c>
    </row>
    <row r="11" spans="1:11" x14ac:dyDescent="0.25">
      <c r="A11" s="206" t="s">
        <v>1594</v>
      </c>
      <c r="B11" t="s">
        <v>1599</v>
      </c>
      <c r="J11" s="27" t="s">
        <v>1541</v>
      </c>
      <c r="K11">
        <v>12</v>
      </c>
    </row>
    <row r="12" spans="1:11" x14ac:dyDescent="0.25">
      <c r="A12" s="27" t="s">
        <v>101</v>
      </c>
      <c r="B12">
        <v>4</v>
      </c>
      <c r="D12" s="206" t="s">
        <v>1594</v>
      </c>
      <c r="E12" t="s">
        <v>1602</v>
      </c>
      <c r="J12" s="27" t="s">
        <v>951</v>
      </c>
      <c r="K12">
        <v>4</v>
      </c>
    </row>
    <row r="13" spans="1:11" x14ac:dyDescent="0.25">
      <c r="A13" s="27" t="s">
        <v>180</v>
      </c>
      <c r="B13">
        <v>6</v>
      </c>
      <c r="D13" s="27" t="s">
        <v>383</v>
      </c>
      <c r="E13">
        <v>3</v>
      </c>
      <c r="G13" s="206" t="s">
        <v>1594</v>
      </c>
      <c r="H13" t="s">
        <v>1599</v>
      </c>
      <c r="J13" s="27" t="s">
        <v>1540</v>
      </c>
      <c r="K13">
        <v>8</v>
      </c>
    </row>
    <row r="14" spans="1:11" x14ac:dyDescent="0.25">
      <c r="A14" s="27" t="s">
        <v>81</v>
      </c>
      <c r="B14">
        <v>19</v>
      </c>
      <c r="D14" s="27" t="s">
        <v>700</v>
      </c>
      <c r="E14">
        <v>1</v>
      </c>
      <c r="G14" s="27" t="s">
        <v>71</v>
      </c>
      <c r="H14">
        <v>46</v>
      </c>
      <c r="J14" s="27" t="s">
        <v>1595</v>
      </c>
      <c r="K14">
        <v>24</v>
      </c>
    </row>
    <row r="15" spans="1:11" x14ac:dyDescent="0.25">
      <c r="A15" s="27" t="s">
        <v>293</v>
      </c>
      <c r="B15">
        <v>7</v>
      </c>
      <c r="D15" s="27" t="s">
        <v>216</v>
      </c>
      <c r="E15">
        <v>5</v>
      </c>
      <c r="G15" s="27" t="s">
        <v>48</v>
      </c>
      <c r="H15">
        <v>70</v>
      </c>
    </row>
    <row r="16" spans="1:11" x14ac:dyDescent="0.25">
      <c r="A16" s="27" t="s">
        <v>116</v>
      </c>
      <c r="B16">
        <v>5</v>
      </c>
      <c r="D16" s="27" t="s">
        <v>475</v>
      </c>
      <c r="E16">
        <v>6</v>
      </c>
      <c r="G16" s="27" t="s">
        <v>1595</v>
      </c>
      <c r="H16">
        <v>116</v>
      </c>
    </row>
    <row r="17" spans="1:11" x14ac:dyDescent="0.25">
      <c r="A17" s="27" t="s">
        <v>329</v>
      </c>
      <c r="B17">
        <v>1</v>
      </c>
      <c r="D17" s="27" t="s">
        <v>425</v>
      </c>
      <c r="E17">
        <v>1</v>
      </c>
      <c r="J17" s="206" t="s">
        <v>40</v>
      </c>
      <c r="K17" t="s">
        <v>65</v>
      </c>
    </row>
    <row r="18" spans="1:11" x14ac:dyDescent="0.25">
      <c r="A18" s="27" t="s">
        <v>154</v>
      </c>
      <c r="B18">
        <v>14</v>
      </c>
      <c r="D18" s="27" t="s">
        <v>271</v>
      </c>
      <c r="E18">
        <v>7</v>
      </c>
      <c r="J18" s="206" t="s">
        <v>16</v>
      </c>
      <c r="K18" t="s">
        <v>51</v>
      </c>
    </row>
    <row r="19" spans="1:11" x14ac:dyDescent="0.25">
      <c r="A19" s="27" t="s">
        <v>129</v>
      </c>
      <c r="B19">
        <v>26</v>
      </c>
      <c r="D19" s="27" t="s">
        <v>115</v>
      </c>
      <c r="E19">
        <v>15</v>
      </c>
      <c r="G19" s="206" t="s">
        <v>1594</v>
      </c>
      <c r="H19" t="s">
        <v>1599</v>
      </c>
    </row>
    <row r="20" spans="1:11" x14ac:dyDescent="0.25">
      <c r="A20" s="27" t="s">
        <v>384</v>
      </c>
      <c r="B20">
        <v>2</v>
      </c>
      <c r="D20" s="27" t="s">
        <v>99</v>
      </c>
      <c r="E20">
        <v>8</v>
      </c>
      <c r="G20" s="27" t="s">
        <v>64</v>
      </c>
      <c r="H20">
        <v>81</v>
      </c>
      <c r="J20" s="206" t="s">
        <v>1594</v>
      </c>
      <c r="K20" t="s">
        <v>1592</v>
      </c>
    </row>
    <row r="21" spans="1:11" x14ac:dyDescent="0.25">
      <c r="A21" s="27" t="s">
        <v>229</v>
      </c>
      <c r="B21">
        <v>15</v>
      </c>
      <c r="D21" s="27" t="s">
        <v>226</v>
      </c>
      <c r="E21">
        <v>13</v>
      </c>
      <c r="G21" s="27" t="s">
        <v>118</v>
      </c>
      <c r="H21">
        <v>35</v>
      </c>
      <c r="J21" s="27" t="s">
        <v>1541</v>
      </c>
      <c r="K21">
        <v>3</v>
      </c>
    </row>
    <row r="22" spans="1:11" x14ac:dyDescent="0.25">
      <c r="A22" s="27" t="s">
        <v>62</v>
      </c>
      <c r="B22">
        <v>8</v>
      </c>
      <c r="D22" s="27" t="s">
        <v>59</v>
      </c>
      <c r="E22">
        <v>18</v>
      </c>
      <c r="G22" s="27" t="s">
        <v>1595</v>
      </c>
      <c r="H22">
        <v>116</v>
      </c>
      <c r="J22" s="27" t="s">
        <v>951</v>
      </c>
      <c r="K22">
        <v>2</v>
      </c>
    </row>
    <row r="23" spans="1:11" x14ac:dyDescent="0.25">
      <c r="A23" s="27" t="s">
        <v>1595</v>
      </c>
      <c r="B23">
        <v>107</v>
      </c>
      <c r="D23" s="27" t="s">
        <v>277</v>
      </c>
      <c r="E23">
        <v>1</v>
      </c>
      <c r="J23" s="27" t="s">
        <v>1540</v>
      </c>
      <c r="K23">
        <v>9</v>
      </c>
    </row>
    <row r="24" spans="1:11" x14ac:dyDescent="0.25">
      <c r="D24" s="27" t="s">
        <v>301</v>
      </c>
      <c r="E24">
        <v>9</v>
      </c>
      <c r="J24" s="27" t="s">
        <v>1595</v>
      </c>
      <c r="K24">
        <v>14</v>
      </c>
    </row>
    <row r="25" spans="1:11" x14ac:dyDescent="0.25">
      <c r="D25" s="27" t="s">
        <v>142</v>
      </c>
      <c r="E25">
        <v>7</v>
      </c>
    </row>
    <row r="26" spans="1:11" x14ac:dyDescent="0.25">
      <c r="A26" s="206" t="s">
        <v>1594</v>
      </c>
      <c r="B26" t="s">
        <v>1609</v>
      </c>
      <c r="D26" s="27" t="s">
        <v>1595</v>
      </c>
      <c r="E26">
        <v>94</v>
      </c>
      <c r="G26" s="206" t="s">
        <v>1594</v>
      </c>
      <c r="H26" t="s">
        <v>1599</v>
      </c>
    </row>
    <row r="27" spans="1:11" x14ac:dyDescent="0.25">
      <c r="A27" s="27" t="s">
        <v>137</v>
      </c>
      <c r="B27">
        <v>14</v>
      </c>
      <c r="G27" s="27" t="s">
        <v>54</v>
      </c>
      <c r="H27">
        <v>61</v>
      </c>
    </row>
    <row r="28" spans="1:11" x14ac:dyDescent="0.25">
      <c r="A28" s="27" t="s">
        <v>125</v>
      </c>
      <c r="B28">
        <v>23</v>
      </c>
      <c r="G28" s="27" t="s">
        <v>176</v>
      </c>
      <c r="H28">
        <v>16</v>
      </c>
    </row>
    <row r="29" spans="1:11" x14ac:dyDescent="0.25">
      <c r="A29" s="27" t="s">
        <v>76</v>
      </c>
      <c r="B29">
        <v>15</v>
      </c>
      <c r="G29" s="27" t="s">
        <v>151</v>
      </c>
      <c r="H29">
        <v>38</v>
      </c>
    </row>
    <row r="30" spans="1:11" x14ac:dyDescent="0.25">
      <c r="A30" s="27" t="s">
        <v>111</v>
      </c>
      <c r="B30">
        <v>22</v>
      </c>
      <c r="G30" s="27" t="s">
        <v>1595</v>
      </c>
      <c r="H30">
        <v>115</v>
      </c>
    </row>
    <row r="31" spans="1:11" x14ac:dyDescent="0.25">
      <c r="A31" s="27" t="s">
        <v>95</v>
      </c>
      <c r="B31">
        <v>15</v>
      </c>
      <c r="D31" s="206" t="s">
        <v>1594</v>
      </c>
      <c r="E31" t="s">
        <v>1609</v>
      </c>
    </row>
    <row r="32" spans="1:11" x14ac:dyDescent="0.25">
      <c r="A32" s="27" t="s">
        <v>1595</v>
      </c>
      <c r="B32">
        <v>89</v>
      </c>
      <c r="D32" s="27" t="s">
        <v>88</v>
      </c>
      <c r="E32">
        <v>24</v>
      </c>
    </row>
    <row r="33" spans="1:8" x14ac:dyDescent="0.25">
      <c r="D33" s="27" t="s">
        <v>51</v>
      </c>
      <c r="E33">
        <v>92</v>
      </c>
      <c r="G33" s="206" t="s">
        <v>16</v>
      </c>
      <c r="H33" t="s">
        <v>88</v>
      </c>
    </row>
    <row r="34" spans="1:8" x14ac:dyDescent="0.25">
      <c r="D34" s="27" t="s">
        <v>1595</v>
      </c>
      <c r="E34">
        <v>116</v>
      </c>
    </row>
    <row r="35" spans="1:8" x14ac:dyDescent="0.25">
      <c r="A35" s="206" t="s">
        <v>1594</v>
      </c>
      <c r="B35" t="s">
        <v>1609</v>
      </c>
      <c r="G35" s="206" t="s">
        <v>1594</v>
      </c>
      <c r="H35" t="s">
        <v>1599</v>
      </c>
    </row>
    <row r="36" spans="1:8" x14ac:dyDescent="0.25">
      <c r="A36" s="27" t="s">
        <v>1541</v>
      </c>
      <c r="B36">
        <v>43</v>
      </c>
      <c r="G36" s="27" t="s">
        <v>44</v>
      </c>
      <c r="H36">
        <v>6</v>
      </c>
    </row>
    <row r="37" spans="1:8" x14ac:dyDescent="0.25">
      <c r="A37" s="27" t="s">
        <v>951</v>
      </c>
      <c r="B37">
        <v>18</v>
      </c>
      <c r="G37" s="27" t="s">
        <v>207</v>
      </c>
      <c r="H37">
        <v>1</v>
      </c>
    </row>
    <row r="38" spans="1:8" x14ac:dyDescent="0.25">
      <c r="A38" s="27" t="s">
        <v>1540</v>
      </c>
      <c r="B38">
        <v>56</v>
      </c>
      <c r="D38" s="206" t="s">
        <v>1594</v>
      </c>
      <c r="E38" t="s">
        <v>1609</v>
      </c>
      <c r="G38" s="27" t="s">
        <v>306</v>
      </c>
      <c r="H38">
        <v>3</v>
      </c>
    </row>
    <row r="39" spans="1:8" x14ac:dyDescent="0.25">
      <c r="A39" s="27" t="s">
        <v>1595</v>
      </c>
      <c r="B39">
        <v>117</v>
      </c>
      <c r="D39" s="27" t="s">
        <v>91</v>
      </c>
      <c r="E39">
        <v>15</v>
      </c>
      <c r="G39" s="27" t="s">
        <v>1595</v>
      </c>
      <c r="H39">
        <v>10</v>
      </c>
    </row>
    <row r="40" spans="1:8" x14ac:dyDescent="0.25">
      <c r="D40" s="27" t="s">
        <v>134</v>
      </c>
      <c r="E40">
        <v>10</v>
      </c>
    </row>
    <row r="41" spans="1:8" x14ac:dyDescent="0.25">
      <c r="D41" s="27" t="s">
        <v>73</v>
      </c>
      <c r="E41">
        <v>17</v>
      </c>
    </row>
    <row r="42" spans="1:8" x14ac:dyDescent="0.25">
      <c r="A42" s="206" t="s">
        <v>1594</v>
      </c>
      <c r="B42" t="s">
        <v>1609</v>
      </c>
      <c r="D42" s="27" t="s">
        <v>264</v>
      </c>
      <c r="E42">
        <v>7</v>
      </c>
    </row>
    <row r="43" spans="1:8" x14ac:dyDescent="0.25">
      <c r="A43" s="27" t="s">
        <v>66</v>
      </c>
      <c r="B43">
        <v>7</v>
      </c>
      <c r="D43" s="27" t="s">
        <v>234</v>
      </c>
      <c r="E43">
        <v>9</v>
      </c>
    </row>
    <row r="44" spans="1:8" x14ac:dyDescent="0.25">
      <c r="A44" s="27" t="s">
        <v>65</v>
      </c>
      <c r="B44">
        <v>110</v>
      </c>
      <c r="D44" s="27" t="s">
        <v>173</v>
      </c>
      <c r="E44">
        <v>20</v>
      </c>
      <c r="G44" s="206" t="s">
        <v>1594</v>
      </c>
      <c r="H44" t="s">
        <v>1610</v>
      </c>
    </row>
    <row r="45" spans="1:8" x14ac:dyDescent="0.25">
      <c r="A45" s="27" t="s">
        <v>1595</v>
      </c>
      <c r="B45">
        <v>117</v>
      </c>
      <c r="D45" s="27" t="s">
        <v>288</v>
      </c>
      <c r="E45">
        <v>3</v>
      </c>
      <c r="G45" s="27" t="s">
        <v>91</v>
      </c>
      <c r="H45">
        <v>15</v>
      </c>
    </row>
    <row r="46" spans="1:8" x14ac:dyDescent="0.25">
      <c r="D46" s="27" t="s">
        <v>160</v>
      </c>
      <c r="E46">
        <v>35</v>
      </c>
      <c r="G46" s="27" t="s">
        <v>134</v>
      </c>
      <c r="H46">
        <v>10</v>
      </c>
    </row>
    <row r="47" spans="1:8" x14ac:dyDescent="0.25">
      <c r="D47" s="27" t="s">
        <v>1595</v>
      </c>
      <c r="E47">
        <v>116</v>
      </c>
      <c r="G47" s="27" t="s">
        <v>73</v>
      </c>
      <c r="H47">
        <v>17</v>
      </c>
    </row>
    <row r="48" spans="1:8" x14ac:dyDescent="0.25">
      <c r="G48" s="27" t="s">
        <v>264</v>
      </c>
      <c r="H48">
        <v>7</v>
      </c>
    </row>
    <row r="49" spans="1:8" x14ac:dyDescent="0.25">
      <c r="G49" s="27" t="s">
        <v>234</v>
      </c>
      <c r="H49">
        <v>9</v>
      </c>
    </row>
    <row r="50" spans="1:8" x14ac:dyDescent="0.25">
      <c r="G50" s="27" t="s">
        <v>173</v>
      </c>
      <c r="H50">
        <v>20</v>
      </c>
    </row>
    <row r="51" spans="1:8" x14ac:dyDescent="0.25">
      <c r="A51" s="206" t="s">
        <v>1594</v>
      </c>
      <c r="B51" t="s">
        <v>1599</v>
      </c>
      <c r="G51" s="27" t="s">
        <v>288</v>
      </c>
      <c r="H51">
        <v>3</v>
      </c>
    </row>
    <row r="52" spans="1:8" x14ac:dyDescent="0.25">
      <c r="A52" s="27" t="s">
        <v>60</v>
      </c>
      <c r="B52">
        <v>37</v>
      </c>
      <c r="G52" s="27" t="s">
        <v>160</v>
      </c>
      <c r="H52">
        <v>35</v>
      </c>
    </row>
    <row r="53" spans="1:8" x14ac:dyDescent="0.25">
      <c r="A53" s="207" t="s">
        <v>101</v>
      </c>
      <c r="B53">
        <v>4</v>
      </c>
      <c r="G53" s="27" t="s">
        <v>1595</v>
      </c>
      <c r="H53">
        <v>116</v>
      </c>
    </row>
    <row r="54" spans="1:8" x14ac:dyDescent="0.25">
      <c r="A54" s="207" t="s">
        <v>81</v>
      </c>
      <c r="B54">
        <v>3</v>
      </c>
    </row>
    <row r="55" spans="1:8" x14ac:dyDescent="0.25">
      <c r="A55" s="207" t="s">
        <v>293</v>
      </c>
      <c r="B55">
        <v>5</v>
      </c>
    </row>
    <row r="56" spans="1:8" x14ac:dyDescent="0.25">
      <c r="A56" s="207" t="s">
        <v>116</v>
      </c>
      <c r="B56">
        <v>4</v>
      </c>
    </row>
    <row r="57" spans="1:8" x14ac:dyDescent="0.25">
      <c r="A57" s="207" t="s">
        <v>154</v>
      </c>
      <c r="B57">
        <v>6</v>
      </c>
    </row>
    <row r="58" spans="1:8" x14ac:dyDescent="0.25">
      <c r="A58" s="207" t="s">
        <v>129</v>
      </c>
      <c r="B58">
        <v>10</v>
      </c>
    </row>
    <row r="59" spans="1:8" x14ac:dyDescent="0.25">
      <c r="A59" s="207" t="s">
        <v>62</v>
      </c>
      <c r="B59">
        <v>3</v>
      </c>
    </row>
    <row r="60" spans="1:8" x14ac:dyDescent="0.25">
      <c r="A60" s="207" t="s">
        <v>413</v>
      </c>
      <c r="B60">
        <v>1</v>
      </c>
    </row>
    <row r="61" spans="1:8" x14ac:dyDescent="0.25">
      <c r="A61" s="207" t="s">
        <v>61</v>
      </c>
      <c r="B61">
        <v>1</v>
      </c>
    </row>
    <row r="62" spans="1:8" x14ac:dyDescent="0.25">
      <c r="A62" s="27" t="s">
        <v>227</v>
      </c>
      <c r="B62">
        <v>17</v>
      </c>
    </row>
    <row r="63" spans="1:8" x14ac:dyDescent="0.25">
      <c r="A63" s="27" t="s">
        <v>153</v>
      </c>
      <c r="B63">
        <v>15</v>
      </c>
    </row>
    <row r="64" spans="1:8" x14ac:dyDescent="0.25">
      <c r="A64" s="27" t="s">
        <v>166</v>
      </c>
      <c r="B64">
        <v>13</v>
      </c>
    </row>
    <row r="65" spans="1:2" x14ac:dyDescent="0.25">
      <c r="A65" s="27" t="s">
        <v>127</v>
      </c>
      <c r="B65">
        <v>2</v>
      </c>
    </row>
    <row r="66" spans="1:2" x14ac:dyDescent="0.25">
      <c r="A66" s="27" t="s">
        <v>695</v>
      </c>
      <c r="B66">
        <v>1</v>
      </c>
    </row>
    <row r="67" spans="1:2" x14ac:dyDescent="0.25">
      <c r="A67" s="27" t="s">
        <v>450</v>
      </c>
      <c r="B67">
        <v>8</v>
      </c>
    </row>
    <row r="68" spans="1:2" x14ac:dyDescent="0.25">
      <c r="A68" s="27" t="s">
        <v>143</v>
      </c>
      <c r="B68">
        <v>12</v>
      </c>
    </row>
    <row r="69" spans="1:2" x14ac:dyDescent="0.25">
      <c r="A69" s="207" t="s">
        <v>180</v>
      </c>
      <c r="B69">
        <v>2</v>
      </c>
    </row>
    <row r="70" spans="1:2" x14ac:dyDescent="0.25">
      <c r="A70" s="207" t="s">
        <v>81</v>
      </c>
      <c r="B70">
        <v>6</v>
      </c>
    </row>
    <row r="71" spans="1:2" x14ac:dyDescent="0.25">
      <c r="A71" s="207" t="s">
        <v>154</v>
      </c>
      <c r="B71">
        <v>1</v>
      </c>
    </row>
    <row r="72" spans="1:2" x14ac:dyDescent="0.25">
      <c r="A72" s="207" t="s">
        <v>129</v>
      </c>
      <c r="B72">
        <v>2</v>
      </c>
    </row>
    <row r="73" spans="1:2" x14ac:dyDescent="0.25">
      <c r="A73" s="207" t="s">
        <v>413</v>
      </c>
      <c r="B73">
        <v>1</v>
      </c>
    </row>
    <row r="74" spans="1:2" x14ac:dyDescent="0.25">
      <c r="A74" s="27" t="s">
        <v>1395</v>
      </c>
      <c r="B74">
        <v>2</v>
      </c>
    </row>
    <row r="75" spans="1:2" x14ac:dyDescent="0.25">
      <c r="A75" s="207" t="s">
        <v>154</v>
      </c>
      <c r="B75">
        <v>1</v>
      </c>
    </row>
    <row r="76" spans="1:2" x14ac:dyDescent="0.25">
      <c r="A76" s="207" t="s">
        <v>303</v>
      </c>
      <c r="B76">
        <v>1</v>
      </c>
    </row>
    <row r="77" spans="1:2" x14ac:dyDescent="0.25">
      <c r="A77" s="27" t="s">
        <v>256</v>
      </c>
      <c r="B77">
        <v>9</v>
      </c>
    </row>
    <row r="78" spans="1:2" x14ac:dyDescent="0.25">
      <c r="A78" s="207" t="s">
        <v>180</v>
      </c>
      <c r="B78">
        <v>1</v>
      </c>
    </row>
    <row r="79" spans="1:2" x14ac:dyDescent="0.25">
      <c r="A79" s="207" t="s">
        <v>81</v>
      </c>
      <c r="B79">
        <v>1</v>
      </c>
    </row>
    <row r="80" spans="1:2" x14ac:dyDescent="0.25">
      <c r="A80" s="207" t="s">
        <v>329</v>
      </c>
      <c r="B80">
        <v>1</v>
      </c>
    </row>
    <row r="81" spans="1:2" x14ac:dyDescent="0.25">
      <c r="A81" s="207" t="s">
        <v>129</v>
      </c>
      <c r="B81">
        <v>1</v>
      </c>
    </row>
    <row r="82" spans="1:2" x14ac:dyDescent="0.25">
      <c r="A82" s="207" t="s">
        <v>62</v>
      </c>
      <c r="B82">
        <v>4</v>
      </c>
    </row>
    <row r="83" spans="1:2" x14ac:dyDescent="0.25">
      <c r="A83" s="207" t="s">
        <v>61</v>
      </c>
      <c r="B83">
        <v>1</v>
      </c>
    </row>
    <row r="84" spans="1:2" x14ac:dyDescent="0.25">
      <c r="A84" s="27" t="s">
        <v>642</v>
      </c>
      <c r="B84">
        <v>1</v>
      </c>
    </row>
    <row r="85" spans="1:2" x14ac:dyDescent="0.25">
      <c r="A85" s="207" t="s">
        <v>129</v>
      </c>
      <c r="B85">
        <v>1</v>
      </c>
    </row>
    <row r="86" spans="1:2" x14ac:dyDescent="0.25">
      <c r="A86" s="27" t="s">
        <v>1604</v>
      </c>
    </row>
    <row r="87" spans="1:2" x14ac:dyDescent="0.25">
      <c r="A87" s="207" t="s">
        <v>1604</v>
      </c>
    </row>
    <row r="88" spans="1:2" x14ac:dyDescent="0.25">
      <c r="A88" s="27" t="s">
        <v>1595</v>
      </c>
      <c r="B88">
        <v>117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B06F6-D731-4D8E-92FE-EC53950F7AB8}">
  <dimension ref="A1:B6"/>
  <sheetViews>
    <sheetView workbookViewId="0">
      <selection activeCell="A5" sqref="A5"/>
    </sheetView>
  </sheetViews>
  <sheetFormatPr baseColWidth="10" defaultColWidth="11.42578125" defaultRowHeight="15" x14ac:dyDescent="0.25"/>
  <cols>
    <col min="1" max="1" width="16.7109375" bestFit="1" customWidth="1"/>
    <col min="2" max="2" width="14.7109375" bestFit="1" customWidth="1"/>
    <col min="3" max="3" width="20.42578125" bestFit="1" customWidth="1"/>
  </cols>
  <sheetData>
    <row r="1" spans="1:2" x14ac:dyDescent="0.25">
      <c r="A1" s="206" t="s">
        <v>40</v>
      </c>
      <c r="B1" t="s">
        <v>65</v>
      </c>
    </row>
    <row r="3" spans="1:2" x14ac:dyDescent="0.25">
      <c r="A3" s="206" t="s">
        <v>1594</v>
      </c>
      <c r="B3" t="s">
        <v>1609</v>
      </c>
    </row>
    <row r="4" spans="1:2" x14ac:dyDescent="0.25">
      <c r="A4" s="27" t="s">
        <v>88</v>
      </c>
      <c r="B4">
        <v>24</v>
      </c>
    </row>
    <row r="5" spans="1:2" x14ac:dyDescent="0.25">
      <c r="A5" s="27" t="s">
        <v>51</v>
      </c>
      <c r="B5">
        <v>14</v>
      </c>
    </row>
    <row r="6" spans="1:2" x14ac:dyDescent="0.25">
      <c r="A6" s="27" t="s">
        <v>1595</v>
      </c>
      <c r="B6">
        <v>38</v>
      </c>
    </row>
  </sheetData>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FC64-FB17-4FE5-B030-37985825769F}">
  <dimension ref="C3:K20"/>
  <sheetViews>
    <sheetView topLeftCell="B1" workbookViewId="0">
      <selection activeCell="K14" sqref="K14"/>
    </sheetView>
  </sheetViews>
  <sheetFormatPr baseColWidth="10" defaultColWidth="10.7109375" defaultRowHeight="15" x14ac:dyDescent="0.25"/>
  <cols>
    <col min="3" max="3" width="23.140625" bestFit="1" customWidth="1"/>
  </cols>
  <sheetData>
    <row r="3" spans="3:11" x14ac:dyDescent="0.25">
      <c r="C3" s="326" t="s">
        <v>19</v>
      </c>
      <c r="D3" s="326" t="s">
        <v>1515</v>
      </c>
      <c r="E3" s="326" t="s">
        <v>1517</v>
      </c>
      <c r="F3" s="326" t="s">
        <v>1520</v>
      </c>
      <c r="G3" s="326" t="s">
        <v>1523</v>
      </c>
      <c r="H3" s="326" t="s">
        <v>1525</v>
      </c>
      <c r="I3" s="326" t="s">
        <v>1528</v>
      </c>
      <c r="J3" s="326" t="s">
        <v>1530</v>
      </c>
      <c r="K3" s="326" t="s">
        <v>1533</v>
      </c>
    </row>
    <row r="4" spans="3:11" x14ac:dyDescent="0.25">
      <c r="C4" s="327" t="s">
        <v>1611</v>
      </c>
      <c r="D4" s="328">
        <v>4</v>
      </c>
      <c r="E4" s="328">
        <v>1</v>
      </c>
      <c r="F4" s="329">
        <v>5</v>
      </c>
      <c r="G4" s="329">
        <v>3</v>
      </c>
      <c r="H4" s="329">
        <v>5</v>
      </c>
      <c r="I4" s="330">
        <v>2</v>
      </c>
      <c r="J4" s="330">
        <v>4</v>
      </c>
      <c r="K4" s="330">
        <v>2</v>
      </c>
    </row>
    <row r="5" spans="3:11" x14ac:dyDescent="0.25">
      <c r="C5" s="327" t="s">
        <v>1503</v>
      </c>
      <c r="D5" s="328">
        <v>2</v>
      </c>
      <c r="E5" s="328">
        <v>4</v>
      </c>
      <c r="F5" s="329">
        <v>7</v>
      </c>
      <c r="G5" s="329">
        <v>9</v>
      </c>
      <c r="H5" s="329">
        <v>10</v>
      </c>
      <c r="I5" s="330">
        <v>3</v>
      </c>
      <c r="J5" s="330">
        <v>4</v>
      </c>
      <c r="K5" s="330">
        <v>9</v>
      </c>
    </row>
    <row r="6" spans="3:11" x14ac:dyDescent="0.25">
      <c r="C6" s="327" t="s">
        <v>1505</v>
      </c>
      <c r="D6" s="328">
        <v>2</v>
      </c>
      <c r="E6" s="328">
        <v>0</v>
      </c>
      <c r="F6" s="329">
        <v>1</v>
      </c>
      <c r="G6" s="329">
        <v>3</v>
      </c>
      <c r="H6" s="329">
        <v>1</v>
      </c>
      <c r="I6" s="330">
        <v>3</v>
      </c>
      <c r="J6" s="330">
        <v>1</v>
      </c>
      <c r="K6" s="330">
        <v>3</v>
      </c>
    </row>
    <row r="7" spans="3:11" x14ac:dyDescent="0.25">
      <c r="C7" s="327" t="s">
        <v>1016</v>
      </c>
      <c r="D7" s="328">
        <v>0</v>
      </c>
      <c r="E7" s="328">
        <v>1</v>
      </c>
      <c r="F7" s="329">
        <v>4</v>
      </c>
      <c r="G7" s="329">
        <v>1</v>
      </c>
      <c r="H7" s="329">
        <v>1</v>
      </c>
      <c r="I7" s="330">
        <v>0</v>
      </c>
      <c r="J7" s="330">
        <v>1</v>
      </c>
      <c r="K7" s="330">
        <v>5</v>
      </c>
    </row>
    <row r="8" spans="3:11" x14ac:dyDescent="0.25">
      <c r="C8" s="331" t="s">
        <v>201</v>
      </c>
      <c r="D8" s="328">
        <v>2</v>
      </c>
      <c r="E8" s="328">
        <v>1</v>
      </c>
      <c r="F8" s="329">
        <v>3</v>
      </c>
      <c r="G8" s="329">
        <v>0</v>
      </c>
      <c r="H8" s="329">
        <v>5</v>
      </c>
      <c r="I8" s="330">
        <v>4</v>
      </c>
      <c r="J8" s="330">
        <v>1</v>
      </c>
      <c r="K8" s="330">
        <v>2</v>
      </c>
    </row>
    <row r="9" spans="3:11" x14ac:dyDescent="0.25">
      <c r="C9" s="327" t="s">
        <v>1612</v>
      </c>
      <c r="D9" s="328">
        <v>1</v>
      </c>
      <c r="E9" s="328">
        <v>3</v>
      </c>
      <c r="F9" s="329">
        <v>0</v>
      </c>
      <c r="G9" s="329">
        <v>1</v>
      </c>
      <c r="H9" s="329">
        <v>2</v>
      </c>
      <c r="I9" s="330">
        <v>2</v>
      </c>
      <c r="J9" s="330">
        <v>4</v>
      </c>
      <c r="K9" s="330">
        <v>4</v>
      </c>
    </row>
    <row r="10" spans="3:11" x14ac:dyDescent="0.25">
      <c r="C10" s="327" t="s">
        <v>73</v>
      </c>
      <c r="D10" s="328">
        <v>1</v>
      </c>
      <c r="E10" s="328">
        <v>0</v>
      </c>
      <c r="F10" s="329">
        <v>4</v>
      </c>
      <c r="G10" s="329">
        <v>6</v>
      </c>
      <c r="H10" s="329">
        <v>4</v>
      </c>
      <c r="I10" s="330">
        <v>3</v>
      </c>
      <c r="J10" s="330">
        <v>2</v>
      </c>
      <c r="K10" s="330">
        <v>5</v>
      </c>
    </row>
    <row r="11" spans="3:11" x14ac:dyDescent="0.25">
      <c r="C11" s="327" t="s">
        <v>1506</v>
      </c>
      <c r="D11" s="328">
        <v>0</v>
      </c>
      <c r="E11" s="328">
        <v>1</v>
      </c>
      <c r="F11" s="329">
        <v>0</v>
      </c>
      <c r="G11" s="329">
        <v>0</v>
      </c>
      <c r="H11" s="329">
        <v>2</v>
      </c>
      <c r="I11" s="330">
        <v>0</v>
      </c>
      <c r="J11" s="330">
        <v>0</v>
      </c>
      <c r="K11" s="330">
        <v>0</v>
      </c>
    </row>
    <row r="12" spans="3:11" x14ac:dyDescent="0.25">
      <c r="C12" s="327" t="s">
        <v>52</v>
      </c>
      <c r="D12" s="328">
        <v>1</v>
      </c>
      <c r="E12" s="328">
        <v>0</v>
      </c>
      <c r="F12" s="329">
        <v>0</v>
      </c>
      <c r="G12" s="329">
        <v>0</v>
      </c>
      <c r="H12" s="329">
        <v>0</v>
      </c>
      <c r="I12" s="330">
        <v>0</v>
      </c>
      <c r="J12" s="330">
        <v>0</v>
      </c>
      <c r="K12" s="330">
        <v>0</v>
      </c>
    </row>
    <row r="13" spans="3:11" x14ac:dyDescent="0.25">
      <c r="C13" s="332" t="s">
        <v>1613</v>
      </c>
      <c r="D13" s="333">
        <f>SUM(D4:D12)</f>
        <v>13</v>
      </c>
      <c r="E13" s="333">
        <f t="shared" ref="E13:J13" si="0">SUM(E4:E12)</f>
        <v>11</v>
      </c>
      <c r="F13" s="333">
        <f t="shared" si="0"/>
        <v>24</v>
      </c>
      <c r="G13" s="333">
        <f t="shared" si="0"/>
        <v>23</v>
      </c>
      <c r="H13" s="333">
        <f t="shared" si="0"/>
        <v>30</v>
      </c>
      <c r="I13" s="333">
        <f t="shared" si="0"/>
        <v>17</v>
      </c>
      <c r="J13" s="333">
        <f t="shared" si="0"/>
        <v>17</v>
      </c>
      <c r="K13" s="333">
        <f>SUM(K4:K12)+1</f>
        <v>31</v>
      </c>
    </row>
    <row r="20" spans="11:11" x14ac:dyDescent="0.25">
      <c r="K20" s="3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234B4-E47C-48E1-A07F-6AA5F6103D3D}">
  <dimension ref="A1:B41"/>
  <sheetViews>
    <sheetView workbookViewId="0">
      <selection activeCell="B5" sqref="B5"/>
    </sheetView>
  </sheetViews>
  <sheetFormatPr baseColWidth="10" defaultColWidth="9.140625" defaultRowHeight="15" x14ac:dyDescent="0.25"/>
  <cols>
    <col min="1" max="1" width="18.7109375" bestFit="1" customWidth="1"/>
    <col min="2" max="2" width="26" bestFit="1" customWidth="1"/>
    <col min="3" max="3" width="8" customWidth="1"/>
    <col min="4" max="4" width="13.5703125" bestFit="1" customWidth="1"/>
    <col min="5" max="5" width="18" bestFit="1" customWidth="1"/>
    <col min="6" max="6" width="17.140625" bestFit="1" customWidth="1"/>
    <col min="7" max="7" width="10" bestFit="1" customWidth="1"/>
    <col min="8" max="8" width="23.140625" bestFit="1" customWidth="1"/>
    <col min="9" max="9" width="13.7109375" bestFit="1" customWidth="1"/>
    <col min="10" max="10" width="31.5703125" bestFit="1" customWidth="1"/>
    <col min="11" max="11" width="23.42578125" bestFit="1" customWidth="1"/>
    <col min="12" max="12" width="12.85546875" bestFit="1" customWidth="1"/>
    <col min="13" max="13" width="19.140625" bestFit="1" customWidth="1"/>
    <col min="14" max="14" width="13.5703125" bestFit="1" customWidth="1"/>
    <col min="15" max="15" width="12.42578125" bestFit="1" customWidth="1"/>
    <col min="16" max="16" width="18" bestFit="1" customWidth="1"/>
    <col min="17" max="17" width="32.5703125" bestFit="1" customWidth="1"/>
    <col min="18" max="18" width="19.140625" bestFit="1" customWidth="1"/>
    <col min="19" max="19" width="11.5703125" bestFit="1" customWidth="1"/>
    <col min="20" max="20" width="20.85546875" bestFit="1" customWidth="1"/>
    <col min="21" max="21" width="21.5703125" bestFit="1" customWidth="1"/>
    <col min="22" max="22" width="12.5703125" bestFit="1" customWidth="1"/>
    <col min="23" max="23" width="18.42578125" bestFit="1" customWidth="1"/>
    <col min="24" max="24" width="7.42578125" bestFit="1" customWidth="1"/>
    <col min="25" max="25" width="4.140625" bestFit="1" customWidth="1"/>
    <col min="26" max="26" width="5.7109375" bestFit="1" customWidth="1"/>
    <col min="27" max="27" width="5.28515625" bestFit="1" customWidth="1"/>
    <col min="28" max="28" width="7.28515625" bestFit="1" customWidth="1"/>
    <col min="29" max="29" width="11.42578125" bestFit="1" customWidth="1"/>
    <col min="30" max="30" width="12" bestFit="1" customWidth="1"/>
    <col min="31" max="31" width="17.140625" bestFit="1" customWidth="1"/>
    <col min="32" max="32" width="11.7109375" bestFit="1" customWidth="1"/>
    <col min="33" max="33" width="10" bestFit="1" customWidth="1"/>
    <col min="34" max="34" width="23.140625" bestFit="1" customWidth="1"/>
    <col min="35" max="35" width="12.42578125" bestFit="1" customWidth="1"/>
    <col min="36" max="36" width="13.7109375" bestFit="1" customWidth="1"/>
    <col min="37" max="37" width="19" bestFit="1" customWidth="1"/>
    <col min="38" max="38" width="31.5703125" bestFit="1" customWidth="1"/>
    <col min="39" max="39" width="17.140625" bestFit="1" customWidth="1"/>
    <col min="40" max="40" width="35" bestFit="1" customWidth="1"/>
    <col min="41" max="41" width="13.5703125" bestFit="1" customWidth="1"/>
    <col min="42" max="42" width="7" bestFit="1" customWidth="1"/>
    <col min="43" max="43" width="20.5703125" bestFit="1" customWidth="1"/>
    <col min="44" max="44" width="18.5703125" bestFit="1" customWidth="1"/>
    <col min="45" max="45" width="19" bestFit="1" customWidth="1"/>
    <col min="46" max="46" width="28.42578125" bestFit="1" customWidth="1"/>
    <col min="47" max="47" width="15.5703125" bestFit="1" customWidth="1"/>
    <col min="48" max="48" width="16.7109375" bestFit="1" customWidth="1"/>
    <col min="49" max="49" width="9.140625" bestFit="1" customWidth="1"/>
    <col min="50" max="50" width="7.28515625" bestFit="1" customWidth="1"/>
    <col min="51" max="51" width="23.42578125" bestFit="1" customWidth="1"/>
    <col min="52" max="52" width="18.85546875" bestFit="1" customWidth="1"/>
    <col min="53" max="54" width="8.5703125" bestFit="1" customWidth="1"/>
    <col min="55" max="55" width="11.140625" bestFit="1" customWidth="1"/>
    <col min="56" max="57" width="12.85546875" bestFit="1" customWidth="1"/>
  </cols>
  <sheetData>
    <row r="1" spans="1:2" x14ac:dyDescent="0.25">
      <c r="A1" s="206" t="s">
        <v>1</v>
      </c>
      <c r="B1" t="s">
        <v>1607</v>
      </c>
    </row>
    <row r="2" spans="1:2" x14ac:dyDescent="0.25">
      <c r="A2" s="206" t="s">
        <v>19</v>
      </c>
      <c r="B2" t="s">
        <v>160</v>
      </c>
    </row>
    <row r="4" spans="1:2" x14ac:dyDescent="0.25">
      <c r="A4" s="206" t="s">
        <v>34</v>
      </c>
      <c r="B4" t="s">
        <v>1601</v>
      </c>
    </row>
    <row r="5" spans="1:2" x14ac:dyDescent="0.25">
      <c r="A5" t="s">
        <v>1595</v>
      </c>
    </row>
    <row r="23" spans="1:2" x14ac:dyDescent="0.25">
      <c r="A23" s="206" t="s">
        <v>1</v>
      </c>
      <c r="B23" t="s">
        <v>1607</v>
      </c>
    </row>
    <row r="24" spans="1:2" x14ac:dyDescent="0.25">
      <c r="A24" s="206" t="s">
        <v>19</v>
      </c>
      <c r="B24" t="s">
        <v>173</v>
      </c>
    </row>
    <row r="26" spans="1:2" x14ac:dyDescent="0.25">
      <c r="A26" s="206" t="s">
        <v>34</v>
      </c>
      <c r="B26" t="s">
        <v>1601</v>
      </c>
    </row>
    <row r="27" spans="1:2" x14ac:dyDescent="0.25">
      <c r="A27" t="s">
        <v>1595</v>
      </c>
    </row>
    <row r="37" spans="1:2" x14ac:dyDescent="0.25">
      <c r="A37" s="206" t="s">
        <v>1</v>
      </c>
      <c r="B37" t="s">
        <v>1607</v>
      </c>
    </row>
    <row r="38" spans="1:2" x14ac:dyDescent="0.25">
      <c r="A38" s="206" t="s">
        <v>19</v>
      </c>
      <c r="B38" t="s">
        <v>91</v>
      </c>
    </row>
    <row r="40" spans="1:2" x14ac:dyDescent="0.25">
      <c r="A40" s="206" t="s">
        <v>34</v>
      </c>
      <c r="B40" t="s">
        <v>1601</v>
      </c>
    </row>
    <row r="41" spans="1:2" x14ac:dyDescent="0.25">
      <c r="A41" t="s">
        <v>1595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17710-9A71-42F7-8561-9518F3EF9AC2}">
  <dimension ref="A1:J191"/>
  <sheetViews>
    <sheetView topLeftCell="A25" workbookViewId="0">
      <selection activeCell="K34" sqref="K34"/>
    </sheetView>
  </sheetViews>
  <sheetFormatPr baseColWidth="10" defaultColWidth="11.42578125" defaultRowHeight="15" x14ac:dyDescent="0.25"/>
  <cols>
    <col min="1" max="1" width="26" bestFit="1" customWidth="1"/>
    <col min="2" max="2" width="21.85546875" bestFit="1" customWidth="1"/>
    <col min="3" max="3" width="20.42578125" bestFit="1" customWidth="1"/>
    <col min="4" max="180" width="11.42578125" bestFit="1" customWidth="1"/>
  </cols>
  <sheetData>
    <row r="1" spans="1:2" x14ac:dyDescent="0.25">
      <c r="A1" s="206" t="s">
        <v>19</v>
      </c>
      <c r="B1" t="s">
        <v>1596</v>
      </c>
    </row>
    <row r="3" spans="1:2" x14ac:dyDescent="0.25">
      <c r="A3" s="206" t="s">
        <v>1594</v>
      </c>
      <c r="B3" t="s">
        <v>1599</v>
      </c>
    </row>
    <row r="4" spans="1:2" x14ac:dyDescent="0.25">
      <c r="A4" s="27" t="s">
        <v>129</v>
      </c>
      <c r="B4">
        <v>70</v>
      </c>
    </row>
    <row r="5" spans="1:2" x14ac:dyDescent="0.25">
      <c r="A5" s="27" t="s">
        <v>81</v>
      </c>
      <c r="B5">
        <v>37</v>
      </c>
    </row>
    <row r="6" spans="1:2" x14ac:dyDescent="0.25">
      <c r="A6" s="27" t="s">
        <v>154</v>
      </c>
      <c r="B6">
        <v>28</v>
      </c>
    </row>
    <row r="7" spans="1:2" x14ac:dyDescent="0.25">
      <c r="A7" s="27" t="s">
        <v>229</v>
      </c>
      <c r="B7">
        <v>22</v>
      </c>
    </row>
    <row r="8" spans="1:2" x14ac:dyDescent="0.25">
      <c r="A8" s="27" t="s">
        <v>62</v>
      </c>
      <c r="B8">
        <v>14</v>
      </c>
    </row>
    <row r="9" spans="1:2" x14ac:dyDescent="0.25">
      <c r="A9" s="27" t="s">
        <v>293</v>
      </c>
      <c r="B9">
        <v>13</v>
      </c>
    </row>
    <row r="10" spans="1:2" x14ac:dyDescent="0.25">
      <c r="A10" s="27" t="s">
        <v>180</v>
      </c>
      <c r="B10">
        <v>11</v>
      </c>
    </row>
    <row r="11" spans="1:2" x14ac:dyDescent="0.25">
      <c r="A11" s="27" t="s">
        <v>61</v>
      </c>
      <c r="B11">
        <v>9</v>
      </c>
    </row>
    <row r="12" spans="1:2" x14ac:dyDescent="0.25">
      <c r="A12" s="27" t="s">
        <v>116</v>
      </c>
      <c r="B12">
        <v>7</v>
      </c>
    </row>
    <row r="13" spans="1:2" x14ac:dyDescent="0.25">
      <c r="A13" s="27" t="s">
        <v>101</v>
      </c>
      <c r="B13">
        <v>6</v>
      </c>
    </row>
    <row r="14" spans="1:2" x14ac:dyDescent="0.25">
      <c r="A14" s="27" t="s">
        <v>413</v>
      </c>
      <c r="B14">
        <v>5</v>
      </c>
    </row>
    <row r="15" spans="1:2" x14ac:dyDescent="0.25">
      <c r="A15" s="27" t="s">
        <v>329</v>
      </c>
      <c r="B15">
        <v>4</v>
      </c>
    </row>
    <row r="16" spans="1:2" x14ac:dyDescent="0.25">
      <c r="A16" s="27" t="s">
        <v>384</v>
      </c>
      <c r="B16">
        <v>3</v>
      </c>
    </row>
    <row r="17" spans="1:10" x14ac:dyDescent="0.25">
      <c r="A17" s="27" t="s">
        <v>303</v>
      </c>
      <c r="B17">
        <v>2</v>
      </c>
    </row>
    <row r="18" spans="1:10" x14ac:dyDescent="0.25">
      <c r="A18" s="27" t="s">
        <v>1078</v>
      </c>
      <c r="B18">
        <v>1</v>
      </c>
    </row>
    <row r="19" spans="1:10" x14ac:dyDescent="0.25">
      <c r="A19" s="27" t="s">
        <v>1595</v>
      </c>
      <c r="B19">
        <v>232</v>
      </c>
      <c r="D19" t="s">
        <v>1614</v>
      </c>
      <c r="F19" t="s">
        <v>1615</v>
      </c>
      <c r="J19" t="s">
        <v>1616</v>
      </c>
    </row>
    <row r="20" spans="1:10" x14ac:dyDescent="0.25">
      <c r="F20" t="s">
        <v>1617</v>
      </c>
    </row>
    <row r="21" spans="1:10" x14ac:dyDescent="0.25">
      <c r="A21" s="27"/>
    </row>
    <row r="22" spans="1:10" x14ac:dyDescent="0.25">
      <c r="A22" s="206" t="s">
        <v>1594</v>
      </c>
      <c r="B22" t="s">
        <v>1602</v>
      </c>
      <c r="F22" t="s">
        <v>1618</v>
      </c>
    </row>
    <row r="23" spans="1:10" x14ac:dyDescent="0.25">
      <c r="A23" s="27" t="s">
        <v>115</v>
      </c>
      <c r="B23">
        <v>29</v>
      </c>
      <c r="D23" t="s">
        <v>1619</v>
      </c>
    </row>
    <row r="24" spans="1:10" x14ac:dyDescent="0.25">
      <c r="A24" s="27" t="s">
        <v>79</v>
      </c>
      <c r="B24">
        <v>27</v>
      </c>
    </row>
    <row r="25" spans="1:10" x14ac:dyDescent="0.25">
      <c r="A25" s="27" t="s">
        <v>59</v>
      </c>
      <c r="B25">
        <v>27</v>
      </c>
    </row>
    <row r="26" spans="1:10" x14ac:dyDescent="0.25">
      <c r="A26" s="27" t="s">
        <v>99</v>
      </c>
      <c r="B26">
        <v>24</v>
      </c>
    </row>
    <row r="27" spans="1:10" x14ac:dyDescent="0.25">
      <c r="A27" s="27" t="s">
        <v>226</v>
      </c>
      <c r="B27">
        <v>23</v>
      </c>
    </row>
    <row r="28" spans="1:10" x14ac:dyDescent="0.25">
      <c r="A28" s="27" t="s">
        <v>271</v>
      </c>
      <c r="B28">
        <v>19</v>
      </c>
    </row>
    <row r="29" spans="1:10" x14ac:dyDescent="0.25">
      <c r="A29" s="27" t="s">
        <v>475</v>
      </c>
      <c r="B29">
        <v>15</v>
      </c>
    </row>
    <row r="30" spans="1:10" x14ac:dyDescent="0.25">
      <c r="A30" s="27" t="s">
        <v>142</v>
      </c>
      <c r="B30">
        <v>13</v>
      </c>
    </row>
    <row r="31" spans="1:10" x14ac:dyDescent="0.25">
      <c r="A31" s="27" t="s">
        <v>301</v>
      </c>
      <c r="B31">
        <v>13</v>
      </c>
    </row>
    <row r="32" spans="1:10" x14ac:dyDescent="0.25">
      <c r="A32" s="27" t="s">
        <v>216</v>
      </c>
      <c r="B32">
        <v>9</v>
      </c>
    </row>
    <row r="33" spans="1:2" x14ac:dyDescent="0.25">
      <c r="A33" s="27" t="s">
        <v>61</v>
      </c>
      <c r="B33">
        <v>9</v>
      </c>
    </row>
    <row r="34" spans="1:2" x14ac:dyDescent="0.25">
      <c r="A34" s="27" t="s">
        <v>700</v>
      </c>
      <c r="B34">
        <v>8</v>
      </c>
    </row>
    <row r="35" spans="1:2" x14ac:dyDescent="0.25">
      <c r="A35" s="27" t="s">
        <v>383</v>
      </c>
      <c r="B35">
        <v>4</v>
      </c>
    </row>
    <row r="36" spans="1:2" x14ac:dyDescent="0.25">
      <c r="A36" s="27" t="s">
        <v>425</v>
      </c>
      <c r="B36">
        <v>3</v>
      </c>
    </row>
    <row r="37" spans="1:2" x14ac:dyDescent="0.25">
      <c r="A37" s="27" t="s">
        <v>277</v>
      </c>
      <c r="B37">
        <v>3</v>
      </c>
    </row>
    <row r="38" spans="1:2" x14ac:dyDescent="0.25">
      <c r="A38" s="27" t="s">
        <v>649</v>
      </c>
      <c r="B38">
        <v>2</v>
      </c>
    </row>
    <row r="39" spans="1:2" x14ac:dyDescent="0.25">
      <c r="A39" s="27" t="s">
        <v>1077</v>
      </c>
      <c r="B39">
        <v>1</v>
      </c>
    </row>
    <row r="40" spans="1:2" x14ac:dyDescent="0.25">
      <c r="A40" s="27" t="s">
        <v>724</v>
      </c>
      <c r="B40">
        <v>1</v>
      </c>
    </row>
    <row r="41" spans="1:2" x14ac:dyDescent="0.25">
      <c r="A41" s="27" t="s">
        <v>373</v>
      </c>
      <c r="B41">
        <v>1</v>
      </c>
    </row>
    <row r="42" spans="1:2" x14ac:dyDescent="0.25">
      <c r="A42" s="27" t="s">
        <v>1138</v>
      </c>
      <c r="B42">
        <v>1</v>
      </c>
    </row>
    <row r="43" spans="1:2" x14ac:dyDescent="0.25">
      <c r="A43" s="27" t="s">
        <v>1595</v>
      </c>
      <c r="B43">
        <v>232</v>
      </c>
    </row>
    <row r="45" spans="1:2" x14ac:dyDescent="0.25">
      <c r="A45" s="27"/>
    </row>
    <row r="46" spans="1:2" x14ac:dyDescent="0.25">
      <c r="A46" s="206" t="s">
        <v>1594</v>
      </c>
      <c r="B46" t="s">
        <v>1601</v>
      </c>
    </row>
    <row r="47" spans="1:2" x14ac:dyDescent="0.25">
      <c r="A47" s="27" t="s">
        <v>60</v>
      </c>
      <c r="B47">
        <v>71</v>
      </c>
    </row>
    <row r="48" spans="1:2" x14ac:dyDescent="0.25">
      <c r="A48" s="27" t="s">
        <v>153</v>
      </c>
      <c r="B48">
        <v>29</v>
      </c>
    </row>
    <row r="49" spans="1:2" x14ac:dyDescent="0.25">
      <c r="A49" s="27" t="s">
        <v>166</v>
      </c>
      <c r="B49">
        <v>29</v>
      </c>
    </row>
    <row r="50" spans="1:2" x14ac:dyDescent="0.25">
      <c r="A50" s="27" t="s">
        <v>227</v>
      </c>
      <c r="B50">
        <v>26</v>
      </c>
    </row>
    <row r="51" spans="1:2" x14ac:dyDescent="0.25">
      <c r="A51" s="27" t="s">
        <v>450</v>
      </c>
      <c r="B51">
        <v>20</v>
      </c>
    </row>
    <row r="52" spans="1:2" x14ac:dyDescent="0.25">
      <c r="A52" s="27" t="s">
        <v>143</v>
      </c>
      <c r="B52">
        <v>18</v>
      </c>
    </row>
    <row r="53" spans="1:2" x14ac:dyDescent="0.25">
      <c r="A53" s="27" t="s">
        <v>256</v>
      </c>
      <c r="B53">
        <v>17</v>
      </c>
    </row>
    <row r="54" spans="1:2" x14ac:dyDescent="0.25">
      <c r="A54" s="27" t="s">
        <v>127</v>
      </c>
      <c r="B54">
        <v>9</v>
      </c>
    </row>
    <row r="55" spans="1:2" x14ac:dyDescent="0.25">
      <c r="A55" s="27" t="s">
        <v>642</v>
      </c>
      <c r="B55">
        <v>8</v>
      </c>
    </row>
    <row r="56" spans="1:2" x14ac:dyDescent="0.25">
      <c r="A56" s="27" t="s">
        <v>695</v>
      </c>
      <c r="B56">
        <v>3</v>
      </c>
    </row>
    <row r="57" spans="1:2" x14ac:dyDescent="0.25">
      <c r="A57" s="27" t="s">
        <v>238</v>
      </c>
      <c r="B57">
        <v>1</v>
      </c>
    </row>
    <row r="58" spans="1:2" x14ac:dyDescent="0.25">
      <c r="A58" s="27" t="s">
        <v>816</v>
      </c>
      <c r="B58">
        <v>1</v>
      </c>
    </row>
    <row r="59" spans="1:2" x14ac:dyDescent="0.25">
      <c r="A59" s="27" t="s">
        <v>1595</v>
      </c>
      <c r="B59">
        <v>232</v>
      </c>
    </row>
    <row r="62" spans="1:2" x14ac:dyDescent="0.25">
      <c r="A62" s="206" t="s">
        <v>1594</v>
      </c>
      <c r="B62" t="s">
        <v>1598</v>
      </c>
    </row>
    <row r="63" spans="1:2" x14ac:dyDescent="0.25">
      <c r="A63" s="27" t="s">
        <v>1541</v>
      </c>
      <c r="B63">
        <v>120</v>
      </c>
    </row>
    <row r="64" spans="1:2" x14ac:dyDescent="0.25">
      <c r="A64" s="27" t="s">
        <v>1540</v>
      </c>
      <c r="B64">
        <v>70</v>
      </c>
    </row>
    <row r="65" spans="1:2" x14ac:dyDescent="0.25">
      <c r="A65" s="27" t="s">
        <v>951</v>
      </c>
      <c r="B65">
        <v>42</v>
      </c>
    </row>
    <row r="66" spans="1:2" x14ac:dyDescent="0.25">
      <c r="A66" s="27" t="s">
        <v>1595</v>
      </c>
      <c r="B66">
        <v>232</v>
      </c>
    </row>
    <row r="78" spans="1:2" x14ac:dyDescent="0.25">
      <c r="A78" s="206" t="s">
        <v>1594</v>
      </c>
      <c r="B78" t="s">
        <v>1600</v>
      </c>
    </row>
    <row r="79" spans="1:2" x14ac:dyDescent="0.25">
      <c r="A79" s="27" t="s">
        <v>80</v>
      </c>
      <c r="B79">
        <v>126</v>
      </c>
    </row>
    <row r="80" spans="1:2" x14ac:dyDescent="0.25">
      <c r="A80" s="27" t="s">
        <v>128</v>
      </c>
      <c r="B80">
        <v>33</v>
      </c>
    </row>
    <row r="81" spans="1:2" x14ac:dyDescent="0.25">
      <c r="A81" s="27" t="s">
        <v>61</v>
      </c>
      <c r="B81">
        <v>25</v>
      </c>
    </row>
    <row r="82" spans="1:2" x14ac:dyDescent="0.25">
      <c r="A82" s="27" t="s">
        <v>228</v>
      </c>
      <c r="B82">
        <v>20</v>
      </c>
    </row>
    <row r="83" spans="1:2" x14ac:dyDescent="0.25">
      <c r="A83" s="27" t="s">
        <v>302</v>
      </c>
      <c r="B83">
        <v>10</v>
      </c>
    </row>
    <row r="84" spans="1:2" x14ac:dyDescent="0.25">
      <c r="A84" s="27" t="s">
        <v>167</v>
      </c>
      <c r="B84">
        <v>10</v>
      </c>
    </row>
    <row r="85" spans="1:2" x14ac:dyDescent="0.25">
      <c r="A85" s="27" t="s">
        <v>100</v>
      </c>
      <c r="B85">
        <v>7</v>
      </c>
    </row>
    <row r="86" spans="1:2" x14ac:dyDescent="0.25">
      <c r="A86" s="27" t="s">
        <v>502</v>
      </c>
      <c r="B86">
        <v>1</v>
      </c>
    </row>
    <row r="87" spans="1:2" x14ac:dyDescent="0.25">
      <c r="A87" s="27" t="s">
        <v>1595</v>
      </c>
      <c r="B87">
        <v>232</v>
      </c>
    </row>
    <row r="90" spans="1:2" x14ac:dyDescent="0.25">
      <c r="A90" s="206" t="s">
        <v>40</v>
      </c>
      <c r="B90" t="s">
        <v>65</v>
      </c>
    </row>
    <row r="92" spans="1:2" x14ac:dyDescent="0.25">
      <c r="A92" s="206" t="s">
        <v>1594</v>
      </c>
      <c r="B92" t="s">
        <v>1609</v>
      </c>
    </row>
    <row r="93" spans="1:2" x14ac:dyDescent="0.25">
      <c r="A93" s="27" t="s">
        <v>160</v>
      </c>
      <c r="B93">
        <v>22</v>
      </c>
    </row>
    <row r="94" spans="1:2" x14ac:dyDescent="0.25">
      <c r="A94" s="207" t="s">
        <v>88</v>
      </c>
      <c r="B94">
        <v>15</v>
      </c>
    </row>
    <row r="95" spans="1:2" x14ac:dyDescent="0.25">
      <c r="A95" s="207" t="s">
        <v>51</v>
      </c>
      <c r="B95">
        <v>7</v>
      </c>
    </row>
    <row r="96" spans="1:2" x14ac:dyDescent="0.25">
      <c r="A96" s="27" t="s">
        <v>173</v>
      </c>
      <c r="B96">
        <v>20</v>
      </c>
    </row>
    <row r="97" spans="1:2" x14ac:dyDescent="0.25">
      <c r="A97" s="207" t="s">
        <v>88</v>
      </c>
      <c r="B97">
        <v>13</v>
      </c>
    </row>
    <row r="98" spans="1:2" x14ac:dyDescent="0.25">
      <c r="A98" s="207" t="s">
        <v>51</v>
      </c>
      <c r="B98">
        <v>7</v>
      </c>
    </row>
    <row r="99" spans="1:2" x14ac:dyDescent="0.25">
      <c r="A99" s="27" t="s">
        <v>234</v>
      </c>
      <c r="B99">
        <v>8</v>
      </c>
    </row>
    <row r="100" spans="1:2" x14ac:dyDescent="0.25">
      <c r="A100" s="207" t="s">
        <v>88</v>
      </c>
      <c r="B100">
        <v>3</v>
      </c>
    </row>
    <row r="101" spans="1:2" x14ac:dyDescent="0.25">
      <c r="A101" s="207" t="s">
        <v>51</v>
      </c>
      <c r="B101">
        <v>5</v>
      </c>
    </row>
    <row r="102" spans="1:2" x14ac:dyDescent="0.25">
      <c r="A102" s="27" t="s">
        <v>134</v>
      </c>
      <c r="B102">
        <v>8</v>
      </c>
    </row>
    <row r="103" spans="1:2" x14ac:dyDescent="0.25">
      <c r="A103" s="207" t="s">
        <v>88</v>
      </c>
      <c r="B103">
        <v>5</v>
      </c>
    </row>
    <row r="104" spans="1:2" x14ac:dyDescent="0.25">
      <c r="A104" s="207" t="s">
        <v>51</v>
      </c>
      <c r="B104">
        <v>3</v>
      </c>
    </row>
    <row r="105" spans="1:2" x14ac:dyDescent="0.25">
      <c r="A105" s="27" t="s">
        <v>73</v>
      </c>
      <c r="B105">
        <v>8</v>
      </c>
    </row>
    <row r="106" spans="1:2" x14ac:dyDescent="0.25">
      <c r="A106" s="207" t="s">
        <v>88</v>
      </c>
      <c r="B106">
        <v>2</v>
      </c>
    </row>
    <row r="107" spans="1:2" x14ac:dyDescent="0.25">
      <c r="A107" s="207" t="s">
        <v>51</v>
      </c>
      <c r="B107">
        <v>6</v>
      </c>
    </row>
    <row r="108" spans="1:2" x14ac:dyDescent="0.25">
      <c r="A108" s="27" t="s">
        <v>91</v>
      </c>
      <c r="B108">
        <v>6</v>
      </c>
    </row>
    <row r="109" spans="1:2" x14ac:dyDescent="0.25">
      <c r="A109" s="207" t="s">
        <v>88</v>
      </c>
      <c r="B109">
        <v>4</v>
      </c>
    </row>
    <row r="110" spans="1:2" x14ac:dyDescent="0.25">
      <c r="A110" s="207" t="s">
        <v>51</v>
      </c>
      <c r="B110">
        <v>2</v>
      </c>
    </row>
    <row r="111" spans="1:2" x14ac:dyDescent="0.25">
      <c r="A111" s="27" t="s">
        <v>264</v>
      </c>
      <c r="B111">
        <v>5</v>
      </c>
    </row>
    <row r="112" spans="1:2" x14ac:dyDescent="0.25">
      <c r="A112" s="207" t="s">
        <v>88</v>
      </c>
      <c r="B112">
        <v>3</v>
      </c>
    </row>
    <row r="113" spans="1:2" x14ac:dyDescent="0.25">
      <c r="A113" s="207" t="s">
        <v>51</v>
      </c>
      <c r="B113">
        <v>2</v>
      </c>
    </row>
    <row r="114" spans="1:2" x14ac:dyDescent="0.25">
      <c r="A114" s="27" t="s">
        <v>108</v>
      </c>
      <c r="B114">
        <v>1</v>
      </c>
    </row>
    <row r="115" spans="1:2" x14ac:dyDescent="0.25">
      <c r="A115" s="207" t="s">
        <v>51</v>
      </c>
      <c r="B115">
        <v>1</v>
      </c>
    </row>
    <row r="116" spans="1:2" x14ac:dyDescent="0.25">
      <c r="A116" s="27" t="s">
        <v>1595</v>
      </c>
      <c r="B116">
        <v>78</v>
      </c>
    </row>
    <row r="117" spans="1:2" x14ac:dyDescent="0.25">
      <c r="A117" s="206" t="s">
        <v>19</v>
      </c>
      <c r="B117" t="s">
        <v>1596</v>
      </c>
    </row>
    <row r="119" spans="1:2" x14ac:dyDescent="0.25">
      <c r="A119" s="206" t="s">
        <v>1594</v>
      </c>
      <c r="B119" t="s">
        <v>1608</v>
      </c>
    </row>
    <row r="120" spans="1:2" x14ac:dyDescent="0.25">
      <c r="A120" s="27" t="s">
        <v>215</v>
      </c>
      <c r="B120">
        <v>28</v>
      </c>
    </row>
    <row r="121" spans="1:2" x14ac:dyDescent="0.25">
      <c r="A121" s="27" t="s">
        <v>510</v>
      </c>
      <c r="B121">
        <v>13</v>
      </c>
    </row>
    <row r="122" spans="1:2" x14ac:dyDescent="0.25">
      <c r="A122" s="27" t="s">
        <v>179</v>
      </c>
      <c r="B122">
        <v>10</v>
      </c>
    </row>
    <row r="123" spans="1:2" x14ac:dyDescent="0.25">
      <c r="A123" s="27" t="s">
        <v>378</v>
      </c>
      <c r="B123">
        <v>9</v>
      </c>
    </row>
    <row r="124" spans="1:2" x14ac:dyDescent="0.25">
      <c r="A124" s="27" t="s">
        <v>276</v>
      </c>
      <c r="B124">
        <v>8</v>
      </c>
    </row>
    <row r="125" spans="1:2" x14ac:dyDescent="0.25">
      <c r="A125" s="27" t="s">
        <v>98</v>
      </c>
      <c r="B125">
        <v>7</v>
      </c>
    </row>
    <row r="126" spans="1:2" x14ac:dyDescent="0.25">
      <c r="A126" s="27" t="s">
        <v>165</v>
      </c>
      <c r="B126">
        <v>7</v>
      </c>
    </row>
    <row r="127" spans="1:2" x14ac:dyDescent="0.25">
      <c r="A127" s="27" t="s">
        <v>323</v>
      </c>
      <c r="B127">
        <v>7</v>
      </c>
    </row>
    <row r="128" spans="1:2" x14ac:dyDescent="0.25">
      <c r="A128" s="27" t="s">
        <v>578</v>
      </c>
      <c r="B128">
        <v>7</v>
      </c>
    </row>
    <row r="129" spans="1:2" x14ac:dyDescent="0.25">
      <c r="A129" s="27" t="s">
        <v>202</v>
      </c>
      <c r="B129">
        <v>6</v>
      </c>
    </row>
    <row r="130" spans="1:2" x14ac:dyDescent="0.25">
      <c r="A130" s="27" t="s">
        <v>485</v>
      </c>
      <c r="B130">
        <v>6</v>
      </c>
    </row>
    <row r="131" spans="1:2" x14ac:dyDescent="0.25">
      <c r="A131" s="27" t="s">
        <v>225</v>
      </c>
      <c r="B131">
        <v>6</v>
      </c>
    </row>
    <row r="132" spans="1:2" x14ac:dyDescent="0.25">
      <c r="A132" s="27" t="s">
        <v>78</v>
      </c>
      <c r="B132">
        <v>5</v>
      </c>
    </row>
    <row r="133" spans="1:2" x14ac:dyDescent="0.25">
      <c r="A133" s="27" t="s">
        <v>237</v>
      </c>
      <c r="B133">
        <v>5</v>
      </c>
    </row>
    <row r="134" spans="1:2" x14ac:dyDescent="0.25">
      <c r="A134" s="27" t="s">
        <v>344</v>
      </c>
      <c r="B134">
        <v>4</v>
      </c>
    </row>
    <row r="135" spans="1:2" x14ac:dyDescent="0.25">
      <c r="A135" s="27" t="s">
        <v>737</v>
      </c>
      <c r="B135">
        <v>4</v>
      </c>
    </row>
    <row r="136" spans="1:2" x14ac:dyDescent="0.25">
      <c r="A136" s="27" t="s">
        <v>773</v>
      </c>
      <c r="B136">
        <v>3</v>
      </c>
    </row>
    <row r="137" spans="1:2" x14ac:dyDescent="0.25">
      <c r="A137" s="27" t="s">
        <v>270</v>
      </c>
      <c r="B137">
        <v>3</v>
      </c>
    </row>
    <row r="138" spans="1:2" x14ac:dyDescent="0.25">
      <c r="A138" s="27" t="s">
        <v>861</v>
      </c>
      <c r="B138">
        <v>3</v>
      </c>
    </row>
    <row r="139" spans="1:2" x14ac:dyDescent="0.25">
      <c r="A139" s="27" t="s">
        <v>405</v>
      </c>
      <c r="B139">
        <v>3</v>
      </c>
    </row>
    <row r="140" spans="1:2" x14ac:dyDescent="0.25">
      <c r="A140" s="27" t="s">
        <v>391</v>
      </c>
      <c r="B140">
        <v>3</v>
      </c>
    </row>
    <row r="141" spans="1:2" x14ac:dyDescent="0.25">
      <c r="A141" s="27" t="s">
        <v>759</v>
      </c>
      <c r="B141">
        <v>2</v>
      </c>
    </row>
    <row r="142" spans="1:2" x14ac:dyDescent="0.25">
      <c r="A142" s="27" t="s">
        <v>850</v>
      </c>
      <c r="B142">
        <v>2</v>
      </c>
    </row>
    <row r="143" spans="1:2" x14ac:dyDescent="0.25">
      <c r="A143" s="27" t="s">
        <v>292</v>
      </c>
      <c r="B143">
        <v>2</v>
      </c>
    </row>
    <row r="144" spans="1:2" x14ac:dyDescent="0.25">
      <c r="A144" s="27" t="s">
        <v>903</v>
      </c>
      <c r="B144">
        <v>2</v>
      </c>
    </row>
    <row r="145" spans="1:2" x14ac:dyDescent="0.25">
      <c r="A145" s="27" t="s">
        <v>141</v>
      </c>
      <c r="B145">
        <v>2</v>
      </c>
    </row>
    <row r="146" spans="1:2" x14ac:dyDescent="0.25">
      <c r="A146" s="27" t="s">
        <v>437</v>
      </c>
      <c r="B146">
        <v>1</v>
      </c>
    </row>
    <row r="147" spans="1:2" x14ac:dyDescent="0.25">
      <c r="A147" s="27" t="s">
        <v>114</v>
      </c>
      <c r="B147">
        <v>1</v>
      </c>
    </row>
    <row r="148" spans="1:2" x14ac:dyDescent="0.25">
      <c r="A148" s="27" t="s">
        <v>980</v>
      </c>
      <c r="B148">
        <v>1</v>
      </c>
    </row>
    <row r="149" spans="1:2" x14ac:dyDescent="0.25">
      <c r="A149" s="27" t="s">
        <v>419</v>
      </c>
      <c r="B149">
        <v>1</v>
      </c>
    </row>
    <row r="150" spans="1:2" x14ac:dyDescent="0.25">
      <c r="A150" s="27" t="s">
        <v>449</v>
      </c>
      <c r="B150">
        <v>1</v>
      </c>
    </row>
    <row r="151" spans="1:2" x14ac:dyDescent="0.25">
      <c r="A151" s="27" t="s">
        <v>1012</v>
      </c>
      <c r="B151">
        <v>1</v>
      </c>
    </row>
    <row r="152" spans="1:2" x14ac:dyDescent="0.25">
      <c r="A152" s="27" t="s">
        <v>842</v>
      </c>
      <c r="B152">
        <v>1</v>
      </c>
    </row>
    <row r="153" spans="1:2" x14ac:dyDescent="0.25">
      <c r="A153" s="27" t="s">
        <v>958</v>
      </c>
      <c r="B153">
        <v>1</v>
      </c>
    </row>
    <row r="154" spans="1:2" x14ac:dyDescent="0.25">
      <c r="A154" s="27" t="s">
        <v>269</v>
      </c>
      <c r="B154">
        <v>1</v>
      </c>
    </row>
    <row r="155" spans="1:2" x14ac:dyDescent="0.25">
      <c r="A155" s="27" t="s">
        <v>353</v>
      </c>
      <c r="B155">
        <v>1</v>
      </c>
    </row>
    <row r="156" spans="1:2" x14ac:dyDescent="0.25">
      <c r="A156" s="27" t="s">
        <v>1123</v>
      </c>
      <c r="B156">
        <v>1</v>
      </c>
    </row>
    <row r="157" spans="1:2" x14ac:dyDescent="0.25">
      <c r="A157" s="27" t="s">
        <v>626</v>
      </c>
      <c r="B157">
        <v>1</v>
      </c>
    </row>
    <row r="158" spans="1:2" x14ac:dyDescent="0.25">
      <c r="A158" s="27" t="s">
        <v>300</v>
      </c>
      <c r="B158">
        <v>1</v>
      </c>
    </row>
    <row r="159" spans="1:2" x14ac:dyDescent="0.25">
      <c r="A159" s="27" t="s">
        <v>359</v>
      </c>
      <c r="B159">
        <v>1</v>
      </c>
    </row>
    <row r="160" spans="1:2" x14ac:dyDescent="0.25">
      <c r="A160" s="27" t="s">
        <v>666</v>
      </c>
      <c r="B160">
        <v>1</v>
      </c>
    </row>
    <row r="161" spans="1:3" x14ac:dyDescent="0.25">
      <c r="A161" s="27" t="s">
        <v>784</v>
      </c>
      <c r="B161">
        <v>1</v>
      </c>
    </row>
    <row r="162" spans="1:3" x14ac:dyDescent="0.25">
      <c r="A162" s="27" t="s">
        <v>731</v>
      </c>
      <c r="B162">
        <v>1</v>
      </c>
    </row>
    <row r="163" spans="1:3" x14ac:dyDescent="0.25">
      <c r="A163" s="27" t="s">
        <v>614</v>
      </c>
      <c r="B163">
        <v>1</v>
      </c>
    </row>
    <row r="164" spans="1:3" x14ac:dyDescent="0.25">
      <c r="A164" s="27" t="s">
        <v>1055</v>
      </c>
      <c r="B164">
        <v>1</v>
      </c>
    </row>
    <row r="165" spans="1:3" x14ac:dyDescent="0.25">
      <c r="A165" s="27" t="s">
        <v>554</v>
      </c>
      <c r="B165">
        <v>1</v>
      </c>
    </row>
    <row r="166" spans="1:3" x14ac:dyDescent="0.25">
      <c r="A166" s="27" t="s">
        <v>58</v>
      </c>
      <c r="B166">
        <v>1</v>
      </c>
    </row>
    <row r="167" spans="1:3" x14ac:dyDescent="0.25">
      <c r="A167" s="27" t="s">
        <v>896</v>
      </c>
      <c r="B167">
        <v>1</v>
      </c>
    </row>
    <row r="168" spans="1:3" x14ac:dyDescent="0.25">
      <c r="A168" s="27" t="s">
        <v>468</v>
      </c>
      <c r="B168">
        <v>1</v>
      </c>
    </row>
    <row r="169" spans="1:3" x14ac:dyDescent="0.25">
      <c r="A169" s="27" t="s">
        <v>193</v>
      </c>
      <c r="B169">
        <v>1</v>
      </c>
    </row>
    <row r="170" spans="1:3" x14ac:dyDescent="0.25">
      <c r="A170" s="27" t="s">
        <v>1604</v>
      </c>
    </row>
    <row r="171" spans="1:3" x14ac:dyDescent="0.25">
      <c r="A171" s="27" t="s">
        <v>1595</v>
      </c>
      <c r="B171">
        <v>181</v>
      </c>
    </row>
    <row r="174" spans="1:3" x14ac:dyDescent="0.25">
      <c r="A174" s="367"/>
      <c r="B174" s="368"/>
      <c r="C174" s="369"/>
    </row>
    <row r="175" spans="1:3" x14ac:dyDescent="0.25">
      <c r="A175" s="370"/>
      <c r="B175" s="353"/>
      <c r="C175" s="371"/>
    </row>
    <row r="176" spans="1:3" x14ac:dyDescent="0.25">
      <c r="A176" s="370"/>
      <c r="B176" s="353"/>
      <c r="C176" s="371"/>
    </row>
    <row r="177" spans="1:3" x14ac:dyDescent="0.25">
      <c r="A177" s="370"/>
      <c r="B177" s="353"/>
      <c r="C177" s="371"/>
    </row>
    <row r="178" spans="1:3" x14ac:dyDescent="0.25">
      <c r="A178" s="370"/>
      <c r="B178" s="353"/>
      <c r="C178" s="371"/>
    </row>
    <row r="179" spans="1:3" x14ac:dyDescent="0.25">
      <c r="A179" s="370"/>
      <c r="B179" s="353"/>
      <c r="C179" s="371"/>
    </row>
    <row r="180" spans="1:3" x14ac:dyDescent="0.25">
      <c r="A180" s="370"/>
      <c r="B180" s="353"/>
      <c r="C180" s="371"/>
    </row>
    <row r="181" spans="1:3" x14ac:dyDescent="0.25">
      <c r="A181" s="370"/>
      <c r="B181" s="353"/>
      <c r="C181" s="371"/>
    </row>
    <row r="182" spans="1:3" x14ac:dyDescent="0.25">
      <c r="A182" s="370"/>
      <c r="B182" s="353"/>
      <c r="C182" s="371"/>
    </row>
    <row r="183" spans="1:3" x14ac:dyDescent="0.25">
      <c r="A183" s="370"/>
      <c r="B183" s="353"/>
      <c r="C183" s="371"/>
    </row>
    <row r="184" spans="1:3" x14ac:dyDescent="0.25">
      <c r="A184" s="370"/>
      <c r="B184" s="353"/>
      <c r="C184" s="371"/>
    </row>
    <row r="185" spans="1:3" x14ac:dyDescent="0.25">
      <c r="A185" s="370"/>
      <c r="B185" s="353"/>
      <c r="C185" s="371"/>
    </row>
    <row r="186" spans="1:3" x14ac:dyDescent="0.25">
      <c r="A186" s="370"/>
      <c r="B186" s="353"/>
      <c r="C186" s="371"/>
    </row>
    <row r="187" spans="1:3" x14ac:dyDescent="0.25">
      <c r="A187" s="370"/>
      <c r="B187" s="353"/>
      <c r="C187" s="371"/>
    </row>
    <row r="188" spans="1:3" x14ac:dyDescent="0.25">
      <c r="A188" s="370"/>
      <c r="B188" s="353"/>
      <c r="C188" s="371"/>
    </row>
    <row r="189" spans="1:3" x14ac:dyDescent="0.25">
      <c r="A189" s="370"/>
      <c r="B189" s="353"/>
      <c r="C189" s="371"/>
    </row>
    <row r="190" spans="1:3" x14ac:dyDescent="0.25">
      <c r="A190" s="370"/>
      <c r="B190" s="353"/>
      <c r="C190" s="371"/>
    </row>
    <row r="191" spans="1:3" x14ac:dyDescent="0.25">
      <c r="A191" s="372"/>
      <c r="B191" s="373"/>
      <c r="C191" s="374"/>
    </row>
  </sheetData>
  <pageMargins left="0.7" right="0.7" top="0.75" bottom="0.75" header="0.3" footer="0.3"/>
  <drawing r:id="rId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FA5C-F452-4948-827C-0B74644B2D38}">
  <dimension ref="A1"/>
  <sheetViews>
    <sheetView workbookViewId="0">
      <selection activeCell="J11" sqref="J11"/>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Consolidado Accidentes</vt:lpstr>
      <vt:lpstr>Consolidado Emergencia</vt:lpstr>
      <vt:lpstr>C. Trayecto-EP</vt:lpstr>
      <vt:lpstr>Datos Total</vt:lpstr>
      <vt:lpstr>Gráficos</vt:lpstr>
      <vt:lpstr>Grafica Sup.</vt:lpstr>
      <vt:lpstr>ANALISIS DE ACC.</vt:lpstr>
      <vt:lpstr>Hoja1</vt:lpstr>
      <vt:lpstr>Hoja2</vt:lpstr>
      <vt:lpstr>Hoja7</vt:lpstr>
      <vt:lpstr>Hoja3</vt:lpstr>
      <vt:lpstr>ANALISIS ESTADISTICO</vt:lpstr>
      <vt:lpstr>Hoja4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cretamal</dc:creator>
  <cp:keywords/>
  <dc:description/>
  <cp:lastModifiedBy>Carlos Jimenez</cp:lastModifiedBy>
  <cp:revision/>
  <cp:lastPrinted>2024-02-23T20:34:25Z</cp:lastPrinted>
  <dcterms:created xsi:type="dcterms:W3CDTF">2016-01-04T16:31:25Z</dcterms:created>
  <dcterms:modified xsi:type="dcterms:W3CDTF">2024-03-05T15:56:53Z</dcterms:modified>
  <cp:category/>
  <cp:contentStatus/>
</cp:coreProperties>
</file>