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8_{4512C348-DE36-4D07-8366-3465F41E1790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Contagem" sheetId="1" r:id="rId1"/>
    <sheet name="Funções" sheetId="2" r:id="rId2"/>
    <sheet name="Sumário" sheetId="3" r:id="rId3"/>
    <sheet name="Estimativas" sheetId="4" r:id="rId4"/>
  </sheets>
  <definedNames>
    <definedName name="_xlnm.Print_Area" localSheetId="1">Funções!$A$1:$U$40</definedName>
    <definedName name="_xlnm.Print_Area" localSheetId="2">Sumário!$A$1:$L$59</definedName>
    <definedName name="CF">Funções!$L$8:$L$40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Contagem!$Y$11</definedName>
    <definedName name="VAF">#REF!</definedName>
    <definedName name="VAFA">#REF!</definedName>
    <definedName name="VAFB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3" l="1"/>
  <c r="S13" i="1" s="1"/>
  <c r="Y13" i="1" s="1"/>
  <c r="E57" i="3"/>
  <c r="S12" i="1" s="1"/>
  <c r="Y12" i="1" s="1"/>
  <c r="E56" i="3"/>
  <c r="S11" i="1" s="1"/>
  <c r="Y11" i="1" s="1"/>
  <c r="A4" i="2"/>
  <c r="H4" i="2"/>
  <c r="A5" i="2"/>
  <c r="H5" i="2"/>
  <c r="A6" i="2"/>
  <c r="F6" i="2"/>
  <c r="F58" i="3"/>
  <c r="F57" i="3"/>
  <c r="F56" i="3"/>
  <c r="F55" i="3"/>
  <c r="A4" i="3"/>
  <c r="F4" i="3"/>
  <c r="A5" i="3"/>
  <c r="F5" i="3"/>
  <c r="A6" i="3"/>
  <c r="F6" i="3"/>
  <c r="C33" i="3"/>
  <c r="G33" i="3" s="1"/>
  <c r="C25" i="3"/>
  <c r="G25" i="3" s="1"/>
  <c r="C24" i="3"/>
  <c r="G24" i="3" s="1"/>
  <c r="C12" i="3"/>
  <c r="G12" i="3" s="1"/>
  <c r="C26" i="3"/>
  <c r="G26" i="3" s="1"/>
  <c r="C31" i="3"/>
  <c r="G31" i="3" s="1"/>
  <c r="C38" i="3"/>
  <c r="G38" i="3" s="1"/>
  <c r="C32" i="3"/>
  <c r="G32" i="3" s="1"/>
  <c r="C39" i="3"/>
  <c r="G39" i="3" s="1"/>
  <c r="C18" i="3"/>
  <c r="G18" i="3" s="1"/>
  <c r="C40" i="3"/>
  <c r="G40" i="3" s="1"/>
  <c r="C19" i="3"/>
  <c r="G19" i="3" s="1"/>
  <c r="C11" i="3"/>
  <c r="G11" i="3" s="1"/>
  <c r="C10" i="3"/>
  <c r="C17" i="3"/>
  <c r="G17" i="3" s="1"/>
  <c r="E55" i="3"/>
  <c r="C28" i="3" l="1"/>
  <c r="C14" i="3"/>
  <c r="G10" i="3"/>
  <c r="C42" i="3"/>
  <c r="C21" i="3"/>
  <c r="G21" i="3"/>
  <c r="G57" i="3"/>
  <c r="G58" i="3"/>
  <c r="G55" i="3"/>
  <c r="G56" i="3"/>
  <c r="S10" i="1"/>
  <c r="Y10" i="1" s="1"/>
  <c r="W5" i="1" s="1"/>
  <c r="G46" i="3"/>
  <c r="G42" i="3"/>
  <c r="G35" i="3"/>
  <c r="G14" i="3"/>
  <c r="G28" i="3"/>
  <c r="G47" i="3"/>
  <c r="C35" i="3"/>
  <c r="G45" i="3" l="1"/>
  <c r="I42" i="3" s="1"/>
  <c r="B3" i="4"/>
  <c r="O6" i="2"/>
  <c r="K56" i="3"/>
  <c r="W4" i="1"/>
  <c r="K6" i="3"/>
  <c r="I28" i="3" l="1"/>
  <c r="I21" i="3"/>
  <c r="I35" i="3"/>
  <c r="I14" i="3"/>
  <c r="B27" i="4"/>
  <c r="B28" i="4"/>
  <c r="B32" i="4"/>
  <c r="B30" i="4"/>
  <c r="B29" i="4"/>
  <c r="B10" i="4"/>
  <c r="I6" i="2"/>
  <c r="H6" i="3"/>
  <c r="B15" i="4" l="1"/>
  <c r="B18" i="4"/>
  <c r="B12" i="4"/>
  <c r="B23" i="4"/>
  <c r="B17" i="4"/>
  <c r="B21" i="4"/>
  <c r="B24" i="4"/>
  <c r="B22" i="4"/>
  <c r="B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" authorId="0" shapeId="0" xr:uid="{00000000-0006-0000-0000-000001000000}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</author>
    <author>Alexandre Luiz Boruschenko Moro</author>
  </authors>
  <commentList>
    <comment ref="A7" authorId="0" shapeId="0" xr:uid="{00000000-0006-0000-0100-000001000000}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H7" authorId="0" shapeId="0" xr:uid="{00000000-0006-0000-0100-000002000000}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I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J7" authorId="0" shapeId="0" xr:uid="{00000000-0006-0000-0100-000004000000}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K7" authorId="0" shapeId="0" xr:uid="{00000000-0006-0000-0100-000005000000}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F38" authorId="2" shapeId="0" xr:uid="{00000000-0006-0000-0100-000006000000}">
      <text>
        <r>
          <rPr>
            <b/>
            <sz val="9"/>
            <color indexed="81"/>
            <rFont val="Tahoma"/>
            <charset val="1"/>
          </rPr>
          <t>Alexandre Luiz Boruschenko Moro:</t>
        </r>
        <r>
          <rPr>
            <sz val="9"/>
            <color indexed="81"/>
            <rFont val="Tahoma"/>
            <charset val="1"/>
          </rPr>
          <t xml:space="preserve">
Duplicado com incluir / popular tela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1000000}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 xr:uid="{00000000-0006-0000-0200-000002000000}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 xr:uid="{00000000-0006-0000-0200-000003000000}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 xr:uid="{00000000-0006-0000-0200-000004000000}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 xr:uid="{00000000-0006-0000-0200-000005000000}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 xr:uid="{00000000-0006-0000-0200-000006000000}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 xr:uid="{00000000-0006-0000-0200-000007000000}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<sst xmlns="http://schemas.openxmlformats.org/spreadsheetml/2006/main" count="175" uniqueCount="107">
  <si>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</si>
  <si>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</si>
  <si>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</si>
  <si>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</si>
  <si>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</si>
  <si>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</si>
  <si>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</si>
  <si>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</si>
  <si>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</si>
  <si>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</si>
  <si>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</si>
  <si>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</si>
  <si>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Indicativa</t>
  </si>
  <si>
    <t>Sumário</t>
  </si>
  <si>
    <t>Tamanho Funcional (PF)</t>
  </si>
  <si>
    <t>Deflator</t>
  </si>
  <si>
    <t>PF Local</t>
  </si>
  <si>
    <t>Estimativa</t>
  </si>
  <si>
    <t>ADD</t>
  </si>
  <si>
    <t>Projeto de Desenvolvimento</t>
  </si>
  <si>
    <t>CHG</t>
  </si>
  <si>
    <t>Projeto de Melhoria</t>
  </si>
  <si>
    <t>DEL</t>
  </si>
  <si>
    <t>Aplicação ( Baseline )</t>
  </si>
  <si>
    <t>Propósito da Contagem</t>
  </si>
  <si>
    <t>Escopo da Contagem</t>
  </si>
  <si>
    <t>Função</t>
  </si>
  <si>
    <t>REF.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</si>
  <si>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</si>
  <si>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</si>
  <si>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</si>
  <si>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</si>
  <si>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</si>
  <si>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</si>
  <si>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</si>
  <si>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</si>
  <si>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</si>
  <si>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</si>
  <si>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</si>
  <si>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</si>
  <si>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</si>
  <si>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</si>
  <si>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</si>
  <si>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</si>
  <si>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</si>
  <si>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</si>
  <si>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</si>
  <si>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</si>
  <si>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</si>
  <si>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</si>
  <si>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</si>
  <si>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</si>
  <si>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</si>
  <si>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</si>
  <si>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</si>
  <si>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</si>
  <si>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</si>
  <si>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</si>
  <si>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</si>
  <si>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</si>
  <si>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</si>
  <si>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</si>
  <si>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</si>
  <si>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</si>
  <si>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</si>
  <si>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</si>
  <si>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</si>
  <si>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</si>
  <si>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UC</t>
  </si>
  <si>
    <t>Prazo almejado (meses)</t>
  </si>
  <si>
    <t>ESTIMATIVA COM BASE NA</t>
  </si>
  <si>
    <t>PRODUTIVIDADE DO SETOR PÚBLICO</t>
  </si>
  <si>
    <t>PF/hora</t>
  </si>
  <si>
    <t>Total horas</t>
  </si>
  <si>
    <t>Horas / Homem-mês TRT9</t>
  </si>
  <si>
    <t>Esforço/pessoas no prazo desejado</t>
  </si>
  <si>
    <t>ESFORÇO POR ATIVIDADE (h)</t>
  </si>
  <si>
    <t>Análise de Requisitos (20%)</t>
  </si>
  <si>
    <t>Análise e Projeto (30%)</t>
  </si>
  <si>
    <t>Implementação e Testes (40%)</t>
  </si>
  <si>
    <t>Disponibilização (10%)</t>
  </si>
  <si>
    <t>ESFORÇO POR ATIVIDADE / MÊS (h)</t>
  </si>
  <si>
    <t>ESFORÇO POR ATIVIDADE / MÊS (PF)</t>
  </si>
  <si>
    <t>PRAZO MÁXIMO MESES (fórmula PROCERGS)</t>
  </si>
  <si>
    <t>AIPIM CONSULTORIA E DESENVOLVIMENTO</t>
  </si>
  <si>
    <t>Sistema de Controle de Vacinação contra a COVID-19</t>
  </si>
  <si>
    <t>Anderson Luiz Barbosa</t>
  </si>
  <si>
    <t>Grupo Aipim</t>
  </si>
  <si>
    <t>i</t>
  </si>
  <si>
    <t>Incluir</t>
  </si>
  <si>
    <t xml:space="preserve">Consultar </t>
  </si>
  <si>
    <t>O sistema irá buscar deus dados no cadastro único do governo federal.</t>
  </si>
  <si>
    <t>x</t>
  </si>
  <si>
    <t>Listar</t>
  </si>
  <si>
    <t>O sistema irá listar os dados sobre o cidadão para que a pessoa responsável pela aplicação possa verificar.</t>
  </si>
  <si>
    <t>Alterar</t>
  </si>
  <si>
    <t>Arquivos de interface externa</t>
  </si>
  <si>
    <t>Estimar o tempo necessário para o desenvolvimento de um sistema de vacinação contra a Covid-19.</t>
  </si>
  <si>
    <t>Agendamento, consulta aos dados do governo, registro de aplicação da dose</t>
  </si>
  <si>
    <t>Arquivos lógicos internos</t>
  </si>
  <si>
    <t>Armazenamento de dados referentes ao agendamento, e ao cadastro no sistema de vacinação.</t>
  </si>
  <si>
    <t>O Governo mantém uma base de dados nacional da população.</t>
  </si>
  <si>
    <t xml:space="preserve">Ao confirmar a aplicação da dose, o sistema registra a informação de que o cidadão já foi vacinado.  </t>
  </si>
  <si>
    <t xml:space="preserve"> Planilha de contagem de ponto de função</t>
  </si>
  <si>
    <t>O cidadão fará seu cadastro utilizando seu CPF e outro dados adicionais.</t>
  </si>
  <si>
    <t>O sistema irá buscar e validar seus dados no cadastro único do governo federal.</t>
  </si>
  <si>
    <t>O cidadão fará o agendamento inserindo uma data 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</si>
</sst>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F828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4" fontId="10" fillId="2" borderId="4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2" applyNumberFormat="1" applyFont="1" applyFill="1" applyBorder="1" applyAlignment="1" applyProtection="1"/>
    <xf numFmtId="0" fontId="4" fillId="0" borderId="12" xfId="0" applyFont="1" applyBorder="1"/>
    <xf numFmtId="10" fontId="4" fillId="0" borderId="12" xfId="0" applyNumberFormat="1" applyFont="1" applyBorder="1"/>
    <xf numFmtId="0" fontId="6" fillId="0" borderId="0" xfId="0" applyFont="1" applyFill="1" applyBorder="1"/>
    <xf numFmtId="166" fontId="4" fillId="3" borderId="0" xfId="2" applyNumberFormat="1" applyFont="1" applyFill="1" applyBorder="1" applyAlignment="1" applyProtection="1"/>
    <xf numFmtId="9" fontId="4" fillId="0" borderId="0" xfId="2" applyFont="1" applyFill="1" applyBorder="1" applyAlignment="1" applyProtection="1"/>
    <xf numFmtId="0" fontId="4" fillId="0" borderId="13" xfId="0" applyFont="1" applyBorder="1"/>
    <xf numFmtId="0" fontId="4" fillId="0" borderId="11" xfId="0" applyFont="1" applyBorder="1"/>
    <xf numFmtId="0" fontId="4" fillId="0" borderId="14" xfId="0" applyFont="1" applyBorder="1"/>
    <xf numFmtId="166" fontId="4" fillId="4" borderId="0" xfId="2" applyNumberFormat="1" applyFont="1" applyFill="1" applyBorder="1" applyAlignment="1" applyProtection="1"/>
    <xf numFmtId="166" fontId="4" fillId="5" borderId="0" xfId="2" applyNumberFormat="1" applyFont="1" applyFill="1" applyBorder="1" applyAlignment="1" applyProtection="1"/>
    <xf numFmtId="166" fontId="4" fillId="6" borderId="0" xfId="2" applyNumberFormat="1" applyFont="1" applyFill="1" applyBorder="1" applyAlignment="1" applyProtection="1"/>
    <xf numFmtId="166" fontId="4" fillId="7" borderId="0" xfId="2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0" borderId="0" xfId="2" applyNumberFormat="1" applyFont="1" applyFill="1" applyBorder="1" applyAlignment="1" applyProtection="1"/>
    <xf numFmtId="2" fontId="4" fillId="0" borderId="1" xfId="2" applyNumberFormat="1" applyFont="1" applyFill="1" applyBorder="1" applyAlignment="1" applyProtection="1">
      <alignment horizontal="center"/>
    </xf>
    <xf numFmtId="2" fontId="6" fillId="8" borderId="1" xfId="2" applyNumberFormat="1" applyFont="1" applyFill="1" applyBorder="1" applyAlignment="1" applyProtection="1"/>
    <xf numFmtId="0" fontId="4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 applyAlignment="1">
      <alignment horizontal="center"/>
    </xf>
    <xf numFmtId="2" fontId="4" fillId="0" borderId="16" xfId="2" applyNumberFormat="1" applyFont="1" applyFill="1" applyBorder="1" applyAlignment="1" applyProtection="1">
      <alignment horizontal="center"/>
    </xf>
    <xf numFmtId="2" fontId="4" fillId="0" borderId="16" xfId="2" applyNumberFormat="1" applyFont="1" applyFill="1" applyBorder="1" applyAlignment="1" applyProtection="1"/>
    <xf numFmtId="2" fontId="6" fillId="0" borderId="16" xfId="2" applyNumberFormat="1" applyFont="1" applyFill="1" applyBorder="1" applyAlignment="1" applyProtection="1"/>
    <xf numFmtId="0" fontId="4" fillId="0" borderId="17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2" applyNumberFormat="1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5" fillId="9" borderId="1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9" borderId="1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10" borderId="20" xfId="0" applyFont="1" applyFill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3" fontId="0" fillId="0" borderId="0" xfId="0" applyNumberFormat="1" applyAlignment="1">
      <alignment horizontal="center"/>
    </xf>
    <xf numFmtId="4" fontId="16" fillId="11" borderId="21" xfId="0" applyNumberFormat="1" applyFont="1" applyFill="1" applyBorder="1" applyAlignment="1">
      <alignment horizontal="center"/>
    </xf>
    <xf numFmtId="0" fontId="0" fillId="11" borderId="22" xfId="0" applyFill="1" applyBorder="1"/>
    <xf numFmtId="3" fontId="16" fillId="11" borderId="23" xfId="0" applyNumberFormat="1" applyFont="1" applyFill="1" applyBorder="1" applyAlignment="1">
      <alignment horizontal="center"/>
    </xf>
    <xf numFmtId="0" fontId="14" fillId="11" borderId="22" xfId="0" applyFont="1" applyFill="1" applyBorder="1"/>
    <xf numFmtId="0" fontId="14" fillId="11" borderId="24" xfId="0" applyFont="1" applyFill="1" applyBorder="1"/>
    <xf numFmtId="0" fontId="16" fillId="12" borderId="25" xfId="0" applyFont="1" applyFill="1" applyBorder="1"/>
    <xf numFmtId="3" fontId="0" fillId="12" borderId="21" xfId="0" applyNumberFormat="1" applyFill="1" applyBorder="1" applyAlignment="1">
      <alignment horizontal="center"/>
    </xf>
    <xf numFmtId="0" fontId="14" fillId="12" borderId="22" xfId="0" applyFont="1" applyFill="1" applyBorder="1"/>
    <xf numFmtId="3" fontId="16" fillId="12" borderId="23" xfId="0" applyNumberFormat="1" applyFont="1" applyFill="1" applyBorder="1" applyAlignment="1">
      <alignment horizontal="center"/>
    </xf>
    <xf numFmtId="0" fontId="14" fillId="12" borderId="24" xfId="0" applyFont="1" applyFill="1" applyBorder="1"/>
    <xf numFmtId="3" fontId="16" fillId="12" borderId="26" xfId="0" applyNumberFormat="1" applyFont="1" applyFill="1" applyBorder="1" applyAlignment="1">
      <alignment horizontal="center"/>
    </xf>
    <xf numFmtId="0" fontId="0" fillId="13" borderId="22" xfId="0" applyFill="1" applyBorder="1"/>
    <xf numFmtId="3" fontId="0" fillId="13" borderId="23" xfId="0" applyNumberFormat="1" applyFill="1" applyBorder="1" applyAlignment="1">
      <alignment horizontal="center"/>
    </xf>
    <xf numFmtId="0" fontId="16" fillId="13" borderId="24" xfId="0" applyFont="1" applyFill="1" applyBorder="1"/>
    <xf numFmtId="3" fontId="16" fillId="13" borderId="26" xfId="0" applyNumberFormat="1" applyFont="1" applyFill="1" applyBorder="1" applyAlignment="1">
      <alignment horizontal="center"/>
    </xf>
    <xf numFmtId="0" fontId="14" fillId="11" borderId="25" xfId="0" applyFont="1" applyFill="1" applyBorder="1"/>
    <xf numFmtId="0" fontId="16" fillId="13" borderId="27" xfId="0" applyFont="1" applyFill="1" applyBorder="1" applyAlignment="1">
      <alignment horizontal="center"/>
    </xf>
    <xf numFmtId="3" fontId="16" fillId="13" borderId="28" xfId="0" applyNumberFormat="1" applyFont="1" applyFill="1" applyBorder="1" applyAlignment="1">
      <alignment horizontal="center"/>
    </xf>
    <xf numFmtId="0" fontId="19" fillId="14" borderId="27" xfId="0" applyFont="1" applyFill="1" applyBorder="1"/>
    <xf numFmtId="0" fontId="10" fillId="15" borderId="29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/>
    </xf>
    <xf numFmtId="0" fontId="10" fillId="15" borderId="20" xfId="0" applyFont="1" applyFill="1" applyBorder="1" applyAlignment="1">
      <alignment horizontal="left" vertical="center"/>
    </xf>
    <xf numFmtId="0" fontId="19" fillId="14" borderId="28" xfId="0" applyNumberFormat="1" applyFont="1" applyFill="1" applyBorder="1" applyAlignment="1">
      <alignment horizontal="center"/>
    </xf>
    <xf numFmtId="0" fontId="15" fillId="9" borderId="3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15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" fontId="16" fillId="11" borderId="26" xfId="0" applyNumberFormat="1" applyFont="1" applyFill="1" applyBorder="1" applyAlignment="1">
      <alignment horizontal="center"/>
    </xf>
    <xf numFmtId="2" fontId="16" fillId="16" borderId="28" xfId="0" applyNumberFormat="1" applyFont="1" applyFill="1" applyBorder="1" applyAlignment="1">
      <alignment horizontal="center"/>
    </xf>
    <xf numFmtId="0" fontId="16" fillId="16" borderId="27" xfId="0" applyFont="1" applyFill="1" applyBorder="1"/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3" fillId="0" borderId="18" xfId="0" applyFont="1" applyBorder="1" applyAlignment="1">
      <alignment horizontal="left" vertical="center"/>
    </xf>
    <xf numFmtId="0" fontId="4" fillId="0" borderId="1" xfId="0" applyFont="1" applyBorder="1" applyAlignment="1" applyProtection="1">
      <protection locked="0"/>
    </xf>
    <xf numFmtId="165" fontId="4" fillId="2" borderId="1" xfId="3" applyFont="1" applyFill="1" applyBorder="1" applyAlignment="1" applyProtection="1"/>
    <xf numFmtId="0" fontId="3" fillId="0" borderId="1" xfId="0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/>
    </xf>
    <xf numFmtId="0" fontId="2" fillId="0" borderId="1" xfId="0" applyFont="1" applyBorder="1" applyAlignment="1">
      <alignment horizontal="center" vertical="center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30" xfId="0" applyFont="1" applyBorder="1" applyAlignment="1" applyProtection="1">
      <alignment horizontal="left"/>
      <protection locked="0"/>
    </xf>
    <xf numFmtId="0" fontId="3" fillId="0" borderId="30" xfId="0" applyFont="1" applyBorder="1" applyAlignment="1"/>
    <xf numFmtId="0" fontId="5" fillId="0" borderId="18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0" fontId="3" fillId="0" borderId="18" xfId="0" applyFont="1" applyBorder="1" applyAlignment="1"/>
    <xf numFmtId="0" fontId="3" fillId="0" borderId="6" xfId="0" applyFont="1" applyBorder="1" applyAlignment="1"/>
    <xf numFmtId="0" fontId="5" fillId="0" borderId="1" xfId="0" applyFont="1" applyBorder="1" applyAlignment="1">
      <alignment horizontal="center" vertical="center" textRotation="90" wrapText="1"/>
    </xf>
    <xf numFmtId="0" fontId="1" fillId="0" borderId="31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32" xfId="0" applyFont="1" applyBorder="1" applyAlignment="1" applyProtection="1">
      <alignment horizontal="left" vertical="top" wrapText="1"/>
      <protection locked="0"/>
    </xf>
    <xf numFmtId="0" fontId="1" fillId="0" borderId="33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34" xfId="0" applyFont="1" applyBorder="1" applyAlignment="1" applyProtection="1">
      <alignment horizontal="left" vertical="top" wrapText="1"/>
      <protection locked="0"/>
    </xf>
    <xf numFmtId="0" fontId="1" fillId="0" borderId="35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36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7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60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64-4E75-B3A7-C3DD0EB724B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64-4E75-B3A7-C3DD0EB724B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64-4E75-B3A7-C3DD0EB724B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64-4E75-B3A7-C3DD0EB724B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64-4E75-B3A7-C3DD0EB724B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64-4E75-B3A7-C3DD0EB724B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64-4E75-B3A7-C3DD0EB724B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64-4E75-B3A7-C3DD0EB724B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64-4E75-B3A7-C3DD0EB724B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64-4E75-B3A7-C3DD0EB724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64-4E75-B3A7-C3DD0EB7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4012" name="Chart 10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AD201"/>
  <sheetViews>
    <sheetView showGridLines="0" tabSelected="1" zoomScaleSheetLayoutView="100" workbookViewId="0">
      <selection activeCell="AP32" sqref="AP32"/>
    </sheetView>
  </sheetViews>
  <sheetFormatPr defaultRowHeight="13.5" x14ac:dyDescent="0.25"/>
  <cols>
    <col min="1" max="15" width="2.7109375" style="1" customWidth="1"/>
    <col min="16" max="16" width="0.85546875" style="1" customWidth="1"/>
    <col min="17" max="17" width="10.855468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</row>
    <row r="2" spans="1:30" ht="12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</row>
    <row r="3" spans="1:30" ht="14.25" customHeigh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</row>
    <row r="4" spans="1:30" x14ac:dyDescent="0.25">
      <c r="A4" s="105" t="s">
        <v>1</v>
      </c>
      <c r="B4" s="105"/>
      <c r="C4" s="105"/>
      <c r="D4" s="105"/>
      <c r="E4" s="105"/>
      <c r="F4" s="111" t="s">
        <v>84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08" t="s">
        <v>2</v>
      </c>
      <c r="S4" s="108"/>
      <c r="T4" s="62">
        <v>500</v>
      </c>
      <c r="U4" s="108" t="s">
        <v>3</v>
      </c>
      <c r="V4" s="108"/>
      <c r="W4" s="109">
        <f>W5*T4</f>
        <v>22500</v>
      </c>
      <c r="X4" s="109"/>
      <c r="Y4" s="109"/>
      <c r="Z4" s="109"/>
      <c r="AA4" s="109"/>
      <c r="AB4" s="109"/>
    </row>
    <row r="5" spans="1:30" x14ac:dyDescent="0.25">
      <c r="A5" s="105" t="s">
        <v>4</v>
      </c>
      <c r="B5" s="105"/>
      <c r="C5" s="105"/>
      <c r="D5" s="105"/>
      <c r="E5" s="105"/>
      <c r="F5" s="106" t="s">
        <v>85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8" t="s">
        <v>5</v>
      </c>
      <c r="V5" s="108"/>
      <c r="W5" s="107">
        <f>SUM(Y10:Y13)</f>
        <v>45</v>
      </c>
      <c r="X5" s="107"/>
      <c r="Y5" s="107"/>
      <c r="Z5" s="107"/>
      <c r="AA5" s="107"/>
      <c r="AB5" s="107"/>
    </row>
    <row r="6" spans="1:30" x14ac:dyDescent="0.25">
      <c r="A6" s="105" t="s">
        <v>6</v>
      </c>
      <c r="B6" s="105"/>
      <c r="C6" s="105"/>
      <c r="D6" s="105"/>
      <c r="E6" s="105"/>
      <c r="F6" s="106" t="s">
        <v>85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</row>
    <row r="7" spans="1:30" x14ac:dyDescent="0.25">
      <c r="A7" s="105" t="s">
        <v>7</v>
      </c>
      <c r="B7" s="105"/>
      <c r="C7" s="105"/>
      <c r="D7" s="105"/>
      <c r="E7" s="105"/>
      <c r="F7" s="106" t="s">
        <v>87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3" t="s">
        <v>8</v>
      </c>
      <c r="V7" s="103"/>
      <c r="W7" s="103"/>
      <c r="X7" s="104">
        <v>44331</v>
      </c>
      <c r="Y7" s="104"/>
      <c r="Z7" s="104"/>
      <c r="AA7" s="104"/>
      <c r="AB7" s="104"/>
    </row>
    <row r="8" spans="1:30" x14ac:dyDescent="0.25">
      <c r="A8" s="105" t="s">
        <v>9</v>
      </c>
      <c r="B8" s="105"/>
      <c r="C8" s="105"/>
      <c r="D8" s="105"/>
      <c r="E8" s="105"/>
      <c r="F8" s="106" t="s">
        <v>86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3" t="s">
        <v>10</v>
      </c>
      <c r="V8" s="103"/>
      <c r="W8" s="103"/>
      <c r="X8" s="104">
        <v>44365</v>
      </c>
      <c r="Y8" s="104"/>
      <c r="Z8" s="104"/>
      <c r="AA8" s="104"/>
      <c r="AB8" s="104"/>
    </row>
    <row r="9" spans="1:30" x14ac:dyDescent="0.25">
      <c r="A9" s="120" t="s">
        <v>11</v>
      </c>
      <c r="B9" s="120"/>
      <c r="C9" s="114" t="s">
        <v>12</v>
      </c>
      <c r="D9" s="114"/>
      <c r="E9" s="114"/>
      <c r="F9" s="114"/>
      <c r="G9" s="114"/>
      <c r="H9" s="114"/>
      <c r="I9" s="114"/>
      <c r="J9" s="114"/>
      <c r="K9" s="114"/>
      <c r="L9" s="2"/>
      <c r="M9" s="3"/>
      <c r="N9" s="3"/>
      <c r="O9" s="115" t="s">
        <v>13</v>
      </c>
      <c r="P9" s="115"/>
      <c r="Q9" s="108" t="s">
        <v>14</v>
      </c>
      <c r="R9" s="108"/>
      <c r="S9" s="108"/>
      <c r="T9" s="108"/>
      <c r="U9" s="108" t="s">
        <v>15</v>
      </c>
      <c r="V9" s="108"/>
      <c r="W9" s="108"/>
      <c r="X9" s="108"/>
      <c r="Y9" s="108" t="s">
        <v>16</v>
      </c>
      <c r="Z9" s="108"/>
      <c r="AA9" s="108"/>
      <c r="AB9" s="108"/>
      <c r="AC9" s="4"/>
      <c r="AD9" s="4"/>
    </row>
    <row r="10" spans="1:30" x14ac:dyDescent="0.25">
      <c r="A10" s="120"/>
      <c r="B10" s="120"/>
      <c r="C10" s="114" t="s">
        <v>17</v>
      </c>
      <c r="D10" s="114"/>
      <c r="E10" s="114"/>
      <c r="F10" s="114"/>
      <c r="G10" s="114"/>
      <c r="H10" s="114"/>
      <c r="I10" s="114"/>
      <c r="J10" s="114"/>
      <c r="K10" s="114"/>
      <c r="L10" s="2"/>
      <c r="M10" s="3"/>
      <c r="N10" s="3"/>
      <c r="O10" s="115"/>
      <c r="P10" s="115"/>
      <c r="Q10" s="103" t="s">
        <v>18</v>
      </c>
      <c r="R10" s="103"/>
      <c r="S10" s="107">
        <f>Sumário!E55</f>
        <v>45</v>
      </c>
      <c r="T10" s="107"/>
      <c r="U10" s="117">
        <v>1</v>
      </c>
      <c r="V10" s="117"/>
      <c r="W10" s="117"/>
      <c r="X10" s="117"/>
      <c r="Y10" s="107">
        <f>S10*U10</f>
        <v>45</v>
      </c>
      <c r="Z10" s="107"/>
      <c r="AA10" s="107"/>
      <c r="AB10" s="107"/>
    </row>
    <row r="11" spans="1:30" x14ac:dyDescent="0.25">
      <c r="A11" s="120"/>
      <c r="B11" s="120"/>
      <c r="C11" s="118" t="s">
        <v>19</v>
      </c>
      <c r="D11" s="119"/>
      <c r="E11" s="119"/>
      <c r="F11" s="119"/>
      <c r="G11" s="119"/>
      <c r="H11" s="119"/>
      <c r="I11" s="119"/>
      <c r="J11" s="119"/>
      <c r="K11" s="114"/>
      <c r="L11" s="2" t="s">
        <v>92</v>
      </c>
      <c r="M11" s="3"/>
      <c r="N11" s="3"/>
      <c r="O11" s="115"/>
      <c r="P11" s="115"/>
      <c r="Q11" s="116" t="s">
        <v>20</v>
      </c>
      <c r="R11" s="116"/>
      <c r="S11" s="107">
        <f>Sumário!E56</f>
        <v>0</v>
      </c>
      <c r="T11" s="107"/>
      <c r="U11" s="117">
        <v>1</v>
      </c>
      <c r="V11" s="117"/>
      <c r="W11" s="117"/>
      <c r="X11" s="117"/>
      <c r="Y11" s="107">
        <f>S11*U11</f>
        <v>0</v>
      </c>
      <c r="Z11" s="107"/>
      <c r="AA11" s="107"/>
      <c r="AB11" s="107"/>
    </row>
    <row r="12" spans="1:30" x14ac:dyDescent="0.25">
      <c r="A12" s="120"/>
      <c r="B12" s="120"/>
      <c r="C12" s="118" t="s">
        <v>21</v>
      </c>
      <c r="D12" s="119"/>
      <c r="E12" s="119"/>
      <c r="F12" s="119"/>
      <c r="G12" s="119"/>
      <c r="H12" s="119"/>
      <c r="I12" s="119"/>
      <c r="J12" s="119"/>
      <c r="K12" s="114"/>
      <c r="L12" s="2"/>
      <c r="M12" s="3"/>
      <c r="N12" s="3"/>
      <c r="O12" s="115"/>
      <c r="P12" s="115"/>
      <c r="Q12" s="116" t="s">
        <v>22</v>
      </c>
      <c r="R12" s="116"/>
      <c r="S12" s="107">
        <f>Sumário!E57</f>
        <v>0</v>
      </c>
      <c r="T12" s="107"/>
      <c r="U12" s="117">
        <v>1</v>
      </c>
      <c r="V12" s="117"/>
      <c r="W12" s="117"/>
      <c r="X12" s="117"/>
      <c r="Y12" s="107">
        <f>S12*U12</f>
        <v>0</v>
      </c>
      <c r="Z12" s="107"/>
      <c r="AA12" s="107"/>
      <c r="AB12" s="107"/>
    </row>
    <row r="13" spans="1:30" x14ac:dyDescent="0.25">
      <c r="A13" s="120"/>
      <c r="B13" s="120"/>
      <c r="C13" s="118" t="s">
        <v>23</v>
      </c>
      <c r="D13" s="119"/>
      <c r="E13" s="119"/>
      <c r="F13" s="119"/>
      <c r="G13" s="119"/>
      <c r="H13" s="119"/>
      <c r="I13" s="119"/>
      <c r="J13" s="119"/>
      <c r="K13" s="114"/>
      <c r="L13" s="2"/>
      <c r="M13" s="3"/>
      <c r="N13" s="3"/>
      <c r="O13" s="115"/>
      <c r="P13" s="115"/>
      <c r="Q13" s="116"/>
      <c r="R13" s="116"/>
      <c r="S13" s="107">
        <f>Sumário!E58</f>
        <v>0</v>
      </c>
      <c r="T13" s="107"/>
      <c r="U13" s="117"/>
      <c r="V13" s="117"/>
      <c r="W13" s="117"/>
      <c r="X13" s="117"/>
      <c r="Y13" s="107">
        <f>S13*U13</f>
        <v>0</v>
      </c>
      <c r="Z13" s="107"/>
      <c r="AA13" s="107"/>
      <c r="AB13" s="107"/>
    </row>
    <row r="14" spans="1:30" ht="12" customHeight="1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6"/>
    </row>
    <row r="15" spans="1:30" ht="12" customHeight="1" x14ac:dyDescent="0.3">
      <c r="B15" s="8"/>
      <c r="C15" s="8"/>
      <c r="F15" s="8"/>
      <c r="G15" s="8"/>
      <c r="H15" s="8"/>
      <c r="I15" s="8"/>
      <c r="J15" s="6"/>
      <c r="K15" s="130" t="s">
        <v>24</v>
      </c>
      <c r="L15" s="130"/>
      <c r="M15" s="130"/>
      <c r="N15" s="130"/>
      <c r="O15" s="130"/>
      <c r="P15" s="130"/>
      <c r="Q15" s="130"/>
      <c r="R15" s="130"/>
      <c r="S15" s="130"/>
    </row>
    <row r="16" spans="1:30" ht="12" customHeight="1" x14ac:dyDescent="0.25">
      <c r="A16" s="121" t="s">
        <v>97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3"/>
    </row>
    <row r="17" spans="1:28" ht="12" customHeight="1" x14ac:dyDescent="0.25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6"/>
    </row>
    <row r="18" spans="1:28" ht="12" customHeight="1" x14ac:dyDescent="0.25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6"/>
    </row>
    <row r="19" spans="1:28" ht="12" customHeight="1" x14ac:dyDescent="0.25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6"/>
    </row>
    <row r="20" spans="1:28" ht="12" customHeight="1" x14ac:dyDescent="0.25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6"/>
    </row>
    <row r="21" spans="1:28" ht="12" customHeight="1" x14ac:dyDescent="0.25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6"/>
    </row>
    <row r="22" spans="1:28" ht="12" customHeight="1" x14ac:dyDescent="0.25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6"/>
    </row>
    <row r="23" spans="1:28" ht="12" customHeight="1" x14ac:dyDescent="0.25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</row>
    <row r="24" spans="1:28" ht="1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28" ht="12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130" t="s">
        <v>25</v>
      </c>
      <c r="L25" s="130"/>
      <c r="M25" s="130"/>
      <c r="N25" s="130"/>
      <c r="O25" s="130"/>
      <c r="P25" s="130"/>
      <c r="Q25" s="130"/>
      <c r="R25" s="130"/>
      <c r="S25" s="130"/>
    </row>
    <row r="26" spans="1:28" ht="12" customHeight="1" x14ac:dyDescent="0.25">
      <c r="A26" s="121" t="s">
        <v>98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3"/>
    </row>
    <row r="27" spans="1:28" ht="12" customHeight="1" x14ac:dyDescent="0.25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6"/>
    </row>
    <row r="28" spans="1:28" ht="12" customHeight="1" x14ac:dyDescent="0.25">
      <c r="A28" s="124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/>
    </row>
    <row r="29" spans="1:28" ht="12" customHeight="1" x14ac:dyDescent="0.25">
      <c r="A29" s="124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6"/>
    </row>
    <row r="30" spans="1:28" ht="12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6"/>
    </row>
    <row r="31" spans="1:28" ht="12" customHeight="1" x14ac:dyDescent="0.25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6"/>
    </row>
    <row r="32" spans="1:28" ht="12" customHeight="1" x14ac:dyDescent="0.25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6"/>
    </row>
    <row r="33" spans="1:28" ht="12" customHeight="1" x14ac:dyDescent="0.25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9"/>
    </row>
    <row r="34" spans="1:28" ht="12" customHeight="1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1:28" ht="12" customHeight="1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1:28" ht="12" customHeight="1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1:28" ht="12" customHeight="1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1:28" ht="12" customHeight="1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1:28" ht="12" customHeight="1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1:28" ht="12" customHeight="1" x14ac:dyDescent="0.25">
      <c r="B41" s="6"/>
      <c r="C41" s="6"/>
      <c r="D41" s="6"/>
      <c r="E41" s="6"/>
      <c r="F41" s="6"/>
      <c r="G41" s="6"/>
      <c r="H41" s="6"/>
      <c r="I41" s="6"/>
      <c r="J41" s="6"/>
    </row>
    <row r="42" spans="1:28" ht="12" customHeight="1" x14ac:dyDescent="0.25">
      <c r="B42" s="6"/>
      <c r="C42" s="6"/>
      <c r="D42" s="6"/>
      <c r="E42" s="6"/>
      <c r="F42" s="6"/>
      <c r="G42" s="6"/>
      <c r="H42" s="6"/>
      <c r="I42" s="6"/>
      <c r="J42" s="6"/>
    </row>
    <row r="43" spans="1:28" ht="12" customHeight="1" x14ac:dyDescent="0.25">
      <c r="B43" s="6"/>
      <c r="C43" s="6"/>
      <c r="D43" s="6"/>
      <c r="E43" s="6"/>
      <c r="F43" s="6"/>
      <c r="G43" s="6"/>
      <c r="H43" s="6"/>
      <c r="I43" s="6"/>
      <c r="J43" s="6"/>
    </row>
    <row r="44" spans="1:28" ht="12" customHeight="1" x14ac:dyDescent="0.25">
      <c r="B44" s="6"/>
      <c r="C44" s="6"/>
      <c r="D44" s="6"/>
      <c r="E44" s="6"/>
      <c r="F44" s="6"/>
      <c r="G44" s="6"/>
      <c r="H44" s="6"/>
      <c r="I44" s="6"/>
      <c r="J44" s="6"/>
    </row>
    <row r="45" spans="1:28" ht="12" customHeight="1" x14ac:dyDescent="0.25">
      <c r="B45" s="6"/>
      <c r="C45" s="6"/>
      <c r="D45" s="6"/>
      <c r="E45" s="6"/>
      <c r="F45" s="6"/>
      <c r="G45" s="6"/>
      <c r="H45" s="6"/>
      <c r="I45" s="6"/>
      <c r="J45" s="6"/>
    </row>
    <row r="46" spans="1:28" ht="12" customHeight="1" x14ac:dyDescent="0.25"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 x14ac:dyDescent="0.25">
      <c r="B47" s="6"/>
      <c r="C47" s="6"/>
      <c r="D47" s="6"/>
      <c r="E47" s="6"/>
      <c r="F47" s="6"/>
      <c r="G47" s="6"/>
      <c r="H47" s="6"/>
      <c r="I47" s="6"/>
      <c r="J47" s="6"/>
    </row>
    <row r="48" spans="1:28" ht="12" customHeight="1" x14ac:dyDescent="0.25">
      <c r="B48" s="6"/>
      <c r="C48" s="6"/>
      <c r="D48" s="6"/>
      <c r="E48" s="6"/>
      <c r="F48" s="6"/>
      <c r="G48" s="6"/>
      <c r="H48" s="6"/>
      <c r="I48" s="6"/>
      <c r="J48" s="6"/>
    </row>
    <row r="49" spans="2:10" ht="12" customHeight="1" x14ac:dyDescent="0.25">
      <c r="B49" s="6"/>
      <c r="C49" s="6"/>
      <c r="D49" s="6"/>
      <c r="E49" s="6"/>
      <c r="F49" s="6"/>
      <c r="G49" s="6"/>
      <c r="H49" s="6"/>
      <c r="I49" s="6"/>
      <c r="J49" s="6"/>
    </row>
    <row r="50" spans="2:10" ht="12" customHeight="1" x14ac:dyDescent="0.25">
      <c r="B50" s="6"/>
      <c r="C50" s="6"/>
      <c r="D50" s="6"/>
      <c r="E50" s="6"/>
      <c r="F50" s="6"/>
      <c r="G50" s="6"/>
      <c r="H50" s="6"/>
      <c r="I50" s="6"/>
      <c r="J50" s="6"/>
    </row>
    <row r="51" spans="2:10" ht="12" customHeight="1" x14ac:dyDescent="0.25">
      <c r="B51" s="6"/>
      <c r="C51" s="6"/>
      <c r="D51" s="6"/>
      <c r="E51" s="6"/>
      <c r="F51" s="6"/>
      <c r="G51" s="6"/>
      <c r="H51" s="6"/>
      <c r="I51" s="6"/>
      <c r="J51" s="6"/>
    </row>
    <row r="52" spans="2:10" ht="12" customHeight="1" x14ac:dyDescent="0.25">
      <c r="B52" s="6"/>
      <c r="C52" s="6"/>
      <c r="D52" s="6"/>
      <c r="E52" s="6"/>
      <c r="F52" s="6"/>
      <c r="G52" s="6"/>
      <c r="H52" s="6"/>
      <c r="I52" s="6"/>
      <c r="J52" s="6"/>
    </row>
    <row r="53" spans="2:10" ht="12" customHeight="1" x14ac:dyDescent="0.25">
      <c r="B53" s="6"/>
      <c r="C53" s="6"/>
      <c r="D53" s="6"/>
      <c r="E53" s="6"/>
      <c r="F53" s="6"/>
      <c r="G53" s="6"/>
      <c r="H53" s="6"/>
      <c r="I53" s="6"/>
      <c r="J53" s="6"/>
    </row>
    <row r="54" spans="2:10" ht="12" customHeight="1" x14ac:dyDescent="0.25">
      <c r="B54" s="6"/>
      <c r="C54" s="6"/>
      <c r="D54" s="6"/>
      <c r="E54" s="6"/>
      <c r="F54" s="6"/>
      <c r="G54" s="6"/>
      <c r="H54" s="6"/>
      <c r="I54" s="6"/>
      <c r="J54" s="6"/>
    </row>
    <row r="55" spans="2:10" ht="12" customHeight="1" x14ac:dyDescent="0.25">
      <c r="B55" s="6"/>
      <c r="C55" s="6"/>
      <c r="D55" s="6"/>
      <c r="E55" s="6"/>
      <c r="F55" s="6"/>
      <c r="G55" s="6"/>
      <c r="H55" s="6"/>
      <c r="I55" s="6"/>
      <c r="J55" s="6"/>
    </row>
    <row r="56" spans="2:10" ht="12" customHeight="1" x14ac:dyDescent="0.25">
      <c r="B56" s="6"/>
      <c r="C56" s="6"/>
      <c r="D56" s="6"/>
      <c r="E56" s="6"/>
      <c r="F56" s="6"/>
      <c r="G56" s="6"/>
      <c r="H56" s="6"/>
      <c r="I56" s="6"/>
      <c r="J56" s="6"/>
    </row>
    <row r="57" spans="2:10" ht="12" customHeight="1" x14ac:dyDescent="0.25">
      <c r="B57" s="6"/>
      <c r="C57" s="6"/>
      <c r="D57" s="6"/>
      <c r="E57" s="6"/>
      <c r="F57" s="6"/>
      <c r="G57" s="6"/>
      <c r="H57" s="6"/>
      <c r="I57" s="6"/>
      <c r="J57" s="6"/>
    </row>
    <row r="58" spans="2:10" ht="12" customHeight="1" x14ac:dyDescent="0.25">
      <c r="B58" s="6"/>
      <c r="C58" s="6"/>
      <c r="D58" s="6"/>
      <c r="E58" s="6"/>
      <c r="F58" s="6"/>
      <c r="G58" s="6"/>
      <c r="H58" s="6"/>
      <c r="I58" s="6"/>
      <c r="J58" s="6"/>
    </row>
    <row r="59" spans="2:10" ht="12" customHeight="1" x14ac:dyDescent="0.25">
      <c r="B59" s="6"/>
      <c r="C59" s="6"/>
      <c r="D59" s="6"/>
      <c r="E59" s="6"/>
      <c r="F59" s="6"/>
      <c r="G59" s="6"/>
      <c r="H59" s="6"/>
      <c r="I59" s="6"/>
      <c r="J59" s="6"/>
    </row>
    <row r="60" spans="2:10" ht="12" customHeight="1" x14ac:dyDescent="0.25">
      <c r="B60" s="6"/>
      <c r="C60" s="6"/>
      <c r="D60" s="6"/>
      <c r="E60" s="6"/>
      <c r="F60" s="6"/>
      <c r="G60" s="6"/>
      <c r="H60" s="6"/>
      <c r="I60" s="6"/>
      <c r="J60" s="6"/>
    </row>
    <row r="61" spans="2:10" ht="12" customHeight="1" x14ac:dyDescent="0.25">
      <c r="B61" s="6"/>
      <c r="C61" s="6"/>
      <c r="D61" s="6"/>
      <c r="E61" s="6"/>
      <c r="F61" s="6"/>
      <c r="G61" s="6"/>
      <c r="H61" s="6"/>
      <c r="I61" s="6"/>
      <c r="J61" s="6"/>
    </row>
    <row r="62" spans="2:10" ht="12" customHeight="1" x14ac:dyDescent="0.25">
      <c r="B62" s="6"/>
      <c r="C62" s="6"/>
      <c r="D62" s="6"/>
      <c r="E62" s="6"/>
      <c r="F62" s="6"/>
      <c r="G62" s="6"/>
      <c r="H62" s="6"/>
      <c r="I62" s="6"/>
      <c r="J62" s="6"/>
    </row>
    <row r="63" spans="2:10" ht="12" customHeight="1" x14ac:dyDescent="0.25">
      <c r="B63" s="6"/>
      <c r="C63" s="6"/>
      <c r="D63" s="6"/>
      <c r="E63" s="6"/>
      <c r="F63" s="6"/>
      <c r="G63" s="6"/>
      <c r="H63" s="6"/>
      <c r="I63" s="6"/>
      <c r="J63" s="6"/>
    </row>
    <row r="64" spans="2:10" ht="12" customHeight="1" x14ac:dyDescent="0.25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 x14ac:dyDescent="0.25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 x14ac:dyDescent="0.25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 x14ac:dyDescent="0.25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 x14ac:dyDescent="0.25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 x14ac:dyDescent="0.25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 x14ac:dyDescent="0.25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 x14ac:dyDescent="0.25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 x14ac:dyDescent="0.25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 x14ac:dyDescent="0.25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 x14ac:dyDescent="0.25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 x14ac:dyDescent="0.25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 x14ac:dyDescent="0.25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 x14ac:dyDescent="0.25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 x14ac:dyDescent="0.25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 x14ac:dyDescent="0.25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 x14ac:dyDescent="0.25">
      <c r="B80" s="6"/>
      <c r="C80" s="6"/>
      <c r="D80" s="6"/>
      <c r="E80" s="6"/>
      <c r="F80" s="6"/>
      <c r="G80" s="6"/>
      <c r="H80" s="6"/>
      <c r="I80" s="6"/>
      <c r="J80" s="6"/>
    </row>
    <row r="81" spans="1:10" ht="12" customHeight="1" x14ac:dyDescent="0.25">
      <c r="B81" s="6"/>
      <c r="C81" s="6"/>
      <c r="D81" s="6"/>
      <c r="E81" s="6"/>
      <c r="F81" s="6"/>
      <c r="G81" s="6"/>
      <c r="H81" s="6"/>
      <c r="I81" s="6"/>
      <c r="J81" s="6"/>
    </row>
    <row r="82" spans="1:10" ht="12" customHeight="1" x14ac:dyDescent="0.25">
      <c r="B82" s="6"/>
      <c r="C82" s="6"/>
      <c r="D82" s="6"/>
      <c r="E82" s="6"/>
      <c r="F82" s="6"/>
      <c r="G82" s="6"/>
      <c r="H82" s="6"/>
      <c r="I82" s="6"/>
      <c r="J82" s="6"/>
    </row>
    <row r="83" spans="1:10" ht="12" customHeight="1" x14ac:dyDescent="0.25">
      <c r="B83" s="6"/>
      <c r="C83" s="6"/>
      <c r="D83" s="6"/>
      <c r="E83" s="6"/>
      <c r="F83" s="6"/>
      <c r="G83" s="6"/>
      <c r="H83" s="6"/>
      <c r="I83" s="6"/>
      <c r="J83" s="6"/>
    </row>
    <row r="84" spans="1:10" ht="12" customHeight="1" x14ac:dyDescent="0.25">
      <c r="B84" s="6"/>
      <c r="C84" s="6"/>
      <c r="D84" s="6"/>
      <c r="E84" s="6"/>
      <c r="F84" s="6"/>
      <c r="G84" s="6"/>
      <c r="H84" s="6"/>
      <c r="I84" s="6"/>
      <c r="J84" s="6"/>
    </row>
    <row r="85" spans="1:10" ht="12" customHeight="1" x14ac:dyDescent="0.25">
      <c r="B85" s="6"/>
      <c r="C85" s="6"/>
      <c r="D85" s="6"/>
      <c r="E85" s="6"/>
      <c r="F85" s="6"/>
      <c r="G85" s="6"/>
      <c r="H85" s="6"/>
      <c r="I85" s="6"/>
      <c r="J85" s="6"/>
    </row>
    <row r="86" spans="1:10" ht="12" customHeight="1" x14ac:dyDescent="0.25">
      <c r="B86" s="6"/>
      <c r="C86" s="6"/>
      <c r="D86" s="6"/>
      <c r="E86" s="6"/>
      <c r="F86" s="6"/>
      <c r="G86" s="6"/>
      <c r="H86" s="6"/>
      <c r="I86" s="6"/>
      <c r="J86" s="6"/>
    </row>
    <row r="87" spans="1:10" ht="12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ht="12" customHeight="1" x14ac:dyDescent="0.25">
      <c r="B88" s="6"/>
      <c r="C88" s="6"/>
      <c r="D88" s="6"/>
      <c r="E88" s="6"/>
      <c r="F88" s="6"/>
      <c r="G88" s="6"/>
      <c r="H88" s="6"/>
      <c r="I88" s="6"/>
      <c r="J88" s="6"/>
    </row>
    <row r="89" spans="1:10" ht="12" customHeight="1" x14ac:dyDescent="0.25">
      <c r="B89" s="6"/>
      <c r="C89" s="6"/>
      <c r="D89" s="6"/>
      <c r="E89" s="6"/>
      <c r="F89" s="6"/>
      <c r="G89" s="6"/>
      <c r="H89" s="6"/>
      <c r="I89" s="6"/>
      <c r="J89" s="6"/>
    </row>
    <row r="90" spans="1:10" ht="12" customHeight="1" x14ac:dyDescent="0.25">
      <c r="B90" s="6"/>
      <c r="C90" s="6"/>
      <c r="D90" s="6"/>
      <c r="E90" s="6"/>
      <c r="F90" s="6"/>
      <c r="G90" s="6"/>
      <c r="H90" s="6"/>
      <c r="I90" s="6"/>
      <c r="J90" s="6"/>
    </row>
    <row r="91" spans="1:10" ht="12" customHeight="1" x14ac:dyDescent="0.25">
      <c r="B91" s="6"/>
      <c r="C91" s="6"/>
      <c r="D91" s="6"/>
      <c r="E91" s="6"/>
      <c r="F91" s="6"/>
      <c r="G91" s="6"/>
      <c r="H91" s="6"/>
      <c r="I91" s="6"/>
      <c r="J91" s="6"/>
    </row>
    <row r="92" spans="1:10" ht="12" customHeight="1" x14ac:dyDescent="0.25">
      <c r="B92" s="6"/>
      <c r="C92" s="6"/>
      <c r="D92" s="6"/>
      <c r="E92" s="6"/>
      <c r="F92" s="6"/>
      <c r="G92" s="6"/>
      <c r="H92" s="6"/>
      <c r="I92" s="6"/>
      <c r="J92" s="6"/>
    </row>
    <row r="93" spans="1:10" ht="12" customHeight="1" x14ac:dyDescent="0.25">
      <c r="B93" s="6"/>
      <c r="C93" s="6"/>
      <c r="D93" s="6"/>
      <c r="E93" s="6"/>
      <c r="F93" s="6"/>
      <c r="G93" s="6"/>
      <c r="H93" s="6"/>
      <c r="I93" s="6"/>
      <c r="J93" s="6"/>
    </row>
    <row r="94" spans="1:10" ht="12" customHeight="1" x14ac:dyDescent="0.25">
      <c r="B94" s="6"/>
      <c r="C94" s="6"/>
      <c r="D94" s="6"/>
      <c r="E94" s="6"/>
      <c r="F94" s="6"/>
      <c r="G94" s="6"/>
      <c r="H94" s="6"/>
      <c r="I94" s="6"/>
      <c r="J94" s="6"/>
    </row>
    <row r="95" spans="1:10" ht="12" customHeight="1" x14ac:dyDescent="0.25">
      <c r="B95" s="6"/>
      <c r="C95" s="6"/>
      <c r="D95" s="6"/>
      <c r="E95" s="6"/>
      <c r="F95" s="6"/>
      <c r="G95" s="6"/>
      <c r="H95" s="6"/>
      <c r="I95" s="6"/>
      <c r="J95" s="6"/>
    </row>
    <row r="96" spans="1:10" ht="12" customHeight="1" x14ac:dyDescent="0.25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25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25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25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25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25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25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25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25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25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25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25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25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25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25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25">
      <c r="B112" s="6"/>
      <c r="C112" s="6"/>
      <c r="D112" s="6"/>
      <c r="E112" s="6"/>
      <c r="F112" s="6"/>
      <c r="G112" s="6"/>
      <c r="H112" s="6"/>
      <c r="I112" s="6"/>
      <c r="J112" s="6"/>
    </row>
    <row r="113" spans="2:10" ht="12" customHeight="1" x14ac:dyDescent="0.25">
      <c r="B113" s="6"/>
      <c r="C113" s="6"/>
      <c r="D113" s="6"/>
      <c r="E113" s="6"/>
      <c r="F113" s="6"/>
      <c r="G113" s="6"/>
      <c r="H113" s="6"/>
      <c r="I113" s="6"/>
      <c r="J113" s="6"/>
    </row>
    <row r="114" spans="2:10" ht="12" customHeight="1" x14ac:dyDescent="0.25">
      <c r="B114" s="6"/>
      <c r="C114" s="6"/>
      <c r="D114" s="6"/>
      <c r="E114" s="6"/>
      <c r="F114" s="6"/>
      <c r="G114" s="6"/>
      <c r="H114" s="6"/>
      <c r="I114" s="6"/>
      <c r="J114" s="6"/>
    </row>
    <row r="115" spans="2:10" ht="12" customHeight="1" x14ac:dyDescent="0.25">
      <c r="B115" s="6"/>
      <c r="C115" s="6"/>
      <c r="D115" s="6"/>
      <c r="E115" s="6"/>
      <c r="F115" s="6"/>
      <c r="G115" s="6"/>
      <c r="H115" s="6"/>
      <c r="I115" s="6"/>
      <c r="J115" s="6"/>
    </row>
    <row r="116" spans="2:10" ht="12" customHeight="1" x14ac:dyDescent="0.25">
      <c r="B116" s="6"/>
      <c r="C116" s="6"/>
      <c r="D116" s="6"/>
      <c r="E116" s="6"/>
      <c r="F116" s="6"/>
      <c r="G116" s="6"/>
      <c r="H116" s="6"/>
      <c r="I116" s="6"/>
      <c r="J116" s="6"/>
    </row>
    <row r="117" spans="2:10" ht="12" customHeight="1" x14ac:dyDescent="0.25">
      <c r="B117" s="6"/>
      <c r="C117" s="6"/>
      <c r="D117" s="6"/>
      <c r="E117" s="6"/>
      <c r="F117" s="6"/>
      <c r="G117" s="6"/>
      <c r="H117" s="6"/>
      <c r="I117" s="6"/>
      <c r="J117" s="6"/>
    </row>
    <row r="118" spans="2:10" ht="12" customHeight="1" x14ac:dyDescent="0.25">
      <c r="B118" s="6"/>
      <c r="C118" s="6"/>
      <c r="D118" s="6"/>
      <c r="E118" s="6"/>
      <c r="F118" s="6"/>
      <c r="G118" s="6"/>
      <c r="H118" s="6"/>
      <c r="I118" s="6"/>
      <c r="J118" s="6"/>
    </row>
    <row r="119" spans="2:10" ht="12" customHeight="1" x14ac:dyDescent="0.25">
      <c r="B119" s="6"/>
      <c r="C119" s="6"/>
      <c r="D119" s="6"/>
      <c r="E119" s="6"/>
      <c r="F119" s="6"/>
      <c r="G119" s="6"/>
      <c r="H119" s="6"/>
      <c r="I119" s="6"/>
      <c r="J119" s="6"/>
    </row>
    <row r="120" spans="2:10" ht="12" customHeight="1" x14ac:dyDescent="0.25">
      <c r="B120" s="6"/>
      <c r="C120" s="6"/>
      <c r="D120" s="6"/>
      <c r="E120" s="6"/>
      <c r="F120" s="6"/>
      <c r="G120" s="6"/>
      <c r="H120" s="6"/>
      <c r="I120" s="6"/>
      <c r="J120" s="6"/>
    </row>
    <row r="121" spans="2:10" ht="12" customHeight="1" x14ac:dyDescent="0.25">
      <c r="B121" s="6"/>
      <c r="C121" s="6"/>
      <c r="D121" s="6"/>
      <c r="E121" s="6"/>
      <c r="F121" s="6"/>
      <c r="G121" s="6"/>
      <c r="H121" s="6"/>
      <c r="I121" s="6"/>
      <c r="J121" s="6"/>
    </row>
    <row r="122" spans="2:10" ht="12" customHeight="1" x14ac:dyDescent="0.25">
      <c r="B122" s="6"/>
      <c r="C122" s="6"/>
      <c r="D122" s="6"/>
      <c r="E122" s="6"/>
      <c r="F122" s="6"/>
      <c r="G122" s="6"/>
      <c r="H122" s="6"/>
      <c r="I122" s="6"/>
      <c r="J122" s="6"/>
    </row>
    <row r="123" spans="2:10" ht="12" customHeight="1" x14ac:dyDescent="0.25">
      <c r="B123" s="6"/>
      <c r="C123" s="6"/>
      <c r="D123" s="6"/>
      <c r="E123" s="6"/>
      <c r="F123" s="6"/>
      <c r="G123" s="6"/>
      <c r="H123" s="6"/>
      <c r="I123" s="6"/>
      <c r="J123" s="6"/>
    </row>
    <row r="124" spans="2:10" ht="12" customHeight="1" x14ac:dyDescent="0.25">
      <c r="B124" s="6"/>
      <c r="C124" s="6"/>
      <c r="D124" s="6"/>
      <c r="E124" s="6"/>
      <c r="F124" s="6"/>
      <c r="G124" s="6"/>
      <c r="H124" s="6"/>
      <c r="I124" s="6"/>
      <c r="J124" s="6"/>
    </row>
    <row r="125" spans="2:10" ht="12" customHeight="1" x14ac:dyDescent="0.25">
      <c r="B125" s="6"/>
      <c r="C125" s="6"/>
      <c r="D125" s="6"/>
      <c r="E125" s="6"/>
      <c r="F125" s="6"/>
      <c r="G125" s="6"/>
      <c r="H125" s="6"/>
      <c r="I125" s="6"/>
      <c r="J125" s="6"/>
    </row>
    <row r="126" spans="2:10" ht="12" customHeight="1" x14ac:dyDescent="0.25">
      <c r="B126" s="6"/>
      <c r="C126" s="6"/>
      <c r="D126" s="6"/>
      <c r="E126" s="6"/>
      <c r="F126" s="6"/>
      <c r="G126" s="6"/>
      <c r="H126" s="6"/>
      <c r="I126" s="6"/>
      <c r="J126" s="6"/>
    </row>
    <row r="127" spans="2:10" ht="12" customHeight="1" x14ac:dyDescent="0.25">
      <c r="B127" s="6"/>
      <c r="C127" s="6"/>
      <c r="D127" s="6"/>
      <c r="E127" s="6"/>
      <c r="F127" s="6"/>
      <c r="G127" s="6"/>
      <c r="H127" s="6"/>
      <c r="I127" s="6"/>
      <c r="J127" s="6"/>
    </row>
    <row r="128" spans="2:10" ht="12" customHeight="1" x14ac:dyDescent="0.25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25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25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25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25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25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25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25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25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25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25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25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25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25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25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25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25"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2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ht="12" customHeight="1" x14ac:dyDescent="0.25"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2" customHeight="1" x14ac:dyDescent="0.25"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2" customHeight="1" x14ac:dyDescent="0.25"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2" customHeight="1" x14ac:dyDescent="0.25"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2" customHeight="1" x14ac:dyDescent="0.25"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2" customHeight="1" x14ac:dyDescent="0.25"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2" customHeight="1" x14ac:dyDescent="0.25"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2" customHeight="1" x14ac:dyDescent="0.25"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2" customHeight="1" x14ac:dyDescent="0.25"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2" customHeight="1" x14ac:dyDescent="0.25"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2" customHeight="1" x14ac:dyDescent="0.25"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2" customHeight="1" x14ac:dyDescent="0.25"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2" customHeight="1" x14ac:dyDescent="0.25"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2" customHeight="1" x14ac:dyDescent="0.25"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2" customHeight="1" x14ac:dyDescent="0.25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 x14ac:dyDescent="0.25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 x14ac:dyDescent="0.25"/>
    <row r="163" spans="2:10" ht="12" customHeight="1" x14ac:dyDescent="0.25"/>
    <row r="164" spans="2:10" ht="12" customHeight="1" x14ac:dyDescent="0.25"/>
    <row r="165" spans="2:10" ht="12" customHeight="1" x14ac:dyDescent="0.25"/>
    <row r="166" spans="2:10" ht="12" customHeight="1" x14ac:dyDescent="0.25"/>
    <row r="167" spans="2:10" ht="12" customHeight="1" x14ac:dyDescent="0.25"/>
    <row r="168" spans="2:10" ht="12" customHeight="1" x14ac:dyDescent="0.25"/>
    <row r="169" spans="2:10" ht="12" customHeight="1" x14ac:dyDescent="0.25"/>
    <row r="170" spans="2:10" ht="12" customHeight="1" x14ac:dyDescent="0.25"/>
    <row r="171" spans="2:10" ht="12" customHeight="1" x14ac:dyDescent="0.25"/>
    <row r="172" spans="2:10" ht="12" customHeight="1" x14ac:dyDescent="0.25"/>
    <row r="173" spans="2:10" ht="12" customHeight="1" x14ac:dyDescent="0.25"/>
    <row r="174" spans="2:10" ht="12" customHeight="1" x14ac:dyDescent="0.25"/>
    <row r="175" spans="2:10" ht="12" customHeight="1" x14ac:dyDescent="0.25"/>
    <row r="176" spans="2:10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</sheetData>
  <mergeCells count="50">
    <mergeCell ref="U9:X9"/>
    <mergeCell ref="Y13:AB13"/>
    <mergeCell ref="Y12:AB12"/>
    <mergeCell ref="Q12:R12"/>
    <mergeCell ref="Q9:T9"/>
    <mergeCell ref="U12:X12"/>
    <mergeCell ref="U11:X11"/>
    <mergeCell ref="A26:AB33"/>
    <mergeCell ref="K25:S25"/>
    <mergeCell ref="A16:AB23"/>
    <mergeCell ref="K15:S15"/>
    <mergeCell ref="C13:K13"/>
    <mergeCell ref="S10:T10"/>
    <mergeCell ref="S12:T12"/>
    <mergeCell ref="S11:T11"/>
    <mergeCell ref="C12:K12"/>
    <mergeCell ref="A8:E8"/>
    <mergeCell ref="F8:T8"/>
    <mergeCell ref="A9:B13"/>
    <mergeCell ref="C11:K11"/>
    <mergeCell ref="Q11:R11"/>
    <mergeCell ref="C10:K10"/>
    <mergeCell ref="A1:AB3"/>
    <mergeCell ref="A4:E4"/>
    <mergeCell ref="F4:Q4"/>
    <mergeCell ref="R4:S4"/>
    <mergeCell ref="U4:V4"/>
    <mergeCell ref="A6:E6"/>
    <mergeCell ref="F6:AB6"/>
    <mergeCell ref="U5:V5"/>
    <mergeCell ref="W5:AB5"/>
    <mergeCell ref="W4:AB4"/>
    <mergeCell ref="A5:E5"/>
    <mergeCell ref="F5:T5"/>
    <mergeCell ref="U7:W7"/>
    <mergeCell ref="X7:AB7"/>
    <mergeCell ref="A7:E7"/>
    <mergeCell ref="F7:T7"/>
    <mergeCell ref="Y10:AB10"/>
    <mergeCell ref="U8:W8"/>
    <mergeCell ref="X8:AB8"/>
    <mergeCell ref="C9:K9"/>
    <mergeCell ref="O9:P13"/>
    <mergeCell ref="Y11:AB11"/>
    <mergeCell ref="Q13:R13"/>
    <mergeCell ref="S13:T13"/>
    <mergeCell ref="U13:X13"/>
    <mergeCell ref="Q10:R10"/>
    <mergeCell ref="U10:X10"/>
    <mergeCell ref="Y9:AB9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 r:id="rId1"/>
  <headerFooter alignWithMargins="0"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U40"/>
  <sheetViews>
    <sheetView showGridLines="0" zoomScaleNormal="100" zoomScaleSheetLayoutView="100" workbookViewId="0">
      <pane ySplit="7" topLeftCell="A8" activePane="bottomLeft" state="frozen"/>
      <selection pane="bottomLeft" activeCell="R20" sqref="R20"/>
    </sheetView>
  </sheetViews>
  <sheetFormatPr defaultRowHeight="12.75" x14ac:dyDescent="0.25"/>
  <cols>
    <col min="1" max="4" width="7.7109375" style="9" customWidth="1"/>
    <col min="5" max="5" width="21.85546875" style="9" customWidth="1"/>
    <col min="6" max="6" width="11.7109375" style="9" customWidth="1"/>
    <col min="7" max="7" width="11.140625" style="99" customWidth="1"/>
    <col min="8" max="8" width="5.28515625" style="9" customWidth="1"/>
    <col min="9" max="9" width="7" style="9" customWidth="1"/>
    <col min="10" max="11" width="5.140625" style="9" customWidth="1"/>
    <col min="12" max="12" width="7.42578125" style="9" hidden="1" customWidth="1"/>
    <col min="13" max="13" width="10" style="9" hidden="1" customWidth="1"/>
    <col min="14" max="14" width="9.7109375" style="9" customWidth="1"/>
    <col min="15" max="15" width="5.7109375" style="9" customWidth="1"/>
    <col min="16" max="16" width="9.42578125" style="9" customWidth="1"/>
    <col min="17" max="18" width="16.7109375" style="9" customWidth="1"/>
    <col min="19" max="19" width="1.85546875" style="9" customWidth="1"/>
    <col min="20" max="20" width="37.85546875" style="9" customWidth="1"/>
    <col min="21" max="21" width="16.7109375" style="9" hidden="1" customWidth="1"/>
    <col min="22" max="22" width="12.7109375" style="9" customWidth="1"/>
    <col min="23" max="16384" width="9.140625" style="9"/>
  </cols>
  <sheetData>
    <row r="1" spans="1:21" s="1" customFormat="1" ht="15" customHeight="1" x14ac:dyDescent="0.25">
      <c r="A1" s="131" t="s">
        <v>103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0"/>
      <c r="R1" s="10"/>
      <c r="S1" s="10"/>
      <c r="T1" s="10"/>
      <c r="U1" s="10"/>
    </row>
    <row r="2" spans="1:21" s="1" customFormat="1" ht="15" customHeight="1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0"/>
      <c r="R2" s="10"/>
      <c r="S2" s="10"/>
      <c r="T2" s="10"/>
      <c r="U2" s="10"/>
    </row>
    <row r="3" spans="1:21" s="1" customFormat="1" ht="12" customHeight="1" x14ac:dyDescent="0.2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0"/>
      <c r="R3" s="10"/>
      <c r="S3" s="10"/>
      <c r="T3" s="10"/>
      <c r="U3" s="10"/>
    </row>
    <row r="4" spans="1:21" s="1" customFormat="1" ht="15" customHeight="1" x14ac:dyDescent="0.25">
      <c r="A4" s="132" t="str">
        <f>Contagem!A5&amp;" : "&amp;Contagem!F5</f>
        <v>Aplicação : Sistema de Controle de Vacinação contra a COVID-19</v>
      </c>
      <c r="B4" s="132"/>
      <c r="C4" s="132"/>
      <c r="D4" s="132"/>
      <c r="E4" s="132"/>
      <c r="F4" s="132"/>
      <c r="G4" s="97"/>
      <c r="H4" s="133" t="str">
        <f>Contagem!A6&amp;" : "&amp;Contagem!F6</f>
        <v>Projeto : Sistema de Controle de Vacinação contra a COVID-19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</row>
    <row r="5" spans="1:21" s="12" customFormat="1" ht="15" customHeight="1" x14ac:dyDescent="0.2">
      <c r="A5" s="134" t="str">
        <f>Contagem!A7&amp;" : "&amp;Contagem!F7</f>
        <v>Responsável : Grupo Aipim</v>
      </c>
      <c r="B5" s="134"/>
      <c r="C5" s="134"/>
      <c r="D5" s="134"/>
      <c r="E5" s="134"/>
      <c r="F5" s="134"/>
      <c r="G5" s="97"/>
      <c r="H5" s="133" t="str">
        <f>Contagem!A8&amp;" : "&amp;Contagem!F8</f>
        <v>Revisor : Anderson Luiz Barbosa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</row>
    <row r="6" spans="1:21" s="12" customFormat="1" ht="15" customHeight="1" x14ac:dyDescent="0.2">
      <c r="A6" s="137" t="str">
        <f>Contagem!A4&amp;" : "&amp;Contagem!F4</f>
        <v>Empresa : AIPIM CONSULTORIA E DESENVOLVIMENTO</v>
      </c>
      <c r="B6" s="137"/>
      <c r="C6" s="137"/>
      <c r="D6" s="137"/>
      <c r="E6" s="137"/>
      <c r="F6" s="133" t="str">
        <f>Contagem!R4&amp;" = "&amp;VALUE(Contagem!T4)</f>
        <v>R$/PF = 500</v>
      </c>
      <c r="G6" s="133"/>
      <c r="H6" s="133"/>
      <c r="I6" s="138" t="str">
        <f>" Custo= "&amp;DOLLAR(Contagem!W4)</f>
        <v xml:space="preserve"> Custo= R$ 22.500,00</v>
      </c>
      <c r="J6" s="138"/>
      <c r="K6" s="138"/>
      <c r="L6" s="138"/>
      <c r="M6" s="138"/>
      <c r="N6" s="138"/>
      <c r="O6" s="139" t="str">
        <f>"PF  = "&amp;VALUE(Contagem!W5)</f>
        <v>PF  = 45</v>
      </c>
      <c r="P6" s="139"/>
      <c r="Q6" s="67"/>
      <c r="R6" s="67"/>
      <c r="S6" s="67"/>
      <c r="T6" s="67"/>
      <c r="U6" s="68"/>
    </row>
    <row r="7" spans="1:21" s="12" customFormat="1" ht="15" customHeight="1" x14ac:dyDescent="0.25">
      <c r="A7" s="135" t="s">
        <v>26</v>
      </c>
      <c r="B7" s="135"/>
      <c r="C7" s="135"/>
      <c r="D7" s="135"/>
      <c r="E7" s="135"/>
      <c r="F7" s="135"/>
      <c r="G7" s="96" t="s">
        <v>27</v>
      </c>
      <c r="H7" s="63" t="s">
        <v>28</v>
      </c>
      <c r="I7" s="64" t="s">
        <v>29</v>
      </c>
      <c r="J7" s="65" t="s">
        <v>30</v>
      </c>
      <c r="K7" s="65" t="s">
        <v>31</v>
      </c>
      <c r="L7" s="65" t="s">
        <v>32</v>
      </c>
      <c r="M7" s="65" t="s">
        <v>33</v>
      </c>
      <c r="N7" s="65" t="s">
        <v>34</v>
      </c>
      <c r="O7" s="65" t="s">
        <v>5</v>
      </c>
      <c r="P7" s="66" t="s">
        <v>16</v>
      </c>
      <c r="Q7" s="136" t="s">
        <v>35</v>
      </c>
      <c r="R7" s="136"/>
      <c r="S7" s="136"/>
      <c r="T7" s="136"/>
      <c r="U7" s="136"/>
    </row>
    <row r="8" spans="1:21" ht="18" customHeight="1" x14ac:dyDescent="0.25">
      <c r="A8" s="92"/>
      <c r="B8" s="93"/>
      <c r="C8" s="93"/>
      <c r="D8" s="93" t="s">
        <v>89</v>
      </c>
      <c r="E8" s="93"/>
      <c r="F8" s="94"/>
      <c r="G8" s="98"/>
      <c r="H8" s="14" t="s">
        <v>41</v>
      </c>
      <c r="I8" s="14" t="s">
        <v>88</v>
      </c>
      <c r="J8" s="69"/>
      <c r="K8" s="69"/>
      <c r="L8" s="14"/>
      <c r="M8" s="15"/>
      <c r="N8" s="16" t="s">
        <v>46</v>
      </c>
      <c r="O8" s="17">
        <v>6</v>
      </c>
      <c r="P8" s="18">
        <v>3</v>
      </c>
      <c r="Q8" s="13" t="s">
        <v>104</v>
      </c>
      <c r="R8" s="13"/>
      <c r="S8" s="13"/>
      <c r="T8" s="13"/>
      <c r="U8" s="13"/>
    </row>
    <row r="9" spans="1:21" ht="18" customHeight="1" x14ac:dyDescent="0.25">
      <c r="A9" s="92"/>
      <c r="B9" s="93"/>
      <c r="C9" s="93"/>
      <c r="D9" s="93" t="s">
        <v>90</v>
      </c>
      <c r="E9" s="93"/>
      <c r="F9" s="94"/>
      <c r="G9" s="98"/>
      <c r="H9" s="14" t="s">
        <v>52</v>
      </c>
      <c r="I9" s="14" t="s">
        <v>88</v>
      </c>
      <c r="J9" s="69"/>
      <c r="K9" s="69"/>
      <c r="L9" s="14"/>
      <c r="M9" s="15"/>
      <c r="N9" s="16" t="s">
        <v>44</v>
      </c>
      <c r="O9" s="17">
        <v>4</v>
      </c>
      <c r="P9" s="18">
        <v>4</v>
      </c>
      <c r="Q9" s="13" t="s">
        <v>105</v>
      </c>
      <c r="R9" s="13"/>
      <c r="S9" s="13"/>
      <c r="T9" s="13"/>
      <c r="U9" s="13"/>
    </row>
    <row r="10" spans="1:21" ht="18" customHeight="1" x14ac:dyDescent="0.25">
      <c r="A10" s="92"/>
      <c r="B10" s="93"/>
      <c r="C10" s="93"/>
      <c r="D10" s="93" t="s">
        <v>89</v>
      </c>
      <c r="E10" s="93"/>
      <c r="F10" s="94"/>
      <c r="G10" s="98"/>
      <c r="H10" s="14" t="s">
        <v>41</v>
      </c>
      <c r="I10" s="14" t="s">
        <v>88</v>
      </c>
      <c r="J10" s="69"/>
      <c r="K10" s="69"/>
      <c r="L10" s="14"/>
      <c r="M10" s="15"/>
      <c r="N10" s="16" t="s">
        <v>42</v>
      </c>
      <c r="O10" s="17">
        <v>3</v>
      </c>
      <c r="P10" s="18">
        <v>3</v>
      </c>
      <c r="Q10" s="13" t="s">
        <v>106</v>
      </c>
      <c r="R10" s="13"/>
      <c r="S10" s="13"/>
      <c r="T10" s="13"/>
      <c r="U10" s="13"/>
    </row>
    <row r="11" spans="1:21" ht="18" customHeight="1" x14ac:dyDescent="0.25">
      <c r="A11" s="92"/>
      <c r="B11" s="93"/>
      <c r="C11" s="93"/>
      <c r="D11" s="93" t="s">
        <v>90</v>
      </c>
      <c r="E11" s="93"/>
      <c r="F11" s="94"/>
      <c r="G11" s="98"/>
      <c r="H11" s="14" t="s">
        <v>52</v>
      </c>
      <c r="I11" s="14" t="s">
        <v>88</v>
      </c>
      <c r="J11" s="69"/>
      <c r="K11" s="69"/>
      <c r="L11" s="14"/>
      <c r="M11" s="15"/>
      <c r="N11" s="16" t="s">
        <v>44</v>
      </c>
      <c r="O11" s="17">
        <v>4</v>
      </c>
      <c r="P11" s="18">
        <v>4</v>
      </c>
      <c r="Q11" s="13" t="s">
        <v>91</v>
      </c>
      <c r="R11" s="13"/>
      <c r="S11" s="13"/>
      <c r="T11" s="13"/>
      <c r="U11" s="13"/>
    </row>
    <row r="12" spans="1:21" ht="18" customHeight="1" x14ac:dyDescent="0.25">
      <c r="A12" s="92"/>
      <c r="B12" s="93"/>
      <c r="C12" s="93"/>
      <c r="D12" s="93" t="s">
        <v>93</v>
      </c>
      <c r="E12" s="93"/>
      <c r="F12" s="94"/>
      <c r="G12" s="98"/>
      <c r="H12" s="14" t="s">
        <v>49</v>
      </c>
      <c r="I12" s="14" t="s">
        <v>88</v>
      </c>
      <c r="J12" s="69"/>
      <c r="K12" s="69"/>
      <c r="L12" s="14"/>
      <c r="M12" s="15"/>
      <c r="N12" s="16" t="s">
        <v>44</v>
      </c>
      <c r="O12" s="17">
        <v>5</v>
      </c>
      <c r="P12" s="18">
        <v>5</v>
      </c>
      <c r="Q12" s="13" t="s">
        <v>94</v>
      </c>
      <c r="R12" s="13"/>
      <c r="S12" s="13"/>
      <c r="T12" s="13"/>
      <c r="U12" s="13"/>
    </row>
    <row r="13" spans="1:21" ht="18" customHeight="1" x14ac:dyDescent="0.25">
      <c r="A13" s="92"/>
      <c r="B13" s="93"/>
      <c r="C13" s="93"/>
      <c r="D13" s="93" t="s">
        <v>95</v>
      </c>
      <c r="E13" s="93"/>
      <c r="F13" s="94"/>
      <c r="G13" s="98"/>
      <c r="H13" s="14" t="s">
        <v>41</v>
      </c>
      <c r="I13" s="14" t="s">
        <v>88</v>
      </c>
      <c r="J13" s="69"/>
      <c r="K13" s="69"/>
      <c r="L13" s="14"/>
      <c r="M13" s="15"/>
      <c r="N13" s="16" t="s">
        <v>42</v>
      </c>
      <c r="O13" s="17">
        <v>3</v>
      </c>
      <c r="P13" s="18">
        <v>3</v>
      </c>
      <c r="Q13" s="13" t="s">
        <v>102</v>
      </c>
      <c r="R13" s="13"/>
      <c r="S13" s="13"/>
      <c r="T13" s="13"/>
      <c r="U13" s="13"/>
    </row>
    <row r="14" spans="1:21" ht="18" customHeight="1" x14ac:dyDescent="0.25">
      <c r="A14" s="92"/>
      <c r="B14" s="93"/>
      <c r="C14" s="93"/>
      <c r="D14" s="93" t="s">
        <v>96</v>
      </c>
      <c r="E14" s="93"/>
      <c r="F14" s="94"/>
      <c r="G14" s="98"/>
      <c r="H14" s="14" t="s">
        <v>56</v>
      </c>
      <c r="I14" s="14" t="s">
        <v>88</v>
      </c>
      <c r="J14" s="69"/>
      <c r="K14" s="69"/>
      <c r="L14" s="14"/>
      <c r="M14" s="15"/>
      <c r="N14" s="16" t="s">
        <v>46</v>
      </c>
      <c r="O14" s="17">
        <v>10</v>
      </c>
      <c r="P14" s="18">
        <v>10</v>
      </c>
      <c r="Q14" s="13" t="s">
        <v>101</v>
      </c>
      <c r="R14" s="13"/>
      <c r="S14" s="13"/>
      <c r="T14" s="13"/>
      <c r="U14" s="13"/>
    </row>
    <row r="15" spans="1:21" ht="18" customHeight="1" x14ac:dyDescent="0.25">
      <c r="A15" s="92"/>
      <c r="B15" s="93"/>
      <c r="C15" s="93"/>
      <c r="D15" s="93" t="s">
        <v>99</v>
      </c>
      <c r="E15" s="93"/>
      <c r="F15" s="94"/>
      <c r="G15" s="98"/>
      <c r="H15" s="14" t="s">
        <v>53</v>
      </c>
      <c r="I15" s="14" t="s">
        <v>88</v>
      </c>
      <c r="J15" s="69"/>
      <c r="K15" s="69"/>
      <c r="L15" s="14"/>
      <c r="M15" s="15"/>
      <c r="N15" s="16" t="s">
        <v>44</v>
      </c>
      <c r="O15" s="17">
        <v>10</v>
      </c>
      <c r="P15" s="18">
        <v>10</v>
      </c>
      <c r="Q15" s="13" t="s">
        <v>100</v>
      </c>
      <c r="R15" s="13"/>
      <c r="S15" s="13"/>
      <c r="T15" s="13"/>
      <c r="U15" s="13"/>
    </row>
    <row r="16" spans="1:21" ht="18" customHeight="1" x14ac:dyDescent="0.25">
      <c r="A16" s="92"/>
      <c r="B16" s="93"/>
      <c r="C16" s="93"/>
      <c r="D16" s="93"/>
      <c r="E16" s="93"/>
      <c r="F16" s="94"/>
      <c r="G16" s="98"/>
      <c r="H16" s="14"/>
      <c r="I16" s="14"/>
      <c r="J16" s="69"/>
      <c r="K16" s="69"/>
      <c r="L16" s="14"/>
      <c r="M16" s="15"/>
      <c r="N16" s="16"/>
      <c r="O16" s="17"/>
      <c r="P16" s="18"/>
      <c r="Q16" s="13"/>
      <c r="R16" s="13"/>
      <c r="S16" s="13"/>
      <c r="T16" s="13"/>
      <c r="U16" s="13"/>
    </row>
    <row r="17" spans="1:21" ht="18" customHeight="1" x14ac:dyDescent="0.25">
      <c r="A17" s="92"/>
      <c r="B17" s="93"/>
      <c r="C17" s="93"/>
      <c r="D17" s="93"/>
      <c r="E17" s="93"/>
      <c r="F17" s="94"/>
      <c r="G17" s="98"/>
      <c r="H17" s="14"/>
      <c r="I17" s="14"/>
      <c r="J17" s="69"/>
      <c r="K17" s="69"/>
      <c r="L17" s="14"/>
      <c r="M17" s="15"/>
      <c r="N17" s="16"/>
      <c r="O17" s="17"/>
      <c r="P17" s="18"/>
      <c r="Q17" s="13"/>
      <c r="R17" s="13"/>
      <c r="S17" s="13"/>
      <c r="T17" s="13"/>
      <c r="U17" s="13"/>
    </row>
    <row r="18" spans="1:21" ht="18" customHeight="1" x14ac:dyDescent="0.25">
      <c r="A18" s="92"/>
      <c r="B18" s="93"/>
      <c r="C18" s="93"/>
      <c r="D18" s="93"/>
      <c r="E18" s="93"/>
      <c r="F18" s="94"/>
      <c r="G18" s="98"/>
      <c r="H18" s="14"/>
      <c r="I18" s="14"/>
      <c r="J18" s="69"/>
      <c r="K18" s="69"/>
      <c r="L18" s="14"/>
      <c r="M18" s="15"/>
      <c r="N18" s="16"/>
      <c r="O18" s="17"/>
      <c r="P18" s="18"/>
      <c r="Q18" s="13"/>
      <c r="R18" s="13"/>
      <c r="S18" s="13"/>
      <c r="T18" s="13"/>
      <c r="U18" s="13"/>
    </row>
    <row r="19" spans="1:21" ht="18" customHeight="1" x14ac:dyDescent="0.25">
      <c r="A19" s="92"/>
      <c r="B19" s="93"/>
      <c r="C19" s="93"/>
      <c r="D19" s="93"/>
      <c r="E19" s="93"/>
      <c r="F19" s="94"/>
      <c r="G19" s="98"/>
      <c r="H19" s="14"/>
      <c r="I19" s="14"/>
      <c r="J19" s="69"/>
      <c r="K19" s="69"/>
      <c r="L19" s="14"/>
      <c r="M19" s="15"/>
      <c r="N19" s="16"/>
      <c r="O19" s="17"/>
      <c r="P19" s="18"/>
      <c r="Q19" s="13"/>
      <c r="R19" s="13"/>
      <c r="S19" s="13"/>
      <c r="T19" s="13"/>
      <c r="U19" s="13"/>
    </row>
    <row r="20" spans="1:21" ht="18" customHeight="1" x14ac:dyDescent="0.25">
      <c r="A20" s="92"/>
      <c r="B20" s="93"/>
      <c r="C20" s="93"/>
      <c r="D20" s="93"/>
      <c r="E20" s="93"/>
      <c r="F20" s="94"/>
      <c r="G20" s="98"/>
      <c r="H20" s="14"/>
      <c r="I20" s="14"/>
      <c r="J20" s="69"/>
      <c r="K20" s="69"/>
      <c r="L20" s="14"/>
      <c r="M20" s="15"/>
      <c r="N20" s="16"/>
      <c r="O20" s="17"/>
      <c r="P20" s="18"/>
      <c r="Q20" s="13"/>
      <c r="R20" s="13"/>
      <c r="S20" s="13"/>
      <c r="T20" s="13"/>
      <c r="U20" s="13"/>
    </row>
    <row r="21" spans="1:21" ht="18" customHeight="1" x14ac:dyDescent="0.25">
      <c r="A21" s="92"/>
      <c r="B21" s="93"/>
      <c r="C21" s="93"/>
      <c r="D21" s="93"/>
      <c r="E21" s="93"/>
      <c r="F21" s="94"/>
      <c r="G21" s="98"/>
      <c r="H21" s="14"/>
      <c r="I21" s="14"/>
      <c r="J21" s="69"/>
      <c r="K21" s="69"/>
      <c r="L21" s="14"/>
      <c r="M21" s="15"/>
      <c r="N21" s="16"/>
      <c r="O21" s="17"/>
      <c r="P21" s="18"/>
      <c r="Q21" s="13"/>
      <c r="R21" s="13"/>
      <c r="S21" s="13"/>
      <c r="T21" s="13"/>
      <c r="U21" s="13"/>
    </row>
    <row r="22" spans="1:21" ht="18" customHeight="1" x14ac:dyDescent="0.25">
      <c r="A22" s="92"/>
      <c r="B22" s="93"/>
      <c r="C22" s="93"/>
      <c r="D22" s="93"/>
      <c r="E22" s="93"/>
      <c r="F22" s="94"/>
      <c r="G22" s="98"/>
      <c r="H22" s="14"/>
      <c r="I22" s="14"/>
      <c r="J22" s="69"/>
      <c r="K22" s="69"/>
      <c r="L22" s="14"/>
      <c r="M22" s="15"/>
      <c r="N22" s="16"/>
      <c r="O22" s="17"/>
      <c r="P22" s="18"/>
      <c r="Q22" s="13"/>
      <c r="R22" s="13"/>
      <c r="S22" s="13"/>
      <c r="T22" s="13"/>
      <c r="U22" s="13"/>
    </row>
    <row r="23" spans="1:21" ht="18" customHeight="1" x14ac:dyDescent="0.25">
      <c r="A23" s="92"/>
      <c r="B23" s="93"/>
      <c r="C23" s="93"/>
      <c r="D23" s="93"/>
      <c r="E23" s="93"/>
      <c r="F23" s="94"/>
      <c r="G23" s="98"/>
      <c r="H23" s="14"/>
      <c r="I23" s="14"/>
      <c r="J23" s="69"/>
      <c r="K23" s="69"/>
      <c r="L23" s="14"/>
      <c r="M23" s="15"/>
      <c r="N23" s="16"/>
      <c r="O23" s="17"/>
      <c r="P23" s="18"/>
      <c r="Q23" s="13"/>
      <c r="R23" s="13"/>
      <c r="S23" s="13"/>
      <c r="T23" s="13"/>
      <c r="U23" s="13"/>
    </row>
    <row r="24" spans="1:21" ht="18" customHeight="1" x14ac:dyDescent="0.25">
      <c r="A24" s="92"/>
      <c r="B24" s="93"/>
      <c r="C24" s="93"/>
      <c r="D24" s="93"/>
      <c r="E24" s="93"/>
      <c r="F24" s="94"/>
      <c r="G24" s="98"/>
      <c r="H24" s="14"/>
      <c r="I24" s="14"/>
      <c r="J24" s="69"/>
      <c r="K24" s="69"/>
      <c r="L24" s="14"/>
      <c r="M24" s="15"/>
      <c r="N24" s="16"/>
      <c r="O24" s="17"/>
      <c r="P24" s="18"/>
      <c r="Q24" s="13"/>
      <c r="R24" s="13"/>
      <c r="S24" s="13"/>
      <c r="T24" s="13"/>
      <c r="U24" s="13"/>
    </row>
    <row r="25" spans="1:21" ht="18" customHeight="1" x14ac:dyDescent="0.25">
      <c r="A25" s="92"/>
      <c r="B25" s="93"/>
      <c r="C25" s="93"/>
      <c r="D25" s="93"/>
      <c r="E25" s="93"/>
      <c r="F25" s="94"/>
      <c r="G25" s="98"/>
      <c r="H25" s="14"/>
      <c r="I25" s="14"/>
      <c r="J25" s="69"/>
      <c r="K25" s="69"/>
      <c r="L25" s="14"/>
      <c r="M25" s="15"/>
      <c r="N25" s="16"/>
      <c r="O25" s="17"/>
      <c r="P25" s="18"/>
      <c r="Q25" s="13"/>
      <c r="R25" s="13"/>
      <c r="S25" s="13"/>
      <c r="T25" s="13"/>
      <c r="U25" s="13"/>
    </row>
    <row r="26" spans="1:21" ht="18" customHeight="1" x14ac:dyDescent="0.25">
      <c r="A26" s="92"/>
      <c r="B26" s="93"/>
      <c r="C26" s="93"/>
      <c r="D26" s="93"/>
      <c r="E26" s="93"/>
      <c r="F26" s="94"/>
      <c r="G26" s="98"/>
      <c r="H26" s="14"/>
      <c r="I26" s="14"/>
      <c r="J26" s="69"/>
      <c r="K26" s="69"/>
      <c r="L26" s="14"/>
      <c r="M26" s="15"/>
      <c r="N26" s="16"/>
      <c r="O26" s="17"/>
      <c r="P26" s="18"/>
      <c r="Q26" s="13"/>
      <c r="R26" s="13"/>
      <c r="S26" s="13"/>
      <c r="T26" s="13"/>
      <c r="U26" s="13"/>
    </row>
    <row r="27" spans="1:21" ht="18" customHeight="1" x14ac:dyDescent="0.25">
      <c r="A27" s="92"/>
      <c r="B27" s="93"/>
      <c r="C27" s="93"/>
      <c r="D27" s="93"/>
      <c r="E27" s="93"/>
      <c r="F27" s="94"/>
      <c r="G27" s="98"/>
      <c r="H27" s="14"/>
      <c r="I27" s="14"/>
      <c r="J27" s="69"/>
      <c r="K27" s="69"/>
      <c r="L27" s="14"/>
      <c r="M27" s="15"/>
      <c r="N27" s="16"/>
      <c r="O27" s="17"/>
      <c r="P27" s="18"/>
      <c r="Q27" s="13"/>
      <c r="R27" s="13"/>
      <c r="S27" s="13"/>
      <c r="T27" s="13"/>
      <c r="U27" s="13"/>
    </row>
    <row r="28" spans="1:21" ht="18" customHeight="1" x14ac:dyDescent="0.25">
      <c r="A28" s="92"/>
      <c r="B28" s="93"/>
      <c r="C28" s="93"/>
      <c r="D28" s="93"/>
      <c r="E28" s="93"/>
      <c r="F28" s="94"/>
      <c r="G28" s="98"/>
      <c r="H28" s="14"/>
      <c r="I28" s="14"/>
      <c r="J28" s="69"/>
      <c r="K28" s="69"/>
      <c r="L28" s="14"/>
      <c r="M28" s="15"/>
      <c r="N28" s="16"/>
      <c r="O28" s="17"/>
      <c r="P28" s="18"/>
      <c r="Q28" s="13"/>
      <c r="R28" s="13"/>
      <c r="S28" s="13"/>
      <c r="T28" s="13"/>
      <c r="U28" s="13"/>
    </row>
    <row r="29" spans="1:21" ht="18" customHeight="1" x14ac:dyDescent="0.25">
      <c r="A29" s="92"/>
      <c r="B29" s="93"/>
      <c r="C29" s="93"/>
      <c r="D29" s="93"/>
      <c r="E29" s="93"/>
      <c r="F29" s="94"/>
      <c r="G29" s="98"/>
      <c r="H29" s="14"/>
      <c r="I29" s="14"/>
      <c r="J29" s="69"/>
      <c r="K29" s="69"/>
      <c r="L29" s="14"/>
      <c r="M29" s="15"/>
      <c r="N29" s="16"/>
      <c r="O29" s="17"/>
      <c r="P29" s="18"/>
      <c r="Q29" s="13"/>
      <c r="R29" s="13"/>
      <c r="S29" s="13"/>
      <c r="T29" s="13"/>
      <c r="U29" s="13"/>
    </row>
    <row r="30" spans="1:21" ht="18" customHeight="1" x14ac:dyDescent="0.25">
      <c r="A30" s="92"/>
      <c r="B30" s="93"/>
      <c r="C30" s="93"/>
      <c r="D30" s="93"/>
      <c r="E30" s="93"/>
      <c r="F30" s="94"/>
      <c r="G30" s="98"/>
      <c r="H30" s="14"/>
      <c r="I30" s="14"/>
      <c r="J30" s="69"/>
      <c r="K30" s="69"/>
      <c r="L30" s="14"/>
      <c r="M30" s="15"/>
      <c r="N30" s="16"/>
      <c r="O30" s="17"/>
      <c r="P30" s="18"/>
      <c r="Q30" s="13"/>
      <c r="R30" s="13"/>
      <c r="S30" s="13"/>
      <c r="T30" s="13"/>
      <c r="U30" s="13"/>
    </row>
    <row r="31" spans="1:21" ht="18" customHeight="1" x14ac:dyDescent="0.25">
      <c r="A31" s="92"/>
      <c r="B31" s="93"/>
      <c r="C31" s="93"/>
      <c r="D31" s="93"/>
      <c r="E31" s="93"/>
      <c r="F31" s="94"/>
      <c r="G31" s="98"/>
      <c r="H31" s="14"/>
      <c r="I31" s="14"/>
      <c r="J31" s="69"/>
      <c r="K31" s="69"/>
      <c r="L31" s="14"/>
      <c r="M31" s="15"/>
      <c r="N31" s="16"/>
      <c r="O31" s="17"/>
      <c r="P31" s="18"/>
      <c r="Q31" s="13"/>
      <c r="R31" s="13"/>
      <c r="S31" s="13"/>
      <c r="T31" s="13"/>
      <c r="U31" s="13"/>
    </row>
    <row r="32" spans="1:21" ht="18" customHeight="1" x14ac:dyDescent="0.25">
      <c r="A32" s="92"/>
      <c r="B32" s="93"/>
      <c r="C32" s="93"/>
      <c r="D32" s="93"/>
      <c r="E32" s="93"/>
      <c r="F32" s="94"/>
      <c r="G32" s="98"/>
      <c r="H32" s="14"/>
      <c r="I32" s="14"/>
      <c r="J32" s="69"/>
      <c r="K32" s="69"/>
      <c r="L32" s="14"/>
      <c r="M32" s="15"/>
      <c r="N32" s="16"/>
      <c r="O32" s="17"/>
      <c r="P32" s="18"/>
      <c r="Q32" s="13"/>
      <c r="R32" s="13"/>
      <c r="S32" s="13"/>
      <c r="T32" s="13"/>
      <c r="U32" s="13"/>
    </row>
    <row r="33" spans="1:21" ht="18" customHeight="1" x14ac:dyDescent="0.25">
      <c r="A33" s="92"/>
      <c r="B33" s="93"/>
      <c r="C33" s="93"/>
      <c r="D33" s="93"/>
      <c r="E33" s="93"/>
      <c r="F33" s="94"/>
      <c r="G33" s="98"/>
      <c r="H33" s="14"/>
      <c r="I33" s="14"/>
      <c r="J33" s="69"/>
      <c r="K33" s="69"/>
      <c r="L33" s="14"/>
      <c r="M33" s="15"/>
      <c r="N33" s="16"/>
      <c r="O33" s="17"/>
      <c r="P33" s="18"/>
      <c r="Q33" s="13"/>
      <c r="R33" s="13"/>
      <c r="S33" s="13"/>
      <c r="T33" s="13"/>
      <c r="U33" s="13"/>
    </row>
    <row r="34" spans="1:21" ht="18" customHeight="1" x14ac:dyDescent="0.25">
      <c r="A34" s="92"/>
      <c r="B34" s="93"/>
      <c r="C34" s="93"/>
      <c r="D34" s="93"/>
      <c r="E34" s="93"/>
      <c r="F34" s="94"/>
      <c r="G34" s="98"/>
      <c r="H34" s="14"/>
      <c r="I34" s="14"/>
      <c r="J34" s="69"/>
      <c r="K34" s="69"/>
      <c r="L34" s="14"/>
      <c r="M34" s="15"/>
      <c r="N34" s="16"/>
      <c r="O34" s="17"/>
      <c r="P34" s="18"/>
      <c r="Q34" s="13"/>
      <c r="R34" s="13"/>
      <c r="S34" s="13"/>
      <c r="T34" s="13"/>
      <c r="U34" s="13"/>
    </row>
    <row r="35" spans="1:21" ht="18" customHeight="1" x14ac:dyDescent="0.25">
      <c r="A35" s="92"/>
      <c r="B35" s="93"/>
      <c r="C35" s="93"/>
      <c r="D35" s="93"/>
      <c r="E35" s="93"/>
      <c r="F35" s="94"/>
      <c r="G35" s="98"/>
      <c r="H35" s="14"/>
      <c r="I35" s="14"/>
      <c r="J35" s="69"/>
      <c r="K35" s="69"/>
      <c r="L35" s="14"/>
      <c r="M35" s="15"/>
      <c r="N35" s="16"/>
      <c r="O35" s="17"/>
      <c r="P35" s="18"/>
      <c r="Q35" s="13"/>
      <c r="R35" s="13"/>
      <c r="S35" s="13"/>
      <c r="T35" s="13"/>
      <c r="U35" s="13"/>
    </row>
    <row r="36" spans="1:21" ht="18" customHeight="1" x14ac:dyDescent="0.25">
      <c r="A36" s="92"/>
      <c r="B36" s="93"/>
      <c r="C36" s="93"/>
      <c r="D36" s="93"/>
      <c r="E36" s="93"/>
      <c r="F36" s="94"/>
      <c r="G36" s="98"/>
      <c r="H36" s="14"/>
      <c r="I36" s="14"/>
      <c r="J36" s="69"/>
      <c r="K36" s="69"/>
      <c r="L36" s="14"/>
      <c r="M36" s="15"/>
      <c r="N36" s="16"/>
      <c r="O36" s="17"/>
      <c r="P36" s="18"/>
      <c r="Q36" s="13"/>
      <c r="R36" s="13"/>
      <c r="S36" s="13"/>
      <c r="T36" s="13"/>
      <c r="U36" s="13"/>
    </row>
    <row r="37" spans="1:21" ht="18" customHeight="1" x14ac:dyDescent="0.25">
      <c r="A37" s="92"/>
      <c r="B37" s="93"/>
      <c r="C37" s="93"/>
      <c r="D37" s="93"/>
      <c r="E37" s="93"/>
      <c r="F37" s="94"/>
      <c r="G37" s="98"/>
      <c r="H37" s="14"/>
      <c r="I37" s="14"/>
      <c r="J37" s="69"/>
      <c r="K37" s="69"/>
      <c r="L37" s="14"/>
      <c r="M37" s="15"/>
      <c r="N37" s="16"/>
      <c r="O37" s="17"/>
      <c r="P37" s="18"/>
      <c r="Q37" s="13"/>
      <c r="R37" s="13"/>
      <c r="S37" s="13"/>
      <c r="T37" s="13"/>
      <c r="U37" s="13"/>
    </row>
    <row r="38" spans="1:21" ht="18" customHeight="1" x14ac:dyDescent="0.25">
      <c r="A38" s="92"/>
      <c r="B38" s="93"/>
      <c r="C38" s="93"/>
      <c r="D38" s="93"/>
      <c r="E38" s="93"/>
      <c r="F38" s="94"/>
      <c r="G38" s="98"/>
      <c r="H38" s="14"/>
      <c r="I38" s="14"/>
      <c r="J38" s="69"/>
      <c r="K38" s="69"/>
      <c r="L38" s="14"/>
      <c r="M38" s="15"/>
      <c r="N38" s="16"/>
      <c r="O38" s="17"/>
      <c r="P38" s="18"/>
      <c r="Q38" s="13"/>
      <c r="R38" s="13"/>
      <c r="S38" s="13"/>
      <c r="T38" s="13"/>
      <c r="U38" s="13"/>
    </row>
    <row r="39" spans="1:21" ht="18" customHeight="1" x14ac:dyDescent="0.25">
      <c r="A39" s="92"/>
      <c r="B39" s="93"/>
      <c r="C39" s="93"/>
      <c r="D39" s="93"/>
      <c r="E39" s="93"/>
      <c r="F39" s="94"/>
      <c r="G39" s="98"/>
      <c r="H39" s="14"/>
      <c r="I39" s="14"/>
      <c r="J39" s="69"/>
      <c r="K39" s="69"/>
      <c r="L39" s="14"/>
      <c r="M39" s="15"/>
      <c r="N39" s="16"/>
      <c r="O39" s="17"/>
      <c r="P39" s="18"/>
      <c r="Q39" s="13"/>
      <c r="R39" s="13"/>
      <c r="S39" s="13"/>
      <c r="T39" s="13"/>
      <c r="U39" s="13"/>
    </row>
    <row r="40" spans="1:21" ht="18" customHeight="1" x14ac:dyDescent="0.25">
      <c r="A40" s="92"/>
      <c r="B40" s="93"/>
      <c r="C40" s="93"/>
      <c r="D40" s="93"/>
      <c r="E40" s="93"/>
      <c r="F40" s="94"/>
      <c r="G40" s="98"/>
      <c r="H40" s="14"/>
      <c r="I40" s="14"/>
      <c r="J40" s="69"/>
      <c r="K40" s="69"/>
      <c r="L40" s="14"/>
      <c r="M40" s="15"/>
      <c r="N40" s="16"/>
      <c r="O40" s="17"/>
      <c r="P40" s="18"/>
      <c r="Q40" s="13"/>
      <c r="R40" s="13"/>
      <c r="S40" s="13"/>
      <c r="T40" s="13"/>
      <c r="U40" s="13"/>
    </row>
  </sheetData>
  <mergeCells count="11">
    <mergeCell ref="A7:F7"/>
    <mergeCell ref="Q7:U7"/>
    <mergeCell ref="A6:E6"/>
    <mergeCell ref="F6:H6"/>
    <mergeCell ref="I6:N6"/>
    <mergeCell ref="O6:P6"/>
    <mergeCell ref="A1:P3"/>
    <mergeCell ref="A4:F4"/>
    <mergeCell ref="H4:U4"/>
    <mergeCell ref="A5:F5"/>
    <mergeCell ref="H5:U5"/>
  </mergeCells>
  <phoneticPr fontId="0" type="noConversion"/>
  <conditionalFormatting sqref="I39:I40 I16 I21:I22 I27:I32">
    <cfRule type="cellIs" dxfId="59" priority="271" stopIfTrue="1" operator="equal">
      <formula>"I"</formula>
    </cfRule>
    <cfRule type="cellIs" dxfId="58" priority="272" stopIfTrue="1" operator="equal">
      <formula>"A"</formula>
    </cfRule>
    <cfRule type="cellIs" dxfId="57" priority="273" stopIfTrue="1" operator="equal">
      <formula>"E"</formula>
    </cfRule>
  </conditionalFormatting>
  <conditionalFormatting sqref="I33:I36">
    <cfRule type="cellIs" dxfId="56" priority="229" stopIfTrue="1" operator="equal">
      <formula>"I"</formula>
    </cfRule>
    <cfRule type="cellIs" dxfId="55" priority="230" stopIfTrue="1" operator="equal">
      <formula>"A"</formula>
    </cfRule>
    <cfRule type="cellIs" dxfId="54" priority="231" stopIfTrue="1" operator="equal">
      <formula>"E"</formula>
    </cfRule>
  </conditionalFormatting>
  <conditionalFormatting sqref="I37">
    <cfRule type="cellIs" dxfId="53" priority="226" stopIfTrue="1" operator="equal">
      <formula>"I"</formula>
    </cfRule>
    <cfRule type="cellIs" dxfId="52" priority="227" stopIfTrue="1" operator="equal">
      <formula>"A"</formula>
    </cfRule>
    <cfRule type="cellIs" dxfId="51" priority="228" stopIfTrue="1" operator="equal">
      <formula>"E"</formula>
    </cfRule>
  </conditionalFormatting>
  <conditionalFormatting sqref="I38">
    <cfRule type="cellIs" dxfId="50" priority="223" stopIfTrue="1" operator="equal">
      <formula>"I"</formula>
    </cfRule>
    <cfRule type="cellIs" dxfId="49" priority="224" stopIfTrue="1" operator="equal">
      <formula>"A"</formula>
    </cfRule>
    <cfRule type="cellIs" dxfId="48" priority="225" stopIfTrue="1" operator="equal">
      <formula>"E"</formula>
    </cfRule>
  </conditionalFormatting>
  <conditionalFormatting sqref="I11">
    <cfRule type="cellIs" dxfId="47" priority="139" stopIfTrue="1" operator="equal">
      <formula>"I"</formula>
    </cfRule>
    <cfRule type="cellIs" dxfId="46" priority="140" stopIfTrue="1" operator="equal">
      <formula>"A"</formula>
    </cfRule>
    <cfRule type="cellIs" dxfId="45" priority="141" stopIfTrue="1" operator="equal">
      <formula>"E"</formula>
    </cfRule>
  </conditionalFormatting>
  <conditionalFormatting sqref="I8">
    <cfRule type="cellIs" dxfId="44" priority="97" stopIfTrue="1" operator="equal">
      <formula>"I"</formula>
    </cfRule>
    <cfRule type="cellIs" dxfId="43" priority="98" stopIfTrue="1" operator="equal">
      <formula>"A"</formula>
    </cfRule>
    <cfRule type="cellIs" dxfId="42" priority="99" stopIfTrue="1" operator="equal">
      <formula>"E"</formula>
    </cfRule>
  </conditionalFormatting>
  <conditionalFormatting sqref="I12">
    <cfRule type="cellIs" dxfId="41" priority="91" stopIfTrue="1" operator="equal">
      <formula>"I"</formula>
    </cfRule>
    <cfRule type="cellIs" dxfId="40" priority="92" stopIfTrue="1" operator="equal">
      <formula>"A"</formula>
    </cfRule>
    <cfRule type="cellIs" dxfId="39" priority="93" stopIfTrue="1" operator="equal">
      <formula>"E"</formula>
    </cfRule>
  </conditionalFormatting>
  <conditionalFormatting sqref="I10:I12">
    <cfRule type="cellIs" dxfId="38" priority="94" stopIfTrue="1" operator="equal">
      <formula>"I"</formula>
    </cfRule>
    <cfRule type="cellIs" dxfId="37" priority="95" stopIfTrue="1" operator="equal">
      <formula>"A"</formula>
    </cfRule>
    <cfRule type="cellIs" dxfId="36" priority="96" stopIfTrue="1" operator="equal">
      <formula>"E"</formula>
    </cfRule>
  </conditionalFormatting>
  <conditionalFormatting sqref="I13:I15">
    <cfRule type="cellIs" dxfId="35" priority="88" stopIfTrue="1" operator="equal">
      <formula>"I"</formula>
    </cfRule>
    <cfRule type="cellIs" dxfId="34" priority="89" stopIfTrue="1" operator="equal">
      <formula>"A"</formula>
    </cfRule>
    <cfRule type="cellIs" dxfId="33" priority="90" stopIfTrue="1" operator="equal">
      <formula>"E"</formula>
    </cfRule>
  </conditionalFormatting>
  <conditionalFormatting sqref="I17">
    <cfRule type="cellIs" dxfId="32" priority="85" stopIfTrue="1" operator="equal">
      <formula>"I"</formula>
    </cfRule>
    <cfRule type="cellIs" dxfId="31" priority="86" stopIfTrue="1" operator="equal">
      <formula>"A"</formula>
    </cfRule>
    <cfRule type="cellIs" dxfId="30" priority="87" stopIfTrue="1" operator="equal">
      <formula>"E"</formula>
    </cfRule>
  </conditionalFormatting>
  <conditionalFormatting sqref="I18:I20">
    <cfRule type="cellIs" dxfId="29" priority="82" stopIfTrue="1" operator="equal">
      <formula>"I"</formula>
    </cfRule>
    <cfRule type="cellIs" dxfId="28" priority="83" stopIfTrue="1" operator="equal">
      <formula>"A"</formula>
    </cfRule>
    <cfRule type="cellIs" dxfId="27" priority="84" stopIfTrue="1" operator="equal">
      <formula>"E"</formula>
    </cfRule>
  </conditionalFormatting>
  <conditionalFormatting sqref="I23:I26">
    <cfRule type="cellIs" dxfId="26" priority="79" stopIfTrue="1" operator="equal">
      <formula>"I"</formula>
    </cfRule>
    <cfRule type="cellIs" dxfId="25" priority="80" stopIfTrue="1" operator="equal">
      <formula>"A"</formula>
    </cfRule>
    <cfRule type="cellIs" dxfId="24" priority="81" stopIfTrue="1" operator="equal">
      <formula>"E"</formula>
    </cfRule>
  </conditionalFormatting>
  <conditionalFormatting sqref="I12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I13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I12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I13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I1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I14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I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H8:H40" xr:uid="{00000000-0002-0000-0100-000000000000}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I8:I40" xr:uid="{00000000-0002-0000-0100-000001000000}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61"/>
  <sheetViews>
    <sheetView showGridLines="0" zoomScaleNormal="100" zoomScaleSheetLayoutView="100" workbookViewId="0">
      <selection activeCell="O50" sqref="O50"/>
    </sheetView>
  </sheetViews>
  <sheetFormatPr defaultRowHeight="12.75" x14ac:dyDescent="0.25"/>
  <cols>
    <col min="1" max="1" width="2.85546875" style="3" customWidth="1"/>
    <col min="2" max="2" width="8.28515625" style="3" customWidth="1"/>
    <col min="3" max="3" width="10.7109375" style="3" customWidth="1"/>
    <col min="4" max="4" width="2.28515625" style="3" customWidth="1"/>
    <col min="5" max="5" width="21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41" t="s">
        <v>36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5" ht="12" customHeight="1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5" ht="12" customHeight="1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5" ht="12" customHeight="1" x14ac:dyDescent="0.25">
      <c r="A4" s="142" t="str">
        <f>Contagem!A5&amp;" : "&amp;Contagem!F5</f>
        <v>Aplicação : Sistema de Controle de Vacinação contra a COVID-19</v>
      </c>
      <c r="B4" s="142"/>
      <c r="C4" s="142"/>
      <c r="D4" s="142"/>
      <c r="E4" s="142"/>
      <c r="F4" s="143" t="str">
        <f>Contagem!A6&amp;" : "&amp;Contagem!F6</f>
        <v>Projeto : Sistema de Controle de Vacinação contra a COVID-19</v>
      </c>
      <c r="G4" s="143"/>
      <c r="H4" s="143"/>
      <c r="I4" s="143"/>
      <c r="J4" s="143"/>
      <c r="K4" s="143"/>
      <c r="L4" s="143"/>
    </row>
    <row r="5" spans="1:15" ht="12" customHeight="1" x14ac:dyDescent="0.25">
      <c r="A5" s="144" t="str">
        <f>Contagem!A7&amp;" : "&amp;Contagem!F7</f>
        <v>Responsável : Grupo Aipim</v>
      </c>
      <c r="B5" s="144"/>
      <c r="C5" s="144"/>
      <c r="D5" s="144"/>
      <c r="E5" s="144"/>
      <c r="F5" s="143" t="str">
        <f>Contagem!A8&amp;" : "&amp;Contagem!F8</f>
        <v>Revisor : Anderson Luiz Barbosa</v>
      </c>
      <c r="G5" s="143"/>
      <c r="H5" s="143"/>
      <c r="I5" s="143"/>
      <c r="J5" s="143"/>
      <c r="K5" s="143"/>
      <c r="L5" s="143"/>
    </row>
    <row r="6" spans="1:15" ht="12" customHeight="1" x14ac:dyDescent="0.25">
      <c r="A6" s="11" t="str">
        <f>Contagem!A4&amp;" : "&amp;Contagem!F4</f>
        <v>Empresa : AIPIM CONSULTORIA E DESENVOLVIMENTO</v>
      </c>
      <c r="B6" s="19"/>
      <c r="C6" s="19"/>
      <c r="D6" s="20"/>
      <c r="E6" s="20"/>
      <c r="F6" s="146" t="str">
        <f>Contagem!R4&amp;" = "&amp;VALUE(Contagem!T4)</f>
        <v>R$/PF = 500</v>
      </c>
      <c r="G6" s="146"/>
      <c r="H6" s="146" t="str">
        <f>" Custo= "&amp;DOLLAR(Contagem!W4)</f>
        <v xml:space="preserve"> Custo= R$ 22.500,00</v>
      </c>
      <c r="I6" s="146"/>
      <c r="J6" s="146"/>
      <c r="K6" s="145" t="str">
        <f>"PF  = "&amp;VALUE(Contagem!W5)</f>
        <v>PF  = 45</v>
      </c>
      <c r="L6" s="145"/>
    </row>
    <row r="7" spans="1:15" ht="12" customHeight="1" x14ac:dyDescent="0.25">
      <c r="A7" s="147" t="s">
        <v>37</v>
      </c>
      <c r="B7" s="147"/>
      <c r="C7" s="148" t="s">
        <v>38</v>
      </c>
      <c r="D7" s="148"/>
      <c r="E7" s="148"/>
      <c r="F7" s="148"/>
      <c r="G7" s="149" t="s">
        <v>39</v>
      </c>
      <c r="H7" s="149"/>
      <c r="I7" s="140" t="s">
        <v>40</v>
      </c>
      <c r="J7" s="140"/>
      <c r="K7" s="140"/>
      <c r="L7" s="140"/>
    </row>
    <row r="8" spans="1:15" ht="12" customHeight="1" x14ac:dyDescent="0.25">
      <c r="A8" s="147"/>
      <c r="B8" s="147"/>
      <c r="C8" s="148"/>
      <c r="D8" s="148"/>
      <c r="E8" s="148"/>
      <c r="F8" s="148"/>
      <c r="G8" s="149"/>
      <c r="H8" s="149"/>
      <c r="I8" s="149"/>
      <c r="J8" s="140"/>
      <c r="K8" s="140"/>
      <c r="L8" s="140"/>
    </row>
    <row r="9" spans="1:15" ht="12" customHeight="1" x14ac:dyDescent="0.25">
      <c r="A9" s="21"/>
      <c r="B9" s="22"/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5" ht="12" customHeight="1" x14ac:dyDescent="0.25">
      <c r="A10" s="25"/>
      <c r="B10" s="26" t="s">
        <v>41</v>
      </c>
      <c r="C10" s="27">
        <f>COUNTIF(CF,"EEL")</f>
        <v>0</v>
      </c>
      <c r="D10" s="28"/>
      <c r="E10" s="29" t="s">
        <v>42</v>
      </c>
      <c r="F10" s="29" t="s">
        <v>43</v>
      </c>
      <c r="G10" s="27">
        <f>C10*3</f>
        <v>0</v>
      </c>
      <c r="H10" s="28"/>
      <c r="I10" s="30"/>
      <c r="J10" s="28"/>
      <c r="K10" s="28"/>
      <c r="L10" s="31"/>
    </row>
    <row r="11" spans="1:15" ht="12" customHeight="1" x14ac:dyDescent="0.25">
      <c r="A11" s="25"/>
      <c r="B11" s="26"/>
      <c r="C11" s="27">
        <f>COUNTIF(CF,"EEA")</f>
        <v>0</v>
      </c>
      <c r="D11" s="28"/>
      <c r="E11" s="29" t="s">
        <v>44</v>
      </c>
      <c r="F11" s="29" t="s">
        <v>45</v>
      </c>
      <c r="G11" s="27">
        <f>C11*4</f>
        <v>0</v>
      </c>
      <c r="H11" s="28"/>
      <c r="I11" s="30"/>
      <c r="J11" s="28"/>
      <c r="K11" s="28"/>
      <c r="L11" s="31"/>
    </row>
    <row r="12" spans="1:15" ht="12" customHeight="1" x14ac:dyDescent="0.25">
      <c r="A12" s="25"/>
      <c r="B12" s="26"/>
      <c r="C12" s="27">
        <f>COUNTIF(CF,"EEH")</f>
        <v>0</v>
      </c>
      <c r="D12" s="28"/>
      <c r="E12" s="29" t="s">
        <v>46</v>
      </c>
      <c r="F12" s="29" t="s">
        <v>47</v>
      </c>
      <c r="G12" s="27">
        <f>C12*6</f>
        <v>0</v>
      </c>
      <c r="H12" s="28"/>
      <c r="I12" s="30"/>
      <c r="J12" s="28"/>
      <c r="L12" s="32"/>
    </row>
    <row r="13" spans="1:15" ht="6.75" customHeight="1" x14ac:dyDescent="0.25">
      <c r="A13" s="25"/>
      <c r="B13" s="26"/>
      <c r="C13" s="23"/>
      <c r="D13" s="28"/>
      <c r="E13" s="28"/>
      <c r="F13" s="28"/>
      <c r="G13" s="23"/>
      <c r="H13" s="28"/>
      <c r="I13" s="28"/>
      <c r="J13" s="28"/>
      <c r="K13" s="28"/>
      <c r="L13" s="31"/>
    </row>
    <row r="14" spans="1:15" ht="12" customHeight="1" x14ac:dyDescent="0.25">
      <c r="A14" s="25"/>
      <c r="B14" s="33" t="s">
        <v>48</v>
      </c>
      <c r="C14" s="27">
        <f>SUM(C10:C12)</f>
        <v>0</v>
      </c>
      <c r="D14" s="28"/>
      <c r="E14" s="28"/>
      <c r="F14" s="33" t="s">
        <v>48</v>
      </c>
      <c r="G14" s="27">
        <f>SUM(G10:G12)</f>
        <v>0</v>
      </c>
      <c r="H14" s="28"/>
      <c r="I14" s="34" t="str">
        <f>IF($G$45&lt;&gt;0,G14/$G$45,"")</f>
        <v/>
      </c>
      <c r="J14" s="28"/>
      <c r="K14" s="28"/>
      <c r="L14" s="31"/>
      <c r="O14" s="35"/>
    </row>
    <row r="15" spans="1:15" ht="6" customHeight="1" x14ac:dyDescent="0.25">
      <c r="A15" s="36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38"/>
    </row>
    <row r="16" spans="1:15" ht="12" customHeight="1" x14ac:dyDescent="0.25">
      <c r="A16" s="25"/>
      <c r="B16" s="26"/>
      <c r="C16" s="28"/>
      <c r="D16" s="28"/>
      <c r="E16" s="28"/>
      <c r="F16" s="28"/>
      <c r="G16" s="28"/>
      <c r="H16" s="28"/>
      <c r="I16" s="28"/>
      <c r="J16" s="28"/>
      <c r="K16" s="28"/>
      <c r="L16" s="31"/>
    </row>
    <row r="17" spans="1:12" ht="12" customHeight="1" x14ac:dyDescent="0.25">
      <c r="A17" s="25"/>
      <c r="B17" s="26" t="s">
        <v>49</v>
      </c>
      <c r="C17" s="27">
        <f>COUNTIF(CF,"SEL")</f>
        <v>0</v>
      </c>
      <c r="D17" s="28"/>
      <c r="E17" s="29" t="s">
        <v>42</v>
      </c>
      <c r="F17" s="29" t="s">
        <v>45</v>
      </c>
      <c r="G17" s="27">
        <f>C17*4</f>
        <v>0</v>
      </c>
      <c r="H17" s="28"/>
      <c r="I17" s="28"/>
      <c r="J17" s="28"/>
      <c r="K17" s="28"/>
      <c r="L17" s="31"/>
    </row>
    <row r="18" spans="1:12" ht="12" customHeight="1" x14ac:dyDescent="0.25">
      <c r="A18" s="25"/>
      <c r="B18" s="26"/>
      <c r="C18" s="27">
        <f>COUNTIF(CF,"SEA")</f>
        <v>0</v>
      </c>
      <c r="D18" s="28"/>
      <c r="E18" s="29" t="s">
        <v>44</v>
      </c>
      <c r="F18" s="29" t="s">
        <v>50</v>
      </c>
      <c r="G18" s="27">
        <f>C18*5</f>
        <v>0</v>
      </c>
      <c r="H18" s="28"/>
      <c r="I18" s="28"/>
      <c r="J18" s="28"/>
      <c r="K18" s="28"/>
      <c r="L18" s="31"/>
    </row>
    <row r="19" spans="1:12" ht="12" customHeight="1" x14ac:dyDescent="0.25">
      <c r="A19" s="25"/>
      <c r="B19" s="26"/>
      <c r="C19" s="27">
        <f>COUNTIF(CF,"SEH")</f>
        <v>0</v>
      </c>
      <c r="D19" s="28"/>
      <c r="E19" s="29" t="s">
        <v>46</v>
      </c>
      <c r="F19" s="29" t="s">
        <v>51</v>
      </c>
      <c r="G19" s="27">
        <f>C19*7</f>
        <v>0</v>
      </c>
      <c r="H19" s="28"/>
      <c r="I19" s="28"/>
      <c r="J19" s="28"/>
      <c r="K19" s="28"/>
      <c r="L19" s="32"/>
    </row>
    <row r="20" spans="1:12" ht="6.75" customHeight="1" x14ac:dyDescent="0.25">
      <c r="A20" s="25"/>
      <c r="B20" s="26"/>
      <c r="C20" s="23"/>
      <c r="D20" s="28"/>
      <c r="E20" s="28"/>
      <c r="F20" s="28"/>
      <c r="G20" s="23"/>
      <c r="H20" s="28"/>
      <c r="I20" s="28"/>
      <c r="J20" s="28"/>
      <c r="K20" s="28"/>
      <c r="L20" s="31"/>
    </row>
    <row r="21" spans="1:12" ht="12" customHeight="1" x14ac:dyDescent="0.25">
      <c r="A21" s="25"/>
      <c r="B21" s="33" t="s">
        <v>48</v>
      </c>
      <c r="C21" s="27">
        <f>SUM(C17:C19)</f>
        <v>0</v>
      </c>
      <c r="D21" s="28"/>
      <c r="E21" s="28"/>
      <c r="F21" s="33" t="s">
        <v>48</v>
      </c>
      <c r="G21" s="27">
        <f>SUM(G17:G19)</f>
        <v>0</v>
      </c>
      <c r="H21" s="28"/>
      <c r="I21" s="39" t="str">
        <f>IF($G$45&lt;&gt;0,G21/$G$45,"")</f>
        <v/>
      </c>
      <c r="J21" s="28"/>
      <c r="K21" s="28"/>
      <c r="L21" s="31"/>
    </row>
    <row r="22" spans="1:12" ht="6" customHeight="1" x14ac:dyDescent="0.25">
      <c r="A22" s="36"/>
      <c r="B22" s="37"/>
      <c r="C22" s="27"/>
      <c r="D22" s="27"/>
      <c r="E22" s="27"/>
      <c r="F22" s="27"/>
      <c r="G22" s="27"/>
      <c r="H22" s="27"/>
      <c r="I22" s="27"/>
      <c r="J22" s="27"/>
      <c r="K22" s="27"/>
      <c r="L22" s="38"/>
    </row>
    <row r="23" spans="1:12" ht="12" customHeight="1" x14ac:dyDescent="0.25">
      <c r="A23" s="21"/>
      <c r="B23" s="22"/>
      <c r="C23" s="28"/>
      <c r="D23" s="23"/>
      <c r="E23" s="23"/>
      <c r="F23" s="23"/>
      <c r="G23" s="28"/>
      <c r="H23" s="23"/>
      <c r="I23" s="23"/>
      <c r="J23" s="23"/>
      <c r="K23" s="23"/>
      <c r="L23" s="24"/>
    </row>
    <row r="24" spans="1:12" ht="12" customHeight="1" x14ac:dyDescent="0.25">
      <c r="A24" s="25"/>
      <c r="B24" s="26" t="s">
        <v>52</v>
      </c>
      <c r="C24" s="27">
        <f>COUNTIF(CF,"CEL")</f>
        <v>0</v>
      </c>
      <c r="D24" s="28"/>
      <c r="E24" s="29" t="s">
        <v>42</v>
      </c>
      <c r="F24" s="29" t="s">
        <v>43</v>
      </c>
      <c r="G24" s="27">
        <f>C24*3</f>
        <v>0</v>
      </c>
      <c r="H24" s="28"/>
      <c r="I24" s="28"/>
      <c r="J24" s="28"/>
      <c r="K24" s="28"/>
      <c r="L24" s="31"/>
    </row>
    <row r="25" spans="1:12" ht="12" customHeight="1" x14ac:dyDescent="0.25">
      <c r="A25" s="25"/>
      <c r="B25" s="26"/>
      <c r="C25" s="27">
        <f>COUNTIF(CF,"CEA")</f>
        <v>0</v>
      </c>
      <c r="D25" s="28"/>
      <c r="E25" s="29" t="s">
        <v>44</v>
      </c>
      <c r="F25" s="29" t="s">
        <v>45</v>
      </c>
      <c r="G25" s="27">
        <f>C25*4</f>
        <v>0</v>
      </c>
      <c r="H25" s="28"/>
      <c r="I25" s="28"/>
      <c r="J25" s="28"/>
      <c r="K25" s="28"/>
      <c r="L25" s="31"/>
    </row>
    <row r="26" spans="1:12" ht="12" customHeight="1" x14ac:dyDescent="0.25">
      <c r="A26" s="25"/>
      <c r="B26" s="26"/>
      <c r="C26" s="27">
        <f>COUNTIF(CF,"CEH")</f>
        <v>0</v>
      </c>
      <c r="D26" s="28"/>
      <c r="E26" s="29" t="s">
        <v>46</v>
      </c>
      <c r="F26" s="29" t="s">
        <v>47</v>
      </c>
      <c r="G26" s="27">
        <f>C26*6</f>
        <v>0</v>
      </c>
      <c r="H26" s="28"/>
      <c r="I26" s="28"/>
      <c r="J26" s="28"/>
      <c r="K26" s="28"/>
      <c r="L26" s="32"/>
    </row>
    <row r="27" spans="1:12" ht="6.75" customHeight="1" x14ac:dyDescent="0.25">
      <c r="A27" s="25"/>
      <c r="B27" s="26"/>
      <c r="C27" s="23"/>
      <c r="D27" s="28"/>
      <c r="E27" s="28"/>
      <c r="F27" s="28"/>
      <c r="G27" s="23"/>
      <c r="H27" s="28"/>
      <c r="I27" s="28"/>
      <c r="J27" s="28"/>
      <c r="K27" s="28"/>
      <c r="L27" s="31"/>
    </row>
    <row r="28" spans="1:12" ht="12" customHeight="1" x14ac:dyDescent="0.25">
      <c r="A28" s="25"/>
      <c r="B28" s="33" t="s">
        <v>48</v>
      </c>
      <c r="C28" s="27">
        <f>SUM(C24:C26)</f>
        <v>0</v>
      </c>
      <c r="D28" s="28"/>
      <c r="E28" s="28"/>
      <c r="F28" s="33" t="s">
        <v>48</v>
      </c>
      <c r="G28" s="27">
        <f>SUM(G24:G26)</f>
        <v>0</v>
      </c>
      <c r="H28" s="28"/>
      <c r="I28" s="40" t="str">
        <f>IF($G$45&lt;&gt;0,G28/$G$45,"")</f>
        <v/>
      </c>
      <c r="J28" s="28"/>
      <c r="K28" s="28"/>
      <c r="L28" s="31"/>
    </row>
    <row r="29" spans="1:12" ht="6" customHeight="1" x14ac:dyDescent="0.25">
      <c r="A29" s="36"/>
      <c r="B29" s="37"/>
      <c r="C29" s="27"/>
      <c r="D29" s="27"/>
      <c r="E29" s="27"/>
      <c r="F29" s="27"/>
      <c r="G29" s="27"/>
      <c r="H29" s="27"/>
      <c r="I29" s="27"/>
      <c r="J29" s="27"/>
      <c r="K29" s="27"/>
      <c r="L29" s="38"/>
    </row>
    <row r="30" spans="1:12" ht="12" customHeight="1" x14ac:dyDescent="0.25">
      <c r="A30" s="21"/>
      <c r="B30" s="22"/>
      <c r="C30" s="28"/>
      <c r="D30" s="23"/>
      <c r="E30" s="23"/>
      <c r="F30" s="23"/>
      <c r="G30" s="28"/>
      <c r="H30" s="23"/>
      <c r="I30" s="23"/>
      <c r="J30" s="23"/>
      <c r="K30" s="23"/>
      <c r="L30" s="24"/>
    </row>
    <row r="31" spans="1:12" ht="12" customHeight="1" x14ac:dyDescent="0.25">
      <c r="A31" s="25"/>
      <c r="B31" s="26" t="s">
        <v>53</v>
      </c>
      <c r="C31" s="27">
        <f>COUNTIF(CF,"ALIL")</f>
        <v>0</v>
      </c>
      <c r="D31" s="28"/>
      <c r="E31" s="28" t="s">
        <v>42</v>
      </c>
      <c r="F31" s="28" t="s">
        <v>51</v>
      </c>
      <c r="G31" s="27">
        <f>C31*7</f>
        <v>0</v>
      </c>
      <c r="H31" s="28"/>
      <c r="I31" s="28"/>
      <c r="J31" s="28"/>
      <c r="K31" s="28"/>
      <c r="L31" s="31"/>
    </row>
    <row r="32" spans="1:12" ht="12" customHeight="1" x14ac:dyDescent="0.25">
      <c r="A32" s="25"/>
      <c r="B32" s="26"/>
      <c r="C32" s="27">
        <f>COUNTIF(CF,"ALIA")</f>
        <v>0</v>
      </c>
      <c r="D32" s="28"/>
      <c r="E32" s="28" t="s">
        <v>44</v>
      </c>
      <c r="F32" s="28" t="s">
        <v>54</v>
      </c>
      <c r="G32" s="27">
        <f>C32*10</f>
        <v>0</v>
      </c>
      <c r="H32" s="28"/>
      <c r="I32" s="28"/>
      <c r="J32" s="28"/>
      <c r="K32" s="28"/>
      <c r="L32" s="31"/>
    </row>
    <row r="33" spans="1:12" ht="12" customHeight="1" x14ac:dyDescent="0.25">
      <c r="A33" s="25"/>
      <c r="B33" s="26"/>
      <c r="C33" s="27">
        <f>COUNTIF(CF,"ALIH")</f>
        <v>0</v>
      </c>
      <c r="D33" s="28"/>
      <c r="E33" s="28" t="s">
        <v>46</v>
      </c>
      <c r="F33" s="28" t="s">
        <v>55</v>
      </c>
      <c r="G33" s="27">
        <f>C33*15</f>
        <v>0</v>
      </c>
      <c r="H33" s="28"/>
      <c r="I33" s="28"/>
      <c r="J33" s="28"/>
      <c r="K33" s="28"/>
      <c r="L33" s="32"/>
    </row>
    <row r="34" spans="1:12" ht="6.75" customHeight="1" x14ac:dyDescent="0.25">
      <c r="A34" s="25"/>
      <c r="B34" s="26"/>
      <c r="C34" s="23"/>
      <c r="D34" s="28"/>
      <c r="E34" s="28"/>
      <c r="F34" s="28"/>
      <c r="G34" s="23"/>
      <c r="H34" s="28"/>
      <c r="I34" s="28"/>
      <c r="J34" s="28"/>
      <c r="K34" s="28"/>
      <c r="L34" s="31"/>
    </row>
    <row r="35" spans="1:12" ht="12" customHeight="1" x14ac:dyDescent="0.25">
      <c r="A35" s="25"/>
      <c r="B35" s="33" t="s">
        <v>48</v>
      </c>
      <c r="C35" s="27">
        <f>SUM(C31:C33)</f>
        <v>0</v>
      </c>
      <c r="D35" s="28"/>
      <c r="E35" s="28"/>
      <c r="F35" s="33" t="s">
        <v>48</v>
      </c>
      <c r="G35" s="27">
        <f>SUM(G31:G33)</f>
        <v>0</v>
      </c>
      <c r="H35" s="28"/>
      <c r="I35" s="41" t="str">
        <f>IF($G$45&lt;&gt;0,G35/$G$45,"")</f>
        <v/>
      </c>
      <c r="J35" s="28"/>
      <c r="K35" s="28"/>
      <c r="L35" s="31"/>
    </row>
    <row r="36" spans="1:12" ht="6" customHeight="1" x14ac:dyDescent="0.25">
      <c r="A36" s="36"/>
      <c r="B36" s="37"/>
      <c r="C36" s="27"/>
      <c r="D36" s="27"/>
      <c r="E36" s="27"/>
      <c r="F36" s="27"/>
      <c r="G36" s="27"/>
      <c r="H36" s="27"/>
      <c r="I36" s="27"/>
      <c r="J36" s="27"/>
      <c r="K36" s="27"/>
      <c r="L36" s="38"/>
    </row>
    <row r="37" spans="1:12" ht="12" customHeight="1" x14ac:dyDescent="0.25">
      <c r="A37" s="21"/>
      <c r="B37" s="22"/>
      <c r="C37" s="28"/>
      <c r="D37" s="23"/>
      <c r="E37" s="23"/>
      <c r="F37" s="23"/>
      <c r="G37" s="28"/>
      <c r="H37" s="23"/>
      <c r="I37" s="23"/>
      <c r="J37" s="23"/>
      <c r="K37" s="23"/>
      <c r="L37" s="24"/>
    </row>
    <row r="38" spans="1:12" ht="12" customHeight="1" x14ac:dyDescent="0.25">
      <c r="A38" s="25"/>
      <c r="B38" s="26" t="s">
        <v>56</v>
      </c>
      <c r="C38" s="27">
        <f>COUNTIF(CF,"AIEL")</f>
        <v>0</v>
      </c>
      <c r="D38" s="28"/>
      <c r="E38" s="28" t="s">
        <v>42</v>
      </c>
      <c r="F38" s="28" t="s">
        <v>50</v>
      </c>
      <c r="G38" s="27">
        <f>C38*5</f>
        <v>0</v>
      </c>
      <c r="H38" s="28"/>
      <c r="I38" s="28"/>
      <c r="J38" s="28"/>
      <c r="K38" s="28"/>
      <c r="L38" s="31"/>
    </row>
    <row r="39" spans="1:12" ht="12" customHeight="1" x14ac:dyDescent="0.25">
      <c r="A39" s="25"/>
      <c r="B39" s="26"/>
      <c r="C39" s="27">
        <f>COUNTIF(CF,"AIEA")</f>
        <v>0</v>
      </c>
      <c r="D39" s="28"/>
      <c r="E39" s="28" t="s">
        <v>44</v>
      </c>
      <c r="F39" s="28" t="s">
        <v>51</v>
      </c>
      <c r="G39" s="27">
        <f>C39*7</f>
        <v>0</v>
      </c>
      <c r="H39" s="28"/>
      <c r="I39" s="28"/>
      <c r="J39" s="28"/>
      <c r="K39" s="28"/>
      <c r="L39" s="31"/>
    </row>
    <row r="40" spans="1:12" ht="12" customHeight="1" x14ac:dyDescent="0.25">
      <c r="A40" s="25"/>
      <c r="B40" s="26"/>
      <c r="C40" s="27">
        <f>COUNTIF(CF,"AIEH")</f>
        <v>0</v>
      </c>
      <c r="D40" s="28"/>
      <c r="E40" s="28" t="s">
        <v>46</v>
      </c>
      <c r="F40" s="28" t="s">
        <v>54</v>
      </c>
      <c r="G40" s="27">
        <f>C40*10</f>
        <v>0</v>
      </c>
      <c r="H40" s="28"/>
      <c r="I40" s="28"/>
      <c r="J40" s="28"/>
      <c r="K40" s="28"/>
      <c r="L40" s="32"/>
    </row>
    <row r="41" spans="1:12" ht="6.75" customHeight="1" x14ac:dyDescent="0.25">
      <c r="A41" s="25"/>
      <c r="B41" s="26"/>
      <c r="C41" s="23"/>
      <c r="D41" s="28"/>
      <c r="E41" s="28"/>
      <c r="F41" s="28"/>
      <c r="G41" s="23"/>
      <c r="H41" s="28"/>
      <c r="I41" s="28"/>
      <c r="J41" s="28"/>
      <c r="K41" s="28"/>
      <c r="L41" s="31"/>
    </row>
    <row r="42" spans="1:12" ht="12" customHeight="1" x14ac:dyDescent="0.25">
      <c r="A42" s="25"/>
      <c r="B42" s="33" t="s">
        <v>48</v>
      </c>
      <c r="C42" s="27">
        <f>SUM(C38:C40)</f>
        <v>0</v>
      </c>
      <c r="D42" s="28"/>
      <c r="E42" s="28"/>
      <c r="F42" s="33" t="s">
        <v>48</v>
      </c>
      <c r="G42" s="27">
        <f>SUM(G38:G40)</f>
        <v>0</v>
      </c>
      <c r="H42" s="28"/>
      <c r="I42" s="42" t="str">
        <f>IF($G$45&lt;&gt;0,G42/$G$45,"")</f>
        <v/>
      </c>
      <c r="J42" s="28"/>
      <c r="K42" s="28"/>
      <c r="L42" s="31"/>
    </row>
    <row r="43" spans="1:12" ht="6" customHeight="1" x14ac:dyDescent="0.25">
      <c r="A43" s="36"/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38"/>
    </row>
    <row r="44" spans="1:12" ht="12" customHeight="1" x14ac:dyDescent="0.25">
      <c r="A44" s="25"/>
      <c r="B44" s="26"/>
      <c r="C44" s="28"/>
      <c r="D44" s="28"/>
      <c r="E44" s="28"/>
      <c r="F44" s="28"/>
      <c r="G44" s="28"/>
      <c r="H44" s="28"/>
      <c r="I44" s="28"/>
      <c r="J44" s="28"/>
      <c r="K44" s="28"/>
      <c r="L44" s="31"/>
    </row>
    <row r="45" spans="1:12" ht="12" customHeight="1" x14ac:dyDescent="0.25">
      <c r="A45" s="25"/>
      <c r="B45" s="26" t="s">
        <v>57</v>
      </c>
      <c r="C45" s="28"/>
      <c r="D45" s="28"/>
      <c r="E45" s="28"/>
      <c r="F45" s="28"/>
      <c r="G45" s="27">
        <f>SUM(G14+G21+G28+G35+G42)</f>
        <v>0</v>
      </c>
      <c r="H45" s="28"/>
      <c r="I45" s="28"/>
      <c r="J45" s="28"/>
      <c r="K45" s="28"/>
      <c r="L45" s="31"/>
    </row>
    <row r="46" spans="1:12" ht="12" customHeight="1" x14ac:dyDescent="0.25">
      <c r="A46" s="25"/>
      <c r="B46" s="26" t="s">
        <v>58</v>
      </c>
      <c r="C46" s="28"/>
      <c r="D46" s="28"/>
      <c r="E46" s="28"/>
      <c r="F46" s="28"/>
      <c r="G46" s="27">
        <f>(C10+C11+C12)*4+(C17+C18+C19)*5+(C24+C25+C26)*4+(C31+C32+C33)*7+(C38+C39+C40)*5</f>
        <v>0</v>
      </c>
      <c r="H46" s="28"/>
      <c r="I46" s="28"/>
      <c r="J46" s="28"/>
      <c r="K46" s="28"/>
      <c r="L46" s="31"/>
    </row>
    <row r="47" spans="1:12" ht="12" customHeight="1" x14ac:dyDescent="0.25">
      <c r="A47" s="25"/>
      <c r="B47" s="26" t="s">
        <v>59</v>
      </c>
      <c r="C47" s="28"/>
      <c r="D47" s="28"/>
      <c r="E47" s="28"/>
      <c r="F47" s="28"/>
      <c r="G47" s="27">
        <f>(C31+C32+C33)*35+(C38+C39+C40)*15</f>
        <v>0</v>
      </c>
      <c r="H47" s="28"/>
      <c r="I47" s="28"/>
      <c r="J47" s="28"/>
      <c r="K47" s="28"/>
      <c r="L47" s="31"/>
    </row>
    <row r="48" spans="1:12" ht="12" customHeight="1" x14ac:dyDescent="0.25">
      <c r="A48" s="25"/>
      <c r="B48" s="26"/>
      <c r="C48" s="28"/>
      <c r="D48" s="28"/>
      <c r="E48" s="28"/>
      <c r="F48" s="28"/>
      <c r="G48" s="28"/>
      <c r="H48" s="28"/>
      <c r="I48" s="28"/>
      <c r="J48" s="28"/>
      <c r="K48" s="28"/>
      <c r="L48" s="31"/>
    </row>
    <row r="49" spans="1:12" ht="12" customHeight="1" x14ac:dyDescent="0.25">
      <c r="A49" s="25"/>
      <c r="B49" s="26"/>
      <c r="C49" s="28"/>
      <c r="D49" s="28"/>
      <c r="E49" s="28"/>
      <c r="F49" s="28"/>
      <c r="G49" s="28"/>
      <c r="H49" s="28"/>
      <c r="I49" s="28"/>
      <c r="J49" s="28"/>
      <c r="K49" s="28"/>
      <c r="L49" s="31"/>
    </row>
    <row r="50" spans="1:12" ht="12" customHeight="1" x14ac:dyDescent="0.25">
      <c r="A50" s="25"/>
      <c r="H50" s="28"/>
      <c r="I50" s="28"/>
      <c r="J50" s="28"/>
      <c r="L50" s="31"/>
    </row>
    <row r="51" spans="1:12" ht="13.5" customHeight="1" x14ac:dyDescent="0.25">
      <c r="A51" s="25"/>
      <c r="H51" s="28"/>
      <c r="I51" s="28"/>
      <c r="J51" s="28"/>
      <c r="L51" s="31"/>
    </row>
    <row r="52" spans="1:12" ht="12" customHeight="1" x14ac:dyDescent="0.2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4"/>
    </row>
    <row r="53" spans="1:12" ht="12" customHeight="1" x14ac:dyDescent="0.25">
      <c r="A53" s="25"/>
      <c r="B53" s="26" t="s">
        <v>60</v>
      </c>
      <c r="C53" s="26"/>
      <c r="D53" s="26"/>
      <c r="E53" s="26"/>
      <c r="F53" s="26"/>
      <c r="G53" s="26"/>
      <c r="H53" s="26"/>
      <c r="I53" s="26"/>
      <c r="J53" s="26"/>
      <c r="K53" s="26"/>
      <c r="L53" s="31"/>
    </row>
    <row r="54" spans="1:12" ht="12" customHeight="1" x14ac:dyDescent="0.25">
      <c r="A54" s="25"/>
      <c r="B54" s="26"/>
      <c r="C54" s="26"/>
      <c r="D54" s="26"/>
      <c r="E54" s="43" t="s">
        <v>5</v>
      </c>
      <c r="F54" s="43" t="s">
        <v>61</v>
      </c>
      <c r="G54" s="43" t="s">
        <v>62</v>
      </c>
      <c r="H54" s="26"/>
      <c r="I54" s="26"/>
      <c r="J54" s="26"/>
      <c r="K54" s="26"/>
      <c r="L54" s="31"/>
    </row>
    <row r="55" spans="1:12" ht="12" customHeight="1" x14ac:dyDescent="0.25">
      <c r="A55" s="25"/>
      <c r="B55" s="150" t="s">
        <v>63</v>
      </c>
      <c r="C55" s="150"/>
      <c r="D55" s="150"/>
      <c r="E55" s="5">
        <f>SUMIF(Funções!$I$8:$I$40,"I",Funções!$O$8:$O$40)</f>
        <v>45</v>
      </c>
      <c r="F55" s="5">
        <f>Contagem!U10</f>
        <v>1</v>
      </c>
      <c r="G55" s="44">
        <f>F55*E55</f>
        <v>45</v>
      </c>
      <c r="H55" s="45"/>
      <c r="I55" s="45"/>
      <c r="J55" s="45"/>
      <c r="K55" s="46" t="s">
        <v>64</v>
      </c>
      <c r="L55" s="31"/>
    </row>
    <row r="56" spans="1:12" ht="12" customHeight="1" x14ac:dyDescent="0.25">
      <c r="A56" s="25"/>
      <c r="B56" s="150" t="s">
        <v>65</v>
      </c>
      <c r="C56" s="150"/>
      <c r="D56" s="150"/>
      <c r="E56" s="5">
        <f>SUMIF(Funções!$I$8:$I$40,"A",Funções!$O$8:$O$40)</f>
        <v>0</v>
      </c>
      <c r="F56" s="5">
        <f>Contagem!U11</f>
        <v>1</v>
      </c>
      <c r="G56" s="44">
        <f>F56*E56</f>
        <v>0</v>
      </c>
      <c r="H56" s="45"/>
      <c r="I56" s="45"/>
      <c r="J56" s="45"/>
      <c r="K56" s="47">
        <f>Contagem!W5</f>
        <v>45</v>
      </c>
      <c r="L56" s="31"/>
    </row>
    <row r="57" spans="1:12" ht="12" customHeight="1" x14ac:dyDescent="0.25">
      <c r="A57" s="25"/>
      <c r="B57" s="150" t="s">
        <v>66</v>
      </c>
      <c r="C57" s="150"/>
      <c r="D57" s="150"/>
      <c r="E57" s="5">
        <f>SUMIF(Funções!$I$8:$I$40,"E",Funções!$O$8:$O$40)</f>
        <v>0</v>
      </c>
      <c r="F57" s="5">
        <f>Contagem!U12</f>
        <v>1</v>
      </c>
      <c r="G57" s="44">
        <f>F57*E57</f>
        <v>0</v>
      </c>
      <c r="H57" s="45"/>
      <c r="I57" s="45"/>
      <c r="J57" s="45"/>
      <c r="K57" s="26"/>
      <c r="L57" s="31"/>
    </row>
    <row r="58" spans="1:12" ht="12" customHeight="1" x14ac:dyDescent="0.25">
      <c r="A58" s="25"/>
      <c r="B58" s="150" t="s">
        <v>67</v>
      </c>
      <c r="C58" s="150"/>
      <c r="D58" s="150"/>
      <c r="E58" s="5">
        <f>SUMIF(Funções!$I$8:$I$40,"T",Funções!$O$8:$O$40)</f>
        <v>0</v>
      </c>
      <c r="F58" s="5">
        <f>Contagem!U13</f>
        <v>0</v>
      </c>
      <c r="G58" s="44">
        <f>F58*E58</f>
        <v>0</v>
      </c>
      <c r="H58" s="45"/>
      <c r="I58" s="45"/>
      <c r="J58" s="45"/>
      <c r="K58" s="26"/>
      <c r="L58" s="31"/>
    </row>
    <row r="59" spans="1:12" ht="12" customHeight="1" x14ac:dyDescent="0.25">
      <c r="A59" s="48"/>
      <c r="B59" s="49"/>
      <c r="C59" s="50"/>
      <c r="D59" s="51"/>
      <c r="E59" s="52"/>
      <c r="F59" s="51"/>
      <c r="G59" s="53"/>
      <c r="H59" s="54"/>
      <c r="I59" s="54"/>
      <c r="J59" s="54"/>
      <c r="K59" s="55"/>
      <c r="L59" s="56"/>
    </row>
    <row r="60" spans="1:12" ht="12" customHeight="1" x14ac:dyDescent="0.25">
      <c r="B60" s="57"/>
      <c r="C60" s="58"/>
      <c r="E60" s="59"/>
      <c r="G60" s="60"/>
      <c r="H60" s="45"/>
      <c r="I60" s="45"/>
      <c r="J60" s="45"/>
      <c r="K60" s="61"/>
    </row>
    <row r="61" spans="1:12" ht="12" customHeight="1" x14ac:dyDescent="0.25">
      <c r="B61" s="57"/>
      <c r="C61" s="58"/>
      <c r="E61" s="59"/>
      <c r="G61" s="60"/>
      <c r="H61" s="45"/>
      <c r="I61" s="45"/>
      <c r="J61" s="45"/>
      <c r="K61" s="61"/>
    </row>
  </sheetData>
  <mergeCells count="18">
    <mergeCell ref="B55:D55"/>
    <mergeCell ref="B56:D56"/>
    <mergeCell ref="B58:D58"/>
    <mergeCell ref="B57:D57"/>
    <mergeCell ref="F6:G6"/>
    <mergeCell ref="K7:L8"/>
    <mergeCell ref="A1:L3"/>
    <mergeCell ref="A4:E4"/>
    <mergeCell ref="F4:L4"/>
    <mergeCell ref="A5:E5"/>
    <mergeCell ref="F5:L5"/>
    <mergeCell ref="K6:L6"/>
    <mergeCell ref="H6:J6"/>
    <mergeCell ref="A7:B8"/>
    <mergeCell ref="C7:F8"/>
    <mergeCell ref="G7:G8"/>
    <mergeCell ref="H7:H8"/>
    <mergeCell ref="I7:J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E27" sqref="E27"/>
    </sheetView>
  </sheetViews>
  <sheetFormatPr defaultRowHeight="14.25" customHeight="1" x14ac:dyDescent="0.2"/>
  <cols>
    <col min="1" max="1" width="41.85546875" customWidth="1"/>
    <col min="2" max="2" width="11.140625" style="72" bestFit="1" customWidth="1"/>
    <col min="3" max="3" width="8.42578125" customWidth="1"/>
    <col min="4" max="4" width="8.140625" customWidth="1"/>
    <col min="10" max="10" width="9.140625" customWidth="1"/>
  </cols>
  <sheetData>
    <row r="1" spans="1:4" s="70" customFormat="1" ht="14.25" customHeight="1" x14ac:dyDescent="0.2">
      <c r="A1" s="89" t="s">
        <v>68</v>
      </c>
      <c r="B1" s="90" t="s">
        <v>5</v>
      </c>
    </row>
    <row r="2" spans="1:4" ht="14.25" customHeight="1" x14ac:dyDescent="0.2">
      <c r="A2" s="84"/>
      <c r="B2" s="85"/>
    </row>
    <row r="3" spans="1:4" ht="14.25" customHeight="1" x14ac:dyDescent="0.2">
      <c r="A3" s="86" t="s">
        <v>48</v>
      </c>
      <c r="B3" s="87">
        <f>VALUE(Contagem!W5)</f>
        <v>45</v>
      </c>
    </row>
    <row r="5" spans="1:4" ht="14.25" customHeight="1" x14ac:dyDescent="0.2">
      <c r="A5" s="91" t="s">
        <v>69</v>
      </c>
      <c r="B5" s="95">
        <v>1</v>
      </c>
    </row>
    <row r="7" spans="1:4" ht="14.25" customHeight="1" x14ac:dyDescent="0.2">
      <c r="A7" s="70" t="s">
        <v>70</v>
      </c>
      <c r="B7"/>
    </row>
    <row r="8" spans="1:4" ht="14.25" customHeight="1" x14ac:dyDescent="0.2">
      <c r="A8" s="70" t="s">
        <v>71</v>
      </c>
      <c r="B8"/>
    </row>
    <row r="9" spans="1:4" ht="14.25" customHeight="1" x14ac:dyDescent="0.2">
      <c r="A9" s="88" t="s">
        <v>72</v>
      </c>
      <c r="B9" s="73">
        <v>0.23</v>
      </c>
      <c r="D9" s="71"/>
    </row>
    <row r="10" spans="1:4" ht="14.25" customHeight="1" x14ac:dyDescent="0.2">
      <c r="A10" s="74" t="s">
        <v>73</v>
      </c>
      <c r="B10" s="75">
        <f>B3/B9</f>
        <v>195.65217391304347</v>
      </c>
    </row>
    <row r="11" spans="1:4" ht="14.25" customHeight="1" x14ac:dyDescent="0.2">
      <c r="A11" s="76" t="s">
        <v>74</v>
      </c>
      <c r="B11" s="75">
        <v>120</v>
      </c>
    </row>
    <row r="12" spans="1:4" ht="14.25" customHeight="1" x14ac:dyDescent="0.2">
      <c r="A12" s="77" t="s">
        <v>75</v>
      </c>
      <c r="B12" s="100">
        <f>CEILING(B10/(B5*B11),1)</f>
        <v>2</v>
      </c>
    </row>
    <row r="14" spans="1:4" ht="14.25" customHeight="1" x14ac:dyDescent="0.2">
      <c r="A14" s="78" t="s">
        <v>76</v>
      </c>
      <c r="B14" s="79"/>
      <c r="D14" s="71"/>
    </row>
    <row r="15" spans="1:4" ht="14.25" customHeight="1" x14ac:dyDescent="0.2">
      <c r="A15" s="80" t="s">
        <v>77</v>
      </c>
      <c r="B15" s="81">
        <f>B$10*0.2</f>
        <v>39.130434782608695</v>
      </c>
      <c r="D15" s="71"/>
    </row>
    <row r="16" spans="1:4" ht="14.25" customHeight="1" x14ac:dyDescent="0.2">
      <c r="A16" s="80" t="s">
        <v>78</v>
      </c>
      <c r="B16" s="81">
        <f>B$10*0.3</f>
        <v>58.695652173913039</v>
      </c>
    </row>
    <row r="17" spans="1:2" ht="14.25" customHeight="1" x14ac:dyDescent="0.2">
      <c r="A17" s="80" t="s">
        <v>79</v>
      </c>
      <c r="B17" s="81">
        <f>B$10*0.4</f>
        <v>78.260869565217391</v>
      </c>
    </row>
    <row r="18" spans="1:2" ht="14.25" customHeight="1" x14ac:dyDescent="0.2">
      <c r="A18" s="82" t="s">
        <v>80</v>
      </c>
      <c r="B18" s="83">
        <f>B$10*0.1</f>
        <v>19.565217391304348</v>
      </c>
    </row>
    <row r="19" spans="1:2" ht="14.25" customHeight="1" x14ac:dyDescent="0.2">
      <c r="B19"/>
    </row>
    <row r="20" spans="1:2" ht="14.25" customHeight="1" x14ac:dyDescent="0.2">
      <c r="A20" s="78" t="s">
        <v>81</v>
      </c>
      <c r="B20" s="79"/>
    </row>
    <row r="21" spans="1:2" ht="14.25" customHeight="1" x14ac:dyDescent="0.2">
      <c r="A21" s="80" t="s">
        <v>77</v>
      </c>
      <c r="B21" s="81">
        <f>(B$10*0.2)/$B$5</f>
        <v>39.130434782608695</v>
      </c>
    </row>
    <row r="22" spans="1:2" ht="14.25" customHeight="1" x14ac:dyDescent="0.2">
      <c r="A22" s="80" t="s">
        <v>78</v>
      </c>
      <c r="B22" s="81">
        <f>B$10*0.3/$B$5</f>
        <v>58.695652173913039</v>
      </c>
    </row>
    <row r="23" spans="1:2" ht="14.25" customHeight="1" x14ac:dyDescent="0.2">
      <c r="A23" s="80" t="s">
        <v>79</v>
      </c>
      <c r="B23" s="81">
        <f>B$10*0.4/$B$5</f>
        <v>78.260869565217391</v>
      </c>
    </row>
    <row r="24" spans="1:2" ht="14.25" customHeight="1" x14ac:dyDescent="0.2">
      <c r="A24" s="82" t="s">
        <v>80</v>
      </c>
      <c r="B24" s="83">
        <f>B$10*0.1/$B$5</f>
        <v>19.565217391304348</v>
      </c>
    </row>
    <row r="26" spans="1:2" ht="14.25" customHeight="1" x14ac:dyDescent="0.2">
      <c r="A26" s="78" t="s">
        <v>82</v>
      </c>
      <c r="B26" s="79"/>
    </row>
    <row r="27" spans="1:2" ht="14.25" customHeight="1" x14ac:dyDescent="0.2">
      <c r="A27" s="80" t="s">
        <v>77</v>
      </c>
      <c r="B27" s="81">
        <f>$B$3*0.2/$B$5</f>
        <v>9</v>
      </c>
    </row>
    <row r="28" spans="1:2" ht="14.25" customHeight="1" x14ac:dyDescent="0.2">
      <c r="A28" s="80" t="s">
        <v>78</v>
      </c>
      <c r="B28" s="81">
        <f>$B$3*0.3/$B$5</f>
        <v>13.5</v>
      </c>
    </row>
    <row r="29" spans="1:2" ht="14.25" customHeight="1" x14ac:dyDescent="0.2">
      <c r="A29" s="80" t="s">
        <v>79</v>
      </c>
      <c r="B29" s="81">
        <f>$B$3*0.4/$B$5</f>
        <v>18</v>
      </c>
    </row>
    <row r="30" spans="1:2" ht="14.25" customHeight="1" x14ac:dyDescent="0.2">
      <c r="A30" s="82" t="s">
        <v>80</v>
      </c>
      <c r="B30" s="83">
        <f>$B$3*0.1/$B$5</f>
        <v>4.5</v>
      </c>
    </row>
    <row r="32" spans="1:2" ht="14.25" customHeight="1" x14ac:dyDescent="0.2">
      <c r="A32" s="102" t="s">
        <v>83</v>
      </c>
      <c r="B32" s="101">
        <f>B3/(19*LN(B3)-42)</f>
        <v>1.4838464858074203</v>
      </c>
    </row>
  </sheetData>
  <pageMargins left="0.511811024" right="0.511811024" top="0.78740157499999996" bottom="0.78740157499999996" header="0.31496062000000002" footer="0.31496062000000002"/>
  <pageSetup paperSize="9" orientation="landscape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6290D24F454429A37632B16C0C5B7" ma:contentTypeVersion="6" ma:contentTypeDescription="Crie um novo documento." ma:contentTypeScope="" ma:versionID="e8cbd14aec917cb5180d249ba12a479c">
  <xsd:schema xmlns:xsd="http://www.w3.org/2001/XMLSchema" xmlns:xs="http://www.w3.org/2001/XMLSchema" xmlns:p="http://schemas.microsoft.com/office/2006/metadata/properties" xmlns:ns2="df66ab89-46b5-4e74-b2c0-b8a5c1fe0d1e" targetNamespace="http://schemas.microsoft.com/office/2006/metadata/properties" ma:root="true" ma:fieldsID="9f5f93fe6d9373f2328bcf9c83eb6632" ns2:_="">
    <xsd:import namespace="df66ab89-46b5-4e74-b2c0-b8a5c1fe0d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6ab89-46b5-4e74-b2c0-b8a5c1fe0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4FA02D-4F35-4597-9308-C8315833A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66ab89-46b5-4e74-b2c0-b8a5c1fe0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2BD034-8A2C-43EF-8896-6D009CB7D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6DC1F-E1CA-43CB-8A1B-D4D8D042B5D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Estimativas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subject/>
  <dc:creator>Guilherme Simões e Carlos Vazqu</dc:creator>
  <cp:keywords/>
  <dc:description/>
  <cp:lastModifiedBy>Gustavo Simões</cp:lastModifiedBy>
  <cp:revision>1</cp:revision>
  <dcterms:created xsi:type="dcterms:W3CDTF">2001-07-23T10:50:56Z</dcterms:created>
  <dcterms:modified xsi:type="dcterms:W3CDTF">2021-06-18T23:51:59Z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0x0101007B26290D24F454429A37632B16C0C5B7</vt:lpwstr>
  </property>
</Properties>
</file>