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mc:AlternateContent xmlns:mc="http://schemas.openxmlformats.org/markup-compatibility/2006">
    <mc:Choice Requires="x15">
      <x15ac:absPath xmlns:x15ac="http://schemas.microsoft.com/office/spreadsheetml/2010/11/ac" url="C:\Users\matt\Source\Repos\CalculateFunding-Backend\SourceData\"/>
    </mc:Choice>
  </mc:AlternateContent>
  <bookViews>
    <workbookView xWindow="0" yWindow="0" windowWidth="27060" windowHeight="7663" activeTab="1"/>
  </bookViews>
  <sheets>
    <sheet name="Specification" sheetId="2" r:id="rId1"/>
    <sheet name="Spec" sheetId="4" r:id="rId2"/>
    <sheet name="Calculations" sheetId="1" r:id="rId3"/>
    <sheet name="Policies" sheetId="3" r:id="rId4"/>
  </sheets>
  <externalReferences>
    <externalReference r:id="rId5"/>
  </externalReferences>
  <definedNames>
    <definedName name="_xlnm._FilterDatabase" localSheetId="2" hidden="1">Calculations!$A$1:$XCT$1</definedName>
    <definedName name="Method">'[1]Version Control'!$I$7:$I$9</definedName>
  </definedNames>
  <calcPr calcId="162913"/>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4" i="1" l="1"/>
  <c r="E274" i="1"/>
  <c r="F273" i="1"/>
  <c r="E273" i="1"/>
  <c r="E272" i="1"/>
  <c r="F271" i="1"/>
  <c r="E271" i="1"/>
  <c r="F267" i="1"/>
  <c r="E267" i="1"/>
  <c r="F260" i="1"/>
  <c r="E260" i="1"/>
  <c r="F259" i="1"/>
  <c r="E259" i="1"/>
  <c r="F258" i="1"/>
  <c r="E258" i="1"/>
  <c r="F256" i="1"/>
  <c r="E256" i="1"/>
  <c r="F254" i="1"/>
  <c r="E254" i="1"/>
  <c r="F252" i="1"/>
  <c r="E252" i="1"/>
  <c r="F250" i="1"/>
  <c r="E250" i="1"/>
  <c r="F248" i="1"/>
  <c r="E248" i="1"/>
  <c r="F246" i="1"/>
  <c r="E246" i="1"/>
  <c r="F244" i="1"/>
  <c r="E244" i="1"/>
  <c r="F242" i="1"/>
  <c r="E242" i="1"/>
  <c r="F240" i="1"/>
  <c r="E240" i="1"/>
  <c r="F238" i="1"/>
  <c r="E238" i="1"/>
  <c r="F236" i="1"/>
  <c r="E236" i="1"/>
  <c r="F234" i="1"/>
  <c r="E234" i="1"/>
  <c r="F232" i="1"/>
  <c r="E232" i="1"/>
  <c r="F230" i="1"/>
  <c r="E230" i="1"/>
  <c r="F228" i="1"/>
  <c r="E228" i="1"/>
  <c r="F226" i="1"/>
  <c r="E226" i="1"/>
  <c r="F224" i="1"/>
  <c r="E224" i="1"/>
  <c r="F222" i="1"/>
  <c r="E222" i="1"/>
  <c r="F220" i="1"/>
  <c r="E220" i="1"/>
  <c r="F218" i="1"/>
  <c r="E218" i="1"/>
  <c r="F215" i="1"/>
  <c r="E215" i="1"/>
  <c r="F213" i="1"/>
  <c r="E213" i="1"/>
  <c r="F212" i="1"/>
  <c r="E212" i="1"/>
  <c r="E211" i="1"/>
  <c r="F208" i="1"/>
  <c r="E208" i="1"/>
  <c r="E207" i="1"/>
  <c r="E205" i="1"/>
  <c r="F203" i="1"/>
  <c r="E203" i="1"/>
  <c r="F202" i="1"/>
  <c r="E202" i="1"/>
  <c r="F201" i="1"/>
  <c r="E201" i="1"/>
  <c r="F200" i="1"/>
  <c r="E200" i="1"/>
  <c r="F199" i="1"/>
  <c r="E199" i="1"/>
  <c r="F198" i="1"/>
  <c r="E198" i="1"/>
  <c r="F197" i="1"/>
  <c r="E197" i="1"/>
  <c r="E196" i="1"/>
  <c r="E195" i="1"/>
  <c r="E194" i="1"/>
  <c r="E193" i="1"/>
  <c r="F192" i="1"/>
  <c r="E192" i="1"/>
  <c r="E191" i="1"/>
  <c r="E190" i="1"/>
  <c r="E189" i="1"/>
  <c r="F188" i="1"/>
  <c r="E188" i="1"/>
  <c r="F182" i="1"/>
  <c r="E182" i="1"/>
  <c r="F180" i="1"/>
  <c r="E180" i="1"/>
  <c r="F179" i="1"/>
  <c r="E179" i="1"/>
  <c r="F176" i="1"/>
  <c r="E176" i="1"/>
  <c r="F174" i="1"/>
  <c r="E174" i="1"/>
  <c r="F173" i="1"/>
  <c r="E173" i="1"/>
  <c r="F170" i="1"/>
  <c r="E170" i="1"/>
  <c r="F167" i="1"/>
  <c r="E167" i="1"/>
  <c r="F164" i="1"/>
  <c r="E164" i="1"/>
  <c r="F163" i="1"/>
  <c r="E163" i="1"/>
  <c r="F160" i="1"/>
  <c r="E160" i="1"/>
  <c r="F159" i="1"/>
  <c r="E159" i="1"/>
  <c r="F156" i="1"/>
  <c r="E156" i="1"/>
  <c r="F153" i="1"/>
  <c r="E153" i="1"/>
  <c r="F150" i="1"/>
  <c r="E150" i="1"/>
  <c r="F149" i="1"/>
  <c r="E149" i="1"/>
  <c r="F146" i="1"/>
  <c r="E146" i="1"/>
  <c r="F145" i="1"/>
  <c r="E145" i="1"/>
  <c r="F142" i="1"/>
  <c r="E142" i="1"/>
  <c r="F140" i="1"/>
  <c r="E140" i="1"/>
  <c r="F139" i="1"/>
  <c r="E139" i="1"/>
  <c r="F138" i="1"/>
  <c r="E138" i="1"/>
  <c r="F133" i="1"/>
  <c r="E133" i="1"/>
  <c r="F131" i="1"/>
  <c r="E131" i="1"/>
  <c r="F130" i="1"/>
  <c r="E130" i="1"/>
  <c r="F129" i="1"/>
  <c r="E129" i="1"/>
  <c r="F128" i="1"/>
  <c r="E128" i="1"/>
  <c r="F127" i="1"/>
  <c r="E127" i="1"/>
  <c r="F126" i="1"/>
  <c r="E126" i="1"/>
  <c r="F123" i="1"/>
  <c r="E123" i="1"/>
  <c r="F122" i="1"/>
  <c r="E122" i="1"/>
  <c r="F121" i="1"/>
  <c r="E121" i="1"/>
  <c r="F119" i="1"/>
  <c r="E119" i="1"/>
  <c r="F115" i="1"/>
  <c r="E115" i="1"/>
  <c r="F113" i="1"/>
  <c r="E113" i="1"/>
  <c r="F112" i="1"/>
  <c r="E112" i="1"/>
  <c r="F109" i="1"/>
  <c r="E109" i="1"/>
  <c r="F107" i="1"/>
  <c r="E107" i="1"/>
  <c r="F106" i="1"/>
  <c r="E106" i="1"/>
  <c r="F103" i="1"/>
  <c r="E103" i="1"/>
  <c r="F101" i="1"/>
  <c r="E101" i="1"/>
  <c r="F100" i="1"/>
  <c r="E100" i="1"/>
  <c r="F97" i="1"/>
  <c r="E97" i="1"/>
  <c r="F95" i="1"/>
  <c r="E95" i="1"/>
  <c r="F94" i="1"/>
  <c r="E94" i="1"/>
  <c r="F91" i="1"/>
  <c r="E91" i="1"/>
  <c r="F89" i="1"/>
  <c r="E89" i="1"/>
  <c r="F88" i="1"/>
  <c r="E88" i="1"/>
  <c r="F85" i="1"/>
  <c r="E85" i="1"/>
  <c r="F83" i="1"/>
  <c r="E83" i="1"/>
  <c r="F82" i="1"/>
  <c r="E82" i="1"/>
  <c r="F79" i="1"/>
  <c r="E79" i="1"/>
  <c r="F77" i="1"/>
  <c r="E77" i="1"/>
  <c r="F76" i="1"/>
  <c r="E76" i="1"/>
  <c r="F73" i="1"/>
  <c r="E73" i="1"/>
  <c r="F70" i="1"/>
  <c r="E70" i="1"/>
  <c r="F67" i="1"/>
  <c r="E67" i="1"/>
  <c r="F64" i="1"/>
  <c r="E64" i="1"/>
  <c r="F61" i="1"/>
  <c r="E61" i="1"/>
  <c r="F58" i="1"/>
  <c r="E58" i="1"/>
  <c r="F55" i="1"/>
  <c r="E55" i="1"/>
  <c r="F52" i="1"/>
  <c r="E52" i="1"/>
  <c r="F49" i="1"/>
  <c r="E49" i="1"/>
  <c r="F46" i="1"/>
  <c r="E46" i="1"/>
  <c r="F43" i="1"/>
  <c r="E43" i="1"/>
  <c r="F40" i="1"/>
  <c r="E40" i="1"/>
  <c r="F37" i="1"/>
  <c r="E37" i="1"/>
  <c r="F34" i="1"/>
  <c r="E34" i="1"/>
  <c r="F31" i="1"/>
  <c r="E31" i="1"/>
  <c r="F30" i="1"/>
  <c r="E30" i="1"/>
  <c r="F27" i="1"/>
  <c r="E27" i="1"/>
  <c r="F24" i="1"/>
  <c r="E24" i="1"/>
  <c r="F21" i="1"/>
  <c r="E21" i="1"/>
  <c r="F20" i="1"/>
  <c r="E20" i="1"/>
  <c r="F17" i="1"/>
  <c r="E17" i="1"/>
  <c r="F15" i="1"/>
  <c r="E15" i="1"/>
  <c r="F14" i="1"/>
  <c r="E14" i="1"/>
  <c r="F12" i="1"/>
  <c r="E12" i="1"/>
  <c r="F10" i="1"/>
  <c r="E10" i="1"/>
  <c r="F9" i="1"/>
  <c r="E9" i="1"/>
  <c r="F7" i="1"/>
  <c r="E7" i="1"/>
  <c r="F5" i="1"/>
  <c r="E5" i="1"/>
  <c r="F4" i="1"/>
  <c r="E4" i="1"/>
  <c r="F2" i="1"/>
  <c r="E2" i="1"/>
</calcChain>
</file>

<file path=xl/comments1.xml><?xml version="1.0" encoding="utf-8"?>
<comments xmlns="http://schemas.openxmlformats.org/spreadsheetml/2006/main">
  <authors>
    <author>BIRCHALL, Nicola</author>
    <author>VALLILY, Matthew</author>
  </authors>
  <commentList>
    <comment ref="I130" authorId="0" shapeId="0">
      <text>
        <r>
          <rPr>
            <b/>
            <sz val="9"/>
            <color indexed="81"/>
            <rFont val="Tahoma"/>
            <family val="2"/>
          </rPr>
          <t>BIRCHALL, Nicola:</t>
        </r>
        <r>
          <rPr>
            <sz val="9"/>
            <color indexed="81"/>
            <rFont val="Tahoma"/>
            <family val="2"/>
          </rPr>
          <t xml:space="preserve">
Also used in dynamic programming for PPA subtable
</t>
        </r>
      </text>
    </comment>
    <comment ref="E179" authorId="1" shapeId="0">
      <text>
        <r>
          <rPr>
            <b/>
            <sz val="9"/>
            <color indexed="81"/>
            <rFont val="Tahoma"/>
            <family val="2"/>
          </rPr>
          <t>VALLILY, Matthew:</t>
        </r>
        <r>
          <rPr>
            <sz val="9"/>
            <color indexed="81"/>
            <rFont val="Tahoma"/>
            <family val="2"/>
          </rPr>
          <t xml:space="preserve">
As with primary total, prod P181 needs removing from the Store in 17/18 and this product should point to NOR product as per the spec.</t>
        </r>
      </text>
    </comment>
    <comment ref="I196" authorId="0" shapeId="0">
      <text>
        <r>
          <rPr>
            <b/>
            <sz val="9"/>
            <color indexed="81"/>
            <rFont val="Tahoma"/>
            <family val="2"/>
          </rPr>
          <t>BIRCHALL, Nicola:</t>
        </r>
        <r>
          <rPr>
            <sz val="9"/>
            <color indexed="81"/>
            <rFont val="Tahoma"/>
            <family val="2"/>
          </rPr>
          <t xml:space="preserve">
Used in sub table A2, Taper applied expression</t>
        </r>
      </text>
    </comment>
    <comment ref="I273" authorId="0" shapeId="0">
      <text>
        <r>
          <rPr>
            <b/>
            <sz val="9"/>
            <color indexed="81"/>
            <rFont val="Tahoma"/>
            <family val="2"/>
          </rPr>
          <t>BIRCHALL, Nicola:</t>
        </r>
        <r>
          <rPr>
            <sz val="9"/>
            <color indexed="81"/>
            <rFont val="Tahoma"/>
            <family val="2"/>
          </rPr>
          <t xml:space="preserve">
Used in dynamic programming for exceptions
</t>
        </r>
      </text>
    </comment>
    <comment ref="I274" authorId="0" shapeId="0">
      <text>
        <r>
          <rPr>
            <b/>
            <sz val="9"/>
            <color indexed="81"/>
            <rFont val="Tahoma"/>
            <family val="2"/>
          </rPr>
          <t>BIRCHALL, Nicola:</t>
        </r>
        <r>
          <rPr>
            <sz val="9"/>
            <color indexed="81"/>
            <rFont val="Tahoma"/>
            <family val="2"/>
          </rPr>
          <t xml:space="preserve">
Used in dynamic programming for Sparsity subtable B
</t>
        </r>
      </text>
    </comment>
  </commentList>
</comments>
</file>

<file path=xl/sharedStrings.xml><?xml version="1.0" encoding="utf-8"?>
<sst xmlns="http://schemas.openxmlformats.org/spreadsheetml/2006/main" count="2049" uniqueCount="777">
  <si>
    <t>Product Folder</t>
  </si>
  <si>
    <t>Product ID</t>
  </si>
  <si>
    <t>Provider Criteria ID</t>
  </si>
  <si>
    <t>Product Type</t>
  </si>
  <si>
    <t>Variables used</t>
  </si>
  <si>
    <t>Calculation (as excel)</t>
  </si>
  <si>
    <t>Description</t>
  </si>
  <si>
    <t>In FAP?</t>
  </si>
  <si>
    <t>Which FAP</t>
  </si>
  <si>
    <t>Totals</t>
  </si>
  <si>
    <t>P001_1718DaysOpen</t>
  </si>
  <si>
    <t>SBS_AllAcademies</t>
  </si>
  <si>
    <t>Other</t>
  </si>
  <si>
    <t>This calculation relates to the number of days an academy has been open in the Academic Year, taken from the Global Variables scenario.</t>
  </si>
  <si>
    <t>Basic Entitlement</t>
  </si>
  <si>
    <t>P004_PriRate</t>
  </si>
  <si>
    <t>Money</t>
  </si>
  <si>
    <t>No variables used</t>
  </si>
  <si>
    <t>No calculation used</t>
  </si>
  <si>
    <t>This figure is obtained from the '1718 APT Proforma dataset - Basic Entitlement Primary Amount Per Pupil'.</t>
  </si>
  <si>
    <t>Yes</t>
  </si>
  <si>
    <t>Existing Mainstream</t>
  </si>
  <si>
    <t>P005_PriBESubtotal</t>
  </si>
  <si>
    <t>Full year amount of basic entitlemet for academies that have primary pupils calculated by multiplying primary pupils by the LA-determinded rate, except for in-year openers funded on census, where the LA -calculated allocation is picked up from the New ISB sheet of the APT Aggregation.</t>
  </si>
  <si>
    <t>P006_NSEN_PriBE</t>
  </si>
  <si>
    <t>The Primary Basic entitlement NSEN percentage is multiplied by the Primary Basic Entitlement funding to produce the full year NSEN amount attributable to primary basic entitlement.</t>
  </si>
  <si>
    <t>P006a_NSEN_PriBE_Percent</t>
  </si>
  <si>
    <t>This figure is obtained from the '1718 APT Proforma dataset - Basic Entitlement Primary Notional SEN'</t>
  </si>
  <si>
    <t>P007_InYearPriBE_Subtotal</t>
  </si>
  <si>
    <t>This calculation determines the actual Primary Basic Entitlement allocation due for the Academic Year 17/18, pro-rating the allocation if an academy opened in-year.</t>
  </si>
  <si>
    <t>P009_KS3Rate</t>
  </si>
  <si>
    <t>This figure is obtained from the '1718 APT Proforma dataset - Basic Entitlement KS3 Amount Per Pupil'.</t>
  </si>
  <si>
    <t>P010_KS3_BESubtotal</t>
  </si>
  <si>
    <t>Full year amount of basic entitlemet for academies that have KS3 pupils calculated by multiplying KS3 pupils by the LA-determinded rate, except for in-year openers funded on census, where the LA -calculated allocation is picked up from the New ISB sheet of the APT Aggregation.</t>
  </si>
  <si>
    <t>P011_NSEN_KS3BE_percent</t>
  </si>
  <si>
    <t>The KS3 Basic entitlement NSEN percentage is multiplied by the KS3 Basic Entitlement funding to produce the full year NSEN amount attributable to KS3 basic entitlement.</t>
  </si>
  <si>
    <t>P011a_NSEN_KS3BE_Percent</t>
  </si>
  <si>
    <t>This figure is obtained from the '1718 APT Proforma dataset - Basic Entitlement KS3 Notional SEN'</t>
  </si>
  <si>
    <t>P012_InYearKS3_BESubtotal</t>
  </si>
  <si>
    <t>This calculation determines the actual KS3 Basic Entitlement allocation due for the Academic Year 17/18, pro-rating the allocation if an academy opened in-year.</t>
  </si>
  <si>
    <t>P014_KS4Rate</t>
  </si>
  <si>
    <t>This figure is obtained from the '1718 APT Proforma dataset - Basic Entitlement KS4 Amount Per Pupil'.</t>
  </si>
  <si>
    <t>P015_KS4_BESubtotal</t>
  </si>
  <si>
    <t>Full year amount of basic entitlemet for academies that have KS4 pupils calculated by multiplying KS4 pupils by the LA-determinded rate, except for in-year openers funded on census, where the LA -calculated allocation is picked up from the New ISB sheet of the APT Aggregation.</t>
  </si>
  <si>
    <t>P016_NSEN_KS4BE</t>
  </si>
  <si>
    <t>The KS4 Basic entitlement NSEN percentage is multiplied by the KS4 Basic Entitlement funding to produce the full year NSEN amount attributable to KS4 basic entitlement.</t>
  </si>
  <si>
    <t>P016a_NSEN_KS4BE_Percent</t>
  </si>
  <si>
    <t>This figure is obtained from the '1718 APT Proforma dataset - Basic Entitlement KS4 Notional SEN'</t>
  </si>
  <si>
    <t>P018_InYearKS4_BESubtotal</t>
  </si>
  <si>
    <t>This calculation determines the actual KS4 Basic Entitlement allocation due for the Academic Year 17/18, pro-rating the allocation if an academy opened in-year.</t>
  </si>
  <si>
    <t>FSM</t>
  </si>
  <si>
    <t>P019_PriFSMFactor</t>
  </si>
  <si>
    <t>[Census_Pupil_Characteristics.Primary_FSM_Proportion]; [APT_Inputs_and_Adjustments.Primary_FSM_Proportion]; [Local_Authority_Averages.Primary_FSM_Proportion]</t>
  </si>
  <si>
    <t>IF [Census_Pupil_Characteristics.Primary_FSM_Proportion]  and [APT_Inputs_and_Adjustments.Primary_FSM_Proportion] are both "BLANK", THEN use [Local_Authority_Averages.Primary_FSM_Proportion], 
ELSE IF [APT_Inputs_and_Adjustments.Primary_FSM_Proportion] is "BLANK" THEN use [Census_Pupil_Characteristics.Primary_FSM_Proportion]
OTHERWISE use [APT_Inputs_and_Adjustments.Primary_FSM_Proportion]</t>
  </si>
  <si>
    <t>If the LA has applied an adjustment within the APT, this figure ('Primary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</si>
  <si>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P021_PriFSMRate</t>
  </si>
  <si>
    <t>[1718_APT_Proforma.FSM Primary FSM/FSM6]; [1718_APT_Proforma.FSM Primary Amount Per Pupil]</t>
  </si>
  <si>
    <t>IF [FSM Primary FSM/FSM6] = "FSM", THEN [FSM Primary Amount Per Pupil], ELSE 0</t>
  </si>
  <si>
    <t>The FSM indicator ('FSM Primary FSM/FSM6') and the FSM rate ('FSM Primary Amount Per Pupil') are both obtained from the '1718 APT Proforma dataset'.</t>
  </si>
  <si>
    <t>P022_PriFSMSubtotal</t>
  </si>
  <si>
    <t>This calculation determines the full year amount of FSM for academies with primary pupils, where the LA has applied this factor.</t>
  </si>
  <si>
    <t>P023_InYearPriFSMSubtotal</t>
  </si>
  <si>
    <t>This calculation determines the actual Primary FSM allocation due for the Academic Year 17/18, pro-rating the allocation if an academy opened in-year.</t>
  </si>
  <si>
    <t>P024_PriFSM6Factor</t>
  </si>
  <si>
    <t>[Census_Pupil_Characteristics.Primary_FSM6_Proportion]; [APT_Inputs_and_Adjustments.Primary_FSM6_Proportion]; [Local_Authority_Averages.Primary_FSM6_Proportion]</t>
  </si>
  <si>
    <t>IF [Census_Pupil_Characteristics.Primary_FSM6_Proportion]  and [APT_Inputs_and_Adjustments.Primary_FSM6_Proportion] are both "BLANK", THEN use [Local_Authority_Averages.Primary_FSM6_Proportion], 
ELSE IF [APT_Inputs_and_Adjustments.Primary_FSM6_Proportion] is "BLANK" THEN use [Census_Pupil_Characteristics.Primary_FSM6_Proportion]
OTHERWISE use [APT_Inputs_and_Adjustments.Primary_FSM6_Proportion]</t>
  </si>
  <si>
    <t>If the LA has applied an adjustment within the APT, this figure ('Primary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</si>
  <si>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P026_PriFSM6Rate</t>
  </si>
  <si>
    <t>IF [FSM Primary FSM/FSM6] = "FSM6", THEN [FSM Primary Amount Per Pupil], ELSE 0</t>
  </si>
  <si>
    <t>P027_PriFSM6Subtotal</t>
  </si>
  <si>
    <t>This calculation determines the full year amount of FSM6 for academies with primary pupils, where the LA has applied this factor.</t>
  </si>
  <si>
    <t>P028_NSENFSMPri</t>
  </si>
  <si>
    <t>P022_PriFSMSubtotal;  P027_PriFSM6Subtotal;  P028a_NSENFSMPri_Percent</t>
  </si>
  <si>
    <t>(P022_PriFSMSubtotal  + P027_PriFSM6Subtotal) * P028a_NSENFSMPri_Percent</t>
  </si>
  <si>
    <t>The 'PriFSM_NSEN' percentage is obtained from 'APT Proforma dataset - FSM Pri Notional SEN'.  This is multiplied by the Pri FSM total to calculate the NSEN funding attributed to Pri FSM.</t>
  </si>
  <si>
    <t>P028a_NSENFSMPri_Percent</t>
  </si>
  <si>
    <t>This figure is obtained from the '1718 APT Proforma dataset - FSM Pri Notional SEN'</t>
  </si>
  <si>
    <t>P029_InYearPriFSM6Subtotal</t>
  </si>
  <si>
    <t>This calculation determines the actual Primary FSM6 allocation due for the Academic Year 17/18, pro-rating the allocation if an academy opened in-year.</t>
  </si>
  <si>
    <t>P030_SecFSMFactor</t>
  </si>
  <si>
    <t>[Census_Pupil_Characteristics.Secondary_FSM_Proportion]; [APT_Inputs_and_Adjustments.Secondary_FSM_Proportion]; [Local_Authority_Averages.Secondary_FSM_Proportion]</t>
  </si>
  <si>
    <t>IF [Census_Pupil_Characteristics.Secondary_FSM_Proportion]  and [APT_Inputs_and_Adjustments.Secondary_FSM_Proportion] are both "BLANK", THEN use [Local_Authority_Averages.Secondary_FSM_Proportion], 
ELSE IF [APT_Inputs_and_Adjustments.Secondary_FSM_Proportion] is "BLANK" THEN use [Census_Pupil_Characteristics.Secondary_FSM_Proportion]
OTHERWISE use [APT_Inputs_and_Adjustments.Secondary_FSM_Proportion]</t>
  </si>
  <si>
    <t>If the LA has applied an adjustment within the APT, this figure ('Secondary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</si>
  <si>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P032_SecFSMRate</t>
  </si>
  <si>
    <t>[1718_APT_Proforma.FSM Secondary FSM/FSM6]; [1718_APT_Proforma.FSM Secondary Amount Per Pupil]</t>
  </si>
  <si>
    <t>IF [FSM Secondary FSM/FSM6] = "FSM", THEN [FSM Secondary Amount Per Pupil], ELSE 0</t>
  </si>
  <si>
    <t>The FSM indicator ('FSM Secondary FSM/FSM6') and the FSM rate ('FSM Secondary Amount Per Pupil') are both obtained from the '1718 APT Proforma dataset'.</t>
  </si>
  <si>
    <t>P033_SecFSMSubtotal</t>
  </si>
  <si>
    <t>This calculation determines the full year amount of FSM for academies with Secondary pupils, where the LA has applied this factor.</t>
  </si>
  <si>
    <t>P034_InYearSecFSMSubtotal</t>
  </si>
  <si>
    <t>This calculation determines the actual Secondary FSM allocation due for the Academic Year 17/18, pro-rating the allocation if an academy opened in-year.</t>
  </si>
  <si>
    <t>P035_SecFSM6Factor</t>
  </si>
  <si>
    <t>[Census_Pupil_Characteristics.Secondary_FSM6_Proportion]; [APT_Inputs_and_Adjustments.Secondary_FSM6_Proportion]; [Local_Authority_Averages.Secondary_FSM6_Proportion]</t>
  </si>
  <si>
    <t>IF [Census_Pupil_Characteristics.Secondary_FSM6_Proportion]  and [APT_Inputs_and_Adjustments.Secondary_FSM6_Proportion] are both "BLANK", THEN use [Local_Authority_Averages.Secondary_FSM6_Proportion], 
ELSE IF [APT_Inputs_and_Adjustments.Secondary_FSM6_Proportion] is "BLANK" THEN use [Census_Pupil_Characteristics.Secondary_FSM6_Proportion]
OTHERWISE use [APT_Inputs_and_Adjustments.Secondary_FSM6_Proportion]</t>
  </si>
  <si>
    <t>If the LA has applied an adjustment within the APT, this figure ('Secondary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</si>
  <si>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P037_SecFSM6Rate</t>
  </si>
  <si>
    <t>IF [FSM Secondary FSM/FSM6] = "FSM6", THEN [FSM Secondary Amount Per Pupil], ELSE 0</t>
  </si>
  <si>
    <t>P038_SecFSM6Subtotal</t>
  </si>
  <si>
    <t>This calculation determines the full year amount of FSM6 for academies with Secondary pupils, where the LA has applied this factor.</t>
  </si>
  <si>
    <t>P039_NSENFSMSec</t>
  </si>
  <si>
    <t xml:space="preserve">P033_SecFSMSubtotal; P038_SecFSM6Subtotal; P39a_NSENFSMSec_Percent  </t>
  </si>
  <si>
    <t>(P033_SecFSMSubtotal + P038_SecFSM6Subtotal) * P039a_NSENFSMSec_Percent</t>
  </si>
  <si>
    <t>The 'DEP_FSM_SEC_SEN' has been obtained from 'APT Proforma dataset - FSM Secondary Notional SEN'.  This has been used to calculate the NSEN attributed to Secondary FSM Factor</t>
  </si>
  <si>
    <t>P039a_NSENFSMSec_Percent</t>
  </si>
  <si>
    <t>This figure is obtained from the '1718 APT Proforma dataset - FSM Sec Notional SEN'</t>
  </si>
  <si>
    <t>P040_InYearSecFSM6Subtotal</t>
  </si>
  <si>
    <t>This calculation determines the actual Secondary FSM6 allocation due for the Academic Year 17/18, pro-rating the allocation if an academy opened in-year.</t>
  </si>
  <si>
    <t>IDACI</t>
  </si>
  <si>
    <t>P041_IDACIFPriFactor</t>
  </si>
  <si>
    <t>[Census_Pupil_Characteristics.IDACI_Primary_Proportion_Band_F]; [APT_Inputs_and_Adjustments.IDACI_Primary_Proportion_Band_F]; [Local_Authority_Averages.IDACI_Primary_Proportion_Band_F]</t>
  </si>
  <si>
    <t>IF [Census_Pupil_Characteristics.IDACI_Primary_Proportion_Band_F]  and [APT_Inputs_and_Adjustments.IDACI_Primary_Proportion_Band_F]= "BLANK", THEN [Local_Authority_Averages.IDACI_Primary_Proportion_Band_F], 
ELSE IF [APT_Inputs_and_Adjustments.IDACI_Primary_Proportion_Band_F] = "BLANK" THEN [Census_Pupil_Characteristics.IDACI_Primary_Proportion_Band_F]
ELSE [APT_Inputs_and_Adjustments.IDACI_Primary_Proportion_Band_F]</t>
  </si>
  <si>
    <t>If the LA has applied an adjustment within the APT, this figure ('IDACI Primary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</si>
  <si>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P043_IDACIFPriRate</t>
  </si>
  <si>
    <t>[1718_APT_Proforma.IDACI_Primary_BF_amount_per_pupil]</t>
  </si>
  <si>
    <t>This figure is obtained from the '1718 APT Proforma dataset - IDACI Primary BF Amount Per Pupil'. There is no calculation but the rate is required on it's own for inclusion in the FAP.</t>
  </si>
  <si>
    <t>P044_IDACIFPriSubtotal</t>
  </si>
  <si>
    <t>This calculation determines the full year amount of IDACI F for academies with primary pupils, where the LA has applied this factor.</t>
  </si>
  <si>
    <t>P045_NSENIDACIFPri</t>
  </si>
  <si>
    <t xml:space="preserve">P044_IDACIFPriSubtotal;  P045aNSENIDACIFPri_Percent </t>
  </si>
  <si>
    <t>(P044_IDACIFPriSubtotal) * P045aNSENIDACIFPri_Percent</t>
  </si>
  <si>
    <t>The 'DEP_IDACI_BF_PRI_SEN' has been obtained from 'APT Proforma dataset - IDACI F Primary Notional SEN'.  This has been used to calculate the NSEN attributed to Primary IDACIF.</t>
  </si>
  <si>
    <t>P045a_NSENIDACIFPri_Percent</t>
  </si>
  <si>
    <t>This figure is obtained from the '1718 APT Proforma dataset - IDACIF Pri Notional SEN'</t>
  </si>
  <si>
    <t>P046_InYearIDACIFPriSubtotal</t>
  </si>
  <si>
    <t>This calculation determines the actual Primary IDACIF allocation due for the Academic Year 17/18, pro-rating the allocation if an academy opened in-year.</t>
  </si>
  <si>
    <t>P047_IDACIEPriFactor</t>
  </si>
  <si>
    <t>[Census_Pupil_Characteristics.IDACI_Primary_Proportion_Band_E]; [APT_Inputs_and_Adjustments.IDACI_Primary_Proportion_Band_E]; [Local_Authority_Averages.IDACI_Primary_Proportion_Band_E]</t>
  </si>
  <si>
    <t>IF [Census_Pupil_Characteristics.IDACI_Primary_Proportion_Band_E]  and [APT_Inputs_and_Adjustments.IDACI_Primary_Proportion_Band_E]= "BLANK", THEN [Local_Authority_Averages.IDACI_Primary_Proportion_Band_E], 
ELSE IF [APT_Inputs_and_Adjustments.IDACI_Primary_Proportion_Band_E] = "BLANK" THEN [Census_Pupil_Characteristics.IDACI_Primary_Proportion_Band_E]
ELSE [APT_Inputs_and_Adjustments.IDACI_Primary_Proportion_Band_E]</t>
  </si>
  <si>
    <t>If the LA has applied an adjustment within the APT, this figure ('IDACI Primary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</si>
  <si>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P049_IDACIEPriRate</t>
  </si>
  <si>
    <t>[1718_APT_Proforma.IDACI_Primary_BE_amount_per_pupil]</t>
  </si>
  <si>
    <t>This figure is obtained from the '1718 APT Proforma dataset - IDACI Primary BE Amount Per Pupil'. There is no calculation but the rate is required on it's own for inclusion in the FAP.</t>
  </si>
  <si>
    <t>P050_IDACIEPriSubtotal</t>
  </si>
  <si>
    <t>This calculation determines the full year amount of IDACI E for academies with primary pupils, where the LA has applied this factor.</t>
  </si>
  <si>
    <t>P051_NSENIDACIEPri</t>
  </si>
  <si>
    <t>P050_IDACIEPriSubtotal;  P051a_NSENIDACIEPri_Percent</t>
  </si>
  <si>
    <t>(P050_IDACIEPriSubtotal) * P051aNSENIDACIEPri_Percent</t>
  </si>
  <si>
    <t>The 'DEP_IDACI_BE_PRI_SEN' has been obtained from 'APT Proforma dataset - IDACI E Primary Notional SEN'.  This has been used to calculate the NSEN attributed to Primary IDACIE.</t>
  </si>
  <si>
    <t>P051a_NSENIDACIEPri_Percent</t>
  </si>
  <si>
    <t>This figure is obtained from the '1718 APT Proforma dataset - IDACIE Pri Notional SEN'</t>
  </si>
  <si>
    <t>P052_InYearIDACIEPriSubtotal</t>
  </si>
  <si>
    <t>This calculation determines the actual Primary IDACIE allocation due for the Academic Year 17/18, pro-rating the allocation if an academy opened in-year.</t>
  </si>
  <si>
    <t>P053_IDACIDPriFactor</t>
  </si>
  <si>
    <t>[Census_Pupil_Characteristics.IDACI_Primary_Proportion_Band_D]; [APT_Inputs_and_Adjustments.IDACI_Primary_Proportion_Band_D]; [Local_Authority_Averages.IDACI_Primary_Proportion_Band_D]</t>
  </si>
  <si>
    <t>IF [Census_Pupil_Characteristics.IDACI_Primary_Proportion_Band_D]  and [APT_Inputs_and_Adjustments.IDACI_Primary_Proportion_Band_D]= "BLANK", THEN [Local_Authority_Averages.IDACI_Primary_Proportion_Band_D], 
ELSE IF [APT_Inputs_and_Adjustments.IDACI_Primary_Proportion_Band_D] = "BLANK" THEN [Census_Pupil_Characteristics.IDACI_Primary_Proportion_Band_D]
ELSE [APT_Inputs_and_Adjustments.IDACI_Primary_Proportion_Band_D]</t>
  </si>
  <si>
    <t>If the LA has applied an adjustment within the APT, this figure ('IDACI Primary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</si>
  <si>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P055_IDACIDPriRate</t>
  </si>
  <si>
    <t>[1718_APT_Proforma.IDACI_Primary_BD_amount_per_pupil]</t>
  </si>
  <si>
    <t>This figure is obtained from the '1718 APT Proforma dataset - IDACI Primary BD Amount Per Pupil'. There is no calculation but the rate is required on it's own for inclusion in the FAP.</t>
  </si>
  <si>
    <t>P056_IDACIDPriSubtotal</t>
  </si>
  <si>
    <t>This calculation determines the full year amount of IDACI D for academies with primary pupils, where the LA has applied this factor.</t>
  </si>
  <si>
    <t>P057_NSENIDACIDPri</t>
  </si>
  <si>
    <t>P056_IDACIDPriSubtotal; P057aNSENIDACIDPri_Percent</t>
  </si>
  <si>
    <t>(P056_IDACIDPriSubtotal) * P057aNSENIDACIDPri_Percent</t>
  </si>
  <si>
    <t>The 'DEP_IDACI_BD_PRI_SEN' has been obtained from 'APT Proforma dataset - IDACI D Primary Notional SEN'.  This has been used to calculate the NSEN attributed to Primary IDACID.</t>
  </si>
  <si>
    <t>P057a_NSENIDACIDPri_Percent</t>
  </si>
  <si>
    <t>This figure is obtained from the '1718 APT Proforma dataset - IDACID Pri Notional SEN'</t>
  </si>
  <si>
    <t>P058_InYearIDACIDPriSubtotal</t>
  </si>
  <si>
    <t>This calculation determines the actual Primary IDACID allocation due for the Academic Year 17/18, pro-rating the allocation if an academy opened in-year.</t>
  </si>
  <si>
    <t>P059_IDACICPriFactor</t>
  </si>
  <si>
    <t>[Census_Pupil_Characteristics.IDACI_Primary_Proportion_Band_C]; [APT_Inputs_and_Adjustments.IDACI_Primary_Proportion_Band_C]; [Local_Authority_Averages.IDACI_Primary_Proportion_Band_C]</t>
  </si>
  <si>
    <t>IF [Census_Pupil_Characteristics.IDACI_Primary_Proportion_Band_C]  and [APT_Inputs_and_Adjustments.IDACI_Primary_Proportion_Band_C]= "BLANK", THEN [Local_Authority_Averages.IDACI_Primary_Proportion_Band_C], 
ELSE IF [APT_Inputs_and_Adjustments.IDACI_Primary_Proportion_Band_C] = "BLANK" THEN [Census_Pupil_Characteristics.IDACI_Primary_Proportion_Band_C]
ELSE [APT_Inputs_and_Adjustments.IDACI_Primary_Proportion_Band_C]</t>
  </si>
  <si>
    <t>If the LA has applied an adjustment within the APT, this figure ('IDACI Primary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</si>
  <si>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P061_IDACICPriRate</t>
  </si>
  <si>
    <t>[1718_APT_Proforma.IDACI_Primary_BC_amount_per_pupil]</t>
  </si>
  <si>
    <t>This figure is obtained from the '1718 APT Proforma dataset - IDACI Primary BC Amount Per Pupil'. There is no calculation but the rate is required on it's own for inclusion in the FAP.</t>
  </si>
  <si>
    <t>P062_IDACICPriSubtotal</t>
  </si>
  <si>
    <t>This calculation determines the full year amount of IDACI C for academies with primary pupils, where the LA has applied this factor.</t>
  </si>
  <si>
    <t>P063_NSENIDACICPri</t>
  </si>
  <si>
    <t>P062_IDACICPriSubtotal; P063a_NSENIDACICPri_Percent</t>
  </si>
  <si>
    <t>(P062_IDACICPriSubtotal) * P063aNSENIDACICPri_Percent</t>
  </si>
  <si>
    <t>The 'DEP_IDACI_BC_PRI_SEN' has been obtained from 'APT Proforma dataset - IDACI C Primary Notional SEN'.  This has been used to calculate the NSEN attributed to Primary IDACIC.</t>
  </si>
  <si>
    <t>P063a_NSENIDACICPri_Percent</t>
  </si>
  <si>
    <t>This figure is obtained from the '1718 APT Proforma dataset - IDACIC Pri Notional SEN'</t>
  </si>
  <si>
    <t>P064_InYearIDACICPriSubtotal</t>
  </si>
  <si>
    <t>This calculation determines the actual Primary IDACIC allocation due for the Academic Year 17/18, pro-rating the allocation if an academy opened in-year.</t>
  </si>
  <si>
    <t>P065_IDACIBPriFactor</t>
  </si>
  <si>
    <t>[Census_Pupil_Characteristics.IDACI_Primary_Proportion_Band_B]; [APT_Inputs_and_Adjustments.IDACI_Primary_Proportion_Band_B]; [Local_Authority_Averages.IDACI_Primary_Proportion_Band_B]</t>
  </si>
  <si>
    <t>IF [Census_Pupil_Characteristics.IDACI_Primary_Proportion_Band_B]  and [APT_Inputs_and_Adjustments.IDACI_Primary_Proportion_Band_B]= "BLANK", THEN [Local_Authority_Averages.IDACI_Primary_Proportion_Band_B], 
ELSE IF [APT_Inputs_and_Adjustments.IDACI_Primary_Proportion_Band_B] = "BLANK" THEN [Census_Pupil_Characteristics.IDACI_Primary_Proportion_Band_B]
ELSE [APT_Inputs_and_Adjustments.IDACI_Primary_Proportion_Band_B]</t>
  </si>
  <si>
    <t>If the LA has applied an adjustment within the APT, this figure ('IDACI Primary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</si>
  <si>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P067_IDACIBPriRate</t>
  </si>
  <si>
    <t>[1718_APT_Proforma.IDACI_Primary_BB_amount_per_pupil]</t>
  </si>
  <si>
    <t>This figure is obtained from the '1718 APT Proforma dataset - IDACI Primary BB Amount Per Pupil'. There is no calculation but the rate is required on it's own for inclusion in the FAP.</t>
  </si>
  <si>
    <t>P068_IDACIBPriSubtotal</t>
  </si>
  <si>
    <t>This calculation determines the full year amount of IDACI B for academies with primary pupils, where the LA has applied this factor.</t>
  </si>
  <si>
    <t>P069_NSENIDACIBPri</t>
  </si>
  <si>
    <t>P068_IDACIBPriSubtotal;  P069a_NSENIDACIBPri</t>
  </si>
  <si>
    <t>(P068_IDACIBPriSubtotal) * P069aNSENIDACIBPri_Percent</t>
  </si>
  <si>
    <t>The 'DEP_IDACI_BB_PRI_SEN' has been obtained from 'APT Proforma dataset - IDACI B Primary Notional SEN'.  This has been used to calculate the NSEN attributed to Primary IDACIB.</t>
  </si>
  <si>
    <t>P069a_NSENIDACIBPri_Percent</t>
  </si>
  <si>
    <t>This figure is obtained from the '1718 APT Proforma dataset - IDACIB Pri Notional SEN'</t>
  </si>
  <si>
    <t>P070_InYearIDACIBPriSubtotal</t>
  </si>
  <si>
    <t>This calculation determines the actual Primary IDACIB allocation due for the Academic Year 17/18, pro-rating the allocation if an academy opened in-year.</t>
  </si>
  <si>
    <t>P071_IDACIAPriFactor</t>
  </si>
  <si>
    <t>[Census_Pupil_Characteristics.IDACI_Primary_Proportion_Band_A]; [APT_Inputs_and_Adjustments.IDACI_Primary_Proportion_Band_A]; [Local_Authority_Averages.IDACI_Primary_Proportion_Band_A]</t>
  </si>
  <si>
    <t>IF [Census_Pupil_Characteristics.IDACI_Primary_Proportion_Band_A]  and [APT_Inputs_and_Adjustments.IDACI_Primary_Proportion_Band_A]= "BLANK", THEN [Local_Authority_Averages.IDACI_Primary_Proportion_Band_A], 
ELSE IF [APT_Inputs_and_Adjustments.IDACI_Primary_Proportion_Band_A] = "BLANK" THEN [Census_Pupil_Characteristics.IDACI_Primary_Proportion_Band_A]
ELSE [APT_Inputs_and_Adjustments.IDACI_Primary_Proportion_Band_A]</t>
  </si>
  <si>
    <t>If the LA has applied an adjustment within the APT, this figure ('IDACI Primary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</si>
  <si>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P073_IDACIAPriRate</t>
  </si>
  <si>
    <t>[1718_APT_Proforma.IDACI_Primary_BA_amount_per_pupil]</t>
  </si>
  <si>
    <t>This figure is obtained from the '1718 APT Proforma dataset - IDACI Primary BA Amount Per Pupil'. There is no calculation but the rate is required on it's own for inclusion in the FAP.</t>
  </si>
  <si>
    <t>P074_IDACIAPriSubtotal</t>
  </si>
  <si>
    <t>This calculation determines the full year amount of IDACI A for academies with primary pupils, where the LA has applied this factor.</t>
  </si>
  <si>
    <t>P075_NSENIDACIAPri</t>
  </si>
  <si>
    <t>P074_IDACIAPriSubtotal; P075a_NSENIDACIAPri_Percent</t>
  </si>
  <si>
    <t>(P074_IDACIBPriSubtotal) * P075aNSENIDACIBPri_Percent</t>
  </si>
  <si>
    <t>The 'DEP_IDACI_BA_PRI_SEN' has been obtained from 'APT Proforma dataset - IDACI A Primary Notional SEN'.  This has been used to calculate the NSEN attributed to Primary IDACIA.</t>
  </si>
  <si>
    <t>P075a_NSENIDACIAPri_Percent</t>
  </si>
  <si>
    <t>This figure is obtained from the '1718 APT Proforma dataset - IDACIA Pri Notional SEN'</t>
  </si>
  <si>
    <t>P076_InYearIDACIAPriSubtotal</t>
  </si>
  <si>
    <t>This calculation determines the actual Primary IDACIA allocation due for the Academic Year 17/18, pro-rating the allocation if an academy opened in-year.</t>
  </si>
  <si>
    <t>P077_IDACIFSecFactor</t>
  </si>
  <si>
    <t>[Census_Pupil_Characteristics.IDACI_Secondary_Proportion_Band_F]; [APT_Inputs_and_Adjustments.IDACI_Secondary_Proportion_Band_F]; [Local_Authority_Averages.IDACI_Secondary_Proportion_Band_F]</t>
  </si>
  <si>
    <t>IF [Census_Pupil_Characteristics.IDACI_Secondary_Proportion_Band_F]  and [APT_Inputs_and_Adjustments.IDACI_Secondary_Proportion_Band_F]= "BLANK", THEN [Local_Authority_Averages.IDACI_Secondary_Proportion_Band_F], 
ELSE IF [APT_Inputs_and_Adjustments.IDACI_Secondary_Proportion_Band_F] = "BLANK" THEN [Census_Pupil_Characteristics.IDACI_Secondary_Proportion_Band_F]
ELSE [APT_Inputs_and_Adjustments.IDACI_Secondary_Proportion_Band_F]</t>
  </si>
  <si>
    <t>If the LA has applied an adjustment within the APT, this figure ('IDACI Secondary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</si>
  <si>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P079_IDACIFSecRate</t>
  </si>
  <si>
    <t>[1718_APT_Proforma.IDACI_Secondary_BF_amount_per_pupil]</t>
  </si>
  <si>
    <t>This figure is obtained from the '1718 APT Proforma dataset - IDACI Secondary BF Amount Per Pupil'. There is no calculation but the rate is required on it's own for inclusion in the FAP.</t>
  </si>
  <si>
    <t>P080_IDACIFSecSubtotal</t>
  </si>
  <si>
    <t>This calculation determines the full year amount of IDACI F for academies with Secondary pupils, where the LA has applied this factor.</t>
  </si>
  <si>
    <t>P081_NSENIDACIFSec</t>
  </si>
  <si>
    <t>The 'DEP_IDACI_BF_SEC_SEN' has been obtained from 'APT Proforma dataset - IDACI F Secondary Notional SEN'.  This has been used to calculate the 'DEP_IDACI_BF_SEC_SEN'</t>
  </si>
  <si>
    <t>P081a_NSENIDACIFSec_Percent</t>
  </si>
  <si>
    <t>This figure is obtained from the '1718 APT Proforma dataset - IDACIF Sec Notional SEN'</t>
  </si>
  <si>
    <t>P082_InYearIDACIFSecSubtotal</t>
  </si>
  <si>
    <t>This calculation determines the actual Secondary IDACIF allocation due for the Academic Year 17/18, pro-rating the allocation if an academy opened in-year.</t>
  </si>
  <si>
    <t>P083_IDACIESecFactor</t>
  </si>
  <si>
    <t>[Census_Pupil_Characteristics.IDACI_Secondary_Proportion_Band_E]; [APT_Inputs_and_Adjustments.IDACI_Secondary_Proportion_Band_E]; [Local_Authority_Averages.IDACI_Secondary_Proportion_Band_E]</t>
  </si>
  <si>
    <t>IF [Census_Pupil_Characteristics.IDACI_Secondary_Proportion_Band_E]  and [APT_Inputs_and_Adjustments.IDACI_Secondary_Proportion_Band_E]= "BLANK", THEN [Local_Authority_Averages.IDACI_Secondary_Proportion_Band_E], 
ELSE IF [APT_Inputs_and_Adjustments.IDACI_Secondary_Proportion_Band_E] = "BLANK" THEN [Census_Pupil_Characteristics.IDACI_Secondary_Proportion_Band_E]
ELSE [APT_Inputs_and_Adjustments.IDACI_Secondary_Proportion_Band_E]</t>
  </si>
  <si>
    <t>If the LA has applied an adjustment within the APT, this figure ('IDACI Secondary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</si>
  <si>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P085_IDACIESecRate</t>
  </si>
  <si>
    <t>[1718_APT_Proforma.IDACI_Secondary_BE_amount_per_pupil]</t>
  </si>
  <si>
    <t>This figure is obtained from the '1718 APT Proforma dataset - IDACI Secondary BE Amount Per Pupil'. There is no calculation but the rate is required on it's own for inclusion in the FAP.</t>
  </si>
  <si>
    <t>P086_IDACIESecSubtotal</t>
  </si>
  <si>
    <t>This calculation determines the full year amount of IDACI E for academies with Secondary pupils, where the LA has applied this factor.</t>
  </si>
  <si>
    <t>P087_NSENIDACIESec</t>
  </si>
  <si>
    <t>The 'DEP_IDACI_BE_SEC_SEN' has been obtained from 'APT Proforma dataset - IDACI E Secondary Notional SEN'.  This has been used to calculate the 'DEP_IDACI_BE_SEC_SEN'</t>
  </si>
  <si>
    <t>P87a_NSENIDACIESec_Percent</t>
  </si>
  <si>
    <t>This figure is obtained from the '1718 APT Proforma dataset - IDACIE Sec Notional SEN'</t>
  </si>
  <si>
    <t>P088_InYearIDACIESecSubtotal</t>
  </si>
  <si>
    <t>This calculation determines the actual Secondary IDACIE allocation due for the Academic Year 17/18, pro-rating the allocation if an academy opened in-year.</t>
  </si>
  <si>
    <t>P089_IDACIDSecFactor</t>
  </si>
  <si>
    <t>[Census_Pupil_Characteristics.IDACI_Secondary_Proportion_Band_D]; [APT_Inputs_and_Adjustments.IDACI_Secondary_Proportion_Band_D]; [Local_Authority_Averages.IDACI_Secondary_Proportion_Band_D]</t>
  </si>
  <si>
    <t>IF [Census_Pupil_Characteristics.IDACI_Secondary_Proportion_Band_D]  and [APT_Inputs_and_Adjustments.IDACI_Secondary_Proportion_Band_D]= "BLANK", THEN [Local_Authority_Averages.IDACI_Secondary_Proportion_Band_D], 
ELSE IF [APT_Inputs_and_Adjustments.IDACI_Secondary_Proportion_Band_D] = "BLANK" THEN [Census_Pupil_Characteristics.IDACI_Secondary_Proportion_Band_D]
ELSE [APT_Inputs_and_Adjustments.IDACI_Secondary_Proportion_Band_D]</t>
  </si>
  <si>
    <t>If the LA has applied an adjustment within the APT, this figure ('IDACI Secondary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</si>
  <si>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P091_IDACIDSecRate</t>
  </si>
  <si>
    <t>[1718_APT_Proforma.IDACI_Secondary_BD_amount_per_pupil]</t>
  </si>
  <si>
    <t>This figure is obtained from the '1718 APT Proforma dataset - IDACI Secondary BD Amount Per Pupil'. There is no calculation but the rate is required on it's own for inclusion in the FAP.</t>
  </si>
  <si>
    <t>P092_IDACIDSecSubtotal</t>
  </si>
  <si>
    <t>This calculation determines the full year amount of IDACI D for academies with Secondary pupils, where the LA has applied this factor.</t>
  </si>
  <si>
    <t>P093_NSENIDACIDSec</t>
  </si>
  <si>
    <t>The 'DEP_IDACI_BD_SEC_SEN' has been obtained from 'APT Proforma dataset - IDACI D Secondary Notional SEN'.  This has been used to calculate the 'DEP_IDACI_BD_SEC_SEN'</t>
  </si>
  <si>
    <t>P093a_NSENIDACIDSec_Percent</t>
  </si>
  <si>
    <t>This figure is obtained from the '1718 APT Proforma dataset - IDACID Sec Notional SEN'</t>
  </si>
  <si>
    <t>P094_InYearIDACIDSecSubtotal</t>
  </si>
  <si>
    <t>This calculation determines the actual Secondary IDACID allocation due for the Academic Year 17/18, pro-rating the allocation if an academy opened in-year.</t>
  </si>
  <si>
    <t>P095_IDACICSecFactor</t>
  </si>
  <si>
    <t>[Census_Pupil_Characteristics.IDACI_Secondary_Proportion_Band_C]; [APT_Inputs_and_Adjustments.IDACI_Secondary_Proportion_Band_C]; [Local_Authority_Averages.IDACI_Secondary_Proportion_Band_C]</t>
  </si>
  <si>
    <t>IF [Census_Pupil_Characteristics.IDACI_Secondary_Proportion_Band_C]  and [APT_Inputs_and_Adjustments.IDACI_Secondary_Proportion_Band_C]= "BLANK", THEN [Local_Authority_Averages.IDACI_Secondary_Proportion_Band_C], 
ELSE IF [APT_Inputs_and_Adjustments.IDACI_Secondary_Proportion_Band_C] = "BLANK" THEN [Census_Pupil_Characteristics.IDACI_Secondary_Proportion_Band_C]
ELSE [APT_Inputs_and_Adjustments.IDACI_Secondary_Proportion_Band_C]</t>
  </si>
  <si>
    <t>If the LA has applied an adjustment within the APT, this figure ('IDACI Secondary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</si>
  <si>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P097_IDACICSecRate</t>
  </si>
  <si>
    <t>[1718_APT_Proforma.IDACI_Secondary_BC_amount_per_pupil]</t>
  </si>
  <si>
    <t>This figure is obtained from the '1718 APT Proforma dataset - IDACI Secondary BC Amount Per Pupil'. There is no calculation but the rate is required on it's own for inclusion in the FAP.</t>
  </si>
  <si>
    <t>P098_IDACICSecSubtotal</t>
  </si>
  <si>
    <t>This calculation determines the full year amount of IDACI C for academies with Secondary pupils, where the LA has applied this factor.</t>
  </si>
  <si>
    <t>P099_NSENIDACICSec</t>
  </si>
  <si>
    <t>The 'DEP_IDACI_BC_SEC_SEN' has been obtained from 'APT Proforma dataset - IDACI C Secondary Notional SEN'.  This has been used to calculate the 'DEP_IDACI_BC_SEC_SEN'</t>
  </si>
  <si>
    <t>P099a_NSENIDACICSec_Percent</t>
  </si>
  <si>
    <t>This figure is obtained from the '1718 APT Proforma dataset - IDACIC Sec Notional SEN'</t>
  </si>
  <si>
    <t>P100_InYearIDACICSecSubtotal</t>
  </si>
  <si>
    <t>This calculation determines the actual Secondary IDACIC allocation due for the Academic Year 17/18, pro-rating the allocation if an academy opened in-year.</t>
  </si>
  <si>
    <t>P101_IDACIBSecFactor</t>
  </si>
  <si>
    <t>[Census_Pupil_Characteristics.IDACI_Secondary_Proportion_Band_B]; [APT_Inputs_and_Adjustments.IDACI_Secondary_Proportion_Band_B]; [Local_Authority_Averages.IDACI_Secondary_Proportion_Band_B]</t>
  </si>
  <si>
    <t>IF [Census_Pupil_Characteristics.IDACI_Secondary_Proportion_Band_B]  and [APT_Inputs_and_Adjustments.IDACI_Secondary_Proportion_Band_B]= "BLANK", THEN [Local_Authority_Averages.IDACI_Secondary_Proportion_Band_B], 
ELSE IF [APT_Inputs_and_Adjustments.IDACI_Secondary_Proportion_Band_B] = "BLANK" THEN [Census_Pupil_Characteristics.IDACI_Secondary_Proportion_Band_B]
ELSE [APT_Inputs_and_Adjustments.IDACI_Secondary_Proportion_Band_B]</t>
  </si>
  <si>
    <t>If the LA has applied an adjustment within the APT, this figure ('IDACI Secondary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</si>
  <si>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P103_IDACIBSecRate</t>
  </si>
  <si>
    <t>[1718_APT_Proforma.IDACI_Secondary_BB_amount_per_pupil]</t>
  </si>
  <si>
    <t>This figure is obtained from the '1718 APT Proforma dataset - IDACI Secondary BB Amount Per Pupil'. There is no calculation but the rate is required on it's own for inclusion in the FAP.</t>
  </si>
  <si>
    <t>P104_IDACIBSecSubtotal</t>
  </si>
  <si>
    <t>This calculation determines the full year amount of IDACI B for academies with Secondary pupils, where the LA has applied this factor.</t>
  </si>
  <si>
    <t>P105_NSENIDACIBSec</t>
  </si>
  <si>
    <t>The 'DEP_IDACI_BB_SEC_SEN' has been obtained from 'APT Proforma dataset - IDACI B Secondary Notional SEN'.  This has been used to calculate the 'DEP_IDACI_BB_SEC_SEN'</t>
  </si>
  <si>
    <t>P105a_NSENIDACIBSec_Percent</t>
  </si>
  <si>
    <t>This figure is obtained from the '1718 APT Proforma dataset - IDACIB Sec Notional SEN'</t>
  </si>
  <si>
    <t>P106_InYearIDACIBSecSubtotal</t>
  </si>
  <si>
    <t>This calculation determines the actual Secondary IDACIB allocation due for the Academic Year 17/18, pro-rating the allocation if an academy opened in-year.</t>
  </si>
  <si>
    <t>P107_IDACIASecFactor</t>
  </si>
  <si>
    <t>[Census_Pupil_Characteristics.IDACI_Secondary_Proportion_Band_A]; [APT_Inputs_and_Adjustments.IDACI_Secondary_Proportion_Band_A]; [Local_Authority_Averages.IDACI_Secondary_Proportion_Band_A]</t>
  </si>
  <si>
    <t>IF [Census_Pupil_Characteristics.IDACI_Secondary_Proportion_Band_A]  and [APT_Inputs_and_Adjustments.IDACI_Secondary_Proportion_Band_A]= "BLANK", THEN [Local_Authority_Averages.IDACI_Secondary_Proportion_Band_A], 
ELSE IF [APT_Inputs_and_Adjustments.IDACI_Secondary_Proportion_Band_A] = "BLANK" THEN [Census_Pupil_Characteristics.IDACI_Secondary_Proportion_Band_A]
ELSE [APT_Inputs_and_Adjustments.IDACI_Secondary_Proportion_Band_A]</t>
  </si>
  <si>
    <t>If the LA has applied an adjustment within the APT, this figure ('IDACI Secondary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</si>
  <si>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P109_IDACIASecRate</t>
  </si>
  <si>
    <t>[1718_APT_Proforma.IDACI_Secondary_BA_amount_per_pupil]</t>
  </si>
  <si>
    <t>This figure is obtained from the '1718 APT Proforma dataset - IDACI Secondary B6 Amount Per Pupil'. There is no calculation but the rate is required on it's own for inclusion in the FAP.</t>
  </si>
  <si>
    <t>P110_IDACIASecSubtotal</t>
  </si>
  <si>
    <t>This calculation determines the full year amount of IDACI 6 for academies with Secondary pupils, where the LA has applied this factor.</t>
  </si>
  <si>
    <t>P111_NSENIDACIASec</t>
  </si>
  <si>
    <t>The 'DEP_IDACI_B6_SEC_SEN' has been obtained from 'APT Proforma dataset - IDACI 6 Secondary Notional SEN'.  This has been used to calculate the 'DEP_IDACI_B6_SEC_SEN'</t>
  </si>
  <si>
    <t>P111a_NSENIDACIASec_Percent</t>
  </si>
  <si>
    <t>This figure is obtained from the '1718 APT Proforma dataset - IDACI6 Sec Notional SEN'</t>
  </si>
  <si>
    <t>P112_InYearIDACIASecSubtotal</t>
  </si>
  <si>
    <t>This calculation determines the actual Secondary IDACI6 allocation due for the Academic Year 17/18, pro-rating the allocation if an academy opened in-year.</t>
  </si>
  <si>
    <t>LAC</t>
  </si>
  <si>
    <t>P114_LACFactor</t>
  </si>
  <si>
    <t>[Census_Pupil_Characeristics.LAC_X_Proportion]; [APT_Inputs_and_Adjustments.LAC_X_Proportion]</t>
  </si>
  <si>
    <t>IF [Census_Pupil_Characteristics.LAC__X_Proportion]  and [APT_Inputs_and_Adjustments.LAC_X_Proportion]= "BLANK", 0, 
ELSE IF [APT_Inputs_and_Adjustments.LAC_X_Proportion] = "BLANK" THEN [Census_Pupil_Characteristics.LAC__X_Proportion]
ELSE [APT_Inputs_and_Adjustments.LAC_X_Proportion]</t>
  </si>
  <si>
    <t>If the LA has applied an adjustment within the APT, this figure ('LAC_X_Proportion') is taken from '1718 APT Inputs and Adjustments dataset', otherwise it will usually be obtained from the '1718 Census Pupil Characteristics dataset'. If both are blank (e.g. for a brand new opener with no predecessor data), then defaults to zero.</t>
  </si>
  <si>
    <t>P116_LACRate</t>
  </si>
  <si>
    <t>[1718_APT_Proforma.Looked_After_Children_Amount_Per_Pupil]</t>
  </si>
  <si>
    <t>This figure is obtained from the '1718 APT Proforma dataset - Looked After Children Amount Per Pupil'. There is no calculation but the rate is required on it's own for inclusion in the FAP.</t>
  </si>
  <si>
    <t>P117_LACSubtotal</t>
  </si>
  <si>
    <t>This calculation determines the full year amount of LAC for academies, where the LA has applied this factor.</t>
  </si>
  <si>
    <t>P118_NSENLAC</t>
  </si>
  <si>
    <t>The 'LAC_SEN' has been obtained from 'APT Proforma dataset - LAC Notional SEN'.  This has been used to calculate the 'LAC_NSEN'</t>
  </si>
  <si>
    <t>P118a_NSENLAC_Percent</t>
  </si>
  <si>
    <t>This figure is obtained from the '1718 APT Proforma dataset - LAC Notional SEN'</t>
  </si>
  <si>
    <t>P119_InYearLACSubtotal</t>
  </si>
  <si>
    <t>This calculation determines the actual LAC allocation due for the Academic Year 17/18, pro-rating the allocation if an academy opened in-year.</t>
  </si>
  <si>
    <t>Prior Attainment</t>
  </si>
  <si>
    <t>P120_PPAindicator</t>
  </si>
  <si>
    <t>[1718_APT_Proforma.Prior_Attainment_Primary_Y5-6_73/78/NA]</t>
  </si>
  <si>
    <t>This indicator is obtained from the '1718 APT Proforma dataset - Prior Attainment Primary Y5-6 73/78/NA'. There is no calculation but the indicator is used further down and also required for the PPA table on the FAP.</t>
  </si>
  <si>
    <t>P121_PPAY5to6Proportion73</t>
  </si>
  <si>
    <t>[1718_Census_Pupil_Characteristics.Low_Attainment_Y5-6_Proportion_ 73]; [APT_Inputs_and_Adjustments.Low_Attainment_Y5-6_Proportion_73]; [Local_Authority_Averages.Low_Attainment_Y5-6_Proportion_73]</t>
  </si>
  <si>
    <t>IF [1718_Pupil_Characteristics.Low_Attainment_Y5-6_Proportion_73]  and [APT_Inputs_and_Adjustments.Low_Attainment_Y5-6_Proportion_73]= "BLANK", THEN [Local_Authority_Averages.Low_Attainment_Y5-6_Proportion_73], 
ELSE IF [APT_Inputs_and_Adjustments.Low_Attainment_Y5-6_Proportion_73] = "BLANK", THEN [1718_Pupil_Characteristics.Low_Attainment_Y5-6_Proportion_73], ELSE [APT_Inputs_and_Adjustments.Low_Attainment_Y5-6_Proportion_73]</t>
  </si>
  <si>
    <t>This figure is obtained from the '1718 Census Pupil Characteristics dataset - Low Attainment Y5-6 Proportion 73' or from '1718 APT Inputs and Adjustments dataset - Low Attainment Primary Proportion 73' if the LA applied an adjustment within the APT. If both are blank, LA average is applied.</t>
  </si>
  <si>
    <t>P122_PPAY5to6Proportion78</t>
  </si>
  <si>
    <t>[1718_Census_Pupil_Characteristics.Low_Attainment_Y5-6_Proportion_ 78]; [APT_Inputs_and_Adjustments.Low_Attainment_Y5-6_Proportion_78]; [Local_Authority_Averages.Low_Attainment_Y5-6_Proportion_78]</t>
  </si>
  <si>
    <t>IF [1718_Pupil_Characteristics.Low_Attainment_Y5-6_Proportion_78]  and [APT_Inputs_and_Adjustments.Low_Attainment_Y5-6_Proportion_78]= "BLANK", THEN [Local_Authority_Averages.Low_Attainment_Y5-6_Proportion_78], 
ELSE IF [APT_Inputs_and_Adjustments.Low_Attainment_Y5-6_Proportion_78] = "BLANK", THEN [1718_Pupil_Characteristics.Low_Attainment_Y5-6_Proportion_78], ELSE [APT_Inputs_and_Adjustments.Low_Attainment_Y5-6_Proportion_78]</t>
  </si>
  <si>
    <t>This figure is obtained from the '1718 Census Pupil Characteristics dataset - Low Attainment Y5-6 Proportion 78' or from '1718 APT Inputs and Adjustments dataset - Low Attainment Primary Proportion 78' if the LA applied an adjustment within the APT. If both are blank, LA average is applied.</t>
  </si>
  <si>
    <t>P122a_PPAY7378forFAPOnly</t>
  </si>
  <si>
    <t>Calculates the actual weighting applied to Y5 and 6 pupils in the primary prior attainment calculation. Required for presentation in the primary prior attainment table in the FAP.</t>
  </si>
  <si>
    <t>P123_PPAY1to4ProportionUnder</t>
  </si>
  <si>
    <t>[1718_Census_Pupil_Characteristics.Low_Attainment_Y1-4_Proportion_ under_new_EYFSP]; [APT_Inputs_and_Adjustments.Low_Attainment_Y1-4_Proportion_under_new_EYFSP]; [Local_Authority_Averages.Low_Attainment_Y1-4_Proportion_under_new_EYFSP]</t>
  </si>
  <si>
    <t>IF [1718_Pupil_Characteristics.Low_Attainment_Y1-4_Proportion_under_new_EYFSP]  and [APT_Inputs_and_Adjustments.Low_Attainment_Y1-4_Proportion_under_new_EYFSP]= "BLANK", THEN [Local_Authority_Averages.Low_Attainment_Y1-4_Proportion_under_new_EYFSP], 
ELSE IF [APT_Inputs_and_Adjustments.Low_Attainment_Y1-4_Proportion_under_new_EYFSP] = "BLANK", THEN [1718_Pupil_Characteristics.Low_Attainment_Y1-4_Proportion_under_new_EYFSP], ELSE [APT_Inputs_and_Adjustments.Low_Attainment_Y1-4_Proportion_under_new_EYFSP]</t>
  </si>
  <si>
    <t>This figure is obtained from the '1718 Census Pupil Characteristics dataset - Low Attainment Y1-4 Proportion under new EYFSP' or from '1718 APT Inputs and Adjustments dataset - Low Attainment Y1-4 Proportion under new EYFSP' if the LA applied an adjustment within the APT. If both are blank, LA average is applied.</t>
  </si>
  <si>
    <t>P124_PPAY5to6NOR</t>
  </si>
  <si>
    <t>Pupil Numbers</t>
  </si>
  <si>
    <t>This figure is obtained from the '1718 Number on Roll products - NOR_P04_Y5-Y6'. There is no calculation in this product but value is required for FAP.</t>
  </si>
  <si>
    <t>P125_PPAY1to4NOR</t>
  </si>
  <si>
    <t>This figure is obtained from the '1718 Number on Roll products - NOR_P03_Y1-Y4'. There is no calculation in this product but value is required for FAP.</t>
  </si>
  <si>
    <t>P126_PPAPriNOR</t>
  </si>
  <si>
    <t>This figure is obtained from the '1718 Number on Roll products - NOR_P22_PRI' (looks to Inputs and Adjustments and includes Reception Uplift if applied). There is no calculation in this product but value is required for FAP.</t>
  </si>
  <si>
    <t>P127_PPARate</t>
  </si>
  <si>
    <t>[1718_APT_Proforma.Prior_Attainment_Primary_Amount_Per_Pupil]</t>
  </si>
  <si>
    <t>This figure is obtained from the '1718 APT Proforma dataset - Prior Attainment Primary Amount Per Pupil'. There is no calculation but the rate is required on it's own for inclusion in the FAP.</t>
  </si>
  <si>
    <t>P128_PPAWeighting</t>
  </si>
  <si>
    <t>[1718_APT_Proforma.Prior_Attainment_Primary_Weighting]</t>
  </si>
  <si>
    <t>This figure is obtained from the '1718 APT Proforma dataset - Prior Attainment Primary Weighting'. There is no calculation but the rate is required on it's own for inclusion in the FAP.</t>
  </si>
  <si>
    <t>P129_PPAPupilsY5to6NotAchieving</t>
  </si>
  <si>
    <t>This calculation determines the full year amount of Y4 to 6 pupils eligible for Prior Attainment Primary, where the LA has applied this factor.</t>
  </si>
  <si>
    <t>P130_PPAPupilsY1to4NotAchieving</t>
  </si>
  <si>
    <t>This calculation determines the full year amount of Y1 to 3 pupils eligible for Prior Attainment Primary, where the LA has applied this factor.</t>
  </si>
  <si>
    <t>P131_PPATotalPupilsY1to6NotAchieving</t>
  </si>
  <si>
    <t>This calculation determines the total full year amount of Y1 to 6 pupils eligible for Prior Attainment Primary, where the LA has applied this factor.</t>
  </si>
  <si>
    <t>P132_PPATotalProportionNotAchieving</t>
  </si>
  <si>
    <t>This calculation determines the total full year proportion of Y1 to 6 pupils eligible for Prior Attainment Primary, where the LA has applied this factor.</t>
  </si>
  <si>
    <t>P133_PPATotalFunding</t>
  </si>
  <si>
    <t>This calculation determines the full year amount of Primary Prior Attainment for academies with primary pupils, where the LA has applied this factor.</t>
  </si>
  <si>
    <t>P134_NSENPPA</t>
  </si>
  <si>
    <t>Total PPA funding multiplied by NSEN percentage gives the amount of NSEN atttributable to PPA funding.</t>
  </si>
  <si>
    <t>P134a_NSENPPA_Percent</t>
  </si>
  <si>
    <t>This figure is obtained from the '1718 APT Proforma dataset - Primary Prior Attainment Notional SEN'</t>
  </si>
  <si>
    <t>P135_InYearPPASubtotal</t>
  </si>
  <si>
    <t>This calculation determines the actual PPA allocation due for the Academic Year 17/18, pro-rating the allocation if an academy opened in-year.</t>
  </si>
  <si>
    <t>P136_SecPA_Y7Factor</t>
  </si>
  <si>
    <t>[Census_Pupil_Characeristics.Low_Attainment_Secondary_Proportion - Y7]; [APT_Inputs_and_Adjustments.Low_Attainment_Secondary_Proportion Y7]</t>
  </si>
  <si>
    <t>IF [Census_Pupil_Characteristics.Low_Attainment_SecondaryProportion - Y7]  and [APT_Inputs_and_Adjustments.Low_Attainment_Secondary_Proportion Y7]= "BLANK", [Local_Authority_Averages.Low_Attainment_Secondary_Proportion Y7], 
ELSE IF [APT_Inputs_and_Adjustments.Low_Attainment_Secondary_Proportion Y7] = "BLANK" THEN [Census_Pupil_Characteristics.Low_Attainment_Secondary_Proportion - Y7]
ELSE [APT_Inputs_and_Adjustments.Low_Attainment_Secondary_Proportion Y7]</t>
  </si>
  <si>
    <t>If the LA has applied an adjustment within the APT, this figure ('Low_Attainment_Secondary_Proportion Y7') is taken from '1718 APT Inputs and Adjustments dataset', otherwise it will usually be obtained from the '1718 Census Pupil Characteristics dataset'. If both are blank (e.g. for a brand new opener with no predecessor data), then defaults to zero.</t>
  </si>
  <si>
    <t>P136a_SecPA_Y7NationalWeight</t>
  </si>
  <si>
    <t>[1718_APT_Proforma.Secondary_Low_Attainment_(Year7)_Weighting]</t>
  </si>
  <si>
    <t>This figure is obtained from the '1718 APT Proforma dataset - Secondary Low Attainment (Year 7) Weighting'. There is no calculation.</t>
  </si>
  <si>
    <t>prior Attainment</t>
  </si>
  <si>
    <t>P137_SecPA_Y8to11Factor</t>
  </si>
  <si>
    <t>[Census_Pupil_Characeristics.Low_Attainment_Secondary_Proportion - Y8-11]; [APT_Inputs_and_Adjustments.Low_Attainment_Secondary_Proportion Y8-11]</t>
  </si>
  <si>
    <t>IF [Census_Pupil_Characteristics.Low_Attainment_SecondaryProportion - Y8-11]  and [APT_Inputs_and_Adjustments.Low_Attainment_Secondary_Proportion Y8-11]= "BLANK", [Local_Authority_Averages.Low_Attainment_SecondaryProportion - Y8-11], 
ELSE IF [APT_Inputs_and_Adjustments.Low_Attainment_Secondary_Proportion Y8-11] = "BLANK" THEN [Census_Pupil_Characteristics.Low_Attainment_Secondary_Proportion - Y8-11]
ELSE [APT_Inputs_and_Adjustments.Low_Attainment_Secondary_Proportion Y8-11]</t>
  </si>
  <si>
    <t>If the LA has applied an adjustment within the APT, this figure ('Low_Attainment_Secondary_Proportion Y8-11') is taken from '1718 APT Inputs and Adjustments dataset', otherwise it will usually be obtained from the '1718 Census Pupil Characteristics dataset'.</t>
  </si>
  <si>
    <t>P138_SecPARate</t>
  </si>
  <si>
    <t>[1718_APT_Proforma.Low_Attainment_Secondary_Amount_Per_Pupil]</t>
  </si>
  <si>
    <t>This figure is obtained from the '1718 APT Proforma dataset - Low Attainment Secondary Amount Per Pupil'. There is no calculation but the rate is required on it's own for inclusion in the FAP.</t>
  </si>
  <si>
    <t>P138a_SecPA_AdjustedSecFactor</t>
  </si>
  <si>
    <t>This calculation determines the total full year proportion of Y7 to 11 pupils eligible for Prior Attainment Secondary funding.  NB The pupil counts included in this calculation do not have high needs places deducted.</t>
  </si>
  <si>
    <t>P139_SecPASubtotal</t>
  </si>
  <si>
    <t>This calculation determines the full year amount of Secondary Prior Attainment for academies, where the LA has applied this factor.</t>
  </si>
  <si>
    <t>P140_NSENSecPA</t>
  </si>
  <si>
    <t>Total Sec PA funding multiplied by Sec PA NSEN percentage gives the amount of NSEN atttributable to Sec PA funding.</t>
  </si>
  <si>
    <t>P140a_NSENSecPA_Percent</t>
  </si>
  <si>
    <t>This figure is obtained from the '1718 APT Proforma dataset - Secondary Prior Attainment Notional SEN'</t>
  </si>
  <si>
    <t>P141_InYearSecPASubtotal</t>
  </si>
  <si>
    <t>This calculation determines the actual Secondary Prior Attainment allocation due for the Academic Year 17/18, pro-rating the allocation if an academy opened in-year.</t>
  </si>
  <si>
    <t>EAL</t>
  </si>
  <si>
    <t>P142_EAL1PriFactor</t>
  </si>
  <si>
    <t>[Census_Pupil_Characeristics.EAL1_Primary_Proportion]; [APT_Inputs_and_Adjustments.EAL1_Primary_Proportion]</t>
  </si>
  <si>
    <t xml:space="preserve">IF string.IsNullOrEmpty([Census_Pupil_Characeristics.EAL1_Primary_Proportion]) AND string.IsNullOrEmpty([APT_Inputs_and_Adjustments.EAL1_Primary_Proportion]) THEN, 
Result = LA_AV 
ELSE
If string.IsNullOrEmpty([APT_Inputs_and_Adjustments.EAL1_Primary_Proportion]) THEN
Result = [Census_Pupil_Characeristics.EAL1_Primary_Proportion] 
ELSE
Result = [APT_Inputs_and_Adjustments.EAL1_Primary_Proportion]
</t>
  </si>
  <si>
    <t>If the LA has applied an adjustment within the APT, this figure ('EAL1_Primary_Proportion') is taken from '1718 APT Inputs and Adjustments dataset', otherwise it will usually be obtained from the '1718 Census Pupil Characteristics dataset'. If both are blank (e.g. for a brand new opener with no predecessor data), then defaults to zero.</t>
  </si>
  <si>
    <t>P144_EAL1PriRate</t>
  </si>
  <si>
    <t>[1718_APT_Proforma.EAL_Primary_Amount_Per_Pupil]; [1718_APT_Proforma.EAL_Primary_1/2/3/NA]</t>
  </si>
  <si>
    <t>If [APT_Proforma_dataset.EAL_Primary_1/2/3/NA] = "EAL 1 Primary" Then 
[APT_Proforma_dataset.EAL_Primary_Amount_Per_Pupil] 
Else 0</t>
  </si>
  <si>
    <t>This figure is obtained from the '1718 APT Proforma dataset - EAL1 Primary Amount Per Pupil'. There is no calculation but the rate is required on it's own for inclusion in the FAP.</t>
  </si>
  <si>
    <t>P145_EAL1PriSubtotal</t>
  </si>
  <si>
    <t>This calculation determines the full year amount of Primary EAL1 for academies, where the LA has applied this factor.</t>
  </si>
  <si>
    <t>P146_InYearEAL1PriSubtotal</t>
  </si>
  <si>
    <t>This calculation determines the actual EAL1 Primary allocation due for the Academic Year 17/18, pro-rating the allocation if an academy opened in-year.</t>
  </si>
  <si>
    <t>P147_EAL2PriFactor</t>
  </si>
  <si>
    <t>[Census_Pupil_Characeristics.EAL2_Primary_Proportion]; [APT_Inputs_and_Adjustments.EAL2_Primary_Proportion]</t>
  </si>
  <si>
    <t>IF [Census_Pupil_Characteristics.EAL2_Primary_Proportion]  and [APT_Inputs_and_Adjustments.EAL2_Primary_Proportion]= "BLANK" THEN,
Result = LA_AV, 
ELSE IF [APT_Inputs_and_Adjustments.EAL2_Primary_Proportion] = "BLANK" THEN [Census_Pupil_Characteristics.EAL2_Primary_Proportion]
ELSE [APT_Inputs_and_Adjustments.EAL2_Primary_Proportion]</t>
  </si>
  <si>
    <t>If the LA has applied an adjustment within the APT, this figure ('EAL2_Primary_Proportion') is taken from '1718 APT Inputs and Adjustments dataset', otherwise it will usually be obtained from the '1718 Census Pupil Characteristics dataset'. If both are blank (e.g. for a brand new opener with no predecessor data), then defaults to zero.</t>
  </si>
  <si>
    <t>P149_EAL2PriRate</t>
  </si>
  <si>
    <t>If [APT_Proforma_dataset.EAL_Primary_1/2/3/NA] = "EAL 2 Primary" Then 
[APT_Proforma_dataset.EAL_Primary_Amount_Per_Pupil] 
Else 0</t>
  </si>
  <si>
    <t>This figure is obtained from the '1718 APT Proforma dataset - EAL2 Primary Amount Per Pupil'. There is no calculation but the rate is required on it's own for inclusion in the FAP.</t>
  </si>
  <si>
    <t>P150_EAL2PriSubtotal</t>
  </si>
  <si>
    <t>This calculation determines the full year amount of Primary EAL2 for academies, where the LA has applied this factor.</t>
  </si>
  <si>
    <t>P151_InYearEAL2PriSubtotal</t>
  </si>
  <si>
    <t>This calculation determines the actual EAL2 Primary allocation due for the Academic Year 17/18, pro-rating the allocation if an academy opened in-year.</t>
  </si>
  <si>
    <t>P152_EAL3PriFactor</t>
  </si>
  <si>
    <t>[Census_Pupil_Characeristics.EAL3_Primary_Proportion]; [APT_Inputs_and_Adjustments.EAL3_Primary_Proportion]</t>
  </si>
  <si>
    <t>IF [Census_Pupil_Characteristics.EAL3_Primary_Proportion]  and [APT_Inputs_and_Adjustments.EAL3_Primary_Proportion]= "BLANK" THEN, 
Result = LA_AV  
ELSE IF [APT_Inputs_and_Adjustments.EAL3_Primary_Proportion] = "BLANK" THEN [Census_Pupil_Characteristics.EAL3_Primary_Proportion]
ELSE [APT_Inputs_and_Adjustments.EAL3_Primary_Proportion]</t>
  </si>
  <si>
    <t>If the LA has applied an adjustment within the APT, this figure ('EAL3_Primary_Proportion') is taken from '1718 APT Inputs and Adjustments dataset', otherwise it will usually be obtained from the '1718 Census Pupil Characteristics dataset'. If both are blank (e.g. for a brand new opener with no predecessor data), then defaults to zero.</t>
  </si>
  <si>
    <t>P154_EAL3PriRate</t>
  </si>
  <si>
    <t>If [APT_Proforma_dataset.EAL_Primary_1/2/3/NA] = "EAL 3 Primary" Then 
[APT_Proforma_dataset.EAL_Primary_Amount_Per_Pupil] 
Else 0</t>
  </si>
  <si>
    <t>This figure is obtained from the '1718 APT Proforma dataset - EAL3 Primary Amount Per Pupil'. There is no calculation but the rate is required on it's own for inclusion in the FAP.</t>
  </si>
  <si>
    <t>P155_EAL3PriSubtotal</t>
  </si>
  <si>
    <t>This calculation determines the full year amount of Primary EAL3 for academies, where the LA has applied this factor.</t>
  </si>
  <si>
    <t>P156_NSENPriEAL</t>
  </si>
  <si>
    <t>P145_EAL1PriSubtotal; P150_EAL2PriSubtotal; P155_EAL3PriSubtotal; P156a_NSENPriEAL_Percent</t>
  </si>
  <si>
    <t>(P145_EAL1PriSubtotal + P150_EAL2PriSubtotal + P155_EAL3PriSubtotal) * P156a_NSENPriEAL_Percent</t>
  </si>
  <si>
    <t>Calculates the proportion of EAL primary funding attributable to NSEN.</t>
  </si>
  <si>
    <t>P156a_NSENPriEAL_Percent</t>
  </si>
  <si>
    <t>This figure is obtained from the '1718 APT Proforma dataset - Primary EAL Notional SEN'</t>
  </si>
  <si>
    <t>P157_InYearEAL3PriSubtotal</t>
  </si>
  <si>
    <t>This calculation determines the actual EAL3 Primary allocation due for the Academic Year 17/18, pro-rating the allocation if an academy opened in-year.</t>
  </si>
  <si>
    <t>P158_EAL1SecFactor</t>
  </si>
  <si>
    <t>[Census_Pupil_Characeristics.EAL1_Secondary_Proportion]; [APT_Inputs_and_Adjustments.EAL1_Secondary_Proportion]</t>
  </si>
  <si>
    <t>IF [Census_Pupil_Characteristics.EAL1_Secondary_Proportion]  and [APT_Inputs_and_Adjustments.EAL1_Secondary_Proportion]= "BLANK" THEN, 
Result = LA_AV, 
ELSE IF [APT_Inputs_and_Adjustments.EAL1_Secondary_Proportion] = "BLANK" THEN [Census_Pupil_Characteristics.EAL1_Secondary_Proportion]
ELSE [APT_Inputs_and_Adjustments.EAL1_Secondary_Proportion]</t>
  </si>
  <si>
    <t>If the LA has applied an adjustment within the APT, this figure ('EAL1_Secondary_Proportion') is taken from '1718 APT Inputs and Adjustments dataset', otherwise it will usually be obtained from the '1718 Census Pupil Characteristics dataset'. If both are blank (e.g. for a brand new opener with no predecessor data), then defaults to zero.</t>
  </si>
  <si>
    <t>P160_EAL1SecRate</t>
  </si>
  <si>
    <t>[1718_APT_Proforma.EAL_Secondary_Amount_Per_Pupil]; [1718_APT_Proforma.EAL_Secondary_1/2/3/NA]</t>
  </si>
  <si>
    <t>If [APT_Proforma_dataset.EAL_Secondary_1/2/3/NA] = "EAL 1 Secondary" Then 
[APT_Proforma_dataset.EAL_Secondary_Amount_Per_Pupil] 
Else 0</t>
  </si>
  <si>
    <t>This figure is obtained from the '1718 APT Proforma dataset - EAL1 Secondary Amount Per Pupil'. There is no calculation but the rate is required on it's own for inclusion in the FAP.</t>
  </si>
  <si>
    <t>P161_EAL1SecSubtotal</t>
  </si>
  <si>
    <t>This calculation determines the full year amount of Secondary EAL1 for academies, where the LA has applied this factor.</t>
  </si>
  <si>
    <t>P162_InYearEAL1SecSubtotal</t>
  </si>
  <si>
    <t>This calculation determines the actual EAL1 Secondary allocation due for the Academic Year 17/18, pro-rating the allocation if an academy opened in-year.</t>
  </si>
  <si>
    <t>P163_EAL2SecFactor</t>
  </si>
  <si>
    <t>[Census_Pupil_Characeristics.EAL2_Secondary_Proportion]; [APT_Inputs_and_Adjustments.EAL2_Secondary_Proportion]</t>
  </si>
  <si>
    <t>IF [Census_Pupil_Characteristics.EAL2_Secondary_Proportion]  and [APT_Inputs_and_Adjustments.EAL2_Secondary_Proportion]= "BLANK" THEN, 
Result = LA_AV, 
ELSE IF [APT_Inputs_and_Adjustments.EAL2_Secondary_Proportion] = "BLANK" THEN [Census_Pupil_Characteristics.EAL2_Secondary_Proportion]
ELSE [APT_Inputs_and_Adjustments.EAL2_Secondary_Proportion]</t>
  </si>
  <si>
    <t>If the LA has applied an adjustment within the APT, this figure ('EAL2_Secondary_Proportion') is taken from '1718 APT Inputs and Adjustments dataset', otherwise it will usually be obtained from the '1718 Census Pupil Characteristics dataset'. If both are blank (e.g. for a brand new opener with no predecessor data), then defaults to zero.</t>
  </si>
  <si>
    <t>P165_EAL2SecRate</t>
  </si>
  <si>
    <t>If [APT_Proforma_dataset.EAL_Secondary_1/2/3/NA] = "EAL 2 Secondary" Then 
[APT_Proforma_dataset.EAL_Secondary_Amount_Per_Pupil] 
Else 0</t>
  </si>
  <si>
    <t>This figure is obtained from the '1718 APT Proforma dataset - EAL2 Secondary Amount Per Pupil'. There is no calculation but the rate is required on it's own for inclusion in the FAP.</t>
  </si>
  <si>
    <t>P166_EAL2SecSubtotal</t>
  </si>
  <si>
    <t>This calculation determines the full year amount of Secondary EAL2 for academies, where the LA has applied this factor.</t>
  </si>
  <si>
    <t>P167_InYearEAL2SecSubtotal</t>
  </si>
  <si>
    <t>This calculation determines the actual EAL2 Secondary allocation due for the Academic Year 17/18, pro-rating the allocation if an academy opened in-year.</t>
  </si>
  <si>
    <t>P168_EAL3SecFactor</t>
  </si>
  <si>
    <t>[Census_Pupil_Characeristics.EAL3_Secondary_Proportion]; [APT_Inputs_and_Adjustments.EAL3_Secondary_Proportion]</t>
  </si>
  <si>
    <t>IF [Census_Pupil_Characteristics.EAL3_Secondary_Proportion]  and [APT_Inputs_and_Adjustments.EAL3_Secondary_Proportion]= "BLANK" THEN, 
Result = LA_AV, 
ELSE IF [APT_Inputs_and_Adjustments.EAL3_Secondary_Proportion] = "BLANK" THEN [Census_Pupil_Characteristics.EAL3_Secondary_Proportion]
ELSE [APT_Inputs_and_Adjustments.EAL3_Secondary_Proportion]</t>
  </si>
  <si>
    <t>If the LA has applied an adjustment within the APT, this figure ('EAL3_Secondary_Proportion') is taken from '1718 APT Inputs and Adjustments dataset', otherwise it will usually be obtained from the '1718 Census Pupil Characteristics dataset'. If both are blank (e.g. for a brand new opener with no predecessor data), then defaults to zero.</t>
  </si>
  <si>
    <t>P170_EAL3SecRate</t>
  </si>
  <si>
    <t>If [APT_Proforma_dataset.EAL_Secondary_1/2/3/NA] = "EAL 3 Secondary" Then 
[APT_Proforma_dataset.EAL_Secondary_Amount_Per_Pupil] 
Else 0</t>
  </si>
  <si>
    <t>This figure is obtained from the '1718 APT Proforma dataset - EAL3 Secondary Amount Per Pupil'. There is no calculation but the rate is required on it's own for inclusion in the FAP.</t>
  </si>
  <si>
    <t>P171_EAL3SecSubtotal</t>
  </si>
  <si>
    <t>This calculation determines the full year amount of Secondary EAL3 for academies, where the LA has applied this factor.</t>
  </si>
  <si>
    <t>P172_NSENSecEAL</t>
  </si>
  <si>
    <t>P161_EAL1SecSubtotal; P166_EAL2SecSubtotal; P171_EAL3SecSubtotal; P172a_NSENSecEAL_Percent</t>
  </si>
  <si>
    <t>(P161_EAL1SecSubtotal + P166_EAL2SecSubtotal + P171_EAL3SecSubtotal) * P172a_NSENSecEAL_Percent</t>
  </si>
  <si>
    <t>The proportion of EAL Secondary funding attributed to NSEN.</t>
  </si>
  <si>
    <t>P172a_NSENSecEAL_Percent</t>
  </si>
  <si>
    <t xml:space="preserve">The 'EALS_SEN' has been obtained from 'APT Proforma dataset - EAL Secondary Notional SEN'.  </t>
  </si>
  <si>
    <t>P173_InYearEAL3SecSubtotal</t>
  </si>
  <si>
    <t>This calculation determines the actual EAL3 Secondary allocation due for the Academic Year 17/18, pro-rating the allocation if an academy opened in-year.</t>
  </si>
  <si>
    <t>Mobility</t>
  </si>
  <si>
    <t>P174_MobPriFactor</t>
  </si>
  <si>
    <t>[APT_Inputs_and_Adjustments.Mobility_Primary_Proportion]; [Census_Pupil_Characteristics.Mobility_Primary_Proportion]</t>
  </si>
  <si>
    <t>IF  [APT_Inputs_and_Adjustments.Mobility_Primary_Proportion]= "BLANK", THEN 
if  [Census_Pupil_Characteristics.Mobility_Primary_Proportion] &gt; 0.1, then
[Census_Pupil_Characteristics.Mobility_Primary_Proportion] -0.1 
ELSE 0.
ELSE IF [APT_Inputs_and_Adjustments.Mobility_Primary_Proportion] &gt; 0.1, then
[APT_Inputs_and_Adjustments.Mobility_Primary_Proportion] - 0.1, 
ELSE 0.</t>
  </si>
  <si>
    <t>This figure is obtained from the '1718 Census Pupil Characteristics dataset - Mobility Primary Proportion' or from '1718 APT Inputs and Adjustments dataset - Mobility Primary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t>
  </si>
  <si>
    <t>P176_MobPriRate</t>
  </si>
  <si>
    <t>[1718_APT_Proforma.Mobility_Primary_Amount_Per_Pupil]</t>
  </si>
  <si>
    <t>This figure is obtained from the '1718 APT Proforma dataset - Mobility Primary Amount Per Pupil'.</t>
  </si>
  <si>
    <t>P177_MobPriSubtotal</t>
  </si>
  <si>
    <t>This calculation determines the full year amount of Mobility (over 10% threshold) for academies with primary pupils, where the LA has applied this factor.</t>
  </si>
  <si>
    <t>P178_NSENMobPri</t>
  </si>
  <si>
    <t>Proportion of primary mobility funding attributed to NSEN.</t>
  </si>
  <si>
    <t>P178a_NSENMobPri_Percent</t>
  </si>
  <si>
    <t>The 'MOB_PRIM_SEN' has been obtained from 'APT Proforma dataset - Mobility Primary Notional SEN'.</t>
  </si>
  <si>
    <t>P179_InYearMobPriSubtotal</t>
  </si>
  <si>
    <t>This calculation determines the in-year amount of Mobility (over 10% threshold) for academies with primary pupils, where the LA has applied this factor.</t>
  </si>
  <si>
    <t>P180_MobSecFactor</t>
  </si>
  <si>
    <t>[APT_Inputs_and_Adjustments.Mobility_Secondary_Proportion]; [Census_Pupil_Characteristics.Mobility_Secondary_Proportion]</t>
  </si>
  <si>
    <t>IF  [APT_Inputs_and_Adjustments.Mobility_Secondary_Proportion]= "BLANK", THEN 
if  [Census_Pupil_Characteristics.Mobility_Secondary_Proportion] &gt; 0.1, then
[Census_Pupil_Characteristics.Mobility_Secondary_Proportion] -0.1 
ELSE 0.
ELSE IF [APT_Inputs_and_Adjustments.Mobility_Secondary_Proportion] &gt; 0.1, then
[APT_Inputs_and_Adjustments.Mobility_Secondary_Proportion] - 0.1, 
ELSE 0.</t>
  </si>
  <si>
    <t>This figure is obtained from the '1718 Census Pupil Characteristics dataset - Mobility Secondary Proportion' or from '1718 APT Inputs and Adjustments dataset - Mobility Secondary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t>
  </si>
  <si>
    <t>P182_MobSecRate</t>
  </si>
  <si>
    <t>[1718_APT_Proforma.Mobility_Secondary_Amount_Per_Pupil]</t>
  </si>
  <si>
    <t>This figure is obtained from the '1718 APT Proforma dataset - Mobility Secondary Amount Per Pupil'.</t>
  </si>
  <si>
    <t>P183_MobSecSubtotal</t>
  </si>
  <si>
    <t>This calculation determines the full year amount of Mobility (over 10% threshold) for academies with Secondary pupils, where the LA has applied this factor.</t>
  </si>
  <si>
    <t>P184_NSENMobSec</t>
  </si>
  <si>
    <t>Proportion of secondary mobility funding attributed to NSEN.</t>
  </si>
  <si>
    <t>P184a_NSENMobSec_Percent</t>
  </si>
  <si>
    <t>The 'MOB_SEC_SEN' has been obtained from 'APT Proforma dataset - Mobility Secondary Notional SEN'.</t>
  </si>
  <si>
    <t>P185_InYearMobSecSubtotal</t>
  </si>
  <si>
    <t>This calculation determines the in-year amount of Mobility (over 10% threshold) for academies with Secondary pupils, where the LA has applied this factor.</t>
  </si>
  <si>
    <t>Sparsity</t>
  </si>
  <si>
    <t>P185a_Phase</t>
  </si>
  <si>
    <t>[APT_Inputs_and_Adjustments.Phase]; [Census_Pupil_Characteristics.Phase]</t>
  </si>
  <si>
    <t>if [APT_Inputs_and_Adjustments.Phase] =  'BLANK' then 
if [Census_Pupil_Characteristics.Phase] = "Primary" then
        result = 1
        ElseIf [Census_Pupil_Characteristics.Phase] = "Middle-deemed Primary" then
        result = 2
        ElseIf [Census_Pupil_Characteristics.Phase] = "Secondary" then
        result = 3
        ElseIf [Census_Pupil_Characteristics.Phase] = "Middle-deemed Secondary" then
        result = 4
        ElseIf [Census_Pupil_Characteristics.Phase] = "All-through" then
        result = 5
Else if [APT_Inputs_and_Adjustments.Phase] = "Primary" then
        result = 1
        ElseIf [APT_Inputs_and_Adjustments.Phase] = "Middle-deemed Primary" then
        result = 2
        ElseIf [APT_Inputs_and_Adjustments.Phase]= "Secondary" then
        result = 3
        ElseIf [APT_Inputs_and_Adjustments.Phase] = "Middle-deemed Secondary" then
        result = 4
        ElseIf [APT_Inputs_and_Adjustments.Phase] = "All-through" then
        result = 5 
 Else 0</t>
  </si>
  <si>
    <t>this calculation determines a number for each Phase of establishment (using I&amp;A if present)</t>
  </si>
  <si>
    <t>P186_SparsityTaperFlagPri</t>
  </si>
  <si>
    <t>[1718_APT_Proforma.Fixed_or_Tapered_Sparsity_Primary_Lump_Sum]</t>
  </si>
  <si>
    <t>IF [1718_APT_Proforma.Fixed_or_Tapered_Sparsity_Primary_Lump_Sum] = "Tapered", 1, ELSE 0</t>
  </si>
  <si>
    <t>This indicator is obtained from the '1718 APT Proforma dataset - Fixed or Tapered Sparsity Primary Lump Sum'. If the indicator shows "Tapered" then the result returned is 1</t>
  </si>
  <si>
    <t>P187_SparsityTaperFlagMid</t>
  </si>
  <si>
    <t>[1718_APT_Proforma.Fixed_or_Tapered_Sparsity_Middle_Lump_Sum]</t>
  </si>
  <si>
    <t>IF [1718_APT_Proforma.Fixed_or_Tapered_Sparsity_Middle_Lump_Sum] = "Tapered", 1, ELSE 0</t>
  </si>
  <si>
    <t>This indicator is obtained from the '1718 APT Proforma dataset - Fixed or Tapered Sparsity Middle Lump Sum'. If the indicator shows "Tapered" then the result returned is 1</t>
  </si>
  <si>
    <t>P188_SparsityTaperFlagSec</t>
  </si>
  <si>
    <t>[1718_APT_Proforma.Fixed_or_Tapered_Sparsity_Secondary_Lump_Sum]</t>
  </si>
  <si>
    <t>IF [1718_APT_Proforma.Fixed_or_Tapered_Sparsity_Secondary_Lump_Sum] = "Tapered", 1, ELSE 0</t>
  </si>
  <si>
    <t>This indicator is obtained from the '1718 APT Proforma dataset - Fixed or Tapered Sparsity Secondary Lump Sum'. If the indicator shows "Tapered" then the result returned is 1</t>
  </si>
  <si>
    <t>P189_SparsityTaperFlagAllThru</t>
  </si>
  <si>
    <t>[1718_APT_Proforma.Fixed_or_Tapered_Sparsity_All-Through_Lump_Sum]</t>
  </si>
  <si>
    <t>IF [1718_APT_Proforma.Fixed_or_Tapered_Sparsity_All-Through_Lump_Sum] = "Tapered", 1, ELSE 0</t>
  </si>
  <si>
    <t>This indicator is obtained from the '1718 APT Proforma dataset - Fixed or Tapered Sparsity All-Through Lump Sum'. If the indicator shows "Tapered" then the result returned is 1</t>
  </si>
  <si>
    <t>P190_SparsityUnit</t>
  </si>
  <si>
    <t>This amount is obtained from the '1718 APT Proforma dataset, dependent on the phase identified at product P185a_Phase</t>
  </si>
  <si>
    <t>P191_SparsityDistance</t>
  </si>
  <si>
    <t>IF P185a_Phase =1, IF [Primary Sparsity av. Distance to 2nd School (miles) - Inputs and Adjustments] = "BLANK", THEN [Primary Sparsity av. Distance to 2nd School (miles) - Pupil Characteristics], ELSE [Primary Sparsity av. Distance to 2nd School (miles) - Inputs and Adjustments]                                                                                                                                                                                                 ELSE IF [Secondary Sparsity av. Distance to 2nd School (miles) - Inputs and Adjustments] = "BLANK", THEN [Secondary Sparsity av. Distance to 2nd School (miles) - Pupil Characteristics], ELSE [Secondary Sparsity av. Distance to 2nd School (miles) - Inputs and Adjustments]</t>
  </si>
  <si>
    <t>For primaries, this figure is obtained from the '1718 Census Pupil Characteristics dataset - Primary Sparsity av. Distance to 2nd School (miles)' or from '1718 APT Inputs and Adjustments dataset - Primary Sparsity av. Distance to 2nd School (miles)' if the LA applied an adjustment within the APT. For middle, secondary and all-throughs, this figure is obtained from the '1718 Census Pupil Characteristics dataset - Secondary Sparsity av. Distance to 2nd School (miles)' or from '1718 APT Inputs and Adjustments dataset - Secondary Sparsity av. Distance to 2nd School (miles)' if the LA applied an adjustment within the APT.</t>
  </si>
  <si>
    <t>P192_SparsityDistThreshold</t>
  </si>
  <si>
    <t>IF P185a_Phase = 1 THEN IF [APT_Proforma.Primary_Distance_Threshold] = BLANK, then 2, ELSE  [APT_Proforma.Primary_Distance_Threshold]. IF P185a_Phase = 2 or 4 THEN IF [APT_Proforma.Middle_School_Distance_Threshold] = BLANK, then 2, ELSE  [APT_Proforma.Middle_School_Distance_Threshold].  IF P185a_Phase =3, THEN IF [APT_Proforma.Secondary_Distance_Threshold] = BLANK, then 3, ELSE  [APT_Proforma.Secondary_Distance_Threshold].  IF P185a_Phase = 5 THEN IF [APT_Proforma.All-Through_Distance_Threshold] = BLANK, then 2, ELSE  [APT_Profroma.All-Through_Distance_Threshold].</t>
  </si>
  <si>
    <t>This value is obtained from the '1718 APT Proforma dataset - Primary Distance Threshold' for primary, '1718 APT Proforma dataset - Middle School Distance Threshold' for middle and '1718 APT Proforma dataset - All Through Distance Threshold' for all-throughs and default to 2 if  blank. Similarly, secondaries use '1718 APT Proforma dataset -Secondary Distance Threshold' and default to 3 miles if dataset is blank.</t>
  </si>
  <si>
    <t>P193_SparsityDistMet_YN</t>
  </si>
  <si>
    <t xml:space="preserve"> IF (P191_SparsityDistance &gt; P192_SparsityDistThreshold), THEN [1 = Yes], ELSE [0 = No]</t>
  </si>
  <si>
    <t>This calculation determines whether or not the sparsity distance threshold has been met for academies with primary pupils, where the LA has applied this factor.</t>
  </si>
  <si>
    <t>P194_SparsityAveYGSize</t>
  </si>
  <si>
    <t>This calculation determines the average year group size for academies, where the LA has applied this factor.</t>
  </si>
  <si>
    <t>P195_SparsityYGThreshold</t>
  </si>
  <si>
    <t>IF P185a_Phase = 1 THEN IF [APT_Proforma.Primary_Pupil_Number_Average_Year_Group_Threshold] = BLANK, then 21.4, ELSE  [APT_Proforma.Primary_Pupil_Number_Average_Year_Group_Threshold]. IF P185a_Phase = 2 or 4 THEN IF [APT_Proforma.Middle_School_Pupil_Number_Average_Year_Group_Threshold] = BLANK, then 69.2, ELSE  [APT_Proforma.Middle_School_Pupil_Number_Average_Year_Group_Threshold].  IF P185a_Phase =3, THEN IF [APT_Proforma.Secondary_Pupil_Number_Average_Year_Group_Threshold] = BLANK, then 120, ELSE  [APT_Proforma.Secondary_Pupil_Number_Average_Year_Group_Threshold].  IF P185a_Phase = 5 THEN IF [APT_Proforma.All-Through_Pupil_Number_Average_Year_Group_Threshold] = BLANK, then 62.5, ELSE  [APT_Profroma.All-Through_Pupil_Number_Average_Year_Group_Threshold].</t>
  </si>
  <si>
    <t>This value is obtained from the '1718 APT Proforma dataset - Primary average year group Threshold' for primary, '1718 APT Proforma dataset - Middle School average year group Threshold' for middle and '1718 APT Proforma dataset - All Through average year group Threshold' for all-throughs and default to 21.4, 69.2, 62.5 resp if  blank. Similarly, secondaries use '1718 APT Proforma dataset -Secondary average year group Threshold' and default to 120 pupils if dataset is blank.</t>
  </si>
  <si>
    <t>P196_SparsityYGThresholdMet_YN</t>
  </si>
  <si>
    <t>IF (P194_SparsityAveYGSize &lt;= P195_SparsityYGThreshold) AND P194_SparsityAveYGSize &gt; 0 THEN [1 = Yes], ELSE [0 = No]</t>
  </si>
  <si>
    <t>This calculation determines whether or not the sparsity year group threshold has been met, where the LA has applied this factor.</t>
  </si>
  <si>
    <t>P197_SparsityLumpSumSubtotal</t>
  </si>
  <si>
    <t>IF Existing Academy or New Opener 1718 funded on estimates, THEN
 If P185a_Phase = 1 (Primary) And  P186_SparsityTaperFlagPri = 0 And  P193_SparsityDistMet = 1 And P196_SparsityYGThresholdMet_YN = 1 then
result = P190_SparsityUnit         
              Else result = 0
                  If (P185a_Phase = 2 Or P185a_Phase = 4) (Middle School) And  P187_SparsityTaperFlagMid = 0 And  P193_SparsityDistMet = 1 And P196_SparsityYGThresholdMet_YN = 1 then
result = P190_SparsityUnit
Else result = 0
  If P185a_Phase = 3 (Secondary)And  P188_SparsityTaperFlagSec = 0 And  P193_SparsityDistMet = 1 And P196_SparsityYGThresholdMet_YN = 1 then
 result = P190_SparsityUnit
Else result = 0 
 If P185a_Phase = 5 (All Through) And  P189_SparsityTaperFlagAllThru = 0 And  P193_SparsityDistMet = 1 And P196_SparsityYGThresholdMet_YN = 1 then
 result = P190_SparsityUnit
Else result = 0
Else if New Opener 1718 funded on Census then
APT_New_ISB_dataset.Sparsity_Funding</t>
  </si>
  <si>
    <t>This calculation determines the full year amount of Sparsity lump sum, where the LA has applied this factor.  For in-year openers on census, total sparsity funding is included here, regardless of whether LA applies taper or not (to prevent double funding through both factors).</t>
  </si>
  <si>
    <t>P198_SparsityTaperSubtotal</t>
  </si>
  <si>
    <t>IF Existing Academy or New Opener 1718 funded on estimates, THEN            
                If  P185a_Phase = 1 (Primary) And P186_SparsityTaperFlagPri = 1 And P193_SparsityDistMet = 1 And P196_SparsityYGThresholdMet_YN =1 then                  
                result =  P190_SparsityUnit * (1- (P194_SparsityAveYGSize/P195_SparsityYGThreshold))
                Else  result =  0          
                 If  (P185a_Phase = 2 Or Phase = 4) (Middle) And P187_SparsityTaperFlagMid = 1 And P193_SparsityDistMet = 1 And P196_SparsityYGThresholdMet_YN =1 then   
                result =  P190_SparsityUnit * (1- (P194_SparsityAveYGSize/P195_SparsityYGThreshold))                      
                 Else  result =  0               
                 If  P185a_Phase = 3 (Secondary) And P188_SparsityTaperFlagSec = 1 And P193_SparsityDistMet = 1 And P196_SparsityYGThresholdMet_YN =1 then   
                 result =  P190_SparsityUnit * (1- (P194_SparsityAveYGSize/P195_SparsityYGThreshold))
                  Else  result =  0                          
                  If  P185a_Phase = 5 (All Through) And P189_SparsityTaperFlagAllThru = 1 And P193_SparsityDistMet = 1 And P196_SparsityYGThresholdMet_YN =1 then   
                  result =  P190_SparsityUnit * (1- (P194_SparsityAveYGSize/P195_SparsityYGThreshold))
                 Else  result =  0                                                            
        Else if New Opener 1718 funded on Census then
        Result =  0</t>
  </si>
  <si>
    <t>This calculation determines the full year amount of Sparsity tapered sum for academies, where the LA has applied this factor. For in-year openers on census, total sparsity funding is included in P197 and defaults to zero for this calculation, regardless of whether LA applies taper or not (to prevent double funding through both products).</t>
  </si>
  <si>
    <t>P198a_SubtotalLump_Taper_For_FAP_Only</t>
  </si>
  <si>
    <t>combines lump sum and tapered totals for inclusion in the FAP report</t>
  </si>
  <si>
    <t>P199_InYearSparsityLumpSumSubtotal</t>
  </si>
  <si>
    <t>This calculation determines the in-year amount of Sparsity lump sum for academies, where the LA has applied this factor.</t>
  </si>
  <si>
    <t>P200_InYearSparsityTaperSubtotal</t>
  </si>
  <si>
    <t>This calculation determines the in-year amount of Sparsity tapered sum for academies, where the LA has applied this factor.</t>
  </si>
  <si>
    <t>P200a_InYear_SubtotalLump_Taper_for_FAP_Only</t>
  </si>
  <si>
    <t>combines IY lump sum and IY tapered totals for inclusion in the FAP report</t>
  </si>
  <si>
    <t>P212_PYG</t>
  </si>
  <si>
    <t>The pupil count numbers are obtained from the '1718 Census Number Counts' dataset and this calculation determines the number of primary year groups for sparsity, where the LA has applied this factor.</t>
  </si>
  <si>
    <t>P213_SYG</t>
  </si>
  <si>
    <t>The pupil count numbers are obtained from the '1718 Census Number Counts' dataset and this calculation determinesthe number of secondary year groups for sparsity, where the LA has applied this factor.</t>
  </si>
  <si>
    <t>P236_NSENSparsity</t>
  </si>
  <si>
    <t>Proportion of sparsity funding attributed to NSEN.</t>
  </si>
  <si>
    <t>P236a_NSENSparsity_Percent</t>
  </si>
  <si>
    <t>If Phase = 1 (primary) then
            Result = [Sparsity_Primary_Notional_SEN]
         Elseif Phase = 2 Or Phase = 3 Or Phase = 4 Or Phase = 5 then
            Result = [Sparsity_Secondary_Notional_SEN]</t>
  </si>
  <si>
    <t>The primary and secondary NSEN percentages  are obtained from 'APT Proforma dataset'. The secondary percentage is applied to middle, secondary and all-through calculations, as these rely on the secondary sparsity distance measure. This reflects the APT calculation.</t>
  </si>
  <si>
    <t>Other Factors</t>
  </si>
  <si>
    <t>P239_PriLumpSumFactor</t>
  </si>
  <si>
    <t>If (P212_PYG = 0 ) And (P213_SYG = 0) then
        result = 0
        else      
If Phase = 1 then
             result = 1
             Else If Phase = 2 Or Phase = 4 then
              result =  P212_PYG /(P212_PYG+ P213_SYG)           
              else
              result = 0</t>
  </si>
  <si>
    <t>This calculation determines the proportion the primary lump sum that the school is eligible for, dependent on phase. Primary school result = 1 (100%), while middle schools receive proportion based on primary year groups over total year groups.</t>
  </si>
  <si>
    <t>P240_PriLumpSumRate</t>
  </si>
  <si>
    <t>[1718_APT_Proforma.Primary_Lump_Sum]</t>
  </si>
  <si>
    <t>This figure is obtained from the '1718 APT Proforma dataset - Primary Lump Sum'.</t>
  </si>
  <si>
    <t>P241_Primary_Lump_Sum</t>
  </si>
  <si>
    <t>If Existing Academy or New opener 1718 funded on estimates THEN 
 (P239_PriLumpSumFactor * P240_PriLumpSumRate)
Else if New opener 1718 then
APT_New_ISB_dataset.Lump_Sum</t>
  </si>
  <si>
    <t>This calculation determines the lump sum amount for academies with primary pupils.</t>
  </si>
  <si>
    <t>P242_InYearPriLumpSumSubtotal</t>
  </si>
  <si>
    <t>P243_SecLumpSumFactor</t>
  </si>
  <si>
    <t>P213_SYG; P212_PYG</t>
  </si>
  <si>
    <t>If (P212_PYG = 0 ) And (P213_SYG = 0) then
        result = 0
        else      
IIf Phase = 3 Or Phase = 5 then
             result = 1
             Else If Phase = 2 Or Phase = 4 then
              result =  P213_SYG /(P212_PYG+ P213_SYG)            
              else
              result = 0</t>
  </si>
  <si>
    <t>This calculation determines the proportion the secondary lump sum that the school is eligible for, dependent on phase. Secondary/All-thru school result = 1 (100%), while middle schools receive proportion based on secondary year groups over total year groups.</t>
  </si>
  <si>
    <t>P244_SecLumpSumRate</t>
  </si>
  <si>
    <t>[1718_APT_Proforma.Secondary_Lump_Sum]</t>
  </si>
  <si>
    <t>This figure is obtained from the '1718 APT Proforma dataset - Secondary Lump Sum'.</t>
  </si>
  <si>
    <t>P245_Secondary_Lump_Sum</t>
  </si>
  <si>
    <t>If Existing Academy or New opener 1718 funded on estimates THEN 
 (P243_SecLumpSumFactor *  P244_SecLumpSumRate)
Else if New opener 1718 then
APT_New_ISB_dataset.Lump_Sum</t>
  </si>
  <si>
    <t>This calculation determines the lump sum amount for academies with secondary pupils.</t>
  </si>
  <si>
    <t>P246_In YearSecLumpSumSubtotal</t>
  </si>
  <si>
    <t>P247_NSENLumpSumPri</t>
  </si>
  <si>
    <t>Proportion of primary lump sum funding attributed to NSEN.</t>
  </si>
  <si>
    <t>P247a_NSENLumpSumPri_Percent</t>
  </si>
  <si>
    <t>The 'LUMPSUM_PRI_SEN' has been obtained from 'APT Proforma dataset - Lump Sum Primary Notional SEN'.</t>
  </si>
  <si>
    <t>P248_NSENLumpSumSec</t>
  </si>
  <si>
    <t>Proportion of secondary lump sum funding attributed to NSEN.</t>
  </si>
  <si>
    <t>P248a_NSENLumpSumSec_Percent</t>
  </si>
  <si>
    <t>The 'LUMPSUM_SEC_SEN' has been obtained from 'APT Proforma dataset - Lump Sum Secondary Notional SEN'.</t>
  </si>
  <si>
    <t>Split Sites</t>
  </si>
  <si>
    <t>P249_SplitSiteSubtotal</t>
  </si>
  <si>
    <t>[1718_APT_NewISB.Split_Sites]</t>
  </si>
  <si>
    <t>IF [Split Sites - New ISB] = "BLANK", THEN 0, ELSE [APT_New_ISB_dataset.Split_Sites]</t>
  </si>
  <si>
    <t>This figure is obtained from the '1718 APT New ISB dataset - Split Sites'.</t>
  </si>
  <si>
    <t>P250_NSENSplitSites</t>
  </si>
  <si>
    <t>Proportion of split site funding attributed to NSEN.</t>
  </si>
  <si>
    <t>P250a_NSENSplitSites_Percent</t>
  </si>
  <si>
    <t>The 'SPLIT SITE_SEN' has been obtained from 'APT Proforma dataset - Split Site Notional SEN'.</t>
  </si>
  <si>
    <t>P251_InYearSplitSitesSubtotal</t>
  </si>
  <si>
    <t>This figure is obtained from the '1718 APT New ISB dataset - Split Sites' and pro-rated.</t>
  </si>
  <si>
    <t>P252_PFISubtotal</t>
  </si>
  <si>
    <t>[1718_APT_NewISB.PFI]</t>
  </si>
  <si>
    <t>If ([PFI - New ISB] = "BLANK", THEN 0, ELSE [APT_New_ISB_dataset.PFI]</t>
  </si>
  <si>
    <t>This figure is obtained from the '1718 APT New ISB dataset - PFI', where the LA has applied this factor.</t>
  </si>
  <si>
    <t>P253_NSENPFI</t>
  </si>
  <si>
    <t>Proportion of PFI funding attributed to NSEN.</t>
  </si>
  <si>
    <t>P253a_NSENPFI_Percent</t>
  </si>
  <si>
    <t>The 'PFI_SEN' has been obtained from 'APT Proforma dataset - PFI Notional SEN'.</t>
  </si>
  <si>
    <t>P254_InYearPFISubtotal</t>
  </si>
  <si>
    <t>This figure is obtained from the '1718 APT New ISB dataset - PFI' and pro-rated.</t>
  </si>
  <si>
    <t>P255_FringeSubtotal</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</si>
  <si>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P145_EAL1PriSubtotal; P150_EAL2PriSubtotal; P155_EAL3PriSubtotal; P161_EAL1SecSubtotal; P166_EAL2SecSubtotal; P171_EAL3SecSubtotal; P117_LACSubtotal; P133_PPATotalFunding; P139_SecPASubtotal; P177_MobPriSubtotal; P183_MobSecSubtotal; P241_PriLumpSumSubtotal; P245_SecLumpSumSubtotal;  P261_Ex1Subtotal</t>
  </si>
  <si>
    <t xml:space="preserve">IF Existing Academy or New Opener 1718 on estimates THEN 
(PriBESubtotal + KS3_BESubtotal + KS4_BESubtotal + PriFSMSubtotal + PriFSM6Subtotal + SecFSMSubtotal + _
              SecFSM6Subtotal + IDACIFPriSubtotal + IDACIEPriSubtotal + IDACIDPriSubtotal + IDACICPriSubtotal + IDACIBPriSubtotal + _
              IDACIAPriSubtotal + IDACIFSecSubtotal + IDACIE2SecSubtotal + IDACIDSecSubtotal + IDACICSecSubtotal + IDACIBSecSubtotal + _
              IDACIASecSubtotal + EAL1PriSubtotal + EAL2PriSubtotal + EAL3PriSubtotal + EAL1SecSubtotal + EAL2SecSubtotal + _
              EAL3SecSubtotal + LACSubtotal + PPATotalFunding + SecPASubtotal + MobPriSubtotal + MobSecSubtotal + PriLumpSumSubtotal +  _
              SecLumpSumSubtotal + Ex1Subtotal) * (FringeFactor¹ - 1)
Else If (New Opener)   then APT_New_ISB_dataset.London_Fringe
¹If  APT_Inputs_and_Adjustments.London_Fringe is BLANK then FringeFactor = Census_Pupil_Characteristics.London_Fringe ELSE FringeFactor = APT_Inputs_and_Adjustments.London_Fringe </t>
  </si>
  <si>
    <t>The London Fringe indicator (uplift) is set to 1.0156360164 for academies within the London Fringe area and 1.00 for all others and this is obtained from '1718 Census Pupil Characteristics dataset - London Fringe' or from '1718 APT Inputs and Adjustments dataset - London Fringe', if the LA has applied an adjustment within the APT.  This calculation provides the total London Fringe amount for all academies within the London Frige area.  P261_Ex1Subtotal is included as this is reserved for additional lump sum funding.</t>
  </si>
  <si>
    <t>P257_InYearFringeSubtotal</t>
  </si>
  <si>
    <t xml:space="preserve"> This calculation provides the total London Fringe amount and pro-rated for all academies within the London Fringe area.  </t>
  </si>
  <si>
    <t>P261_Ex1Subtotal</t>
  </si>
  <si>
    <t>[1718_APT_NewISB.Exceptional_Circumstances_1:_Reserved_for_additional_lump_sum_for_schools_amalgamated_during_FY16-17]</t>
  </si>
  <si>
    <t>IF([Exceptional Circumstances 1 - New ISB] = "BLANK"), THEN 0, ELSE [APT_New_ISB_dataset.17-18_Approved_Exceptional__Circumstance_1:_Reserved_for_Additional_lump_sum_for_schools_amalgamated_during__FY16-17]</t>
  </si>
  <si>
    <t>This figure is obtained from the '1718 APT New ISB dataset - 17-18 Approved Exceptional Circumstance 1'.  Please note this is reserved for additional lump sum for schools amalgamated during FY16-17.</t>
  </si>
  <si>
    <t>P262_NSENEx1</t>
  </si>
  <si>
    <t>The amount of Ex1 (additional lump sum) attributed to notional SEN funding. Calculation apportions additional lump sum using the primary and secondary lump sum factor products to ensure correct split is applied for middle schools and correct NSEN% is applied depending if primary, secondary or all-through.</t>
  </si>
  <si>
    <t>P262a_NSENEx1_Percent</t>
  </si>
  <si>
    <t>The 'Ex1_SEN' has been obtained from 'APT Proforma dataset - Exceptional Circumstances 1  Notional SEN'.</t>
  </si>
  <si>
    <t>P264_InYearEx1Subtotal</t>
  </si>
  <si>
    <t>This figure is obtained from the '1718 APT New ISB dataset - 17-18 Approved Exceptional Circumstance 1' and is pro-rated for in year opening academies.  Please note this is reserved for additional lump sum for schools amalgamated during FY15-16.</t>
  </si>
  <si>
    <t>P265_Ex2Subtotal</t>
  </si>
  <si>
    <t>[1718_APT_NewISB.Exceptional_Circumstances_2:_Reserved_for_additional_sparsity_lump_sum]</t>
  </si>
  <si>
    <t>IF ([Exceptional Circumstances 2 - New ISB] = "BLANK", THEN 0, ELSE [APT_New_ISB_dataset.APT_New_ISB_dataset.17-18_Approved_Exceptional__Circumstance_2:_Reserved_for_additional_sparsity_lump_sum]</t>
  </si>
  <si>
    <t xml:space="preserve">This figure is obtained from the '1718 APT New ISB dataset - 16-17 Approved Exceptional Circumstance 2'.  Please note this is reserved for additional sparsity lump sum.  </t>
  </si>
  <si>
    <t>P266_NSENEx2</t>
  </si>
  <si>
    <t xml:space="preserve">The 'EXC_CIRC_2_SEN' has been obtained from 'APT Proforma dataset - Exceptional Circs 2 Notional SEN'. </t>
  </si>
  <si>
    <t>P266a_NSENEx2_Percent</t>
  </si>
  <si>
    <t>The 'Ex2_SEN' has been obtained from 'APT Proforma dataset - Exceptional Circumstances 2 Notional SEN'.</t>
  </si>
  <si>
    <t>P267_InYearEx2Subtotal</t>
  </si>
  <si>
    <t>This figure is obtained from the '1718 APT New ISB dataset - 17-18 Approved Exceptional Circumstance 2' and is pro-rated for in year opening academies.  Please note this is reserved for additional sparsity lump sum.</t>
  </si>
  <si>
    <t>P269_Ex3Subtotal</t>
  </si>
  <si>
    <t>[1718_APT_NewISB.Exceptional_Circumstances_3]</t>
  </si>
  <si>
    <t>IF ([Exceptional Circumstances 3 - New ISB] = "BLANK", THEN 0, ELSE [APT_New_ISB_dataset.17-18_Approved_Exceptional__Circumstance_3]</t>
  </si>
  <si>
    <t>This figure is obtained from the '1718 APT New ISB dataset - 17-18 Approved Exceptional Circumstance 3'.</t>
  </si>
  <si>
    <t>P270_NSENEx3</t>
  </si>
  <si>
    <t xml:space="preserve">The 'EXC_CIRC_3_SEN' has been obtained from 'APT Proforma dataset - Exceptional Circs 3 Notional SEN'. </t>
  </si>
  <si>
    <t>P270a_NSENEx3_Percent</t>
  </si>
  <si>
    <t>The 'Ex3_SEN' has been obtained from 'APT Proforma dataset - Exceptional Circumstances 3 Notional SEN'.</t>
  </si>
  <si>
    <t>P271_InYearEx3Subtotal</t>
  </si>
  <si>
    <t>This figure is obtained from the '1718 APT New ISB dataset - 17-18 Approved Exceptional Circumstance 3' pro-rated for in-year openers.</t>
  </si>
  <si>
    <t>P273_Ex4Subtotal</t>
  </si>
  <si>
    <t>[1718_APT_NewISB.Exceptional_Circumstances_4]</t>
  </si>
  <si>
    <t>IF  ([Exceptional Circumstances 4 - New ISB] = "BLANK", THEN 0, ELSE [APT_New_ISB_dataset.17-18_Approved_Exceptional__Circumstance_4]</t>
  </si>
  <si>
    <t>This figure is obtained from the '1718 APT New ISB dataset - 17-18 Approved Exceptional Circumstance 4'.</t>
  </si>
  <si>
    <t>P274_NSENEx4</t>
  </si>
  <si>
    <t xml:space="preserve">The 'EXC_CIRC_4_SEN' has been obtained from 'APT Proforma dataset - Exceptional Circs 4 Notional SEN'.  </t>
  </si>
  <si>
    <t>P274a_NSENEx4_Percent</t>
  </si>
  <si>
    <t>The 'Ex4_SEN' has been obtained from 'APT Proforma dataset - Exceptional Circumstances 4 Notional SEN'.</t>
  </si>
  <si>
    <t>P275_InYearEx4Subtotal</t>
  </si>
  <si>
    <t>This figure is obtained from the '1718 APT New ISB dataset - 17-18 Approved Exceptional Circumstance 4' pro-rated for in-year openers.</t>
  </si>
  <si>
    <t>P277_Ex5Subtotal</t>
  </si>
  <si>
    <t>[1718_APT_NewISB.Exceptional_Circumstances_5]</t>
  </si>
  <si>
    <t>IF   ([Exceptional Circumstances 5 - New ISB] = "BLANK"), THEN 0, ELSE [APT_New_ISB_dataset.17-18_Approved_Exceptional__Circumstance_5]</t>
  </si>
  <si>
    <t>This figure is obtained from the '1718 APT New ISB dataset - 17-18 Approved Exceptional Circumstance 5'.</t>
  </si>
  <si>
    <t>P278_NSENEx5</t>
  </si>
  <si>
    <t xml:space="preserve">The 'EXC_CIRC_5_SEN' has been obtained from 'APT Proforma dataset - Exceptional Circs 5 Notional SEN'. </t>
  </si>
  <si>
    <t>P278a_NSENEx5_Percent</t>
  </si>
  <si>
    <t>The 'Ex5_SEN' has been obtained from 'APT Proforma dataset - Exceptional Circumstances 5 Notional SEN'.</t>
  </si>
  <si>
    <t>P279_InYearEx5Subtotal</t>
  </si>
  <si>
    <t>This figure is obtained from the '1718 APT New ISB dataset - 17-18 Approved Exceptional Circumstance 5' pro-rated for in-year openers.</t>
  </si>
  <si>
    <t>P281_Ex6Subtotal</t>
  </si>
  <si>
    <t>[1718_APT_NewISB.Exceptional_Circumstances_6]; [P286_PriorYearAdjusmentSubtotal]; P298_Growth; P300_SBSOutcomeAdjustment</t>
  </si>
  <si>
    <t>IF  ([Exceptional Circumstances 6 - New ISB] = "BLANK"), THEN [P286_PriorYearAdjustmetnSubtotal], ELSE [APT_New_ISB_dataset.17-18_Approved_Exceptional__Circumstance_6] + [P286_PriorYearAdjustmetnSubtotal] + P298_Growth + P300_SBSOutcomeAdjustment</t>
  </si>
  <si>
    <t>This figure is obtained from the '1718 APT New ISB dataset - 17-18 Approved Exceptional Circumstance 6'.</t>
  </si>
  <si>
    <t>P282_NSENEx6</t>
  </si>
  <si>
    <t xml:space="preserve">The 'EXC_CIRC_6_SEN' has been obtained from 'APT Proforma dataset - Exceptional Circs 6 Notional SEN'. </t>
  </si>
  <si>
    <t>P282a_NSENEx6_Percent</t>
  </si>
  <si>
    <t>The 'Ex6_SEN' has been obtained from 'APT Proforma dataset - Exceptional Circumstances 6 Notional SEN'.</t>
  </si>
  <si>
    <t>P283_InYearEx6Subtotal</t>
  </si>
  <si>
    <t>This figure is obtained from the '1718 APT New ISB dataset - 17-18 Approved Exceptional Circumstance 6' pro-rated for in-year openers.</t>
  </si>
  <si>
    <t>P284_NSENSubtotal</t>
  </si>
  <si>
    <t xml:space="preserve">P006_NSEN_PriBE; P011_NSEN_KS3BE; P016_NSEN_KS4BE; P028_NSENFSMPri; P039_NSENFSMSec; P045_NSENIDACIFPri; P051_NSENIDACIEPri; P057_NSENIDACIDPri; P063_NSENIDACICPri; P069_NSENIDACIBPri; P075_NSENIDACIAPri; P081_NSENIDACIFSec; P087_NSENIDACIESec; P093_NSENIDACIDSec; P099_NSENIDACICSec; P105_NSENIDACIBSec; P111_NSENIDACIASec; P118_NSENLAC; P134_NSENPPA; P140_NSENSecPA; P156_NSENPriEAL; P172_NSENSecEAL; P178_NSENMobPri; P184_NSENMobSec; P236_NSENSparsity; ; P247_NSENLumpSumPri; P248_NSENLumpSumSec; P250_NSENSplitSites; P253_NSENPFI; P262_NSENEx1; P266_NSENEx2; P270_NSENEx3; P274_NSENEx4; P278_NSENEx5; P282_NSENEx6
</t>
  </si>
  <si>
    <t>IF Existing Academy or New Opener on estimates THEN 
(FringeFactor  * (P006_NSEN_PriBE + P011_NSEN_KS3BE + P016_NSEN_KS4BE + P028_NSENFSMPri +
P039_NSENFSMSec + P045_NSENIDACIFPri + P051_NSENIDACIEPri + P057_NSENIDACIDPri +
P063_NSENIDACICPri + P069_NSENIDACIBPri + P075_NSENIDACIAPri + P081_NSENIDACIFSec +
P087_NSENIDACIESec + P093_NSENIDACIDSec + P099_NSENIDACICSec + P105_NSENIDACIBSec +
P111_NSENIDACIASec + P118_NSENLAC + P134_NSENPPA + P140_NSENSecPA +
P156_NSENPriEAL + P172_NSENSecEAL + P178_NSENMobPri + P184_NSENMobSec +
P236_NSENSparsity + P247_NSENLumpSumPri + P248_NSENLumpSumSec +
P262_NSENEx1)) +
P250_NSENSplitSites + P253_NSENPFI + P266_NSENEx2 + P270_NSENEx3 +
P274_NSENEx4 + P278_NSENEx5 + P282_NSENEx6, ELSE
If New Opener  then
    result = APT_NSENSubtotal
ELSE 0</t>
  </si>
  <si>
    <t>This calculation determines the total SBS NSEN for existing academies. Factors that attract London Fringe uplift (where applicable) are uplifted by Fringe amount (factor  = 1 for those not in receipt of fringe) where applicable.</t>
  </si>
  <si>
    <t>P285_InYearNSENSubtotal</t>
  </si>
  <si>
    <t>This calculation detemines the total SBS NSEN for in-year opening academies.</t>
  </si>
  <si>
    <t>P286_PriorYearAdjustmentSubtotal</t>
  </si>
  <si>
    <t>[1718_EFA_Adjustments.APT_Adjustment_relating_to_prior_year_SBS]</t>
  </si>
  <si>
    <t>Any relavant 'prior year adjustment' is taken from the EFA Adjustments dataset (LA's provide this data via the ‘Other Adjustments to 16-17 Budget shares’ field of the Local Factors sheet, but colleagues in the Data and Quality Assurance Unit will review these adjustments and provide those adjustments that are relevant to academies via the EFA adjustments dataset)</t>
  </si>
  <si>
    <t>P287_InYearPriorYearAdjsutmentSubtotal</t>
  </si>
  <si>
    <t>above value, pro-rated for in-year openers</t>
  </si>
  <si>
    <t>P298_Growth</t>
  </si>
  <si>
    <t>[1718_EFA_Adjustments.Growth_Funding_Total]</t>
  </si>
  <si>
    <t>If EFA approves any exceptional growth funding it will be uploaded to this field in the EFA adjustments dataset and included in the SBS total.</t>
  </si>
  <si>
    <t>P299_InYearGrowth</t>
  </si>
  <si>
    <t>P300_SBSOutcomeAdjustment</t>
  </si>
  <si>
    <t>[1718_EFA_Adjustments.SBS_outcome_adjustment]</t>
  </si>
  <si>
    <t>No calculation.  This product offers the flexibility to make adjustments to the total SBS allocation e.g. to ensure a total balances when merging allocations for an academy merger case.  This is more transparent than the previous approach where such adjustments were applied by amending data in the Exception 6 field of the New ISB dataset.</t>
  </si>
  <si>
    <t>P301_InYearSBSOutcomeAdjustment</t>
  </si>
  <si>
    <t>Lump_Sum_Total</t>
  </si>
  <si>
    <t xml:space="preserve">Single Lump sum product required for FAP only.  The calculation simply added the primary and secondary totals </t>
  </si>
  <si>
    <t>InYearLumpSum</t>
  </si>
  <si>
    <t>similar to above value, this product sums the pro-rated totals for in-year openers. Required for the FAP.</t>
  </si>
  <si>
    <t>P288_SBSFundingTotal</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</si>
  <si>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P133_PPATotalFunding; P139_SecPASubtotal; P145_EAL1PriSubtotal; P150_EAL2PriSubtotal; P155_EAL3PriSubtotal; P161_EAL1SecSubtotal; P166_EAL2SecSubtotal; P171_EAL3SecSubtotal; P177_MobPriSubtotal; P183_MobSecSubtotal; P197_SparsityLumpSumSubtotal; P198_SparsityTaperSubtotal; P241_PriLumpSumSubtotal; P245_SecLumpSumSubtotal; P249_SplitSitesSubtotal; P252_PFISubtotal; P255_FringeSubtotal; P261_Ex1Subtotal; P265_Ex2Subtotal; P269_Ex3Subtotal; P273_Ex4Subtotal; P277_Ex5Subtotal; P281_Ex6Subtotal</t>
  </si>
  <si>
    <t xml:space="preserve">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P133_PPATotalFunding + P139_SecPASubtotal + P145_EAL1PriSubtotal + P150_EAL2PriSubtotal + P155_EAL3PriSubtotal + P161_EAL1SecSubtotal + P166_EAL2SecSubtotal + P171_EAL3SecSubtotal + P177_MobPriSubtotal + P183_MobSecSubtotal + P197_SparsityLumpSumSubtotal + P198_SparsityTaperSubtotal + P241_PriLumpSumSubtotal +
P245_SecLumpSumSubtotal + P249_SplitSitesSubtotal + P252_PFISubtotal + P255_FringeSubtotal + P261_Ex1Subtotal + P265_Ex2Subtotal + P269_Ex3Subtotal + P273_Ex4Subtotal + P277_Ex5Subtotal + P281_Ex6Subtotal </t>
  </si>
  <si>
    <t>This calculation determines the total amount of SBS funding for existing academies.</t>
  </si>
  <si>
    <t>P289_InYearSBSFundingTotal</t>
  </si>
  <si>
    <t>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 P199_InYearSparsityLumpSumSubtotal; P200_InYearSparsityTaperSubtotal;   P242_InYearPrLumpSumSubtotal; P246_InYearSecLumpSumSubtotal; P251_InYearSplitSitesSubtotal; P254_InYearPFISubtotal; P257_InYearFringeSubtotal; P264_InYearEx1Subtotal; P267_InYearEx2Subtotal; P271_InYearEx3Subtotal; P275_InYearEx4Subtotal; P279_InYearEx5Subtotal; P283_InYearEx6Subtotal</t>
  </si>
  <si>
    <t>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 P199_InYearSparsityLumpSumSubtotal + P200_InYearSparsityTaperSubtotal + 
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t>
  </si>
  <si>
    <t>This calculation determines the total amount of SBS funding for in-year opening academies.  This is the total that is used to feed payments.</t>
  </si>
  <si>
    <t>P290_ISBTotalSBSFunding</t>
  </si>
  <si>
    <t>New_ISB_dataset.Total_Allocation; New_ISB_dataset.Rates</t>
  </si>
  <si>
    <t xml:space="preserve"> Total_Allocation - Rates</t>
  </si>
  <si>
    <t>Rates' figures is obtained from '1718 APT New ISB' dataset.  This calculation determines the total SBS allocation minus rates for all academies, taken from the APT - for comparison purposes.</t>
  </si>
  <si>
    <t>P291_TotalPupilLedFactors</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</si>
  <si>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P133_PrimaryPA;  P139_SecPASubtotal; P145_EAL1PriSubtotal; P150_EAL2PriSubtotal; P155_EAL3PriSubtotal; P161_EAL1SecSubtotal; P166_EAL2SecSubtotal; P171_EAL3SecSubtotal; P177_MobPriSubtotal; P183_MobSecSubtotal</t>
  </si>
  <si>
    <t xml:space="preserve">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P133_PrimaryPA + P139_SecPASubtotal + P145_EAL1PriSubtotal + P150_EAL2PriSubtotal + P155_EAL3PriSubtotal + P161_EAL1SecSubtotal + P166_EAL2SecSubtotal + P171_EAL3SecSubtotal + P177_MobPriSubtotal + P183_MobSecSubtotal </t>
  </si>
  <si>
    <t>This calculation determines the total amount of pupil led factors funding for existing academies.</t>
  </si>
  <si>
    <t>P292_InYearTotalPupilLedfactors</t>
  </si>
  <si>
    <t>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t>
  </si>
  <si>
    <t xml:space="preserve">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t>
  </si>
  <si>
    <t>This calculation determines the total amount of pupil led factors funding for in-year opening academies.  This total feeds payments.</t>
  </si>
  <si>
    <t>P293_TotalOtherFactors</t>
  </si>
  <si>
    <t>P241_PriLumpSumSubtotal; P245_SecLumpSumSubtotal; P249_SplitSitesSubtotal; P252_PFISubtotal; P255_FringeSubtotal; P261_Ex1Subtotal; P265_Ex2Subtotal; P269_Ex3Subtotal; P273_Ex4Subtotal; P277_Ex5Subtotal; P281_Ex6Subtotal; P197_SparsityLumpSumSubtotal; P198_SparsityTaperSubtotal</t>
  </si>
  <si>
    <t>P241_PriLumpSumSubtotal + P245_SecLumpSumSubtotal + P249_SplitSitesSubtotal + P252_PFISubtotal + P255_FringeSubtotal + P261_Ex1Subtotal + P265_Ex2Subtotal + P269_Ex3Subtotal + P273_Ex4Subtotal + P277_Ex5Subtotal + P281_Ex6Subtotal + P286_PriorYearAdjustmentSubtotal + P197_SparsityLumpSumSubtotal + P198_SparsityTaperSubtotal</t>
  </si>
  <si>
    <t>This calculation determines the total amount of other factors funding for existing academies.</t>
  </si>
  <si>
    <t>P293a_TotalOtherFactors_NoExc</t>
  </si>
  <si>
    <t>Product for mainstream FAP production. Totals other factors, excluding exceptions.</t>
  </si>
  <si>
    <t>P294_InYearTotalOtherFactors</t>
  </si>
  <si>
    <t>P242_InYearPrLumpSumSubtotal; P246_InYearSecLumpSumSubtotal; P251_InYearSplitSitesSubtotal; P254_InYearPFISubtotal; P257_InYearFringeSubtotal; P264_InYearEx1Subtotal; P267_InYearEx2Subtotal; P271_InYearEx3Subtotal; P275_InYearEx4Subtotal; P279_InYearEx5Subtotal; P283_InYearEx6Subtotal; P199_InYearSparsityLumpSumSubtotal; P200_InYearSparsityTaperSubtotal</t>
  </si>
  <si>
    <t>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 + P287_InYearPriorYearAdjustmentSubtotal+ P199_InYearSparsityLumpSumSubtotal + P200_InYearSparsityTaperSubtotal</t>
  </si>
  <si>
    <t>This calculation determines the total amount of other factors funding for in-year opening academies. This total feeds payments.</t>
  </si>
  <si>
    <t>P294a_InYearTotalOtherFactors_NoExc</t>
  </si>
  <si>
    <t>P242_InYearPrLumpSumSubtotal; P246_InYearSecLumpSumSubtotal; P251_InYearSplitSitesSubtotal; P254_InYearPFISubtotal; P257_InYearFringeSubtotal; P199_InYearSparsityLumpSumSubtotal; P200_InYearSparsityTaperSubtotal</t>
  </si>
  <si>
    <t xml:space="preserve">P242_InYearPrLumpSumSubtotal + P246_InYearSecLumpSumSubtotal + P251_InYearSplitSitesSubtotal + P254_InYearPFISubtotal + P257_InYearFringeSubtotal + P199_InYearSparsityLumpSumSubtotal + P200_InYearSparsityTaperSubtotal </t>
  </si>
  <si>
    <t>Product for IY openers mainstream FAP production. Totals other factors, excluding exceptions.</t>
  </si>
  <si>
    <t>P295_Dedelegation</t>
  </si>
  <si>
    <t>[APT_New_ISB.De-delegation]</t>
  </si>
  <si>
    <t>APT_New_ISB_dataset.De-delegation * -1</t>
  </si>
  <si>
    <t>this calculation determines the funding identified as de-delegated for existing academies.</t>
  </si>
  <si>
    <t>P296_InYearDedelegation</t>
  </si>
  <si>
    <t>this calculation determines the funding identified as de-delegated for in-year academies.</t>
  </si>
  <si>
    <t>Dedelegation Retained by LA</t>
  </si>
  <si>
    <t>P297_DedelegationRetained</t>
  </si>
  <si>
    <t>IF P001_1718DaysOpen = 365, THEN 0, ELSE (P001_1718DaysOpen - 153) / Year_Days * - P295_Dedelegation</t>
  </si>
  <si>
    <t xml:space="preserve">For academies open on or after 2 September 2017, the LA retains the proportion of their dedelegation funding to the end of March, with funding only provided to the academy for the 153 days from 1 April 2018 to 31 August 2018.  This calculation produces the amount of dedelegation funding from the opening date to the end of March, that is retained by the authority and therefore removed from the part-year total SBS.  </t>
  </si>
  <si>
    <t>FAP Products</t>
  </si>
  <si>
    <t>ExSubtotal</t>
  </si>
  <si>
    <t>Total exceptions product used in FAP to determine whether section listing exceptions is shown.</t>
  </si>
  <si>
    <t>SparsityTotal</t>
  </si>
  <si>
    <t>Total sparsity funding product, used to determine whether to include sparsity table in FAP coding.</t>
  </si>
  <si>
    <t>Count of Product ID</t>
  </si>
  <si>
    <t>Row Labels</t>
  </si>
  <si>
    <t>(blank)</t>
  </si>
  <si>
    <t>Grand Total</t>
  </si>
  <si>
    <t>Column Labels</t>
  </si>
  <si>
    <t>School Budget Share</t>
  </si>
  <si>
    <t>Name</t>
  </si>
  <si>
    <t>Id</t>
  </si>
  <si>
    <t>Parent</t>
  </si>
  <si>
    <t>93f568b56656481ab43ac14119890c7f</t>
  </si>
  <si>
    <t>bb411f3c107a40a8a71ff57604296e0e</t>
  </si>
  <si>
    <t>cc9eac91ede6480eb46f748efb3a9d11</t>
  </si>
  <si>
    <t>dfd825e4a5784fa188379b080fa0c4ae</t>
  </si>
  <si>
    <t>524c10bb461b46f3b351b86403168379</t>
  </si>
  <si>
    <t>86e2181721da4a669a09cccbafc502f1</t>
  </si>
  <si>
    <t>3e4d786c0a984c6c9eb92a959ef1e5f5</t>
  </si>
  <si>
    <t>41e8854d7b7e4ecdb46bbc643a62d19e</t>
  </si>
  <si>
    <t>41080d8da69046e3a26ff4fb6894eaa8</t>
  </si>
  <si>
    <t>c6b57f57424c494fb0ed394ffb1af34c</t>
  </si>
  <si>
    <t>4eda722dff5b4f6f9e3d13eae928be8a</t>
  </si>
  <si>
    <t>6857aab8747c4d699b69bba5858b98a3</t>
  </si>
  <si>
    <t>b2e46eab20374cd1864365a94a7ab9b3</t>
  </si>
  <si>
    <t>General Annual Grant 18-19</t>
  </si>
  <si>
    <t>AcademicYear</t>
  </si>
  <si>
    <t>852f8537474e405c93924a197f72617b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</si>
</sst>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color theme="1"/>
      <name val="Arial"/>
      <family val="2"/>
    </font>
    <font>
      <sz val="10"/>
      <name val="Arial"/>
      <family val="2"/>
    </font>
    <font>
      <b/>
      <sz val="10"/>
      <color theme="1"/>
      <name val="Arial"/>
      <family val="2"/>
    </font>
    <font>
      <sz val="10"/>
      <color rgb="FF0069BF"/>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theme="6" tint="0.39997558519241921"/>
        <bgColor indexed="64"/>
      </patternFill>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1" fillId="0" borderId="0" xfId="0" applyFont="1" applyAlignment="1">
      <alignment horizontal="center"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Border="1" applyAlignment="1">
      <alignment horizontal="center" vertical="top" wrapText="1"/>
    </xf>
    <xf numFmtId="0" fontId="0" fillId="0" borderId="0" xfId="0" applyFill="1"/>
    <xf numFmtId="0" fontId="1" fillId="0" borderId="1" xfId="0" quotePrefix="1" applyFont="1" applyBorder="1" applyAlignment="1">
      <alignment horizontal="center" vertic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Fill="1" applyBorder="1" applyAlignment="1">
      <alignment horizontal="center" vertical="top" wrapText="1"/>
    </xf>
    <xf numFmtId="0" fontId="1" fillId="0" borderId="1" xfId="0" quotePrefix="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1" fillId="0" borderId="1" xfId="0" applyFont="1" applyFill="1" applyBorder="1" applyAlignment="1">
      <alignment vertical="center" wrapText="1"/>
    </xf>
    <xf numFmtId="0" fontId="1" fillId="0" borderId="1" xfId="0" applyFont="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STEPHENSON1/OneDrive%20-%20Department%20for%20Education/Allocations%20Alpha%20Shared/1718%20As%20Is%20specifications/AY201718_System_Specification_SBS_v1.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ocation Lines"/>
      <sheetName val="Datasets"/>
      <sheetName val="Variables-Products"/>
      <sheetName val="Criteria-Providers"/>
      <sheetName val="Products-Calcs"/>
      <sheetName val="Data Output Report"/>
      <sheetName val="Lookups"/>
      <sheetName val="Version Control"/>
    </sheetNames>
    <sheetDataSet>
      <sheetData sheetId="0"/>
      <sheetData sheetId="1"/>
      <sheetData sheetId="2"/>
      <sheetData sheetId="3">
        <row r="12">
          <cell r="B12" t="str">
            <v>P25_YearDays_1718</v>
          </cell>
        </row>
        <row r="18">
          <cell r="B18" t="str">
            <v>P04_Y5-6</v>
          </cell>
        </row>
        <row r="19">
          <cell r="B19" t="str">
            <v>P03_Y1-4</v>
          </cell>
        </row>
        <row r="20">
          <cell r="B20" t="str">
            <v>P08a_Y7</v>
          </cell>
        </row>
        <row r="21">
          <cell r="B21" t="str">
            <v>P08b_Y8-11</v>
          </cell>
        </row>
        <row r="22">
          <cell r="B22" t="str">
            <v>P22_Total_NOR_PRI_SBS</v>
          </cell>
        </row>
        <row r="23">
          <cell r="B23" t="str">
            <v>P23_Total_NOR_KS3_SBS</v>
          </cell>
        </row>
        <row r="24">
          <cell r="B24" t="str">
            <v>P24_Total_NOR_KS4_SBS</v>
          </cell>
        </row>
        <row r="25">
          <cell r="B25" t="str">
            <v>P25_Total_NOR_SEC_SBS</v>
          </cell>
        </row>
        <row r="26">
          <cell r="B26" t="str">
            <v>P26_Total_NOR_SBS</v>
          </cell>
        </row>
        <row r="27">
          <cell r="B27" t="str">
            <v>P42a_Year_Groups_Primary</v>
          </cell>
        </row>
        <row r="28">
          <cell r="B28" t="str">
            <v>P42b_Year_Groups_Secondary</v>
          </cell>
        </row>
        <row r="29">
          <cell r="B29" t="str">
            <v>P27_DaysOpen</v>
          </cell>
        </row>
      </sheetData>
      <sheetData sheetId="4"/>
      <sheetData sheetId="5">
        <row r="34">
          <cell r="C34" t="str">
            <v>P019_PriFSMFactor</v>
          </cell>
        </row>
        <row r="35">
          <cell r="C35" t="str">
            <v>P021_PriFSMRate</v>
          </cell>
        </row>
        <row r="38">
          <cell r="C38" t="str">
            <v>P024_PriFSM6Factor</v>
          </cell>
        </row>
        <row r="39">
          <cell r="C39" t="str">
            <v>P026_PriFSM6Rate</v>
          </cell>
        </row>
        <row r="44">
          <cell r="C44" t="str">
            <v>P030_SecFSMFactor</v>
          </cell>
        </row>
        <row r="45">
          <cell r="C45" t="str">
            <v>P032_SecFSMRate</v>
          </cell>
        </row>
        <row r="48">
          <cell r="C48" t="str">
            <v>P035_SecFSM6Factor</v>
          </cell>
        </row>
        <row r="49">
          <cell r="C49" t="str">
            <v>P037_SecFSM6Rate</v>
          </cell>
        </row>
        <row r="55">
          <cell r="C55" t="str">
            <v>P041_IDACIFPriFactor</v>
          </cell>
        </row>
        <row r="56">
          <cell r="C56" t="str">
            <v>P043_IDACIFPriRate</v>
          </cell>
        </row>
        <row r="61">
          <cell r="C61" t="str">
            <v>P047_IDACIEPriFactor</v>
          </cell>
        </row>
        <row r="62">
          <cell r="C62" t="str">
            <v>P049_IDACIEPriRate</v>
          </cell>
        </row>
        <row r="67">
          <cell r="C67" t="str">
            <v>P053_IDACIDPriFactor</v>
          </cell>
        </row>
        <row r="68">
          <cell r="C68" t="str">
            <v>P055_IDACIDPriRate</v>
          </cell>
        </row>
        <row r="73">
          <cell r="C73" t="str">
            <v>P059_IDACICPriFactor</v>
          </cell>
        </row>
        <row r="74">
          <cell r="C74" t="str">
            <v>P061_IDACICPriRate</v>
          </cell>
        </row>
        <row r="79">
          <cell r="C79" t="str">
            <v>P065_IDACIBPriFactor</v>
          </cell>
        </row>
        <row r="80">
          <cell r="C80" t="str">
            <v>P067_IDACIBPriRate</v>
          </cell>
        </row>
        <row r="85">
          <cell r="C85" t="str">
            <v>P071_IDACIAPriFactor</v>
          </cell>
        </row>
        <row r="86">
          <cell r="C86" t="str">
            <v>P073_IDACIAPriRate</v>
          </cell>
        </row>
        <row r="91">
          <cell r="C91" t="str">
            <v>P077_IDACIFSecFactor</v>
          </cell>
        </row>
        <row r="92">
          <cell r="C92" t="str">
            <v>P079_IDACIFSecRate</v>
          </cell>
        </row>
        <row r="97">
          <cell r="C97" t="str">
            <v>P083_IDACIESecFactor</v>
          </cell>
        </row>
        <row r="98">
          <cell r="C98" t="str">
            <v>P085_IDACIESecRate</v>
          </cell>
        </row>
        <row r="103">
          <cell r="C103" t="str">
            <v>P089_IDACIDSecFactor</v>
          </cell>
        </row>
        <row r="104">
          <cell r="C104" t="str">
            <v>P091_IDACIDSecRate</v>
          </cell>
        </row>
        <row r="109">
          <cell r="C109" t="str">
            <v>P095_IDACICSecFactor</v>
          </cell>
        </row>
        <row r="110">
          <cell r="C110" t="str">
            <v>P097_IDACICSecRate</v>
          </cell>
        </row>
        <row r="115">
          <cell r="C115" t="str">
            <v>P101_IDACIBSecFactor</v>
          </cell>
        </row>
        <row r="116">
          <cell r="C116" t="str">
            <v>P103_IDACIBSecRate</v>
          </cell>
        </row>
        <row r="121">
          <cell r="C121" t="str">
            <v>P107_IDACIASecFactor</v>
          </cell>
        </row>
        <row r="122">
          <cell r="C122" t="str">
            <v>P109_IDACIASecRate</v>
          </cell>
        </row>
        <row r="128">
          <cell r="C128" t="str">
            <v>P114_LACFactor</v>
          </cell>
        </row>
        <row r="129">
          <cell r="C129" t="str">
            <v>P116_LACRate</v>
          </cell>
        </row>
        <row r="156">
          <cell r="C156" t="str">
            <v>P138_SecPARate</v>
          </cell>
        </row>
        <row r="157">
          <cell r="C157" t="str">
            <v>P138a_SecPA_AdjustedSecFactor</v>
          </cell>
        </row>
        <row r="163">
          <cell r="C163" t="str">
            <v>P142_EAL1PriFactor</v>
          </cell>
        </row>
        <row r="164">
          <cell r="C164" t="str">
            <v>P144_EAL1PriRate</v>
          </cell>
        </row>
        <row r="167">
          <cell r="C167" t="str">
            <v>P147_EAL2PriFactor</v>
          </cell>
        </row>
        <row r="168">
          <cell r="C168" t="str">
            <v>P149_EAL2PriRate</v>
          </cell>
        </row>
        <row r="171">
          <cell r="C171" t="str">
            <v>P152_EAL3PriFactor</v>
          </cell>
        </row>
        <row r="172">
          <cell r="C172" t="str">
            <v>P154_EAL3PriRate</v>
          </cell>
        </row>
        <row r="177">
          <cell r="C177" t="str">
            <v>P158_EAL1SecFactor</v>
          </cell>
        </row>
        <row r="178">
          <cell r="C178" t="str">
            <v>P160_EAL1SecRate</v>
          </cell>
        </row>
        <row r="181">
          <cell r="C181" t="str">
            <v>P163_EAL2SecFactor</v>
          </cell>
        </row>
        <row r="182">
          <cell r="C182" t="str">
            <v>P165_EAL2SecRate</v>
          </cell>
        </row>
        <row r="185">
          <cell r="C185" t="str">
            <v>P168_EAL3SecFactor</v>
          </cell>
        </row>
        <row r="186">
          <cell r="C186" t="str">
            <v>P170_EAL3SecRate</v>
          </cell>
        </row>
      </sheetData>
      <sheetData sheetId="6"/>
      <sheetData sheetId="7"/>
      <sheetData sheetId="8">
        <row r="7">
          <cell r="I7" t="str">
            <v>NFF</v>
          </cell>
        </row>
        <row r="8">
          <cell r="I8" t="str">
            <v>Roll-forward</v>
          </cell>
        </row>
        <row r="9">
          <cell r="I9" t="str">
            <v>Both</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ENSON, Gavin" refreshedDate="43081.51631875" createdVersion="6" refreshedVersion="6" minRefreshableVersion="3" recordCount="300">
  <cacheSource type="worksheet">
    <worksheetSource ref="A1:I1048576" sheet="Calculations"/>
  </cacheSource>
  <cacheFields count="9">
    <cacheField name="Product Folder" numFmtId="0">
      <sharedItems containsBlank="1" count="14">
        <s v="Totals"/>
        <s v="Basic Entitlement"/>
        <s v="FSM"/>
        <s v="IDACI"/>
        <s v="LAC"/>
        <s v="Prior Attainment"/>
        <s v="EAL"/>
        <s v="Mobility"/>
        <s v="Sparsity"/>
        <s v="Other Factors"/>
        <s v="Split Sites"/>
        <s v="Dedelegation Retained by LA"/>
        <s v="FAP Products"/>
        <m/>
      </sharedItems>
    </cacheField>
    <cacheField name="Product ID" numFmtId="0">
      <sharedItems containsBlank="1"/>
    </cacheField>
    <cacheField name="Provider Criteria ID" numFmtId="0">
      <sharedItems containsBlank="1"/>
    </cacheField>
    <cacheField name="Product Type" numFmtId="0">
      <sharedItems containsBlank="1" count="4">
        <s v="Other"/>
        <s v="Money"/>
        <s v="Pupil Numbers"/>
        <m/>
      </sharedItems>
    </cacheField>
    <cacheField name="Variables used" numFmtId="0">
      <sharedItems containsBlank="1" longText="1"/>
    </cacheField>
    <cacheField name="Calculation (as excel)" numFmtId="0">
      <sharedItems containsBlank="1" longText="1"/>
    </cacheField>
    <cacheField name="Description" numFmtId="0">
      <sharedItems containsBlank="1" longText="1"/>
    </cacheField>
    <cacheField name="In FAP?" numFmtId="0">
      <sharedItems containsBlank="1" count="2">
        <m/>
        <s v="Yes"/>
      </sharedItems>
    </cacheField>
    <cacheField name="Which FAP"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
  <r>
    <x v="0"/>
    <s v="P001_1718DaysOpen"/>
    <s v="SBS_AllAcademies"/>
    <x v="0"/>
    <s v="P27_DaysOpen"/>
    <s v="P27_DaysOpen"/>
    <s v="This calculation relates to the number of days an academy has been open in the Academic Year, taken from the Global Variables scenario."/>
    <x v="0"/>
    <m/>
  </r>
  <r>
    <x v="1"/>
    <s v="P004_PriRate"/>
    <s v="SBS_AllAcademies"/>
    <x v="1"/>
    <s v="No variables used"/>
    <s v="No calculation used"/>
    <s v="This figure is obtained from the '1718 APT Proforma dataset - Basic Entitlement Primary Amount Per Pupil'."/>
    <x v="1"/>
    <s v="Existing Mainstream"/>
  </r>
  <r>
    <x v="1"/>
    <s v="P005_PriBESubtotal"/>
    <s v="SBS_AllAcademies"/>
    <x v="1"/>
    <s v="P22_Total_NOR_PRI_SBS, P004_PriRate, FundingBasis(201718)"/>
    <s v="IF Existing Academy OR New Opener1718 funded on estimates, THEN P22_Total_NOR_PRI_SBS * P004_PriRate, ELSE (IF New Opener 1718 funded on census) THEN APT_New_ISB_dataset.Basic_Entitlement_Primary"/>
    <s v="Full year amount of basic entitlemet for academies that have primary pupils calculated by multiplying primary pupils by the LA-determinded rate, except for in-year openers funded on census, where the LA -calculated allocation is picked up from the New ISB sheet of the APT Aggregation."/>
    <x v="1"/>
    <s v="Existing Mainstream"/>
  </r>
  <r>
    <x v="1"/>
    <s v="P006_NSEN_PriBE"/>
    <s v="SBS_AllAcademies"/>
    <x v="1"/>
    <s v="P005_PriBESubtotal; P006a_NSEN_PriBE_Percent"/>
    <s v="P005_PriBESubtotal * P006a_NSEN_PriBE_Percent"/>
    <s v="The Primary Basic entitlement NSEN percentage is multiplied by the Primary Basic Entitlement funding to produce the full year NSEN amount attributable to primary basic entitlement."/>
    <x v="0"/>
    <m/>
  </r>
  <r>
    <x v="1"/>
    <s v="P006a_NSEN_PriBE_Percent"/>
    <s v="SBS_AllAcademies"/>
    <x v="0"/>
    <s v="No variables used"/>
    <s v="No calculation used"/>
    <s v="This figure is obtained from the '1718 APT Proforma dataset - Basic Entitlement Primary Notional SEN'"/>
    <x v="1"/>
    <s v="Existing Mainstream"/>
  </r>
  <r>
    <x v="1"/>
    <s v="P007_InYearPriBE_Subtotal"/>
    <s v="SBS_AllAcademies"/>
    <x v="1"/>
    <s v="P005_PriBESubtotal; P001_1718DaysOpen; P25_YearDays_1718"/>
    <s v="P005_PriBESubtotal * P001_1718DaysOpen / P25_YearDays_1718"/>
    <s v="This calculation determines the actual Primary Basic Entitlement allocation due for the Academic Year 17/18, pro-rating the allocation if an academy opened in-year."/>
    <x v="0"/>
    <m/>
  </r>
  <r>
    <x v="1"/>
    <s v="P009_KS3Rate"/>
    <s v="SBS_AllAcademies"/>
    <x v="1"/>
    <s v="No variables used"/>
    <s v="No calculation used"/>
    <s v="This figure is obtained from the '1718 APT Proforma dataset - Basic Entitlement KS3 Amount Per Pupil'."/>
    <x v="1"/>
    <s v="Existing Mainstream"/>
  </r>
  <r>
    <x v="1"/>
    <s v="P010_KS3_BESubtotal"/>
    <s v="SBS_AllAcademies"/>
    <x v="1"/>
    <s v="P23_Total_NOR_KS3_SBS, P009_KS3Rate, FundingBasis(201718)"/>
    <s v="IF Existing Academy OR New Opener1718 funded on estimates, THEN P23_Total_NOR_KS3_SBS * P009_KS3Rate, ELSE (IF New Opener 1718 funded on census) THEN APT_New_ISB_dataset.Basic_Entitlement_KS3"/>
    <s v="Full year amount of basic entitlemet for academies that have KS3 pupils calculated by multiplying KS3 pupils by the LA-determinded rate, except for in-year openers funded on census, where the LA -calculated allocation is picked up from the New ISB sheet of the APT Aggregation."/>
    <x v="1"/>
    <s v="Existing Mainstream"/>
  </r>
  <r>
    <x v="1"/>
    <s v="P011_NSEN_KS3BE_percent"/>
    <s v="SBS_AllAcademies"/>
    <x v="1"/>
    <s v="P010_KS3_BESubtotal; P011a_NSEN_KS3BE_Percent"/>
    <s v="P010_KS3_BESubtotal * P011a_NSEN_KS3BE_Percent"/>
    <s v="The KS3 Basic entitlement NSEN percentage is multiplied by the KS3 Basic Entitlement funding to produce the full year NSEN amount attributable to KS3 basic entitlement."/>
    <x v="0"/>
    <m/>
  </r>
  <r>
    <x v="1"/>
    <s v="P011a_NSEN_KS3BE_Percent"/>
    <s v="SBS_AllAcademies"/>
    <x v="0"/>
    <s v="No variables used"/>
    <s v="No calculation used"/>
    <s v="This figure is obtained from the '1718 APT Proforma dataset - Basic Entitlement KS3 Notional SEN'"/>
    <x v="1"/>
    <s v="Existing Mainstream"/>
  </r>
  <r>
    <x v="1"/>
    <s v="P012_InYearKS3_BESubtotal"/>
    <s v="SBS_AllAcademies"/>
    <x v="1"/>
    <s v="P010_KS3_BESubtotal; P001_1718DaysOpen; P25_YearDays_1718"/>
    <s v="P010_KS3_BESubtotal * P001_1718DaysOpen / P25_YearDays_1718"/>
    <s v="This calculation determines the actual KS3 Basic Entitlement allocation due for the Academic Year 17/18, pro-rating the allocation if an academy opened in-year."/>
    <x v="0"/>
    <m/>
  </r>
  <r>
    <x v="1"/>
    <s v="P014_KS4Rate"/>
    <s v="SBS_AllAcademies"/>
    <x v="1"/>
    <s v="No variables used"/>
    <s v="No calculation used"/>
    <s v="This figure is obtained from the '1718 APT Proforma dataset - Basic Entitlement KS4 Amount Per Pupil'."/>
    <x v="1"/>
    <s v="Existing Mainstream"/>
  </r>
  <r>
    <x v="1"/>
    <s v="P015_KS4_BESubtotal"/>
    <s v="SBS_AllAcademies"/>
    <x v="1"/>
    <s v="P24_Total_NOR_KS4_SBS, P014_KS4Rate, FundingBasis(201718)"/>
    <s v="IF Existing Academy OR New Opener1718 funded on estimates, THEN P24_Total_NOR_KS4_SBS * P014_KS4Rate, ELSE (IF New Opener 1718 funded on census) THEN use APT_New_ISB_dataset.Basic_Entitlement_KS4"/>
    <s v="Full year amount of basic entitlemet for academies that have KS4 pupils calculated by multiplying KS4 pupils by the LA-determinded rate, except for in-year openers funded on census, where the LA -calculated allocation is picked up from the New ISB sheet of the APT Aggregation."/>
    <x v="1"/>
    <s v="Existing Mainstream"/>
  </r>
  <r>
    <x v="1"/>
    <s v="P016_NSEN_KS4BE"/>
    <s v="SBS_AllAcademies"/>
    <x v="1"/>
    <s v="P015_KS4_BESubtotal; P016a_NSEN_KS4BE_Percent"/>
    <s v="P015_KS4_BESubtotal * P016a_NSEN_KS4BE_Percent"/>
    <s v="The KS4 Basic entitlement NSEN percentage is multiplied by the KS4 Basic Entitlement funding to produce the full year NSEN amount attributable to KS4 basic entitlement."/>
    <x v="0"/>
    <m/>
  </r>
  <r>
    <x v="1"/>
    <s v="P016a_NSEN_KS4BE_Percent"/>
    <s v="SBS_AllAcademies"/>
    <x v="0"/>
    <s v="No variables used"/>
    <s v="No calculation used"/>
    <s v="This figure is obtained from the '1718 APT Proforma dataset - Basic Entitlement KS4 Notional SEN'"/>
    <x v="1"/>
    <s v="Existing Mainstream"/>
  </r>
  <r>
    <x v="1"/>
    <s v="P018_InYearKS4_BESubtotal"/>
    <s v="SBS_AllAcademies"/>
    <x v="1"/>
    <s v="P015_KS4_BESubtotal; P001_1718DaysOpen; P25_YearDays_1718"/>
    <s v="P015_KS4_BESubtotal * P001_1718DaysOpen / P25_YearDays_1718"/>
    <s v="This calculation determines the actual KS4 Basic Entitlement allocation due for the Academic Year 17/18, pro-rating the allocation if an academy opened in-year."/>
    <x v="0"/>
    <m/>
  </r>
  <r>
    <x v="2"/>
    <s v="P019_PriFSMFactor"/>
    <s v="SBS_AllAcademies"/>
    <x v="0"/>
    <s v="[Census_Pupil_Characteristics.Primary_FSM_Proportion]; [APT_Inputs_and_Adjustments.Primary_FSM_Proportion]; [Local_Authority_Averages.Primary_FSM_Proportion]"/>
    <s v="IF [Census_Pupil_Characteristics.Primary_FSM_Proportion]  and [APT_Inputs_and_Adjustments.Primary_FSM_Proportion] are both &quot;BLANK&quot;, THEN use [Local_Authority_Averages.Primary_FSM_Proportion], _x000a_ELSE IF [APT_Inputs_and_Adjustments.Primary_FSM_Proportion] is &quot;BLANK&quot; THEN use [Census_Pupil_Characteristics.Primary_FSM_Proportion]_x000a_OTHERWISE use [APT_Inputs_and_Adjustments.Primary_FSM_Proportion]"/>
    <s v="If the LA has applied an adjustment within the APT, this figure ('Prim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2"/>
    <s v="P021_PriFSMRate"/>
    <s v="SBS_AllAcademies"/>
    <x v="1"/>
    <s v="[1718_APT_Proforma.FSM Primary FSM/FSM6]; [1718_APT_Proforma.FSM Primary Amount Per Pupil]"/>
    <s v="IF [FSM Primary FSM/FSM6] = &quot;FSM&quot;, THEN [FSM Primary Amount Per Pupil], ELSE 0"/>
    <s v="The FSM indicator ('FSM Primary FSM/FSM6') and the FSM rate ('FSM Primary Amount Per Pupil') are both obtained from the '1718 APT Proforma dataset'."/>
    <x v="1"/>
    <s v="Existing Mainstream"/>
  </r>
  <r>
    <x v="2"/>
    <s v="P022_PriFSMSubtotal"/>
    <s v="SBS_AllAcademies"/>
    <x v="1"/>
    <s v="P22_Total_NOR_PRI_SBS; P021_PriFSMRate; P019_PriFSMFactor; Funding_Basis(201718)"/>
    <s v="IF Existing Academy OR New Opener 1718 funded on estimates, THEN P22_Total_NOR_PRI_SBS * P021_PriFSMRate * P019_PriFSMFactor, ELSE (i.e. IF New Opener 1718 funded on census) THEN (IF P021_PriFSMRate &gt;0) APT_New_ISB_dataset.Free_School_Meals_Primary"/>
    <s v="This calculation determines the full year amount of FSM for academies with primary pupils, where the LA has applied this factor."/>
    <x v="1"/>
    <s v="Existing Mainstream"/>
  </r>
  <r>
    <x v="2"/>
    <s v="P023_InYearPriFSMSubtotal"/>
    <s v="SBS_AllAcademies"/>
    <x v="1"/>
    <s v="P022_PriFSMSubtotal; P001_1718DaysOpen; P25_YearDays_1718"/>
    <s v="P022_PriFSMSubtotal * P001_1718DaysOpen / P25_YearDays_1718"/>
    <s v="This calculation determines the actual Primary FSM allocation due for the Academic Year 17/18, pro-rating the allocation if an academy opened in-year."/>
    <x v="0"/>
    <m/>
  </r>
  <r>
    <x v="2"/>
    <s v="P024_PriFSM6Factor"/>
    <s v="SBS_AllAcademies"/>
    <x v="0"/>
    <s v="[Census_Pupil_Characteristics.Primary_FSM6_Proportion]; [APT_Inputs_and_Adjustments.Primary_FSM6_Proportion]; [Local_Authority_Averages.Primary_FSM6_Proportion]"/>
    <s v="IF [Census_Pupil_Characteristics.Primary_FSM6_Proportion]  and [APT_Inputs_and_Adjustments.Primary_FSM6_Proportion] are both &quot;BLANK&quot;, THEN use [Local_Authority_Averages.Primary_FSM6_Proportion], _x000a_ELSE IF [APT_Inputs_and_Adjustments.Primary_FSM6_Proportion] is &quot;BLANK&quot; THEN use [Census_Pupil_Characteristics.Primary_FSM6_Proportion]_x000a_OTHERWISE use [APT_Inputs_and_Adjustments.Primary_FSM6_Proportion]"/>
    <s v="If the LA has applied an adjustment within the APT, this figure ('Prim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2"/>
    <s v="P026_PriFSM6Rate"/>
    <s v="SBS_AllAcademies"/>
    <x v="1"/>
    <s v="[1718_APT_Proforma.FSM Primary FSM/FSM6]; [1718_APT_Proforma.FSM Primary Amount Per Pupil]"/>
    <s v="IF [FSM Primary FSM/FSM6] = &quot;FSM6&quot;, THEN [FSM Primary Amount Per Pupil], ELSE 0"/>
    <s v="The FSM indicator ('FSM Primary FSM/FSM6') and the FSM rate ('FSM Primary Amount Per Pupil') are both obtained from the '1718 APT Proforma dataset'."/>
    <x v="1"/>
    <s v="Existing Mainstream"/>
  </r>
  <r>
    <x v="2"/>
    <s v="P027_PriFSM6Subtotal"/>
    <s v="SBS_AllAcademies"/>
    <x v="1"/>
    <s v="P22_Total_NOR_PRI_SBS; P026_PriFSM6Rate; P024_PriFSM6Factor; Funding_Basis(201718)"/>
    <s v="IF Existing Academy OR New Opener 1718 funded on estimates, THEN P22_Total_NOR_PRI_SBS * P026_PriFSM6Rate * P024_PriFSM6Factor, ELSE (i.e. IF New Opener 1718 funded on census) THEN (IF P026_PriFSM6Rate &gt;0) APT_New_ISB_dataset.Free_School_Meals_Primary"/>
    <s v="This calculation determines the full year amount of FSM6 for academies with primary pupils, where the LA has applied this factor."/>
    <x v="1"/>
    <s v="Existing Mainstream"/>
  </r>
  <r>
    <x v="2"/>
    <s v="P028_NSENFSMPri"/>
    <s v="SBS_AllAcademies"/>
    <x v="1"/>
    <s v="P022_PriFSMSubtotal;  P027_PriFSM6Subtotal;  P028a_NSENFSMPri_Percent"/>
    <s v="(P022_PriFSMSubtotal  + P027_PriFSM6Subtotal) * P028a_NSENFSMPri_Percent"/>
    <s v="The 'PriFSM_NSEN' percentage is obtained from 'APT Proforma dataset - FSM Pri Notional SEN'.  This is multiplied by the Pri FSM total to calculate the NSEN funding attributed to Pri FSM."/>
    <x v="0"/>
    <m/>
  </r>
  <r>
    <x v="2"/>
    <s v="P028a_NSENFSMPri_Percent"/>
    <s v="SBS_AllAcademies"/>
    <x v="0"/>
    <s v="No variables used"/>
    <s v="No calculation used"/>
    <s v="This figure is obtained from the '1718 APT Proforma dataset - FSM Pri Notional SEN'"/>
    <x v="1"/>
    <s v="Existing Mainstream"/>
  </r>
  <r>
    <x v="2"/>
    <s v="P029_InYearPriFSM6Subtotal"/>
    <s v="SBS_AllAcademies"/>
    <x v="1"/>
    <s v="P027_PriFSM6Subtotal; P001_1718DaysOpen; P25_YearDays_1718"/>
    <s v="P027_PriFSM6Subtotal * P001_1718DaysOpen / P25_YearDays_1718"/>
    <s v="This calculation determines the actual Primary FSM6 allocation due for the Academic Year 17/18, pro-rating the allocation if an academy opened in-year."/>
    <x v="0"/>
    <m/>
  </r>
  <r>
    <x v="2"/>
    <s v="P030_SecFSMFactor"/>
    <s v="SBS_AllAcademies"/>
    <x v="0"/>
    <s v="[Census_Pupil_Characteristics.Secondary_FSM_Proportion]; [APT_Inputs_and_Adjustments.Secondary_FSM_Proportion]; [Local_Authority_Averages.Secondary_FSM_Proportion]"/>
    <s v="IF [Census_Pupil_Characteristics.Secondary_FSM_Proportion]  and [APT_Inputs_and_Adjustments.Secondary_FSM_Proportion] are both &quot;BLANK&quot;, THEN use [Local_Authority_Averages.Secondary_FSM_Proportion], _x000a_ELSE IF [APT_Inputs_and_Adjustments.Secondary_FSM_Proportion] is &quot;BLANK&quot; THEN use [Census_Pupil_Characteristics.Secondary_FSM_Proportion]_x000a_OTHERWISE use [APT_Inputs_and_Adjustments.Secondary_FSM_Proportion]"/>
    <s v="If the LA has applied an adjustment within the APT, this figure ('Second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2"/>
    <s v="P032_SecFSMRate"/>
    <s v="SBS_AllAcademies"/>
    <x v="1"/>
    <s v="[1718_APT_Proforma.FSM Secondary FSM/FSM6]; [1718_APT_Proforma.FSM Secondary Amount Per Pupil]"/>
    <s v="IF [FSM Secondary FSM/FSM6] = &quot;FSM&quot;, THEN [FSM Secondary Amount Per Pupil], ELSE 0"/>
    <s v="The FSM indicator ('FSM Secondary FSM/FSM6') and the FSM rate ('FSM Secondary Amount Per Pupil') are both obtained from the '1718 APT Proforma dataset'."/>
    <x v="1"/>
    <s v="Existing Mainstream"/>
  </r>
  <r>
    <x v="2"/>
    <s v="P033_SecFSMSubtotal"/>
    <s v="SBS_AllAcademies"/>
    <x v="1"/>
    <s v="P25_Total_NOR_SEC_SBS; P032_SecFSMRate; P030_SecFSMFactor; Funding_Basis(201718)"/>
    <s v="IF Existing Academy OR New Opener 1718 funded on estimates, THEN P25_Total_NOR_SEC_SBS * P032_SecFSMRate * P030_SecFSMFactor, ELSE (i.e. IF New Opener 1718 funded on census) THEN (IF P032_SecFSMRate &gt;0) APT_New_ISB_dataset.Free_School_Meals_Primary"/>
    <s v="This calculation determines the full year amount of FSM for academies with Secondary pupils, where the LA has applied this factor."/>
    <x v="1"/>
    <s v="Existing Mainstream"/>
  </r>
  <r>
    <x v="2"/>
    <s v="P034_InYearSecFSMSubtotal"/>
    <s v="SBS_AllAcademies"/>
    <x v="1"/>
    <s v="P033_SecFSMSubtotal; P001_1718DaysOpen; P25_YearDays_1718"/>
    <s v="P033_SecFSMSubtotal * P001_1718DaysOpen / P25_YearDays_1718"/>
    <s v="This calculation determines the actual Secondary FSM allocation due for the Academic Year 17/18, pro-rating the allocation if an academy opened in-year."/>
    <x v="0"/>
    <m/>
  </r>
  <r>
    <x v="2"/>
    <s v="P035_SecFSM6Factor"/>
    <s v="SBS_AllAcademies"/>
    <x v="0"/>
    <s v="[Census_Pupil_Characteristics.Secondary_FSM6_Proportion]; [APT_Inputs_and_Adjustments.Secondary_FSM6_Proportion]; [Local_Authority_Averages.Secondary_FSM6_Proportion]"/>
    <s v="IF [Census_Pupil_Characteristics.Secondary_FSM6_Proportion]  and [APT_Inputs_and_Adjustments.Secondary_FSM6_Proportion] are both &quot;BLANK&quot;, THEN use [Local_Authority_Averages.Secondary_FSM6_Proportion], _x000a_ELSE IF [APT_Inputs_and_Adjustments.Secondary_FSM6_Proportion] is &quot;BLANK&quot; THEN use [Census_Pupil_Characteristics.Secondary_FSM6_Proportion]_x000a_OTHERWISE use [APT_Inputs_and_Adjustments.Secondary_FSM6_Proportion]"/>
    <s v="If the LA has applied an adjustment within the APT, this figure ('Second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2"/>
    <s v="P037_SecFSM6Rate"/>
    <s v="SBS_AllAcademies"/>
    <x v="1"/>
    <s v="[1718_APT_Proforma.FSM Secondary FSM/FSM6]; [1718_APT_Proforma.FSM Secondary Amount Per Pupil]"/>
    <s v="IF [FSM Secondary FSM/FSM6] = &quot;FSM6&quot;, THEN [FSM Secondary Amount Per Pupil], ELSE 0"/>
    <s v="The FSM indicator ('FSM Secondary FSM/FSM6') and the FSM rate ('FSM Secondary Amount Per Pupil') are both obtained from the '1718 APT Proforma dataset'."/>
    <x v="1"/>
    <s v="Existing Mainstream"/>
  </r>
  <r>
    <x v="2"/>
    <s v="P038_SecFSM6Subtotal"/>
    <s v="SBS_AllAcademies"/>
    <x v="1"/>
    <s v="P25_Total_NOR_SEC_SBS; P037_SecFSM6Rate; P035_SecFSM6Factor; Funding_Basis(201718)"/>
    <s v="IF Existing Academy OR New Opener 1718 funded on estimates, THEN P25_Total_NOR_SEC_SBS * P037_SecFSM6Rate * P035_SecFSM6Factor, ELSE (i.e. IF New Opener 1718 funded on census) THEN (IF P037_SecFSM6Rate &gt;0) APT_New_ISB_dataset.Free_School_Meals_Primary"/>
    <s v="This calculation determines the full year amount of FSM6 for academies with Secondary pupils, where the LA has applied this factor."/>
    <x v="1"/>
    <s v="Existing Mainstream"/>
  </r>
  <r>
    <x v="2"/>
    <s v="P039_NSENFSMSec"/>
    <s v="SBS_AllAcademies"/>
    <x v="1"/>
    <s v="P033_SecFSMSubtotal; P038_SecFSM6Subtotal; P39a_NSENFSMSec_Percent  "/>
    <s v="(P033_SecFSMSubtotal + P038_SecFSM6Subtotal) * P039a_NSENFSMSec_Percent"/>
    <s v="The 'DEP_FSM_SEC_SEN' has been obtained from 'APT Proforma dataset - FSM Secondary Notional SEN'.  This has been used to calculate the NSEN attributed to Secondary FSM Factor"/>
    <x v="0"/>
    <m/>
  </r>
  <r>
    <x v="2"/>
    <s v="P039a_NSENFSMSec_Percent"/>
    <s v="SBS_AllAcademies"/>
    <x v="0"/>
    <s v="No variables used"/>
    <s v="No calculation used"/>
    <s v="This figure is obtained from the '1718 APT Proforma dataset - FSM Sec Notional SEN'"/>
    <x v="1"/>
    <s v="Existing Mainstream"/>
  </r>
  <r>
    <x v="2"/>
    <s v="P040_InYearSecFSM6Subtotal"/>
    <s v="SBS_AllAcademies"/>
    <x v="1"/>
    <s v="P038_SecFSM6Subtotal; P001_1718DaysOpen; P25_YearDays_1718"/>
    <s v="P038_SecFSM6Subtotal * P001_1718DaysOpen / P25_YearDays_1718"/>
    <s v="This calculation determines the actual Secondary FSM6 allocation due for the Academic Year 17/18, pro-rating the allocation if an academy opened in-year."/>
    <x v="0"/>
    <m/>
  </r>
  <r>
    <x v="3"/>
    <s v="P041_IDACIFPriFactor"/>
    <s v="SBS_AllAcademies"/>
    <x v="0"/>
    <s v="[Census_Pupil_Characteristics.IDACI_Primary_Proportion_Band_F]; [APT_Inputs_and_Adjustments.IDACI_Primary_Proportion_Band_F]; [Local_Authority_Averages.IDACI_Primary_Proportion_Band_F]"/>
    <s v="IF [Census_Pupil_Characteristics.IDACI_Primary_Proportion_Band_F]  and [APT_Inputs_and_Adjustments.IDACI_Primary_Proportion_Band_F]= &quot;BLANK&quot;, THEN [Local_Authority_Averages.IDACI_Primary_Proportion_Band_F], _x000a_ELSE IF [APT_Inputs_and_Adjustments.IDACI_Primary_Proportion_Band_F] = &quot;BLANK&quot; THEN [Census_Pupil_Characteristics.IDACI_Primary_Proportion_Band_F]_x000a_ELSE [APT_Inputs_and_Adjustments.IDACI_Primary_Proportion_Band_F]"/>
    <s v="If the LA has applied an adjustment within the APT, this figure ('IDACI Prim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43_IDACIFPriRate"/>
    <s v="SBS_AllAcademies"/>
    <x v="1"/>
    <s v="[1718_APT_Proforma.IDACI_Primary_BF_amount_per_pupil]"/>
    <s v="[1718_APT_Proforma.IDACI_Primary_BF_amount_per_pupil]"/>
    <s v="This figure is obtained from the '1718 APT Proforma dataset - IDACI Primary BF Amount Per Pupil'. There is no calculation but the rate is required on it's own for inclusion in the FAP."/>
    <x v="1"/>
    <s v="Existing Mainstream"/>
  </r>
  <r>
    <x v="3"/>
    <s v="P044_IDACIFPriSubtotal"/>
    <s v="SBS_AllAcademies"/>
    <x v="1"/>
    <s v="P22_Total_NOR_PRI_SBS; P043_IDACIFPriRate; P041_IDACIFPriFactor; Funding_Basis(201718)"/>
    <s v="IF Existing Academy OR New Opener 1718 funded on estimates, THEN P22_Total_NOR_PRI_SBS * P043_IDACIFPriRate * P041_IDACIFPriFactor, ELSE (i.e. IF New Opener 1718 funded on census) THEN (IF P043_IDACIFPriRate &gt;0) APT_New_ISB_dataset.IDACIF_Primary"/>
    <s v="This calculation determines the full year amount of IDACI F for academies with primary pupils, where the LA has applied this factor."/>
    <x v="1"/>
    <s v="Existing Mainstream"/>
  </r>
  <r>
    <x v="3"/>
    <s v="P045_NSENIDACIFPri"/>
    <s v="SBS_AllAcademies"/>
    <x v="1"/>
    <s v="P044_IDACIFPriSubtotal;  P045aNSENIDACIFPri_Percent "/>
    <s v="(P044_IDACIFPriSubtotal) * P045aNSENIDACIFPri_Percent"/>
    <s v="The 'DEP_IDACI_BF_PRI_SEN' has been obtained from 'APT Proforma dataset - IDACI F Primary Notional SEN'.  This has been used to calculate the NSEN attributed to Primary IDACIF."/>
    <x v="0"/>
    <m/>
  </r>
  <r>
    <x v="3"/>
    <s v="P045a_NSENIDACIFPri_Percent"/>
    <s v="SBS_AllAcademies"/>
    <x v="0"/>
    <s v="No variables used"/>
    <s v="No calculation used"/>
    <s v="This figure is obtained from the '1718 APT Proforma dataset - IDACIF Pri Notional SEN'"/>
    <x v="1"/>
    <s v="Existing Mainstream"/>
  </r>
  <r>
    <x v="3"/>
    <s v="P046_InYearIDACIFPriSubtotal"/>
    <s v="SBS_AllAcademies"/>
    <x v="1"/>
    <s v="P044_IDACIFPriSubtotal; P001_1718DaysOpen; P25_YearDays_1718"/>
    <s v="P044_IDACIFPriSubtotal * P001_1718DaysOpen / P25_YearDays_1718"/>
    <s v="This calculation determines the actual Primary IDACIF allocation due for the Academic Year 17/18, pro-rating the allocation if an academy opened in-year."/>
    <x v="0"/>
    <m/>
  </r>
  <r>
    <x v="3"/>
    <s v="P047_IDACIEPriFactor"/>
    <s v="SBS_AllAcademies"/>
    <x v="0"/>
    <s v="[Census_Pupil_Characteristics.IDACI_Primary_Proportion_Band_E]; [APT_Inputs_and_Adjustments.IDACI_Primary_Proportion_Band_E]; [Local_Authority_Averages.IDACI_Primary_Proportion_Band_E]"/>
    <s v="IF [Census_Pupil_Characteristics.IDACI_Primary_Proportion_Band_E]  and [APT_Inputs_and_Adjustments.IDACI_Primary_Proportion_Band_E]= &quot;BLANK&quot;, THEN [Local_Authority_Averages.IDACI_Primary_Proportion_Band_E], _x000a_ELSE IF [APT_Inputs_and_Adjustments.IDACI_Primary_Proportion_Band_E] = &quot;BLANK&quot; THEN [Census_Pupil_Characteristics.IDACI_Primary_Proportion_Band_E]_x000a_ELSE [APT_Inputs_and_Adjustments.IDACI_Primary_Proportion_Band_E]"/>
    <s v="If the LA has applied an adjustment within the APT, this figure ('IDACI Prim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49_IDACIEPriRate"/>
    <s v="SBS_AllAcademies"/>
    <x v="1"/>
    <s v="[1718_APT_Proforma.IDACI_Primary_BE_amount_per_pupil]"/>
    <s v="[1718_APT_Proforma.IDACI_Primary_BE_amount_per_pupil]"/>
    <s v="This figure is obtained from the '1718 APT Proforma dataset - IDACI Primary BE Amount Per Pupil'. There is no calculation but the rate is required on it's own for inclusion in the FAP."/>
    <x v="1"/>
    <s v="Existing Mainstream"/>
  </r>
  <r>
    <x v="3"/>
    <s v="P050_IDACIEPriSubtotal"/>
    <s v="SBS_AllAcademies"/>
    <x v="1"/>
    <s v="P22_Total_NOR_PRI_SBS; P049_IDACIEPriRate; P047_IDACIEPriFactor; Funding_Basis(201718)"/>
    <s v="IF Existing Academy OR New Opener 1718 funded on estimates, THEN P22_Total_NOR_PRI_SBS * P049_IDACIEPriRate * P047_IDACIEPriFactor, ELSE (i.e. IF New Opener 1718 funded on census) THEN (IF P049_IDACIEPriRate &gt;0) APT_New_ISB_dataset.IDACIE_Primary"/>
    <s v="This calculation determines the full year amount of IDACI E for academies with primary pupils, where the LA has applied this factor."/>
    <x v="1"/>
    <s v="Existing Mainstream"/>
  </r>
  <r>
    <x v="3"/>
    <s v="P051_NSENIDACIEPri"/>
    <s v="SBS_AllAcademies"/>
    <x v="1"/>
    <s v="P050_IDACIEPriSubtotal;  P051a_NSENIDACIEPri_Percent"/>
    <s v="(P050_IDACIEPriSubtotal) * P051aNSENIDACIEPri_Percent"/>
    <s v="The 'DEP_IDACI_BE_PRI_SEN' has been obtained from 'APT Proforma dataset - IDACI E Primary Notional SEN'.  This has been used to calculate the NSEN attributed to Primary IDACIE."/>
    <x v="0"/>
    <m/>
  </r>
  <r>
    <x v="3"/>
    <s v="P051a_NSENIDACIEPri_Percent"/>
    <s v="SBS_AllAcademies"/>
    <x v="0"/>
    <s v="No variables used"/>
    <s v="No calculation used"/>
    <s v="This figure is obtained from the '1718 APT Proforma dataset - IDACIE Pri Notional SEN'"/>
    <x v="1"/>
    <s v="Existing Mainstream"/>
  </r>
  <r>
    <x v="3"/>
    <s v="P052_InYearIDACIEPriSubtotal"/>
    <s v="SBS_AllAcademies"/>
    <x v="1"/>
    <s v="P050_IDACIEPriSubtotal; P001_1718DaysOpen; P25_YearDays_1718"/>
    <s v="P050_IDACIEPriSubtotal * P001_1718DaysOpen / P25_YearDays_1718"/>
    <s v="This calculation determines the actual Primary IDACIE allocation due for the Academic Year 17/18, pro-rating the allocation if an academy opened in-year."/>
    <x v="0"/>
    <m/>
  </r>
  <r>
    <x v="3"/>
    <s v="P053_IDACIDPriFactor"/>
    <s v="SBS_AllAcademies"/>
    <x v="0"/>
    <s v="[Census_Pupil_Characteristics.IDACI_Primary_Proportion_Band_D]; [APT_Inputs_and_Adjustments.IDACI_Primary_Proportion_Band_D]; [Local_Authority_Averages.IDACI_Primary_Proportion_Band_D]"/>
    <s v="IF [Census_Pupil_Characteristics.IDACI_Primary_Proportion_Band_D]  and [APT_Inputs_and_Adjustments.IDACI_Primary_Proportion_Band_D]= &quot;BLANK&quot;, THEN [Local_Authority_Averages.IDACI_Primary_Proportion_Band_D], _x000a_ELSE IF [APT_Inputs_and_Adjustments.IDACI_Primary_Proportion_Band_D] = &quot;BLANK&quot; THEN [Census_Pupil_Characteristics.IDACI_Primary_Proportion_Band_D]_x000a_ELSE [APT_Inputs_and_Adjustments.IDACI_Primary_Proportion_Band_D]"/>
    <s v="If the LA has applied an adjustment within the APT, this figure ('IDACI Prim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55_IDACIDPriRate"/>
    <s v="SBS_AllAcademies"/>
    <x v="1"/>
    <s v="[1718_APT_Proforma.IDACI_Primary_BD_amount_per_pupil]"/>
    <s v="[1718_APT_Proforma.IDACI_Primary_BD_amount_per_pupil]"/>
    <s v="This figure is obtained from the '1718 APT Proforma dataset - IDACI Primary BD Amount Per Pupil'. There is no calculation but the rate is required on it's own for inclusion in the FAP."/>
    <x v="1"/>
    <s v="Existing Mainstream"/>
  </r>
  <r>
    <x v="3"/>
    <s v="P056_IDACIDPriSubtotal"/>
    <s v="SBS_AllAcademies"/>
    <x v="1"/>
    <s v="P22_Total_NOR_PRI_SBS; P055_IDACIDPriRate; P053_IDACIDPriFactor; Funding_Basis(201718)"/>
    <s v="IF Existing Academy OR New Opener 1718 funded on estimates, THEN P22_Total_NOR_PRI_SBS * P055_IDACIDPriRate * P053_IDACIDPriFactor, ELSE (i.e. IF New Opener 1718 funded on census) THEN (IF P055_IDACIDPriRate &gt;0) APT_New_ISB_dataset.IDACID_Primary"/>
    <s v="This calculation determines the full year amount of IDACI D for academies with primary pupils, where the LA has applied this factor."/>
    <x v="1"/>
    <s v="Existing Mainstream"/>
  </r>
  <r>
    <x v="3"/>
    <s v="P057_NSENIDACIDPri"/>
    <s v="SBS_AllAcademies"/>
    <x v="1"/>
    <s v="P056_IDACIDPriSubtotal; P057aNSENIDACIDPri_Percent"/>
    <s v="(P056_IDACIDPriSubtotal) * P057aNSENIDACIDPri_Percent"/>
    <s v="The 'DEP_IDACI_BD_PRI_SEN' has been obtained from 'APT Proforma dataset - IDACI D Primary Notional SEN'.  This has been used to calculate the NSEN attributed to Primary IDACID."/>
    <x v="0"/>
    <m/>
  </r>
  <r>
    <x v="3"/>
    <s v="P057a_NSENIDACIDPri_Percent"/>
    <s v="SBS_AllAcademies"/>
    <x v="0"/>
    <s v="No variables used"/>
    <s v="No calculation used"/>
    <s v="This figure is obtained from the '1718 APT Proforma dataset - IDACID Pri Notional SEN'"/>
    <x v="1"/>
    <s v="Existing Mainstream"/>
  </r>
  <r>
    <x v="3"/>
    <s v="P058_InYearIDACIDPriSubtotal"/>
    <s v="SBS_AllAcademies"/>
    <x v="1"/>
    <s v="P056_IDACIDPriSubtotal; P001_1718DaysOpen; P25_YearDays_1718"/>
    <s v="P056_IDACIDPriSubtotal * P001_1718DaysOpen / P25_YearDays_1718"/>
    <s v="This calculation determines the actual Primary IDACID allocation due for the Academic Year 17/18, pro-rating the allocation if an academy opened in-year."/>
    <x v="0"/>
    <m/>
  </r>
  <r>
    <x v="3"/>
    <s v="P059_IDACICPriFactor"/>
    <s v="SBS_AllAcademies"/>
    <x v="0"/>
    <s v="[Census_Pupil_Characteristics.IDACI_Primary_Proportion_Band_C]; [APT_Inputs_and_Adjustments.IDACI_Primary_Proportion_Band_C]; [Local_Authority_Averages.IDACI_Primary_Proportion_Band_C]"/>
    <s v="IF [Census_Pupil_Characteristics.IDACI_Primary_Proportion_Band_C]  and [APT_Inputs_and_Adjustments.IDACI_Primary_Proportion_Band_C]= &quot;BLANK&quot;, THEN [Local_Authority_Averages.IDACI_Primary_Proportion_Band_C], _x000a_ELSE IF [APT_Inputs_and_Adjustments.IDACI_Primary_Proportion_Band_C] = &quot;BLANK&quot; THEN [Census_Pupil_Characteristics.IDACI_Primary_Proportion_Band_C]_x000a_ELSE [APT_Inputs_and_Adjustments.IDACI_Primary_Proportion_Band_C]"/>
    <s v="If the LA has applied an adjustment within the APT, this figure ('IDACI Prim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61_IDACICPriRate"/>
    <s v="SBS_AllAcademies"/>
    <x v="1"/>
    <s v="[1718_APT_Proforma.IDACI_Primary_BC_amount_per_pupil]"/>
    <s v="[1718_APT_Proforma.IDACI_Primary_BC_amount_per_pupil]"/>
    <s v="This figure is obtained from the '1718 APT Proforma dataset - IDACI Primary BC Amount Per Pupil'. There is no calculation but the rate is required on it's own for inclusion in the FAP."/>
    <x v="1"/>
    <s v="Existing Mainstream"/>
  </r>
  <r>
    <x v="3"/>
    <s v="P062_IDACICPriSubtotal"/>
    <s v="SBS_AllAcademies"/>
    <x v="1"/>
    <s v="P22_Total_NOR_PRI_SBS; P061_IDACICPriRate; P059_IDACICPriFactor; Funding_Basis(201718)"/>
    <s v="IF Existing Academy OR New Opener 1718 funded on estimates, THEN P22_Total_NOR_PRI_SBS * P061_IDACICPriRate * P059_IDACICPriFactor, ELSE (i.e. IF New Opener 1718 funded on census) THEN (IF P061_IDACICPriRate &gt;0) APT_New_ISB_dataset.IDACIC_Primary"/>
    <s v="This calculation determines the full year amount of IDACI C for academies with primary pupils, where the LA has applied this factor."/>
    <x v="1"/>
    <s v="Existing Mainstream"/>
  </r>
  <r>
    <x v="3"/>
    <s v="P063_NSENIDACICPri"/>
    <s v="SBS_AllAcademies"/>
    <x v="1"/>
    <s v="P062_IDACICPriSubtotal; P063a_NSENIDACICPri_Percent"/>
    <s v="(P062_IDACICPriSubtotal) * P063aNSENIDACICPri_Percent"/>
    <s v="The 'DEP_IDACI_BC_PRI_SEN' has been obtained from 'APT Proforma dataset - IDACI C Primary Notional SEN'.  This has been used to calculate the NSEN attributed to Primary IDACIC."/>
    <x v="0"/>
    <m/>
  </r>
  <r>
    <x v="3"/>
    <s v="P063a_NSENIDACICPri_Percent"/>
    <s v="SBS_AllAcademies"/>
    <x v="0"/>
    <s v="No variables used"/>
    <s v="No calculation used"/>
    <s v="This figure is obtained from the '1718 APT Proforma dataset - IDACIC Pri Notional SEN'"/>
    <x v="1"/>
    <s v="Existing Mainstream"/>
  </r>
  <r>
    <x v="3"/>
    <s v="P064_InYearIDACICPriSubtotal"/>
    <s v="SBS_AllAcademies"/>
    <x v="1"/>
    <s v="P062_IDACICPriSubtotal; P001_1718DaysOpen; P25_YearDays_1718"/>
    <s v="P062_IDACICPriSubtotal * P001_1718DaysOpen / P25_YearDays_1718"/>
    <s v="This calculation determines the actual Primary IDACIC allocation due for the Academic Year 17/18, pro-rating the allocation if an academy opened in-year."/>
    <x v="0"/>
    <m/>
  </r>
  <r>
    <x v="3"/>
    <s v="P065_IDACIBPriFactor"/>
    <s v="SBS_AllAcademies"/>
    <x v="0"/>
    <s v="[Census_Pupil_Characteristics.IDACI_Primary_Proportion_Band_B]; [APT_Inputs_and_Adjustments.IDACI_Primary_Proportion_Band_B]; [Local_Authority_Averages.IDACI_Primary_Proportion_Band_B]"/>
    <s v="IF [Census_Pupil_Characteristics.IDACI_Primary_Proportion_Band_B]  and [APT_Inputs_and_Adjustments.IDACI_Primary_Proportion_Band_B]= &quot;BLANK&quot;, THEN [Local_Authority_Averages.IDACI_Primary_Proportion_Band_B], _x000a_ELSE IF [APT_Inputs_and_Adjustments.IDACI_Primary_Proportion_Band_B] = &quot;BLANK&quot; THEN [Census_Pupil_Characteristics.IDACI_Primary_Proportion_Band_B]_x000a_ELSE [APT_Inputs_and_Adjustments.IDACI_Primary_Proportion_Band_B]"/>
    <s v="If the LA has applied an adjustment within the APT, this figure ('IDACI Prim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67_IDACIBPriRate"/>
    <s v="SBS_AllAcademies"/>
    <x v="1"/>
    <s v="[1718_APT_Proforma.IDACI_Primary_BB_amount_per_pupil]"/>
    <s v="[1718_APT_Proforma.IDACI_Primary_BB_amount_per_pupil]"/>
    <s v="This figure is obtained from the '1718 APT Proforma dataset - IDACI Primary BB Amount Per Pupil'. There is no calculation but the rate is required on it's own for inclusion in the FAP."/>
    <x v="1"/>
    <s v="Existing Mainstream"/>
  </r>
  <r>
    <x v="3"/>
    <s v="P068_IDACIBPriSubtotal"/>
    <s v="SBS_AllAcademies"/>
    <x v="1"/>
    <s v="P22_Total_NOR_PRI_SBS; P067_IDACIBPriRate; P065_IDACIBPriFactor; Funding_Basis(201718)"/>
    <s v="IF Existing Academy OR New Opener 1718 funded on estimates, THEN P22_Total_NOR_PRI_SBS * P067_IDACIBPriRate * P065_IDACIBPriFactor, ELSE (i.e. IF New Opener 1718 funded on census) THEN (IF P067_IDACIBPriRate &gt;0) APT_New_ISB_dataset.IDACIB_Primary"/>
    <s v="This calculation determines the full year amount of IDACI B for academies with primary pupils, where the LA has applied this factor."/>
    <x v="1"/>
    <s v="Existing Mainstream"/>
  </r>
  <r>
    <x v="3"/>
    <s v="P069_NSENIDACIBPri"/>
    <s v="SBS_AllAcademies"/>
    <x v="1"/>
    <s v="P068_IDACIBPriSubtotal;  P069a_NSENIDACIBPri"/>
    <s v="(P068_IDACIBPriSubtotal) * P069aNSENIDACIBPri_Percent"/>
    <s v="The 'DEP_IDACI_BB_PRI_SEN' has been obtained from 'APT Proforma dataset - IDACI B Primary Notional SEN'.  This has been used to calculate the NSEN attributed to Primary IDACIB."/>
    <x v="0"/>
    <m/>
  </r>
  <r>
    <x v="3"/>
    <s v="P069a_NSENIDACIBPri_Percent"/>
    <s v="SBS_AllAcademies"/>
    <x v="0"/>
    <s v="No variables used"/>
    <s v="No calculation used"/>
    <s v="This figure is obtained from the '1718 APT Proforma dataset - IDACIB Pri Notional SEN'"/>
    <x v="1"/>
    <s v="Existing Mainstream"/>
  </r>
  <r>
    <x v="3"/>
    <s v="P070_InYearIDACIBPriSubtotal"/>
    <s v="SBS_AllAcademies"/>
    <x v="1"/>
    <s v="P068_IDACIBPriSubtotal; P001_1718DaysOpen; P25_YearDays_1718"/>
    <s v="P068_IDACIBPriSubtotal * P001_1718DaysOpen / P25_YearDays_1718"/>
    <s v="This calculation determines the actual Primary IDACIB allocation due for the Academic Year 17/18, pro-rating the allocation if an academy opened in-year."/>
    <x v="0"/>
    <m/>
  </r>
  <r>
    <x v="3"/>
    <s v="P071_IDACIAPriFactor"/>
    <s v="SBS_AllAcademies"/>
    <x v="0"/>
    <s v="[Census_Pupil_Characteristics.IDACI_Primary_Proportion_Band_A]; [APT_Inputs_and_Adjustments.IDACI_Primary_Proportion_Band_A]; [Local_Authority_Averages.IDACI_Primary_Proportion_Band_A]"/>
    <s v="IF [Census_Pupil_Characteristics.IDACI_Primary_Proportion_Band_A]  and [APT_Inputs_and_Adjustments.IDACI_Primary_Proportion_Band_A]= &quot;BLANK&quot;, THEN [Local_Authority_Averages.IDACI_Primary_Proportion_Band_A], _x000a_ELSE IF [APT_Inputs_and_Adjustments.IDACI_Primary_Proportion_Band_A] = &quot;BLANK&quot; THEN [Census_Pupil_Characteristics.IDACI_Primary_Proportion_Band_A]_x000a_ELSE [APT_Inputs_and_Adjustments.IDACI_Primary_Proportion_Band_A]"/>
    <s v="If the LA has applied an adjustment within the APT, this figure ('IDACI Prim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73_IDACIAPriRate"/>
    <s v="SBS_AllAcademies"/>
    <x v="1"/>
    <s v="[1718_APT_Proforma.IDACI_Primary_BA_amount_per_pupil]"/>
    <s v="[1718_APT_Proforma.IDACI_Primary_BA_amount_per_pupil]"/>
    <s v="This figure is obtained from the '1718 APT Proforma dataset - IDACI Primary BA Amount Per Pupil'. There is no calculation but the rate is required on it's own for inclusion in the FAP."/>
    <x v="1"/>
    <s v="Existing Mainstream"/>
  </r>
  <r>
    <x v="3"/>
    <s v="P074_IDACIAPriSubtotal"/>
    <s v="SBS_AllAcademies"/>
    <x v="1"/>
    <s v="P22_Total_NOR_PRI_SBS; P073_IDACIAPriRate; P071_IDACIAPriFactor; Funding_Basis(201718)"/>
    <s v="IF Existing Academy OR New Opener 1718 funded on estimates, THEN P22_Total_NOR_PRI_SBS * P073_IDACIAPriRate * P071_IDACIAPriFactor, ELSE (i.e. IF New Opener 1718 funded on census) THEN (IF P073_IDACIAPriRate &gt;0) APT_New_ISB_dataset.IDACIB_Primary"/>
    <s v="This calculation determines the full year amount of IDACI A for academies with primary pupils, where the LA has applied this factor."/>
    <x v="1"/>
    <s v="Existing Mainstream"/>
  </r>
  <r>
    <x v="3"/>
    <s v="P075_NSENIDACIAPri"/>
    <s v="SBS_AllAcademies"/>
    <x v="1"/>
    <s v="P074_IDACIAPriSubtotal; P075a_NSENIDACIAPri_Percent"/>
    <s v="(P074_IDACIBPriSubtotal) * P075aNSENIDACIBPri_Percent"/>
    <s v="The 'DEP_IDACI_BA_PRI_SEN' has been obtained from 'APT Proforma dataset - IDACI A Primary Notional SEN'.  This has been used to calculate the NSEN attributed to Primary IDACIA."/>
    <x v="0"/>
    <m/>
  </r>
  <r>
    <x v="3"/>
    <s v="P075a_NSENIDACIAPri_Percent"/>
    <s v="SBS_AllAcademies"/>
    <x v="0"/>
    <s v="No variables used"/>
    <s v="No calculation used"/>
    <s v="This figure is obtained from the '1718 APT Proforma dataset - IDACIA Pri Notional SEN'"/>
    <x v="1"/>
    <s v="Existing Mainstream"/>
  </r>
  <r>
    <x v="3"/>
    <s v="P076_InYearIDACIAPriSubtotal"/>
    <s v="SBS_AllAcademies"/>
    <x v="1"/>
    <s v="P074_IDACIAPriSubtotal; P001_1718DaysOpen; P25_YearDays_1718"/>
    <s v="P074_IDACIAPriSubtotal * P001_1718DaysOpen / P25_YearDays_1718"/>
    <s v="This calculation determines the actual Primary IDACIA allocation due for the Academic Year 17/18, pro-rating the allocation if an academy opened in-year."/>
    <x v="0"/>
    <m/>
  </r>
  <r>
    <x v="3"/>
    <s v="P077_IDACIFSecFactor"/>
    <s v="SBS_AllAcademies"/>
    <x v="0"/>
    <s v="[Census_Pupil_Characteristics.IDACI_Secondary_Proportion_Band_F]; [APT_Inputs_and_Adjustments.IDACI_Secondary_Proportion_Band_F]; [Local_Authority_Averages.IDACI_Secondary_Proportion_Band_F]"/>
    <s v="IF [Census_Pupil_Characteristics.IDACI_Secondary_Proportion_Band_F]  and [APT_Inputs_and_Adjustments.IDACI_Secondary_Proportion_Band_F]= &quot;BLANK&quot;, THEN [Local_Authority_Averages.IDACI_Secondary_Proportion_Band_F], _x000a_ELSE IF [APT_Inputs_and_Adjustments.IDACI_Secondary_Proportion_Band_F] = &quot;BLANK&quot; THEN [Census_Pupil_Characteristics.IDACI_Secondary_Proportion_Band_F]_x000a_ELSE [APT_Inputs_and_Adjustments.IDACI_Secondary_Proportion_Band_F]"/>
    <s v="If the LA has applied an adjustment within the APT, this figure ('IDACI Second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79_IDACIFSecRate"/>
    <s v="SBS_AllAcademies"/>
    <x v="1"/>
    <s v="[1718_APT_Proforma.IDACI_Secondary_BF_amount_per_pupil]"/>
    <s v="[1718_APT_Proforma.IDACI_Secondary_BF_amount_per_pupil]"/>
    <s v="This figure is obtained from the '1718 APT Proforma dataset - IDACI Secondary BF Amount Per Pupil'. There is no calculation but the rate is required on it's own for inclusion in the FAP."/>
    <x v="1"/>
    <s v="Existing Mainstream"/>
  </r>
  <r>
    <x v="3"/>
    <s v="P080_IDACIFSecSubtotal"/>
    <s v="SBS_AllAcademies"/>
    <x v="1"/>
    <s v="P25_Total_NOR_SEC_SBS; P079_IDACIFSecRate; P077_IDACIFSecFactor; Funding_Basis(201718)"/>
    <s v="IF Existing Academy OR New Opener 1718 funded on estimates, THEN P25_Total_NOR_SEC_SBS * P079_IDACIFSecRate * P077_IDACIFSecFactor, ELSE (i.e. IF New Opener 1718 funded on census) THEN (IF P079_IDACIFSecRate &gt;0) APT_New_ISB_dataset.IDACIF_Secondary"/>
    <s v="This calculation determines the full year amount of IDACI F for academies with Secondary pupils, where the LA has applied this factor."/>
    <x v="1"/>
    <s v="Existing Mainstream"/>
  </r>
  <r>
    <x v="3"/>
    <s v="P081_NSENIDACIFSec"/>
    <s v="SBS_AllAcademies"/>
    <x v="1"/>
    <s v="P080_IDACIFSecSubtotal; P081a_NSENIDACIFSec_Percent"/>
    <s v="P080_IDACIFSecSubtotal * P081a_NSENIDACIFSec_Percent"/>
    <s v="The 'DEP_IDACI_BF_SEC_SEN' has been obtained from 'APT Proforma dataset - IDACI F Secondary Notional SEN'.  This has been used to calculate the 'DEP_IDACI_BF_SEC_SEN'"/>
    <x v="0"/>
    <m/>
  </r>
  <r>
    <x v="3"/>
    <s v="P081a_NSENIDACIFSec_Percent"/>
    <s v="SBS_AllAcademies"/>
    <x v="1"/>
    <s v="No variables used"/>
    <s v="No calculation used"/>
    <s v="This figure is obtained from the '1718 APT Proforma dataset - IDACIF Sec Notional SEN'"/>
    <x v="1"/>
    <s v="Existing Mainstream"/>
  </r>
  <r>
    <x v="3"/>
    <s v="P082_InYearIDACIFSecSubtotal"/>
    <s v="SBS_AllAcademies"/>
    <x v="1"/>
    <s v="P080_IDACIFSecSubtotal; P001_1718DaysOpen; P25_YearDays_1718"/>
    <s v="P080_IDACIFSecSubtotal * P001_1718DaysOpen / P25_YearDays_1718"/>
    <s v="This calculation determines the actual Secondary IDACIF allocation due for the Academic Year 17/18, pro-rating the allocation if an academy opened in-year."/>
    <x v="0"/>
    <m/>
  </r>
  <r>
    <x v="3"/>
    <s v="P083_IDACIESecFactor"/>
    <s v="SBS_AllAcademies"/>
    <x v="0"/>
    <s v="[Census_Pupil_Characteristics.IDACI_Secondary_Proportion_Band_E]; [APT_Inputs_and_Adjustments.IDACI_Secondary_Proportion_Band_E]; [Local_Authority_Averages.IDACI_Secondary_Proportion_Band_E]"/>
    <s v="IF [Census_Pupil_Characteristics.IDACI_Secondary_Proportion_Band_E]  and [APT_Inputs_and_Adjustments.IDACI_Secondary_Proportion_Band_E]= &quot;BLANK&quot;, THEN [Local_Authority_Averages.IDACI_Secondary_Proportion_Band_E], _x000a_ELSE IF [APT_Inputs_and_Adjustments.IDACI_Secondary_Proportion_Band_E] = &quot;BLANK&quot; THEN [Census_Pupil_Characteristics.IDACI_Secondary_Proportion_Band_E]_x000a_ELSE [APT_Inputs_and_Adjustments.IDACI_Secondary_Proportion_Band_E]"/>
    <s v="If the LA has applied an adjustment within the APT, this figure ('IDACI Second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85_IDACIESecRate"/>
    <s v="SBS_AllAcademies"/>
    <x v="1"/>
    <s v="[1718_APT_Proforma.IDACI_Secondary_BE_amount_per_pupil]"/>
    <s v="[1718_APT_Proforma.IDACI_Secondary_BE_amount_per_pupil]"/>
    <s v="This figure is obtained from the '1718 APT Proforma dataset - IDACI Secondary BE Amount Per Pupil'. There is no calculation but the rate is required on it's own for inclusion in the FAP."/>
    <x v="1"/>
    <s v="Existing Mainstream"/>
  </r>
  <r>
    <x v="3"/>
    <s v="P086_IDACIESecSubtotal"/>
    <s v="SBS_AllAcademies"/>
    <x v="1"/>
    <s v="P25_Total_NOR_SEC_SBS; P085_IDACIESecRate; P083_IDACIESecFactor; Funding_Basis(201718)"/>
    <s v="IF Existing Academy OR New Opener 1718 funded on estimates, THEN P25_Total_NOR_SEC_SBS * P085_IDACIESecRate * P083_IDACIESecFactor, ELSE (i.e. IF New Opener 1718 funded on census) THEN (IF P085_IDACIESecRate &gt;0) APT_New_ISB_dataset.IDACIE_Secondary"/>
    <s v="This calculation determines the full year amount of IDACI E for academies with Secondary pupils, where the LA has applied this factor."/>
    <x v="1"/>
    <s v="Existing Mainstream"/>
  </r>
  <r>
    <x v="3"/>
    <s v="P087_NSENIDACIESec"/>
    <s v="SBS_AllAcademies"/>
    <x v="1"/>
    <s v="P086_IDACIESecSubtotal; P87a_NSENIDACIESec_Percent"/>
    <s v="P086_IDACIESecSubtotal * P87a_NSENIDACIESec_Percent"/>
    <s v="The 'DEP_IDACI_BE_SEC_SEN' has been obtained from 'APT Proforma dataset - IDACI E Secondary Notional SEN'.  This has been used to calculate the 'DEP_IDACI_BE_SEC_SEN'"/>
    <x v="0"/>
    <m/>
  </r>
  <r>
    <x v="3"/>
    <s v="P87a_NSENIDACIESec_Percent"/>
    <s v="SBS_AllAcademies"/>
    <x v="0"/>
    <s v="No variables used"/>
    <s v="No calculation used"/>
    <s v="This figure is obtained from the '1718 APT Proforma dataset - IDACIE Sec Notional SEN'"/>
    <x v="1"/>
    <s v="Existing Mainstream"/>
  </r>
  <r>
    <x v="3"/>
    <s v="P088_InYearIDACIESecSubtotal"/>
    <s v="SBS_AllAcademies"/>
    <x v="1"/>
    <s v="P086_IDACIESecSubtotal; P001_1718DaysOpen; P25_YearDays_1718"/>
    <s v="P086_IDACIESecSubtotal * P001_1718DaysOpen / P25_YearDays_1718"/>
    <s v="This calculation determines the actual Secondary IDACIE allocation due for the Academic Year 17/18, pro-rating the allocation if an academy opened in-year."/>
    <x v="0"/>
    <m/>
  </r>
  <r>
    <x v="3"/>
    <s v="P089_IDACIDSecFactor"/>
    <s v="SBS_AllAcademies"/>
    <x v="0"/>
    <s v="[Census_Pupil_Characteristics.IDACI_Secondary_Proportion_Band_D]; [APT_Inputs_and_Adjustments.IDACI_Secondary_Proportion_Band_D]; [Local_Authority_Averages.IDACI_Secondary_Proportion_Band_D]"/>
    <s v="IF [Census_Pupil_Characteristics.IDACI_Secondary_Proportion_Band_D]  and [APT_Inputs_and_Adjustments.IDACI_Secondary_Proportion_Band_D]= &quot;BLANK&quot;, THEN [Local_Authority_Averages.IDACI_Secondary_Proportion_Band_D], _x000a_ELSE IF [APT_Inputs_and_Adjustments.IDACI_Secondary_Proportion_Band_D] = &quot;BLANK&quot; THEN [Census_Pupil_Characteristics.IDACI_Secondary_Proportion_Band_D]_x000a_ELSE [APT_Inputs_and_Adjustments.IDACI_Secondary_Proportion_Band_D]"/>
    <s v="If the LA has applied an adjustment within the APT, this figure ('IDACI Second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91_IDACIDSecRate"/>
    <s v="SBS_AllAcademies"/>
    <x v="1"/>
    <s v="[1718_APT_Proforma.IDACI_Secondary_BD_amount_per_pupil]"/>
    <s v="[1718_APT_Proforma.IDACI_Secondary_BD_amount_per_pupil]"/>
    <s v="This figure is obtained from the '1718 APT Proforma dataset - IDACI Secondary BD Amount Per Pupil'. There is no calculation but the rate is required on it's own for inclusion in the FAP."/>
    <x v="1"/>
    <s v="Existing Mainstream"/>
  </r>
  <r>
    <x v="3"/>
    <s v="P092_IDACIDSecSubtotal"/>
    <s v="SBS_AllAcademies"/>
    <x v="1"/>
    <s v="P25_Total_NOR_SEC_SBS; P091_IDACIDSecRate; P089_IDACIDSecFactor; Funding_Basis(201718)"/>
    <s v="IF Existing Academy OR New Opener 1718 funded on estimates, THEN P25_Total_NOR_SEC_SBS * P091_IDACIDSecRate * P089_IDACIDSecFactor, ELSE (i.e. IF New Opener 1718 funded on census) THEN (IF P091_IDACIDSecRate &gt;0) APT_New_ISB_dataset.IDACID_Secondary"/>
    <s v="This calculation determines the full year amount of IDACI D for academies with Secondary pupils, where the LA has applied this factor."/>
    <x v="1"/>
    <s v="Existing Mainstream"/>
  </r>
  <r>
    <x v="3"/>
    <s v="P093_NSENIDACIDSec"/>
    <s v="SBS_AllAcademies"/>
    <x v="1"/>
    <s v="P092_IDACIDSecSubtotal; P093a_NSENIDACIDSec_Percent"/>
    <s v="P092_IDACIDSecSubtotal * P093a_NSENIDACIDSec_Percent"/>
    <s v="The 'DEP_IDACI_BD_SEC_SEN' has been obtained from 'APT Proforma dataset - IDACI D Secondary Notional SEN'.  This has been used to calculate the 'DEP_IDACI_BD_SEC_SEN'"/>
    <x v="0"/>
    <m/>
  </r>
  <r>
    <x v="3"/>
    <s v="P093a_NSENIDACIDSec_Percent"/>
    <s v="SBS_AllAcademies"/>
    <x v="0"/>
    <s v="No variables used"/>
    <s v="No calculation used"/>
    <s v="This figure is obtained from the '1718 APT Proforma dataset - IDACID Sec Notional SEN'"/>
    <x v="1"/>
    <s v="Existing Mainstream"/>
  </r>
  <r>
    <x v="3"/>
    <s v="P094_InYearIDACIDSecSubtotal"/>
    <s v="SBS_AllAcademies"/>
    <x v="1"/>
    <s v="P092_IDACIDSecSubtotal; P001_1718DaysOpen; P25_YearDays_1718"/>
    <s v="P092_IDACIDSecSubtotal * P001_1718DaysOpen / P25_YearDays_1718"/>
    <s v="This calculation determines the actual Secondary IDACID allocation due for the Academic Year 17/18, pro-rating the allocation if an academy opened in-year."/>
    <x v="0"/>
    <m/>
  </r>
  <r>
    <x v="3"/>
    <s v="P095_IDACICSecFactor"/>
    <s v="SBS_AllAcademies"/>
    <x v="0"/>
    <s v="[Census_Pupil_Characteristics.IDACI_Secondary_Proportion_Band_C]; [APT_Inputs_and_Adjustments.IDACI_Secondary_Proportion_Band_C]; [Local_Authority_Averages.IDACI_Secondary_Proportion_Band_C]"/>
    <s v="IF [Census_Pupil_Characteristics.IDACI_Secondary_Proportion_Band_C]  and [APT_Inputs_and_Adjustments.IDACI_Secondary_Proportion_Band_C]= &quot;BLANK&quot;, THEN [Local_Authority_Averages.IDACI_Secondary_Proportion_Band_C], _x000a_ELSE IF [APT_Inputs_and_Adjustments.IDACI_Secondary_Proportion_Band_C] = &quot;BLANK&quot; THEN [Census_Pupil_Characteristics.IDACI_Secondary_Proportion_Band_C]_x000a_ELSE [APT_Inputs_and_Adjustments.IDACI_Secondary_Proportion_Band_C]"/>
    <s v="If the LA has applied an adjustment within the APT, this figure ('IDACI Second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97_IDACICSecRate"/>
    <s v="SBS_AllAcademies"/>
    <x v="1"/>
    <s v="[1718_APT_Proforma.IDACI_Secondary_BC_amount_per_pupil]"/>
    <s v="[1718_APT_Proforma.IDACI_Secondary_BC_amount_per_pupil]"/>
    <s v="This figure is obtained from the '1718 APT Proforma dataset - IDACI Secondary BC Amount Per Pupil'. There is no calculation but the rate is required on it's own for inclusion in the FAP."/>
    <x v="1"/>
    <s v="Existing Mainstream"/>
  </r>
  <r>
    <x v="3"/>
    <s v="P098_IDACICSecSubtotal"/>
    <s v="SBS_AllAcademies"/>
    <x v="1"/>
    <s v="P25_Total_NOR_SEC_SBS; P097_IDACICSecRate; P095_IDACICSecFactor; Funding_Basis(201718)"/>
    <s v="IF Existing Academy OR New Opener 1718 funded on estimates, THEN P25_Total_NOR_SEC_SBS * P097_IDACICSecRate * P095_IDACICSecFactor, ELSE (i.e. IF New Opener 1718 funded on census) THEN (IF P097_IDACICSecRate &gt;0) APT_New_ISB_dataset.IDACIC_Secondary"/>
    <s v="This calculation determines the full year amount of IDACI C for academies with Secondary pupils, where the LA has applied this factor."/>
    <x v="1"/>
    <s v="Existing Mainstream"/>
  </r>
  <r>
    <x v="3"/>
    <s v="P099_NSENIDACICSec"/>
    <s v="SBS_AllAcademies"/>
    <x v="1"/>
    <s v="P098_IDACICSecSubtotal; P099a_NSENIDACICSec_Percent"/>
    <s v="P098_IDACICSecSubtotal * P099a_NSENIDACICSec_Percent"/>
    <s v="The 'DEP_IDACI_BC_SEC_SEN' has been obtained from 'APT Proforma dataset - IDACI C Secondary Notional SEN'.  This has been used to calculate the 'DEP_IDACI_BC_SEC_SEN'"/>
    <x v="0"/>
    <m/>
  </r>
  <r>
    <x v="3"/>
    <s v="P099a_NSENIDACICSec_Percent"/>
    <s v="SBS_AllAcademies"/>
    <x v="0"/>
    <s v="No variables used"/>
    <s v="No calculation used"/>
    <s v="This figure is obtained from the '1718 APT Proforma dataset - IDACIC Sec Notional SEN'"/>
    <x v="1"/>
    <s v="Existing Mainstream"/>
  </r>
  <r>
    <x v="3"/>
    <s v="P100_InYearIDACICSecSubtotal"/>
    <s v="SBS_AllAcademies"/>
    <x v="1"/>
    <s v="P098_IDACICSecSubtotal; P001_1718DaysOpen; P25_YearDays_1718"/>
    <s v="P098_IDACICSecSubtotal * P001_1718DaysOpen / P25_YearDays_1718"/>
    <s v="This calculation determines the actual Secondary IDACIC allocation due for the Academic Year 17/18, pro-rating the allocation if an academy opened in-year."/>
    <x v="0"/>
    <m/>
  </r>
  <r>
    <x v="3"/>
    <s v="P101_IDACIBSecFactor"/>
    <s v="SBS_AllAcademies"/>
    <x v="0"/>
    <s v="[Census_Pupil_Characteristics.IDACI_Secondary_Proportion_Band_B]; [APT_Inputs_and_Adjustments.IDACI_Secondary_Proportion_Band_B]; [Local_Authority_Averages.IDACI_Secondary_Proportion_Band_B]"/>
    <s v="IF [Census_Pupil_Characteristics.IDACI_Secondary_Proportion_Band_B]  and [APT_Inputs_and_Adjustments.IDACI_Secondary_Proportion_Band_B]= &quot;BLANK&quot;, THEN [Local_Authority_Averages.IDACI_Secondary_Proportion_Band_B], _x000a_ELSE IF [APT_Inputs_and_Adjustments.IDACI_Secondary_Proportion_Band_B] = &quot;BLANK&quot; THEN [Census_Pupil_Characteristics.IDACI_Secondary_Proportion_Band_B]_x000a_ELSE [APT_Inputs_and_Adjustments.IDACI_Secondary_Proportion_Band_B]"/>
    <s v="If the LA has applied an adjustment within the APT, this figure ('IDACI Second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103_IDACIBSecRate"/>
    <s v="SBS_AllAcademies"/>
    <x v="1"/>
    <s v="[1718_APT_Proforma.IDACI_Secondary_BB_amount_per_pupil]"/>
    <s v="[1718_APT_Proforma.IDACI_Secondary_BB_amount_per_pupil]"/>
    <s v="This figure is obtained from the '1718 APT Proforma dataset - IDACI Secondary BB Amount Per Pupil'. There is no calculation but the rate is required on it's own for inclusion in the FAP."/>
    <x v="1"/>
    <s v="Existing Mainstream"/>
  </r>
  <r>
    <x v="3"/>
    <s v="P104_IDACIBSecSubtotal"/>
    <s v="SBS_AllAcademies"/>
    <x v="1"/>
    <s v="P25_Total_NOR_SEC_SBS; P103_IDACIBSecRate; P101_IDACIBSecFactor; Funding_Basis(201718)"/>
    <s v="IF Existing Academy OR New Opener 1718 funded on estimates, THEN P25_Total_NOR_SEC_SBS * P103_IDACIBSecRate * P101_IDACIBSecFactor, ELSE (i.e. IF New Opener 1718 funded on census) THEN (IF P103_IDACIBSecRate &gt;0) APT_New_ISB_dataset.IDACIB_Secondary"/>
    <s v="This calculation determines the full year amount of IDACI B for academies with Secondary pupils, where the LA has applied this factor."/>
    <x v="1"/>
    <s v="Existing Mainstream"/>
  </r>
  <r>
    <x v="3"/>
    <s v="P105_NSENIDACIBSec"/>
    <s v="SBS_AllAcademies"/>
    <x v="1"/>
    <s v="P104_IDACIBSecSubtotal; P105a_NSENIDACIBSec_Percent"/>
    <s v="P104_IDACIBSecSubtotal * P105a_NSENIDACIBSec_Percent"/>
    <s v="The 'DEP_IDACI_BB_SEC_SEN' has been obtained from 'APT Proforma dataset - IDACI B Secondary Notional SEN'.  This has been used to calculate the 'DEP_IDACI_BB_SEC_SEN'"/>
    <x v="0"/>
    <m/>
  </r>
  <r>
    <x v="3"/>
    <s v="P105a_NSENIDACIBSec_Percent"/>
    <s v="SBS_AllAcademies"/>
    <x v="0"/>
    <s v="No variables used"/>
    <s v="No calculation used"/>
    <s v="This figure is obtained from the '1718 APT Proforma dataset - IDACIB Sec Notional SEN'"/>
    <x v="1"/>
    <s v="Existing Mainstream"/>
  </r>
  <r>
    <x v="3"/>
    <s v="P106_InYearIDACIBSecSubtotal"/>
    <s v="SBS_AllAcademies"/>
    <x v="1"/>
    <s v="P104_IDACIBSecSubtotal; P001_1718DaysOpen; P25_YearDays_1718"/>
    <s v="P104_IDACIBSecSubtotal * P001_1718DaysOpen / P25_YearDays_1718"/>
    <s v="This calculation determines the actual Secondary IDACIB allocation due for the Academic Year 17/18, pro-rating the allocation if an academy opened in-year."/>
    <x v="0"/>
    <m/>
  </r>
  <r>
    <x v="3"/>
    <s v="P107_IDACIASecFactor"/>
    <s v="SBS_AllAcademies"/>
    <x v="0"/>
    <s v="[Census_Pupil_Characteristics.IDACI_Secondary_Proportion_Band_A]; [APT_Inputs_and_Adjustments.IDACI_Secondary_Proportion_Band_A]; [Local_Authority_Averages.IDACI_Secondary_Proportion_Band_A]"/>
    <s v="IF [Census_Pupil_Characteristics.IDACI_Secondary_Proportion_Band_A]  and [APT_Inputs_and_Adjustments.IDACI_Secondary_Proportion_Band_A]= &quot;BLANK&quot;, THEN [Local_Authority_Averages.IDACI_Secondary_Proportion_Band_A], _x000a_ELSE IF [APT_Inputs_and_Adjustments.IDACI_Secondary_Proportion_Band_A] = &quot;BLANK&quot; THEN [Census_Pupil_Characteristics.IDACI_Secondary_Proportion_Band_A]_x000a_ELSE [APT_Inputs_and_Adjustments.IDACI_Secondary_Proportion_Band_A]"/>
    <s v="If the LA has applied an adjustment within the APT, this figure ('IDACI Second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109_IDACIASecRate"/>
    <s v="SBS_AllAcademies"/>
    <x v="1"/>
    <s v="[1718_APT_Proforma.IDACI_Secondary_BA_amount_per_pupil]"/>
    <s v="[1718_APT_Proforma.IDACI_Secondary_BA_amount_per_pupil]"/>
    <s v="This figure is obtained from the '1718 APT Proforma dataset - IDACI Secondary B6 Amount Per Pupil'. There is no calculation but the rate is required on it's own for inclusion in the FAP."/>
    <x v="1"/>
    <s v="Existing Mainstream"/>
  </r>
  <r>
    <x v="3"/>
    <s v="P110_IDACIASecSubtotal"/>
    <s v="SBS_AllAcademies"/>
    <x v="1"/>
    <s v="P25_Total_NOR_SEC_SBS; P109_IDACIASecRate; P107_IDACIASecFactor; Funding_Basis(201718)"/>
    <s v="IF Existing Academy OR New Opener 1718 funded on estimates, THEN P25_Total_NOR_SEC_SBS * P109_IDACIASecRate * P107_IDACIASecFactor, ELSE (i.e. IF New Opener 1718 funded on census) THEN (IF P109_IDACIASecRate &gt;0) APT_New_ISB_dataset.IDACIA_Secondary"/>
    <s v="This calculation determines the full year amount of IDACI 6 for academies with Secondary pupils, where the LA has applied this factor."/>
    <x v="1"/>
    <s v="Existing Mainstream"/>
  </r>
  <r>
    <x v="3"/>
    <s v="P111_NSENIDACIASec"/>
    <s v="SBS_AllAcademies"/>
    <x v="1"/>
    <s v="P110_IDACIASecSubtotal; P111a_NSENIDACIASec_Percent"/>
    <s v="P110_IDACIASecSubtotal * P111a_NSENIDACIASec_Percent"/>
    <s v="The 'DEP_IDACI_B6_SEC_SEN' has been obtained from 'APT Proforma dataset - IDACI 6 Secondary Notional SEN'.  This has been used to calculate the 'DEP_IDACI_B6_SEC_SEN'"/>
    <x v="0"/>
    <m/>
  </r>
  <r>
    <x v="3"/>
    <s v="P111a_NSENIDACIASec_Percent"/>
    <s v="SBS_AllAcademies"/>
    <x v="0"/>
    <s v="No variables used"/>
    <s v="No calculation used"/>
    <s v="This figure is obtained from the '1718 APT Proforma dataset - IDACI6 Sec Notional SEN'"/>
    <x v="1"/>
    <s v="Existing Mainstream"/>
  </r>
  <r>
    <x v="3"/>
    <s v="P112_InYearIDACIASecSubtotal"/>
    <s v="SBS_AllAcademies"/>
    <x v="1"/>
    <s v="P110_IDACIASecSubtotal; P001_1718DaysOpen; P25_YearDays_1718"/>
    <s v="P110_IDACIASecSubtotal * P001_1718DaysOpen / P25_YearDays_1718"/>
    <s v="This calculation determines the actual Secondary IDACI6 allocation due for the Academic Year 17/18, pro-rating the allocation if an academy opened in-year."/>
    <x v="0"/>
    <m/>
  </r>
  <r>
    <x v="4"/>
    <s v="P114_LACFactor"/>
    <s v="SBS_AllAcademies"/>
    <x v="0"/>
    <s v="[Census_Pupil_Characeristics.LAC_X_Proportion]; [APT_Inputs_and_Adjustments.LAC_X_Proportion]"/>
    <s v="IF [Census_Pupil_Characteristics.LAC__X_Proportion]  and [APT_Inputs_and_Adjustments.LAC_X_Proportion]= &quot;BLANK&quot;, 0, _x000a_ELSE IF [APT_Inputs_and_Adjustments.LAC_X_Proportion] = &quot;BLANK&quot; THEN [Census_Pupil_Characteristics.LAC__X_Proportion]_x000a_ELSE [APT_Inputs_and_Adjustments.LAC_X_Proportion]"/>
    <s v="If the LA has applied an adjustment within the APT, this figure ('LAC_X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4"/>
    <s v="P116_LACRate"/>
    <s v="SBS_AllAcademies"/>
    <x v="1"/>
    <s v="[1718_APT_Proforma.Looked_After_Children_Amount_Per_Pupil]"/>
    <s v="[1718_APT_Proforma.Looked_After_Children_Amount_Per_Pupil]"/>
    <s v="This figure is obtained from the '1718 APT Proforma dataset - Looked After Children Amount Per Pupil'. There is no calculation but the rate is required on it's own for inclusion in the FAP."/>
    <x v="1"/>
    <s v="Existing Mainstream"/>
  </r>
  <r>
    <x v="4"/>
    <s v="P117_LACSubtotal"/>
    <s v="SBS_AllAcademies"/>
    <x v="1"/>
    <s v="P26_Total_NOR_SBS; P116_LACRate; P114_LACFactor; Funding_Basis(201718)"/>
    <s v="IF Existing Academy OR New Opener 1718 funded on estimates, THEN P26_Total_NOR_SBS * P116_LACRate * P114_LACFactor, ELSE (i.e. IF New Opener 1718 funded on census) THEN (IF P116_LACRate &gt;0) APT_New_ISB_dataset.IDACIF_Secondary"/>
    <s v="This calculation determines the full year amount of LAC for academies, where the LA has applied this factor."/>
    <x v="1"/>
    <s v="Existing Mainstream"/>
  </r>
  <r>
    <x v="4"/>
    <s v="P118_NSENLAC"/>
    <s v="SBS_AllAcademies"/>
    <x v="1"/>
    <s v="P117_LACSubtotal; P118a_NSENLAC_Percent"/>
    <s v="P117_LACSubtotal * P118a_NSENLAC_Percent"/>
    <s v="The 'LAC_SEN' has been obtained from 'APT Proforma dataset - LAC Notional SEN'.  This has been used to calculate the 'LAC_NSEN'"/>
    <x v="0"/>
    <m/>
  </r>
  <r>
    <x v="4"/>
    <s v="P118a_NSENLAC_Percent"/>
    <s v="SBS_AllAcademies"/>
    <x v="0"/>
    <s v="No variables used"/>
    <s v="No calculation used"/>
    <s v="This figure is obtained from the '1718 APT Proforma dataset - LAC Notional SEN'"/>
    <x v="1"/>
    <s v="Existing Mainstream"/>
  </r>
  <r>
    <x v="4"/>
    <s v="P119_InYearLACSubtotal"/>
    <s v="SBS_AllAcademies"/>
    <x v="1"/>
    <s v="P117_LACSubtotal; P001_1718DaysOpen; P25_YearDays_1718"/>
    <s v="P117_LACSubtotal * P001_1718DaysOpen / P25_YearDays_1718"/>
    <s v="This calculation determines the actual LAC allocation due for the Academic Year 17/18, pro-rating the allocation if an academy opened in-year."/>
    <x v="0"/>
    <m/>
  </r>
  <r>
    <x v="5"/>
    <s v="P120_PPAindicator"/>
    <s v="SBS_AllAcademies"/>
    <x v="0"/>
    <s v="[1718_APT_Proforma.Prior_Attainment_Primary_Y5-6_73/78/NA]"/>
    <s v="[1718_APT_Proforma.Prior_Attainment_Primary_Y5-6_73/78/NA]"/>
    <s v="This indicator is obtained from the '1718 APT Proforma dataset - Prior Attainment Primary Y5-6 73/78/NA'. There is no calculation but the indicator is used further down and also required for the PPA table on the FAP."/>
    <x v="0"/>
    <m/>
  </r>
  <r>
    <x v="5"/>
    <s v="P121_PPAY5to6Proportion73"/>
    <s v="SBS_AllAcademies"/>
    <x v="0"/>
    <s v="[1718_Census_Pupil_Characteristics.Low_Attainment_Y5-6_Proportion_ 73]; [APT_Inputs_and_Adjustments.Low_Attainment_Y5-6_Proportion_73]; [Local_Authority_Averages.Low_Attainment_Y5-6_Proportion_73]"/>
    <s v="IF [1718_Pupil_Characteristics.Low_Attainment_Y5-6_Proportion_73]  and [APT_Inputs_and_Adjustments.Low_Attainment_Y5-6_Proportion_73]= &quot;BLANK&quot;, THEN [Local_Authority_Averages.Low_Attainment_Y5-6_Proportion_73], _x000a_ELSE IF [APT_Inputs_and_Adjustments.Low_Attainment_Y5-6_Proportion_73] = &quot;BLANK&quot;, THEN [1718_Pupil_Characteristics.Low_Attainment_Y5-6_Proportion_73], ELSE [APT_Inputs_and_Adjustments.Low_Attainment_Y5-6_Proportion_73]"/>
    <s v="This figure is obtained from the '1718 Census Pupil Characteristics dataset - Low Attainment Y5-6 Proportion 73' or from '1718 APT Inputs and Adjustments dataset - Low Attainment Primary Proportion 73' if the LA applied an adjustment within the APT. If both are blank, LA average is applied."/>
    <x v="0"/>
    <m/>
  </r>
  <r>
    <x v="5"/>
    <s v="P122_PPAY5to6Proportion78"/>
    <s v="SBS_AllAcademies"/>
    <x v="0"/>
    <s v="[1718_Census_Pupil_Characteristics.Low_Attainment_Y5-6_Proportion_ 78]; [APT_Inputs_and_Adjustments.Low_Attainment_Y5-6_Proportion_78]; [Local_Authority_Averages.Low_Attainment_Y5-6_Proportion_78]"/>
    <s v="IF [1718_Pupil_Characteristics.Low_Attainment_Y5-6_Proportion_78]  and [APT_Inputs_and_Adjustments.Low_Attainment_Y5-6_Proportion_78]= &quot;BLANK&quot;, THEN [Local_Authority_Averages.Low_Attainment_Y5-6_Proportion_78], _x000a_ELSE IF [APT_Inputs_and_Adjustments.Low_Attainment_Y5-6_Proportion_78] = &quot;BLANK&quot;, THEN [1718_Pupil_Characteristics.Low_Attainment_Y5-6_Proportion_78], ELSE [APT_Inputs_and_Adjustments.Low_Attainment_Y5-6_Proportion_78]"/>
    <s v="This figure is obtained from the '1718 Census Pupil Characteristics dataset - Low Attainment Y5-6 Proportion 78' or from '1718 APT Inputs and Adjustments dataset - Low Attainment Primary Proportion 78' if the LA applied an adjustment within the APT. If both are blank, LA average is applied."/>
    <x v="0"/>
    <m/>
  </r>
  <r>
    <x v="5"/>
    <s v="P122a_PPAY7378forFAPOnly"/>
    <s v="SBS_AllAcademies"/>
    <x v="0"/>
    <s v="P120_PPAindicator; P121_PPAY5to6Proportion73; P122_PPAY5to6Proportion78"/>
    <s v="IF P120_PPAindicator = 73 THEN P121_PPAY5to6Proportion73 ELSE IF P120_PPAindicator = 78 THEN P122_PPAY5to6Proportion78 ELSE 0"/>
    <s v="Calculates the actual weighting applied to Y5 and 6 pupils in the primary prior attainment calculation. Required for presentation in the primary prior attainment table in the FAP."/>
    <x v="1"/>
    <s v="Existing Mainstream"/>
  </r>
  <r>
    <x v="5"/>
    <s v="P123_PPAY1to4ProportionUnder"/>
    <s v="SBS_AllAcademies"/>
    <x v="0"/>
    <s v="[1718_Census_Pupil_Characteristics.Low_Attainment_Y1-4_Proportion_ under_new_EYFSP]; [APT_Inputs_and_Adjustments.Low_Attainment_Y1-4_Proportion_under_new_EYFSP]; [Local_Authority_Averages.Low_Attainment_Y1-4_Proportion_under_new_EYFSP]"/>
    <s v="IF [1718_Pupil_Characteristics.Low_Attainment_Y1-4_Proportion_under_new_EYFSP]  and [APT_Inputs_and_Adjustments.Low_Attainment_Y1-4_Proportion_under_new_EYFSP]= &quot;BLANK&quot;, THEN [Local_Authority_Averages.Low_Attainment_Y1-4_Proportion_under_new_EYFSP], _x000a_ELSE IF [APT_Inputs_and_Adjustments.Low_Attainment_Y1-4_Proportion_under_new_EYFSP] = &quot;BLANK&quot;, THEN [1718_Pupil_Characteristics.Low_Attainment_Y1-4_Proportion_under_new_EYFSP], ELSE [APT_Inputs_and_Adjustments.Low_Attainment_Y1-4_Proportion_under_new_EYFSP]"/>
    <s v="This figure is obtained from the '1718 Census Pupil Characteristics dataset - Low Attainment Y1-4 Proportion under new EYFSP' or from '1718 APT Inputs and Adjustments dataset - Low Attainment Y1-4 Proportion under new EYFSP' if the LA applied an adjustment within the APT. If both are blank, LA average is applied."/>
    <x v="1"/>
    <s v="Existing Mainstream"/>
  </r>
  <r>
    <x v="5"/>
    <s v="P124_PPAY5to6NOR"/>
    <s v="SBS_AllAcademies"/>
    <x v="2"/>
    <s v="P04_Y5-6"/>
    <s v="P04_Y5-6"/>
    <s v="This figure is obtained from the '1718 Number on Roll products - NOR_P04_Y5-Y6'. There is no calculation in this product but value is required for FAP."/>
    <x v="1"/>
    <s v="Existing Mainstream"/>
  </r>
  <r>
    <x v="5"/>
    <s v="P125_PPAY1to4NOR"/>
    <s v="SBS_AllAcademies"/>
    <x v="2"/>
    <s v="P03_Y1-4"/>
    <s v="P03_Y1-4"/>
    <s v="This figure is obtained from the '1718 Number on Roll products - NOR_P03_Y1-Y4'. There is no calculation in this product but value is required for FAP."/>
    <x v="1"/>
    <s v="Existing Mainstream"/>
  </r>
  <r>
    <x v="5"/>
    <s v="P126_PPAPriNOR"/>
    <s v="SBS_AllAcademies"/>
    <x v="2"/>
    <s v="P22_Total_NOR_PRI_SBS"/>
    <s v="P22_Total_NOR_PRI_SBS"/>
    <s v="This figure is obtained from the '1718 Number on Roll products - NOR_P22_PRI' (looks to Inputs and Adjustments and includes Reception Uplift if applied). There is no calculation in this product but value is required for FAP."/>
    <x v="0"/>
    <m/>
  </r>
  <r>
    <x v="5"/>
    <s v="P127_PPARate"/>
    <s v="SBS_AllAcademies"/>
    <x v="1"/>
    <s v="[1718_APT_Proforma.Prior_Attainment_Primary_Amount_Per_Pupil]"/>
    <s v="[1718_APT_Proforma.Prior_Attainment_Primary_Amount_Per_Pupil]"/>
    <s v="This figure is obtained from the '1718 APT Proforma dataset - Prior Attainment Primary Amount Per Pupil'. There is no calculation but the rate is required on it's own for inclusion in the FAP."/>
    <x v="1"/>
    <s v="Existing Mainstream"/>
  </r>
  <r>
    <x v="5"/>
    <s v="P128_PPAWeighting"/>
    <s v="SBS_AllAcademies"/>
    <x v="0"/>
    <s v="[1718_APT_Proforma.Prior_Attainment_Primary_Weighting]"/>
    <s v="[1718_APT_Proforma.Prior_Attainment_Primary_Weighting]"/>
    <s v="This figure is obtained from the '1718 APT Proforma dataset - Prior Attainment Primary Weighting'. There is no calculation but the rate is required on it's own for inclusion in the FAP."/>
    <x v="1"/>
    <s v="Existing Mainstream"/>
  </r>
  <r>
    <x v="5"/>
    <s v="P129_PPAPupilsY5to6NotAchieving"/>
    <s v="SBS_AllAcademies"/>
    <x v="0"/>
    <s v="P120_PPAindicator; P121_PPAY5to6Proportion73; P124_PPAY5to6NOR; P122_PPAY5to6Proportion78"/>
    <s v="IF (P120_PPAindicator = 73) THEN P121_PPAY5to6Proportion73 * P124_PPAY5to6NOR IF (P120_PPAindicator = 78) THEN P122_PPAY5to6Proportion78 * P124_PPAY5to6NOR ELSE zero"/>
    <s v="This calculation determines the full year amount of Y4 to 6 pupils eligible for Prior Attainment Primary, where the LA has applied this factor."/>
    <x v="1"/>
    <s v="Existing Mainstream"/>
  </r>
  <r>
    <x v="5"/>
    <s v="P130_PPAPupilsY1to4NotAchieving"/>
    <s v="SBS_AllAcademies"/>
    <x v="0"/>
    <s v="P123_PPAY1to4ProportionUnder; P128_PPAWeighting; P125_PPAY1to4NOR"/>
    <s v="P123_PPAY1to4ProportionUnder * P128_PPAWeighting * P125_PPAY1to4NOR"/>
    <s v="This calculation determines the full year amount of Y1 to 3 pupils eligible for Prior Attainment Primary, where the LA has applied this factor."/>
    <x v="1"/>
    <s v="Existing Mainstream"/>
  </r>
  <r>
    <x v="5"/>
    <s v="P131_PPATotalPupilsY1to6NotAchieving"/>
    <s v="SBS_AllAcademies"/>
    <x v="0"/>
    <s v="P129_PPAPupilsY5to6NotAchieving; P130_PPAPupilsY1to4NotAchieving"/>
    <s v="P130_PPAPupilsY1to4NotAchieving + P129_PPAPupilsY5to6NotAchieving"/>
    <s v="This calculation determines the total full year amount of Y1 to 6 pupils eligible for Prior Attainment Primary, where the LA has applied this factor."/>
    <x v="1"/>
    <s v="Existing Mainstream"/>
  </r>
  <r>
    <x v="5"/>
    <s v="P132_PPATotalProportionNotAchieving"/>
    <s v="SBS_AllAcademies"/>
    <x v="0"/>
    <s v="P124_PPAY5to6NOR; P125_PPAY1to4NOR; P131_PPATotalPupilsY1to6NotAchieving"/>
    <s v="P131_PPATotalPupilsY1to6NotAchieving / (P124_PPAY5to6NOR + P125_PPAY1to4NOR)"/>
    <s v="This calculation determines the total full year proportion of Y1 to 6 pupils eligible for Prior Attainment Primary, where the LA has applied this factor."/>
    <x v="1"/>
    <s v="Existing Mainstream"/>
  </r>
  <r>
    <x v="5"/>
    <s v="P133_PPATotalFunding"/>
    <s v="SBS_AllAcademies"/>
    <x v="1"/>
    <s v="P132_PPATotalProportionNotAchieving; P126_PPAPriNOR; P127_PPARate"/>
    <s v="P126_PPAPriNOR * P127_PPARate * P132_PPATotalProportionNotAchieving"/>
    <s v="This calculation determines the full year amount of Primary Prior Attainment for academies with primary pupils, where the LA has applied this factor."/>
    <x v="1"/>
    <s v="Existing Mainstream"/>
  </r>
  <r>
    <x v="5"/>
    <s v="P134_NSENPPA"/>
    <s v="SBS_AllAcademies"/>
    <x v="1"/>
    <s v="P133_PPATotalFunding; P134a_NSENPPA_Percent"/>
    <s v="P133_PPATotalFunding * P134a_NSENPPA_Percent"/>
    <s v="Total PPA funding multiplied by NSEN percentage gives the amount of NSEN atttributable to PPA funding."/>
    <x v="0"/>
    <m/>
  </r>
  <r>
    <x v="5"/>
    <s v="P134a_NSENPPA_Percent"/>
    <s v="SBS_AllAcademies"/>
    <x v="0"/>
    <s v="No variables used"/>
    <s v="No calculation used"/>
    <s v="This figure is obtained from the '1718 APT Proforma dataset - Primary Prior Attainment Notional SEN'"/>
    <x v="1"/>
    <s v="Existing Mainstream"/>
  </r>
  <r>
    <x v="5"/>
    <s v="P135_InYearPPASubtotal"/>
    <s v="SBS_AllAcademies"/>
    <x v="1"/>
    <s v="P133_PPATotalFunding; P001_1718DaysOpen; P25_YearDays_1718"/>
    <s v="P133_PPATotalFunding * P001_1718DaysOpen / P25_YearDays_1718"/>
    <s v="This calculation determines the actual PPA allocation due for the Academic Year 17/18, pro-rating the allocation if an academy opened in-year."/>
    <x v="0"/>
    <m/>
  </r>
  <r>
    <x v="5"/>
    <s v="P136_SecPA_Y7Factor"/>
    <s v="SBS_AllAcademies"/>
    <x v="0"/>
    <s v="[Census_Pupil_Characeristics.Low_Attainment_Secondary_Proportion - Y7]; [APT_Inputs_and_Adjustments.Low_Attainment_Secondary_Proportion Y7]"/>
    <s v="IF [Census_Pupil_Characteristics.Low_Attainment_SecondaryProportion - Y7]  and [APT_Inputs_and_Adjustments.Low_Attainment_Secondary_Proportion Y7]= &quot;BLANK&quot;, [Local_Authority_Averages.Low_Attainment_Secondary_Proportion Y7], _x000a_ELSE IF [APT_Inputs_and_Adjustments.Low_Attainment_Secondary_Proportion Y7] = &quot;BLANK&quot; THEN [Census_Pupil_Characteristics.Low_Attainment_Secondary_Proportion - Y7]_x000a_ELSE [APT_Inputs_and_Adjustments.Low_Attainment_Secondary_Proportion Y7]"/>
    <s v="If the LA has applied an adjustment within the APT, this figure ('Low_Attainment_Secondary_Proportion Y7') is taken from '1718 APT Inputs and Adjustments dataset', otherwise it will usually be obtained from the '1718 Census Pupil Characteristics dataset'. If both are blank (e.g. for a brand new opener with no predecessor data), then defaults to zero."/>
    <x v="0"/>
    <m/>
  </r>
  <r>
    <x v="5"/>
    <s v="P136a_SecPA_Y7NationalWeight"/>
    <s v="SBS_AllAcademies"/>
    <x v="0"/>
    <s v="[1718_APT_Proforma.Secondary_Low_Attainment_(Year7)_Weighting]"/>
    <s v="[1718_APT_Proforma.Secondary_Low_Attainment_(Year7)_Weighting]"/>
    <s v="This figure is obtained from the '1718 APT Proforma dataset - Secondary Low Attainment (Year 7) Weighting'. There is no calculation."/>
    <x v="0"/>
    <m/>
  </r>
  <r>
    <x v="5"/>
    <s v="P137_SecPA_Y8to11Factor"/>
    <s v="SBS_AllAcademies"/>
    <x v="0"/>
    <s v="[Census_Pupil_Characeristics.Low_Attainment_Secondary_Proportion - Y8-11]; [APT_Inputs_and_Adjustments.Low_Attainment_Secondary_Proportion Y8-11]"/>
    <s v="IF [Census_Pupil_Characteristics.Low_Attainment_SecondaryProportion - Y8-11]  and [APT_Inputs_and_Adjustments.Low_Attainment_Secondary_Proportion Y8-11]= &quot;BLANK&quot;, [Local_Authority_Averages.Low_Attainment_SecondaryProportion - Y8-11], _x000a_ELSE IF [APT_Inputs_and_Adjustments.Low_Attainment_Secondary_Proportion Y8-11] = &quot;BLANK&quot; THEN [Census_Pupil_Characteristics.Low_Attainment_Secondary_Proportion - Y8-11]_x000a_ELSE [APT_Inputs_and_Adjustments.Low_Attainment_Secondary_Proportion Y8-11]"/>
    <s v="If the LA has applied an adjustment within the APT, this figure ('Low_Attainment_Secondary_Proportion Y8-11') is taken from '1718 APT Inputs and Adjustments dataset', otherwise it will usually be obtained from the '1718 Census Pupil Characteristics dataset'."/>
    <x v="0"/>
    <m/>
  </r>
  <r>
    <x v="5"/>
    <s v="P138_SecPARate"/>
    <s v="SBS_AllAcademies"/>
    <x v="1"/>
    <s v="[1718_APT_Proforma.Low_Attainment_Secondary_Amount_Per_Pupil]"/>
    <s v="[1718_APT_Proforma.Low_Attainment_Secondary_Amount_Per_Pupil]"/>
    <s v="This figure is obtained from the '1718 APT Proforma dataset - Low Attainment Secondary Amount Per Pupil'. There is no calculation but the rate is required on it's own for inclusion in the FAP."/>
    <x v="1"/>
    <s v="Existing Mainstream"/>
  </r>
  <r>
    <x v="5"/>
    <s v="P138a_SecPA_AdjustedSecFactor"/>
    <s v="SBS_AllAcademies"/>
    <x v="1"/>
    <s v="P08a_Y7; P08b_Y8-11; P136_SecPA_Y7Factor; P136a_SecPA_Y7NationalWeight; P137_SecPA_Y8to11Factor"/>
    <s v="((P136_SecPA_Y7Factor * P08a_Y7 * P136a_SecPA_Y7NationalWeight) + (P137_SecPA_Y8to11Factor * P08b_Y8-11)) / (P08a_Y7 + P08b_Y8-11)"/>
    <s v="This calculation determines the total full year proportion of Y7 to 11 pupils eligible for Prior Attainment Secondary funding.  NB The pupil counts included in this calculation do not have high needs places deducted."/>
    <x v="1"/>
    <s v="Existing Mainstream"/>
  </r>
  <r>
    <x v="5"/>
    <s v="P139_SecPASubtotal"/>
    <s v="SBS_AllAcademies"/>
    <x v="1"/>
    <s v="P25_Total_NOR_SEC_SBS; P138a_SecPA_AdjustedSecFactor; P138_SecPARate"/>
    <s v="IF Existing Academy OR New Opener 1718 funded on estimates, THEN_x000a__x000a_ P25_Total_NOR_SEC_SBS * P138_SecPARate * P138a_SecPA_AdjustedSecFactor, _x000a__x000a_ELSE (i.e. IF New Opener 1718 funded on census) THEN (IF P138_SecPARate &gt;0) APT_New_ISB_dataset.Low_Attainment_(S)"/>
    <s v="This calculation determines the full year amount of Secondary Prior Attainment for academies, where the LA has applied this factor."/>
    <x v="1"/>
    <s v="Existing Mainstream"/>
  </r>
  <r>
    <x v="5"/>
    <s v="P140_NSENSecPA"/>
    <s v="SBS_AllAcademies"/>
    <x v="1"/>
    <s v="P139_SecPASubtotal; P140a_NSENSecPA_Percent"/>
    <s v="P139_SecPASubtotal * P140a_NSENSecPA_Percent"/>
    <s v="Total Sec PA funding multiplied by Sec PA NSEN percentage gives the amount of NSEN atttributable to Sec PA funding."/>
    <x v="0"/>
    <m/>
  </r>
  <r>
    <x v="5"/>
    <s v="P140a_NSENSecPA_Percent"/>
    <s v="SBS_AllAcademies"/>
    <x v="0"/>
    <s v="No variables used"/>
    <s v="No calculation used"/>
    <s v="This figure is obtained from the '1718 APT Proforma dataset - Secondary Prior Attainment Notional SEN'"/>
    <x v="1"/>
    <s v="Existing Mainstream"/>
  </r>
  <r>
    <x v="5"/>
    <s v="P141_InYearSecPASubtotal"/>
    <s v="SBS_AllAcademies"/>
    <x v="1"/>
    <s v="P139_SecPASubtotal; P001_1718DaysOpen; P25_YearDays_1718"/>
    <s v="P139_SecPASubtotal * P001_1718DaysOpen / P25_YearDays_1718"/>
    <s v="This calculation determines the actual Secondary Prior Attainment allocation due for the Academic Year 17/18, pro-rating the allocation if an academy opened in-year."/>
    <x v="0"/>
    <m/>
  </r>
  <r>
    <x v="6"/>
    <s v="P142_EAL1PriFactor"/>
    <s v="SBS_AllAcademies"/>
    <x v="0"/>
    <s v="[Census_Pupil_Characeristics.EAL1_Primary_Proportion]; [APT_Inputs_and_Adjustments.EAL1_Primary_Proportion]"/>
    <s v="IF string.IsNullOrEmpty([Census_Pupil_Characeristics.EAL1_Primary_Proportion]) AND string.IsNullOrEmpty([APT_Inputs_and_Adjustments.EAL1_Primary_Proportion]) THEN, _x000a_Result = LA_AV _x000a_ELSE_x000a_If string.IsNullOrEmpty([APT_Inputs_and_Adjustments.EAL1_Primary_Proportion]) THEN_x000a_Result = [Census_Pupil_Characeristics.EAL1_Primary_Proportion] _x000a_ELSE_x000a_Result = [APT_Inputs_and_Adjustments.EAL1_Primary_Proportion]_x000a_"/>
    <s v="If the LA has applied an adjustment within the APT, this figure ('EAL1_Prim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44_EAL1PriRate"/>
    <s v="SBS_AllAcademies"/>
    <x v="1"/>
    <s v="[1718_APT_Proforma.EAL_Primary_Amount_Per_Pupil]; [1718_APT_Proforma.EAL_Primary_1/2/3/NA]"/>
    <s v="If [APT_Proforma_dataset.EAL_Primary_1/2/3/NA] = &quot;EAL 1 Primary&quot; Then _x000a_[APT_Proforma_dataset.EAL_Primary_Amount_Per_Pupil] _x000a_Else 0"/>
    <s v="This figure is obtained from the '1718 APT Proforma dataset - EAL1 Primary Amount Per Pupil'. There is no calculation but the rate is required on it's own for inclusion in the FAP."/>
    <x v="1"/>
    <s v="Existing Mainstream"/>
  </r>
  <r>
    <x v="6"/>
    <s v="P145_EAL1PriSubtotal"/>
    <s v="SBS_AllAcademies"/>
    <x v="1"/>
    <s v="P22_Total_NOR_PRI_SBS; P144_EAL1PriRate; P142_EAL1PriFactor; Funding_Basis(201718)"/>
    <s v="IF Existing Academy OR New Opener 1718 funded on estimates, THEN P26_Total_NOR_SBS * P144_EAL1PriRate * P142_EAL1PriFactor, ELSE (i.e. IF New Opener 1718 funded on census) THEN (IF P144_EAL1PriRate &gt;0) APT_New_ISB_dataset.IDACIF_Secondary"/>
    <s v="This calculation determines the full year amount of Primary EAL1 for academies, where the LA has applied this factor."/>
    <x v="1"/>
    <s v="Existing Mainstream"/>
  </r>
  <r>
    <x v="6"/>
    <s v="P146_InYearEAL1PriSubtotal"/>
    <s v="SBS_AllAcademies"/>
    <x v="1"/>
    <s v="P145_EAL1PriSubtotal; P001_1718DaysOpen; P25_YearDays_1718"/>
    <s v="P145_EAL1PriSubtotal * P001_1718DaysOpen / P25_YearDays_1718"/>
    <s v="This calculation determines the actual EAL1 Primary allocation due for the Academic Year 17/18, pro-rating the allocation if an academy opened in-year."/>
    <x v="0"/>
    <m/>
  </r>
  <r>
    <x v="6"/>
    <s v="P147_EAL2PriFactor"/>
    <s v="SBS_AllAcademies"/>
    <x v="0"/>
    <s v="[Census_Pupil_Characeristics.EAL2_Primary_Proportion]; [APT_Inputs_and_Adjustments.EAL2_Primary_Proportion]"/>
    <s v="IF [Census_Pupil_Characteristics.EAL2_Primary_Proportion]  and [APT_Inputs_and_Adjustments.EAL2_Primary_Proportion]= &quot;BLANK&quot; THEN,_x000a_Result = LA_AV, _x000a_ELSE IF [APT_Inputs_and_Adjustments.EAL2_Primary_Proportion] = &quot;BLANK&quot; THEN [Census_Pupil_Characteristics.EAL2_Primary_Proportion]_x000a_ELSE [APT_Inputs_and_Adjustments.EAL2_Primary_Proportion]"/>
    <s v="If the LA has applied an adjustment within the APT, this figure ('EAL2_Prim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49_EAL2PriRate"/>
    <s v="SBS_AllAcademies"/>
    <x v="1"/>
    <s v="[1718_APT_Proforma.EAL_Primary_Amount_Per_Pupil]; [1718_APT_Proforma.EAL_Primary_1/2/3/NA]"/>
    <s v="If [APT_Proforma_dataset.EAL_Primary_1/2/3/NA] = &quot;EAL 2 Primary&quot; Then _x000a_[APT_Proforma_dataset.EAL_Primary_Amount_Per_Pupil] _x000a_Else 0"/>
    <s v="This figure is obtained from the '1718 APT Proforma dataset - EAL2 Primary Amount Per Pupil'. There is no calculation but the rate is required on it's own for inclusion in the FAP."/>
    <x v="1"/>
    <s v="Existing Mainstream"/>
  </r>
  <r>
    <x v="6"/>
    <s v="P150_EAL2PriSubtotal"/>
    <s v="SBS_AllAcademies"/>
    <x v="1"/>
    <s v="P22_Total_NOR_PRI_SBS; P149_EAL2PriRate; P147_EAL2PriFactor; Funding_Basis(201718)"/>
    <s v="IF Existing Academy OR New Opener 1718 funded on estimates, THEN P26_Total_NOR_SBS * P149_EAL2PriRate * P147_EAL2PriFactor, ELSE (i.e. IF New Opener 1718 funded on census) THEN (IF P149_EAL2PriRate &gt;0) APT_New_ISB_dataset.IDACIF_Secondary"/>
    <s v="This calculation determines the full year amount of Primary EAL2 for academies, where the LA has applied this factor."/>
    <x v="1"/>
    <s v="Existing Mainstream"/>
  </r>
  <r>
    <x v="6"/>
    <s v="P151_InYearEAL2PriSubtotal"/>
    <s v="SBS_AllAcademies"/>
    <x v="1"/>
    <s v="P150_EAL2PriSubtotal; P001_1718DaysOpen; P25_YearDays_1718"/>
    <s v="P150_EAL2PriSubtotal * P001_1718DaysOpen / P25_YearDays_1718"/>
    <s v="This calculation determines the actual EAL2 Primary allocation due for the Academic Year 17/18, pro-rating the allocation if an academy opened in-year."/>
    <x v="0"/>
    <m/>
  </r>
  <r>
    <x v="6"/>
    <s v="P152_EAL3PriFactor"/>
    <s v="SBS_AllAcademies"/>
    <x v="0"/>
    <s v="[Census_Pupil_Characeristics.EAL3_Primary_Proportion]; [APT_Inputs_and_Adjustments.EAL3_Primary_Proportion]"/>
    <s v="IF [Census_Pupil_Characteristics.EAL3_Primary_Proportion]  and [APT_Inputs_and_Adjustments.EAL3_Primary_Proportion]= &quot;BLANK&quot; THEN, _x000a_Result = LA_AV  _x000a_ELSE IF [APT_Inputs_and_Adjustments.EAL3_Primary_Proportion] = &quot;BLANK&quot; THEN [Census_Pupil_Characteristics.EAL3_Primary_Proportion]_x000a_ELSE [APT_Inputs_and_Adjustments.EAL3_Primary_Proportion]"/>
    <s v="If the LA has applied an adjustment within the APT, this figure ('EAL3_Prim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54_EAL3PriRate"/>
    <s v="SBS_AllAcademies"/>
    <x v="1"/>
    <s v="[1718_APT_Proforma.EAL_Primary_Amount_Per_Pupil]; [1718_APT_Proforma.EAL_Primary_1/2/3/NA]"/>
    <s v="If [APT_Proforma_dataset.EAL_Primary_1/2/3/NA] = &quot;EAL 3 Primary&quot; Then _x000a_[APT_Proforma_dataset.EAL_Primary_Amount_Per_Pupil] _x000a_Else 0"/>
    <s v="This figure is obtained from the '1718 APT Proforma dataset - EAL3 Primary Amount Per Pupil'. There is no calculation but the rate is required on it's own for inclusion in the FAP."/>
    <x v="1"/>
    <s v="Existing Mainstream"/>
  </r>
  <r>
    <x v="6"/>
    <s v="P155_EAL3PriSubtotal"/>
    <s v="SBS_AllAcademies"/>
    <x v="1"/>
    <s v="P22_Total_NOR_PRI_SBS; P154_EAL3PriRate; P152_EAL3PriFactor; Funding_Basis(201718)"/>
    <s v="IF Existing Academy OR New Opener 1718 funded on estimates, THEN P26_Total_NOR_SBS * P154_EAL3PriRate * P152_EAL3PriFactor, ELSE (i.e. IF New Opener 1718 funded on census) THEN (IF P154_EAL3PriRate &gt;0) APT_New_ISB_dataset.IDACIF_Secondary"/>
    <s v="This calculation determines the full year amount of Primary EAL3 for academies, where the LA has applied this factor."/>
    <x v="1"/>
    <s v="Existing Mainstream"/>
  </r>
  <r>
    <x v="6"/>
    <s v="P156_NSENPriEAL"/>
    <s v="SBS_AllAcademies"/>
    <x v="1"/>
    <s v="P145_EAL1PriSubtotal; P150_EAL2PriSubtotal; P155_EAL3PriSubtotal; P156a_NSENPriEAL_Percent"/>
    <s v="(P145_EAL1PriSubtotal + P150_EAL2PriSubtotal + P155_EAL3PriSubtotal) * P156a_NSENPriEAL_Percent"/>
    <s v="Calculates the proportion of EAL primary funding attributable to NSEN."/>
    <x v="0"/>
    <m/>
  </r>
  <r>
    <x v="6"/>
    <s v="P156a_NSENPriEAL_Percent"/>
    <s v="SBS_AllAcademies"/>
    <x v="0"/>
    <s v="No variables used"/>
    <s v="No calculation used"/>
    <s v="This figure is obtained from the '1718 APT Proforma dataset - Primary EAL Notional SEN'"/>
    <x v="1"/>
    <s v="Existing Mainstream"/>
  </r>
  <r>
    <x v="6"/>
    <s v="P157_InYearEAL3PriSubtotal"/>
    <s v="SBS_AllAcademies"/>
    <x v="1"/>
    <s v="P155_EAL3PriSubtotal; P001_1718DaysOpen; P25_YearDays_1718"/>
    <s v="P155_EAL3PriSubtotal * P001_1718DaysOpen / P25_YearDays_1718"/>
    <s v="This calculation determines the actual EAL3 Primary allocation due for the Academic Year 17/18, pro-rating the allocation if an academy opened in-year."/>
    <x v="0"/>
    <m/>
  </r>
  <r>
    <x v="6"/>
    <s v="P158_EAL1SecFactor"/>
    <s v="SBS_AllAcademies"/>
    <x v="0"/>
    <s v="[Census_Pupil_Characeristics.EAL1_Secondary_Proportion]; [APT_Inputs_and_Adjustments.EAL1_Secondary_Proportion]"/>
    <s v="IF [Census_Pupil_Characteristics.EAL1_Secondary_Proportion]  and [APT_Inputs_and_Adjustments.EAL1_Secondary_Proportion]= &quot;BLANK&quot; THEN, _x000a_Result = LA_AV, _x000a_ELSE IF [APT_Inputs_and_Adjustments.EAL1_Secondary_Proportion] = &quot;BLANK&quot; THEN [Census_Pupil_Characteristics.EAL1_Secondary_Proportion]_x000a_ELSE [APT_Inputs_and_Adjustments.EAL1_Secondary_Proportion]"/>
    <s v="If the LA has applied an adjustment within the APT, this figure ('EAL1_Second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60_EAL1SecRate"/>
    <s v="SBS_AllAcademies"/>
    <x v="1"/>
    <s v="[1718_APT_Proforma.EAL_Secondary_Amount_Per_Pupil]; [1718_APT_Proforma.EAL_Secondary_1/2/3/NA]"/>
    <s v="If [APT_Proforma_dataset.EAL_Secondary_1/2/3/NA] = &quot;EAL 1 Secondary&quot; Then _x000a_[APT_Proforma_dataset.EAL_Secondary_Amount_Per_Pupil] _x000a_Else 0"/>
    <s v="This figure is obtained from the '1718 APT Proforma dataset - EAL1 Secondary Amount Per Pupil'. There is no calculation but the rate is required on it's own for inclusion in the FAP."/>
    <x v="1"/>
    <s v="Existing Mainstream"/>
  </r>
  <r>
    <x v="6"/>
    <s v="P161_EAL1SecSubtotal"/>
    <s v="SBS_AllAcademies"/>
    <x v="1"/>
    <s v="P25_Total_NOR_SEC_SBS; P160_EAL1SecRate; P158_EAL1SecFactor; Funding_Basis(201718)"/>
    <s v="IF Existing Academy OR New Opener 1718 funded on estimates, THEN P26_Total_NOR_SBS * P160_EAL1SecRate * P158_EAL1SecFactor, ELSE (i.e. IF New Opener 1718 funded on census) THEN (IF P160_EAL1SecRate &gt;0) APT_New_ISB_dataset.IDACIF_Secondary"/>
    <s v="This calculation determines the full year amount of Secondary EAL1 for academies, where the LA has applied this factor."/>
    <x v="1"/>
    <s v="Existing Mainstream"/>
  </r>
  <r>
    <x v="6"/>
    <s v="P162_InYearEAL1SecSubtotal"/>
    <s v="SBS_AllAcademies"/>
    <x v="1"/>
    <s v="P161_EAL1SecSubtotal; P001_1718DaysOpen; P25_YearDays_1718"/>
    <s v="P161_EAL1SecSubtotal * P001_1718DaysOpen / P25_YearDays_1718"/>
    <s v="This calculation determines the actual EAL1 Secondary allocation due for the Academic Year 17/18, pro-rating the allocation if an academy opened in-year."/>
    <x v="0"/>
    <m/>
  </r>
  <r>
    <x v="6"/>
    <s v="P163_EAL2SecFactor"/>
    <s v="SBS_AllAcademies"/>
    <x v="0"/>
    <s v="[Census_Pupil_Characeristics.EAL2_Secondary_Proportion]; [APT_Inputs_and_Adjustments.EAL2_Secondary_Proportion]"/>
    <s v="IF [Census_Pupil_Characteristics.EAL2_Secondary_Proportion]  and [APT_Inputs_and_Adjustments.EAL2_Secondary_Proportion]= &quot;BLANK&quot; THEN, _x000a_Result = LA_AV, _x000a_ELSE IF [APT_Inputs_and_Adjustments.EAL2_Secondary_Proportion] = &quot;BLANK&quot; THEN [Census_Pupil_Characteristics.EAL2_Secondary_Proportion]_x000a_ELSE [APT_Inputs_and_Adjustments.EAL2_Secondary_Proportion]"/>
    <s v="If the LA has applied an adjustment within the APT, this figure ('EAL2_Second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65_EAL2SecRate"/>
    <s v="SBS_AllAcademies"/>
    <x v="1"/>
    <s v="[1718_APT_Proforma.EAL_Secondary_Amount_Per_Pupil]; [1718_APT_Proforma.EAL_Secondary_1/2/3/NA]"/>
    <s v="If [APT_Proforma_dataset.EAL_Secondary_1/2/3/NA] = &quot;EAL 2 Secondary&quot; Then _x000a_[APT_Proforma_dataset.EAL_Secondary_Amount_Per_Pupil] _x000a_Else 0"/>
    <s v="This figure is obtained from the '1718 APT Proforma dataset - EAL2 Secondary Amount Per Pupil'. There is no calculation but the rate is required on it's own for inclusion in the FAP."/>
    <x v="1"/>
    <s v="Existing Mainstream"/>
  </r>
  <r>
    <x v="6"/>
    <s v="P166_EAL2SecSubtotal"/>
    <s v="SBS_AllAcademies"/>
    <x v="1"/>
    <s v="P25_Total_NOR_SEC_SBS; P165_EAL2SecRate; P163_EAL2SecFactor; Funding_Basis(201718)"/>
    <s v="IF Existing Academy OR New Opener 1718 funded on estimates, THEN P26_Total_NOR_SBS * P165_EAL2SecRate * P163_EAL2SecFactor, ELSE (i.e. IF New Opener 1718 funded on census) THEN (IF P165_EAL2SecRate &gt;0) APT_New_ISB_dataset.IDACIF_Secondary"/>
    <s v="This calculation determines the full year amount of Secondary EAL2 for academies, where the LA has applied this factor."/>
    <x v="1"/>
    <s v="Existing Mainstream"/>
  </r>
  <r>
    <x v="6"/>
    <s v="P167_InYearEAL2SecSubtotal"/>
    <s v="SBS_AllAcademies"/>
    <x v="1"/>
    <s v="P166_EAL2SecSubtotal; P001_1718DaysOpen; P25_YearDays_1718"/>
    <s v="P166_EAL2SecSubtotal * P001_1718DaysOpen / P25_YearDays_1718"/>
    <s v="This calculation determines the actual EAL2 Secondary allocation due for the Academic Year 17/18, pro-rating the allocation if an academy opened in-year."/>
    <x v="0"/>
    <m/>
  </r>
  <r>
    <x v="6"/>
    <s v="P168_EAL3SecFactor"/>
    <s v="SBS_AllAcademies"/>
    <x v="0"/>
    <s v="[Census_Pupil_Characeristics.EAL3_Secondary_Proportion]; [APT_Inputs_and_Adjustments.EAL3_Secondary_Proportion]"/>
    <s v="IF [Census_Pupil_Characteristics.EAL3_Secondary_Proportion]  and [APT_Inputs_and_Adjustments.EAL3_Secondary_Proportion]= &quot;BLANK&quot; THEN, _x000a_Result = LA_AV, _x000a_ELSE IF [APT_Inputs_and_Adjustments.EAL3_Secondary_Proportion] = &quot;BLANK&quot; THEN [Census_Pupil_Characteristics.EAL3_Secondary_Proportion]_x000a_ELSE [APT_Inputs_and_Adjustments.EAL3_Secondary_Proportion]"/>
    <s v="If the LA has applied an adjustment within the APT, this figure ('EAL3_Second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70_EAL3SecRate"/>
    <s v="SBS_AllAcademies"/>
    <x v="1"/>
    <s v="[1718_APT_Proforma.EAL_Secondary_Amount_Per_Pupil]; [1718_APT_Proforma.EAL_Secondary_1/2/3/NA]"/>
    <s v="If [APT_Proforma_dataset.EAL_Secondary_1/2/3/NA] = &quot;EAL 3 Secondary&quot; Then _x000a_[APT_Proforma_dataset.EAL_Secondary_Amount_Per_Pupil] _x000a_Else 0"/>
    <s v="This figure is obtained from the '1718 APT Proforma dataset - EAL3 Secondary Amount Per Pupil'. There is no calculation but the rate is required on it's own for inclusion in the FAP."/>
    <x v="1"/>
    <s v="Existing Mainstream"/>
  </r>
  <r>
    <x v="6"/>
    <s v="P171_EAL3SecSubtotal"/>
    <s v="SBS_AllAcademies"/>
    <x v="1"/>
    <s v="P25_Total_NOR_SEC_SBS; P170_EAL3SecRate; P168_EAL3SecFactor; Funding_Basis(201718)"/>
    <s v="IF Existing Academy OR New Opener 1718 funded on estimates, THEN P26_Total_NOR_SBS * P170_EAL3SecRate * P168_EAL3SecFactor, ELSE (i.e. IF New Opener 1718 funded on census) THEN (IF P170_EAL3SecRate &gt;0) APT_New_ISB_dataset.IDACIF_Secondary"/>
    <s v="This calculation determines the full year amount of Secondary EAL3 for academies, where the LA has applied this factor."/>
    <x v="1"/>
    <s v="Existing Mainstream"/>
  </r>
  <r>
    <x v="6"/>
    <s v="P172_NSENSecEAL"/>
    <s v="SBS_AllAcademies"/>
    <x v="1"/>
    <s v="P161_EAL1SecSubtotal; P166_EAL2SecSubtotal; P171_EAL3SecSubtotal; P172a_NSENSecEAL_Percent"/>
    <s v="(P161_EAL1SecSubtotal + P166_EAL2SecSubtotal + P171_EAL3SecSubtotal) * P172a_NSENSecEAL_Percent"/>
    <s v="The proportion of EAL Secondary funding attributed to NSEN."/>
    <x v="0"/>
    <m/>
  </r>
  <r>
    <x v="6"/>
    <s v="P172a_NSENSecEAL_Percent"/>
    <s v="SBS_AllAcademies"/>
    <x v="0"/>
    <s v="No variables used"/>
    <s v="No calculation used"/>
    <s v="The 'EALS_SEN' has been obtained from 'APT Proforma dataset - EAL Secondary Notional SEN'.  "/>
    <x v="1"/>
    <s v="Existing Mainstream"/>
  </r>
  <r>
    <x v="6"/>
    <s v="P173_InYearEAL3SecSubtotal"/>
    <s v="SBS_AllAcademies"/>
    <x v="1"/>
    <s v="P171_EAL3SecSubtotal; P001_1718DaysOpen; P25_YearDays_1718"/>
    <s v="P171_EAL3SecSubtotal * P001_1718DaysOpen / P25_YearDays_1718"/>
    <s v="This calculation determines the actual EAL3 Secondary allocation due for the Academic Year 17/18, pro-rating the allocation if an academy opened in-year."/>
    <x v="0"/>
    <m/>
  </r>
  <r>
    <x v="7"/>
    <s v="P174_MobPriFactor"/>
    <s v="SBS_AllAcademies"/>
    <x v="0"/>
    <s v="[APT_Inputs_and_Adjustments.Mobility_Primary_Proportion]; [Census_Pupil_Characteristics.Mobility_Primary_Proportion]"/>
    <s v="IF  [APT_Inputs_and_Adjustments.Mobility_Primary_Proportion]= &quot;BLANK&quot;, THEN _x000a_if  [Census_Pupil_Characteristics.Mobility_Primary_Proportion] &gt; 0.1, then_x000a_[Census_Pupil_Characteristics.Mobility_Primary_Proportion] -0.1 _x000a_ELSE 0._x000a_ELSE IF [APT_Inputs_and_Adjustments.Mobility_Primary_Proportion] &gt; 0.1, then_x000a_[APT_Inputs_and_Adjustments.Mobility_Primary_Proportion] - 0.1, _x000a_ELSE 0."/>
    <s v="This figure is obtained from the '1718 Census Pupil Characteristics dataset - Mobility Primary Proportion' or from '1718 APT Inputs and Adjustments dataset - Mobility Prim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
    <x v="1"/>
    <s v="Existing Mainstream"/>
  </r>
  <r>
    <x v="7"/>
    <s v="P176_MobPriRate"/>
    <s v="SBS_AllAcademies"/>
    <x v="1"/>
    <s v="[1718_APT_Proforma.Mobility_Primary_Amount_Per_Pupil]"/>
    <s v="[1718_APT_Proforma.Mobility_Primary_Amount_Per_Pupil]"/>
    <s v="This figure is obtained from the '1718 APT Proforma dataset - Mobility Primary Amount Per Pupil'."/>
    <x v="1"/>
    <s v="Existing Mainstream"/>
  </r>
  <r>
    <x v="7"/>
    <s v="P177_MobPriSubtotal"/>
    <s v="SBS_AllAcademies"/>
    <x v="1"/>
    <s v="P174_MobPriFactor; P22_Total_NOR_PRI_SBS; P176_MobPriRate"/>
    <s v="IF Existing Academy or New Opener 1718 funded on estimates, THEN (P174_MobPriFactor) * P22_Total_NOR_PRI_SBS * P176_MobPriRate), ELSE (IF New Opener 1718 funded on census) THEN_x000a_APT_New_ISB_dataset.Mobility_P"/>
    <s v="This calculation determines the full year amount of Mobility (over 10% threshold) for academies with primary pupils, where the LA has applied this factor."/>
    <x v="1"/>
    <s v="Existing Mainstream"/>
  </r>
  <r>
    <x v="7"/>
    <s v="P178_NSENMobPri"/>
    <s v="SBS_AllAcademies"/>
    <x v="1"/>
    <s v="P177_MobPriSubtotal; P178a_NSENMobPri_Percent"/>
    <s v="P177_MobPriSubtotal * P178a_NSENMobPri_Percent"/>
    <s v="Proportion of primary mobility funding attributed to NSEN."/>
    <x v="0"/>
    <m/>
  </r>
  <r>
    <x v="7"/>
    <s v="P178a_NSENMobPri_Percent"/>
    <s v="SBS_AllAcademies"/>
    <x v="0"/>
    <s v="No variables used"/>
    <s v="No calculation used"/>
    <s v="The 'MOB_PRIM_SEN' has been obtained from 'APT Proforma dataset - Mobility Primary Notional SEN'."/>
    <x v="1"/>
    <s v="Existing Mainstream"/>
  </r>
  <r>
    <x v="7"/>
    <s v="P179_InYearMobPriSubtotal"/>
    <s v="SBS_AllAcademies"/>
    <x v="1"/>
    <s v="P177_MobPriSubtotal; P001_1718DaysOpen; P25_YearDays_1718"/>
    <s v="P177_MobPriSubtotal * P001_1718DaysOpen / P25_YearDays_1718"/>
    <s v="This calculation determines the in-year amount of Mobility (over 10% threshold) for academies with primary pupils, where the LA has applied this factor."/>
    <x v="0"/>
    <m/>
  </r>
  <r>
    <x v="7"/>
    <s v="P180_MobSecFactor"/>
    <s v="SBS_AllAcademies"/>
    <x v="0"/>
    <s v="[APT_Inputs_and_Adjustments.Mobility_Secondary_Proportion]; [Census_Pupil_Characteristics.Mobility_Secondary_Proportion]"/>
    <s v="IF  [APT_Inputs_and_Adjustments.Mobility_Secondary_Proportion]= &quot;BLANK&quot;, THEN _x000a_if  [Census_Pupil_Characteristics.Mobility_Secondary_Proportion] &gt; 0.1, then_x000a_[Census_Pupil_Characteristics.Mobility_Secondary_Proportion] -0.1 _x000a_ELSE 0._x000a_ELSE IF [APT_Inputs_and_Adjustments.Mobility_Secondary_Proportion] &gt; 0.1, then_x000a_[APT_Inputs_and_Adjustments.Mobility_Secondary_Proportion] - 0.1, _x000a_ELSE 0."/>
    <s v="This figure is obtained from the '1718 Census Pupil Characteristics dataset - Mobility Secondary Proportion' or from '1718 APT Inputs and Adjustments dataset - Mobility Second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
    <x v="1"/>
    <s v="Existing Mainstream"/>
  </r>
  <r>
    <x v="7"/>
    <s v="P182_MobSecRate"/>
    <s v="SBS_AllAcademies"/>
    <x v="1"/>
    <s v="[1718_APT_Proforma.Mobility_Secondary_Amount_Per_Pupil]"/>
    <s v="[1718_APT_Proforma.Mobility_Secondary_Amount_Per_Pupil]"/>
    <s v="This figure is obtained from the '1718 APT Proforma dataset - Mobility Secondary Amount Per Pupil'."/>
    <x v="1"/>
    <s v="Existing Mainstream"/>
  </r>
  <r>
    <x v="7"/>
    <s v="P183_MobSecSubtotal"/>
    <s v="SBS_AllAcademies"/>
    <x v="1"/>
    <s v="P180_MobSecFactor; P25_Total_NOR_SEC_SBS; P182_MobSecRate"/>
    <s v="IF Existing Academy or New Opener 1718 funded on estimates, THEN (P180_MobSecFactor) * P25_Total_NOR_SEC_SBS * P182_MobSecRate), ELSE (IF New Opener 1718 funded on census) THEN_x000a_APT_New_ISB_dataset.Mobility_S"/>
    <s v="This calculation determines the full year amount of Mobility (over 10% threshold) for academies with Secondary pupils, where the LA has applied this factor."/>
    <x v="1"/>
    <s v="Existing Mainstream"/>
  </r>
  <r>
    <x v="7"/>
    <s v="P184_NSENMobSec"/>
    <s v="SBS_AllAcademies"/>
    <x v="1"/>
    <s v="P183_MobSecSubtotal; P184a_NSENMobSec_Percent"/>
    <s v="P183_MobSecSubtotal * P184a_NSENMobSec_Percent"/>
    <s v="Proportion of secondary mobility funding attributed to NSEN."/>
    <x v="0"/>
    <m/>
  </r>
  <r>
    <x v="7"/>
    <s v="P184a_NSENMobSec_Percent"/>
    <s v="SBS_AllAcademies"/>
    <x v="0"/>
    <s v="No variables used"/>
    <s v="No calculation used"/>
    <s v="The 'MOB_SEC_SEN' has been obtained from 'APT Proforma dataset - Mobility Secondary Notional SEN'."/>
    <x v="1"/>
    <s v="Existing Mainstream"/>
  </r>
  <r>
    <x v="7"/>
    <s v="P185_InYearMobSecSubtotal"/>
    <s v="SBS_AllAcademies"/>
    <x v="1"/>
    <s v="P183_MobSecSubtotal; P001_1718DaysOpen; P25_YearDays_1718"/>
    <s v="P183_MobSecSubtotal * P001_1718DaysOpen / P25_YearDays_1718"/>
    <s v="This calculation determines the in-year amount of Mobility (over 10% threshold) for academies with Secondary pupils, where the LA has applied this factor."/>
    <x v="0"/>
    <m/>
  </r>
  <r>
    <x v="8"/>
    <s v="P185a_Phase"/>
    <s v="SBS_AllAcademies"/>
    <x v="0"/>
    <s v="[APT_Inputs_and_Adjustments.Phase]; [Census_Pupil_Characteristics.Phase]"/>
    <s v="if [APT_Inputs_and_Adjustments.Phase] =  'BLANK' then _x000a_if [Census_Pupil_Characteristics.Phase] = &quot;Primary&quot; then_x000a_        result = 1_x000a_        ElseIf [Census_Pupil_Characteristics.Phase] = &quot;Middle-deemed Primary&quot; then_x000a_        result = 2_x000a_        ElseIf [Census_Pupil_Characteristics.Phase] = &quot;Secondary&quot; then_x000a_        result = 3_x000a_        ElseIf [Census_Pupil_Characteristics.Phase] = &quot;Middle-deemed Secondary&quot; then_x000a_        result = 4_x000a_        ElseIf [Census_Pupil_Characteristics.Phase] = &quot;All-through&quot; then_x000a_        result = 5_x000a_Else if [APT_Inputs_and_Adjustments.Phase] = &quot;Primary&quot; then_x000a_        result = 1_x000a_        ElseIf [APT_Inputs_and_Adjustments.Phase] = &quot;Middle-deemed Primary&quot; then_x000a_        result = 2_x000a_        ElseIf [APT_Inputs_and_Adjustments.Phase]= &quot;Secondary&quot; then_x000a_        result = 3_x000a_        ElseIf [APT_Inputs_and_Adjustments.Phase] = &quot;Middle-deemed Secondary&quot; then_x000a_        result = 4_x000a_        ElseIf [APT_Inputs_and_Adjustments.Phase] = &quot;All-through&quot; then_x000a_        result = 5 _x000a_ Else 0"/>
    <s v="this calculation determines a number for each Phase of establishment (using I&amp;A if present)"/>
    <x v="0"/>
    <m/>
  </r>
  <r>
    <x v="8"/>
    <s v="P186_SparsityTaperFlagPri"/>
    <s v="SBS_AllAcademies"/>
    <x v="0"/>
    <s v="[1718_APT_Proforma.Fixed_or_Tapered_Sparsity_Primary_Lump_Sum]"/>
    <s v="IF [1718_APT_Proforma.Fixed_or_Tapered_Sparsity_Primary_Lump_Sum] = &quot;Tapered&quot;, 1, ELSE 0"/>
    <s v="This indicator is obtained from the '1718 APT Proforma dataset - Fixed or Tapered Sparsity Primary Lump Sum'. If the indicator shows &quot;Tapered&quot; then the result returned is 1"/>
    <x v="0"/>
    <m/>
  </r>
  <r>
    <x v="8"/>
    <s v="P187_SparsityTaperFlagMid"/>
    <s v="SBS_AllAcademies"/>
    <x v="0"/>
    <s v="[1718_APT_Proforma.Fixed_or_Tapered_Sparsity_Middle_Lump_Sum]"/>
    <s v="IF [1718_APT_Proforma.Fixed_or_Tapered_Sparsity_Middle_Lump_Sum] = &quot;Tapered&quot;, 1, ELSE 0"/>
    <s v="This indicator is obtained from the '1718 APT Proforma dataset - Fixed or Tapered Sparsity Middle Lump Sum'. If the indicator shows &quot;Tapered&quot; then the result returned is 1"/>
    <x v="0"/>
    <m/>
  </r>
  <r>
    <x v="8"/>
    <s v="P188_SparsityTaperFlagSec"/>
    <s v="SBS_AllAcademies"/>
    <x v="0"/>
    <s v="[1718_APT_Proforma.Fixed_or_Tapered_Sparsity_Secondary_Lump_Sum]"/>
    <s v="IF [1718_APT_Proforma.Fixed_or_Tapered_Sparsity_Secondary_Lump_Sum] = &quot;Tapered&quot;, 1, ELSE 0"/>
    <s v="This indicator is obtained from the '1718 APT Proforma dataset - Fixed or Tapered Sparsity Secondary Lump Sum'. If the indicator shows &quot;Tapered&quot; then the result returned is 1"/>
    <x v="0"/>
    <m/>
  </r>
  <r>
    <x v="8"/>
    <s v="P189_SparsityTaperFlagAllThru"/>
    <s v="SBS_AllAcademies"/>
    <x v="0"/>
    <s v="[1718_APT_Proforma.Fixed_or_Tapered_Sparsity_All-Through_Lump_Sum]"/>
    <s v="IF [1718_APT_Proforma.Fixed_or_Tapered_Sparsity_All-Through_Lump_Sum] = &quot;Tapered&quot;, 1, ELSE 0"/>
    <s v="This indicator is obtained from the '1718 APT Proforma dataset - Fixed or Tapered Sparsity All-Through Lump Sum'. If the indicator shows &quot;Tapered&quot; then the result returned is 1"/>
    <x v="0"/>
    <m/>
  </r>
  <r>
    <x v="8"/>
    <s v="P190_SparsityUnit"/>
    <s v="SBS_AllAcademies"/>
    <x v="0"/>
    <s v="P185a_Phase; [1718_APT_Proforma.Sparsity_Primary_Lump_Sum]; [1718_APT_Proforma.Sparsity_Middle_Lump_Sum]; [1718_APT_Proforma.Sparsity_Secondary_Lump_Sum]; [1718_APT_Proforma.Sparsity_All-Through_Lump_Sum]"/>
    <s v="IF P185a_Phase=1 , Sparsity_Primary_Lump_Sum;  IFP185a_Phase=2 OR 4, Sparsity_Middle_Lump_Sum;  IFP185a_Phase=3 , Sparsity_Secondary_Lump_Sum;  IFP185a_Phase=5 , Sparsity_All-Through_Lump_Sum"/>
    <s v="This amount is obtained from the '1718 APT Proforma dataset, dependent on the phase identified at product P185a_Phase"/>
    <x v="1"/>
    <s v="Existing Mainstream"/>
  </r>
  <r>
    <x v="8"/>
    <s v="P191_SparsityDistance"/>
    <s v="SBS_AllAcademies"/>
    <x v="0"/>
    <s v="P185a_Phase; [1718_APT_Inputs_and_Adjustments.Primary_Sparsity_av_Distance_to_2nd_School]; [Census_Pupil_Characteristics.Primary_Sparsity_av_Distance_to_2nd_School]; [1718_APT_Inputs_and_Adjustments.Secondary_Sparsity_av_Distance_to_2nd_School]; [Census_Pupil_Characteristics.Secondary_Sparsity_av_Distance_to_2nd_School]"/>
    <s v="IF P185a_Phase =1, IF [Primary Sparsity av. Distance to 2nd School (miles) - Inputs and Adjustments] = &quot;BLANK&quot;, THEN [Primary Sparsity av. Distance to 2nd School (miles) - Pupil Characteristics], ELSE [Primary Sparsity av. Distance to 2nd School (miles) - Inputs and Adjustments]                                                                                                                                                                                                 ELSE IF [Secondary Sparsity av. Distance to 2nd School (miles) - Inputs and Adjustments] = &quot;BLANK&quot;, THEN [Secondary Sparsity av. Distance to 2nd School (miles) - Pupil Characteristics], ELSE [Secondary Sparsity av. Distance to 2nd School (miles) - Inputs and Adjustments]"/>
    <s v="For primaries, this figure is obtained from the '1718 Census Pupil Characteristics dataset - Primary Sparsity av. Distance to 2nd School (miles)' or from '1718 APT Inputs and Adjustments dataset - Primary Sparsity av. Distance to 2nd School (miles)' if the LA applied an adjustment within the APT. For middle, secondary and all-throughs, this figure is obtained from the '1718 Census Pupil Characteristics dataset - Secondary Sparsity av. Distance to 2nd School (miles)' or from '1718 APT Inputs and Adjustments dataset - Secondary Sparsity av. Distance to 2nd School (miles)' if the LA applied an adjustment within the APT."/>
    <x v="1"/>
    <s v="Existing Mainstream"/>
  </r>
  <r>
    <x v="8"/>
    <s v="P192_SparsityDistThreshold"/>
    <s v="SBS_AllAcademies"/>
    <x v="0"/>
    <s v="P185a_Phase; [1718_APT_Proforma.Primary_Distance_Threshold]; [1718_APT_Proforma.Middle_School_Distance_Threshold]; [1718_APT_Proforma.Secondary_Distance_Threshold]; [1718_APT_Proforma.All-Through_Distance_Threshold]"/>
    <s v="IF P185a_Phase = 1 THEN IF [APT_Proforma.Primary_Distance_Threshold] = BLANK, then 2, ELSE  [APT_Proforma.Primary_Distance_Threshold]. IF P185a_Phase = 2 or 4 THEN IF [APT_Proforma.Middle_School_Distance_Threshold] = BLANK, then 2, ELSE  [APT_Proforma.Middle_School_Distance_Threshold].  IF P185a_Phase =3, THEN IF [APT_Proforma.Secondary_Distance_Threshold] = BLANK, then 3, ELSE  [APT_Proforma.Secondary_Distance_Threshold].  IF P185a_Phase = 5 THEN IF [APT_Proforma.All-Through_Distance_Threshold] = BLANK, then 2, ELSE  [APT_Profroma.All-Through_Distance_Threshold]."/>
    <s v="This value is obtained from the '1718 APT Proforma dataset - Primary Distance Threshold' for primary, '1718 APT Proforma dataset - Middle School Distance Threshold' for middle and '1718 APT Proforma dataset - All Through Distance Threshold' for all-throughs and default to 2 if  blank. Similarly, secondaries use '1718 APT Proforma dataset -Secondary Distance Threshold' and default to 3 miles if dataset is blank."/>
    <x v="1"/>
    <s v="Existing Mainstream"/>
  </r>
  <r>
    <x v="8"/>
    <s v="P193_SparsityDistMet_YN"/>
    <s v="SBS_AllAcademies"/>
    <x v="0"/>
    <s v="P191_SparsityDistance; P192_SparsityDistThreshold"/>
    <s v=" IF (P191_SparsityDistance &gt; P192_SparsityDistThreshold), THEN [1 = Yes], ELSE [0 = No]"/>
    <s v="This calculation determines whether or not the sparsity distance threshold has been met for academies with primary pupils, where the LA has applied this factor."/>
    <x v="0"/>
    <m/>
  </r>
  <r>
    <x v="8"/>
    <s v="P194_SparsityAveYGSize"/>
    <s v="SBS_AllAcademies"/>
    <x v="2"/>
    <s v="P26_Total_NOR_SBS; P212_PYG; P213_SYG"/>
    <s v="P26_Total_NOR_SBS / (P212_PYG + P213_SYG)"/>
    <s v="This calculation determines the average year group size for academies, where the LA has applied this factor."/>
    <x v="1"/>
    <s v="Existing Mainstream"/>
  </r>
  <r>
    <x v="8"/>
    <s v="P195_SparsityYGThreshold"/>
    <s v="SBS_AllAcademies"/>
    <x v="0"/>
    <s v="P185a_Phase; [1718_APT_Proforma.Primary_Pupil_Number_Average_Year_Group_Threshold]; [1718_APT_Proforma.Middle_School_Pupil_Number_Average_Year_Group_Threshold]; [1718_APT_Proforma.Secondary_Pupil_Number_Average_Year_Group_Threshold]; [1718_APT_Proforma.All-Through_Pupil_Number_Average_Year_Group_Threshold]"/>
    <s v="IF P185a_Phase = 1 THEN IF [APT_Proforma.Primary_Pupil_Number_Average_Year_Group_Threshold] = BLANK, then 21.4, ELSE  [APT_Proforma.Primary_Pupil_Number_Average_Year_Group_Threshold]. IF P185a_Phase = 2 or 4 THEN IF [APT_Proforma.Middle_School_Pupil_Number_Average_Year_Group_Threshold] = BLANK, then 69.2, ELSE  [APT_Proforma.Middle_School_Pupil_Number_Average_Year_Group_Threshold].  IF P185a_Phase =3, THEN IF [APT_Proforma.Secondary_Pupil_Number_Average_Year_Group_Threshold] = BLANK, then 120, ELSE  [APT_Proforma.Secondary_Pupil_Number_Average_Year_Group_Threshold].  IF P185a_Phase = 5 THEN IF [APT_Proforma.All-Through_Pupil_Number_Average_Year_Group_Threshold] = BLANK, then 62.5, ELSE  [APT_Profroma.All-Through_Pupil_Number_Average_Year_Group_Threshold]."/>
    <s v="This value is obtained from the '1718 APT Proforma dataset - Primary average year group Threshold' for primary, '1718 APT Proforma dataset - Middle School average year group Threshold' for middle and '1718 APT Proforma dataset - All Through average year group Threshold' for all-throughs and default to 21.4, 69.2, 62.5 resp if  blank. Similarly, secondaries use '1718 APT Proforma dataset -Secondary average year group Threshold' and default to 120 pupils if dataset is blank."/>
    <x v="1"/>
    <s v="Existing Mainstream"/>
  </r>
  <r>
    <x v="8"/>
    <s v="P196_SparsityYGThresholdMet_YN"/>
    <s v="SBS_AllAcademies"/>
    <x v="0"/>
    <s v="P194_SparsityAveYGSize; P195_SparsityYGThreshold"/>
    <s v="IF (P194_SparsityAveYGSize &lt;= P195_SparsityYGThreshold) AND P194_SparsityAveYGSize &gt; 0 THEN [1 = Yes], ELSE [0 = No]"/>
    <s v="This calculation determines whether or not the sparsity year group threshold has been met, where the LA has applied this factor."/>
    <x v="0"/>
    <m/>
  </r>
  <r>
    <x v="8"/>
    <s v="P197_SparsityLumpSumSubtotal"/>
    <s v="SBS_AllAcademies"/>
    <x v="1"/>
    <s v="P186_SparsityTaperFlagPri; P187_SparsityTaperFlagMid; P188_SparsityTaperFlagSec; P189_SparsityTaperFlagAllThru; P190_SparsityUnit; P193_SparsityDistMet_YN; P196_SparsityYGThresholdMet_YN"/>
    <s v="IF Existing Academy or New Opener 1718 funded on estimates, THEN_x000a_ If P185a_Phase = 1 (Primary) And  P186_SparsityTaperFlagPri = 0 And  P193_SparsityDistMet = 1 And P196_SparsityYGThresholdMet_YN = 1 then_x000a_result = P190_SparsityUnit         _x000a_              Else result = 0_x000a_                  If (P185a_Phase = 2 Or P185a_Phase = 4) (Middle School) And  P187_SparsityTaperFlagMid = 0 And  P193_SparsityDistMet = 1 And P196_SparsityYGThresholdMet_YN = 1 then_x000a_result = P190_SparsityUnit_x000a_Else result = 0_x000a_  If P185a_Phase = 3 (Secondary)And  P188_SparsityTaperFlagSec = 0 And  P193_SparsityDistMet = 1 And P196_SparsityYGThresholdMet_YN = 1 then_x000a_ result = P190_SparsityUnit_x000a_Else result = 0 _x000a_ If P185a_Phase = 5 (All Through) And  P189_SparsityTaperFlagAllThru = 0 And  P193_SparsityDistMet = 1 And P196_SparsityYGThresholdMet_YN = 1 then_x000a_ result = P190_SparsityUnit_x000a_Else result = 0_x000a_Else if New Opener 1718 funded on Census then_x000a_APT_New_ISB_dataset.Sparsity_Funding"/>
    <s v="This calculation determines the full year amount of Sparsity lump sum, where the LA has applied this factor.  For in-year openers on census, total sparsity funding is included here, regardless of whether LA applies taper or not (to prevent double funding through both factors)."/>
    <x v="0"/>
    <m/>
  </r>
  <r>
    <x v="8"/>
    <s v="P198_SparsityTaperSubtotal"/>
    <s v="SBS_AllAcademies"/>
    <x v="1"/>
    <s v="P186_SparsityTaperFlagPri; P187_SparsityTaperFlagMid; P188_SparsityTaperFlagSec; P189_SparsityTaperFlagAllThru; P190_SparsityUnit; P193_SparsityDistMet_YN; P196_SparsityYGThresholdMet_YN; P194_SparsityAveYGSize; P195_SparsityYGThreshold"/>
    <s v="IF Existing Academy or New Opener 1718 funded on estimates, THEN            _x000a_                If  P185a_Phase = 1 (Primary) And P186_SparsityTaperFlagPri = 1 And P193_SparsityDistMet = 1 And P196_SparsityYGThresholdMet_YN =1 then                  _x000a_                result =  P190_SparsityUnit * (1- (P194_SparsityAveYGSize/P195_SparsityYGThreshold))_x000a_                Else  result =  0          _x000a_                 If  (P185a_Phase = 2 Or Phase = 4) (Middle) And P187_SparsityTaperFlagMid = 1 And P193_SparsityDistMet = 1 And P196_SparsityYGThresholdMet_YN =1 then   _x000a_                result =  P190_SparsityUnit * (1- (P194_SparsityAveYGSize/P195_SparsityYGThreshold))                      _x000a_                 Else  result =  0               _x000a_                 If  P185a_Phase = 3 (Secondary) And P188_SparsityTaperFlagSec = 1 And P193_SparsityDistMet = 1 And P196_SparsityYGThresholdMet_YN =1 then   _x000a_                 result =  P190_SparsityUnit * (1- (P194_SparsityAveYGSize/P195_SparsityYGThreshold))_x000a_                  Else  result =  0                          _x000a_                  If  P185a_Phase = 5 (All Through) And P189_SparsityTaperFlagAllThru = 1 And P193_SparsityDistMet = 1 And P196_SparsityYGThresholdMet_YN =1 then   _x000a_                  result =  P190_SparsityUnit * (1- (P194_SparsityAveYGSize/P195_SparsityYGThreshold))_x000a_                 Else  result =  0                                                            _x000a_        Else if New Opener 1718 funded on Census then_x000a_        Result =  0"/>
    <s v="This calculation determines the full year amount of Sparsity tapered sum for academies, where the LA has applied this factor. For in-year openers on census, total sparsity funding is included in P197 and defaults to zero for this calculation, regardless of whether LA applies taper or not (to prevent double funding through both products)."/>
    <x v="1"/>
    <s v="Existing Mainstream"/>
  </r>
  <r>
    <x v="8"/>
    <s v="P198a_SubtotalLump_Taper_For_FAP_Only"/>
    <s v="SBS_AllAcademies"/>
    <x v="1"/>
    <s v="P197_SparsityLumpSumSubtotal; P198_SparsityTaperSubtotal"/>
    <s v="P197_SparsityLumpSumSubtotal + P198_SparsityTaperSubtotal"/>
    <s v="combines lump sum and tapered totals for inclusion in the FAP report"/>
    <x v="1"/>
    <s v="Existing Mainstream"/>
  </r>
  <r>
    <x v="8"/>
    <s v="P199_InYearSparsityLumpSumSubtotal"/>
    <s v="SBS_AllAcademies"/>
    <x v="1"/>
    <s v="P001_1718DaysOpen, P197_SparsityLumpSumSubtotal; P25_YearDays_1718"/>
    <s v="(P197_SparsityLumpSumSubtotal) * P001_1718Days_Open; P25_YearDays_1718"/>
    <s v="This calculation determines the in-year amount of Sparsity lump sum for academies, where the LA has applied this factor."/>
    <x v="0"/>
    <m/>
  </r>
  <r>
    <x v="8"/>
    <s v="P200_InYearSparsityTaperSubtotal"/>
    <s v="SBS_AllAcademies"/>
    <x v="1"/>
    <s v="P001_1718DaysOpen, P198_SparsityTaperSubtotal; P25_YearDays_1718"/>
    <s v="(P198_SparsityTaperSubtotal) * P001_1718Days_Open; P25_YearDays_1718"/>
    <s v="This calculation determines the in-year amount of Sparsity tapered sum for academies, where the LA has applied this factor."/>
    <x v="0"/>
    <m/>
  </r>
  <r>
    <x v="8"/>
    <s v="P200a_InYear_SubtotalLump_Taper_for_FAP_Only"/>
    <s v="SBS_AllAcademies"/>
    <x v="1"/>
    <s v="P199_InYearSparsityLumpSumSubtotal; P200_InYearSparsityTaperSubtotal"/>
    <s v="P199_InYearSparsityLumpSumSubtotal + P200_InYearSparsityTaperSubtotal"/>
    <s v="combines IY lump sum and IY tapered totals for inclusion in the FAP report"/>
    <x v="0"/>
    <m/>
  </r>
  <r>
    <x v="8"/>
    <s v="P212_PYG"/>
    <s v="SBS_AllAcademies"/>
    <x v="0"/>
    <s v="P42a_Year_Groups_Primary"/>
    <s v="P42a_Year_Groups_Primary"/>
    <s v="The pupil count numbers are obtained from the '1718 Census Number Counts' dataset and this calculation determines the number of primary year groups for sparsity, where the LA has applied this factor."/>
    <x v="0"/>
    <m/>
  </r>
  <r>
    <x v="8"/>
    <s v="P213_SYG"/>
    <s v="SBS_AllAcademies"/>
    <x v="0"/>
    <s v="P42b_Year_Groups_Secondary"/>
    <s v="P42b_Year_Groups_Secondary"/>
    <s v="The pupil count numbers are obtained from the '1718 Census Number Counts' dataset and this calculation determinesthe number of secondary year groups for sparsity, where the LA has applied this factor."/>
    <x v="0"/>
    <m/>
  </r>
  <r>
    <x v="8"/>
    <s v="P236_NSENSparsity"/>
    <s v="SBS_AllAcademies"/>
    <x v="1"/>
    <s v="P197_SparsityLumpSumSubtotal; P198_SparsityTaperSubtotal; P236a_NSENSparsity_Percent"/>
    <s v="( P197_SparsityLumpSumSubtotal + P198_SparsityTaperSubtotal ) * P236a_NSENSparsity_Percent"/>
    <s v="Proportion of sparsity funding attributed to NSEN."/>
    <x v="0"/>
    <m/>
  </r>
  <r>
    <x v="8"/>
    <s v="P236a_NSENSparsity_Percent"/>
    <s v="SBS_AllAcademies"/>
    <x v="0"/>
    <s v="No variables used"/>
    <s v="If Phase = 1 (primary) then_x000a_            Result = [Sparsity_Primary_Notional_SEN]_x000a_         Elseif Phase = 2 Or Phase = 3 Or Phase = 4 Or Phase = 5 then_x000a_            Result = [Sparsity_Secondary_Notional_SEN]"/>
    <s v="The primary and secondary NSEN percentages  are obtained from 'APT Proforma dataset'. The secondary percentage is applied to middle, secondary and all-through calculations, as these rely on the secondary sparsity distance measure. This reflects the APT calculation."/>
    <x v="1"/>
    <s v="Existing Mainstream"/>
  </r>
  <r>
    <x v="9"/>
    <s v="P239_PriLumpSumFactor"/>
    <s v="SBS_AllAcademies"/>
    <x v="0"/>
    <s v="P212_PYG; P213_SYG"/>
    <s v="If (P212_PYG = 0 ) And (P213_SYG = 0) then_x000a_        result = 0_x000a_        else      _x000a_If Phase = 1 then_x000a_             result = 1_x000a_             Else If Phase = 2 Or Phase = 4 then_x000a_              result =  P212_PYG /(P212_PYG+ P213_SYG)           _x000a_              else_x000a_              result = 0"/>
    <s v="This calculation determines the proportion the primary lump sum that the school is eligible for, dependent on phase. Primary school result = 1 (100%), while middle schools receive proportion based on primary year groups over total year groups."/>
    <x v="1"/>
    <s v="Existing Mainstream"/>
  </r>
  <r>
    <x v="9"/>
    <s v="P240_PriLumpSumRate"/>
    <s v="SBS_AllAcademies"/>
    <x v="1"/>
    <s v="[1718_APT_Proforma.Primary_Lump_Sum]"/>
    <s v="[1718_APT_Proforma.Primary_Lump_Sum]"/>
    <s v="This figure is obtained from the '1718 APT Proforma dataset - Primary Lump Sum'."/>
    <x v="1"/>
    <s v="Existing Mainstream"/>
  </r>
  <r>
    <x v="9"/>
    <s v="P241_Primary_Lump_Sum"/>
    <s v="SBS_AllAcademies"/>
    <x v="1"/>
    <s v="P239_PriLumpSumFactor; P240_PriLumpSumRate"/>
    <s v="If Existing Academy or New opener 1718 funded on estimates THEN _x000a_ (P239_PriLumpSumFactor * P240_PriLumpSumRate)_x000a_Else if New opener 1718 then_x000a_APT_New_ISB_dataset.Lump_Sum"/>
    <s v="This calculation determines the lump sum amount for academies with primary pupils."/>
    <x v="1"/>
    <s v="Existing Mainstream"/>
  </r>
  <r>
    <x v="9"/>
    <s v="P242_InYearPriLumpSumSubtotal"/>
    <s v="SBS_AllAcademies"/>
    <x v="1"/>
    <s v="P001_1718DaysOpen; P241_Primary_Lump_Sum; P25_YearDays_1718"/>
    <s v=" (P241_Primary_Lump_Sum) * P001_1718Days_Open / P25_YearDays_1718"/>
    <s v="This calculation determines the lump sum amount for academies with primary pupils."/>
    <x v="0"/>
    <m/>
  </r>
  <r>
    <x v="9"/>
    <s v="P243_SecLumpSumFactor"/>
    <s v="SBS_AllAcademies"/>
    <x v="0"/>
    <s v="P213_SYG; P212_PYG"/>
    <s v="If (P212_PYG = 0 ) And (P213_SYG = 0) then_x000a_        result = 0_x000a_        else      _x000a_IIf Phase = 3 Or Phase = 5 then_x000a_             result = 1_x000a_             Else If Phase = 2 Or Phase = 4 then_x000a_              result =  P213_SYG /(P212_PYG+ P213_SYG)            _x000a_              else_x000a_              result = 0"/>
    <s v="This calculation determines the proportion the secondary lump sum that the school is eligible for, dependent on phase. Secondary/All-thru school result = 1 (100%), while middle schools receive proportion based on secondary year groups over total year groups."/>
    <x v="1"/>
    <s v="Existing Mainstream"/>
  </r>
  <r>
    <x v="9"/>
    <s v="P244_SecLumpSumRate"/>
    <s v="SBS_AllAcademies"/>
    <x v="1"/>
    <s v="[1718_APT_Proforma.Secondary_Lump_Sum]"/>
    <s v="[1718_APT_Proforma.Secondary_Lump_Sum]"/>
    <s v="This figure is obtained from the '1718 APT Proforma dataset - Secondary Lump Sum'."/>
    <x v="1"/>
    <s v="Existing Mainstream"/>
  </r>
  <r>
    <x v="9"/>
    <s v="P245_Secondary_Lump_Sum"/>
    <s v="SBS_AllAcademies"/>
    <x v="1"/>
    <s v="P243_SecLumpSumFactor; P244_SecLumpSumRate"/>
    <s v="If Existing Academy or New opener 1718 funded on estimates THEN _x000a_ (P243_SecLumpSumFactor *  P244_SecLumpSumRate)_x000a_Else if New opener 1718 then_x000a_APT_New_ISB_dataset.Lump_Sum"/>
    <s v="This calculation determines the lump sum amount for academies with secondary pupils."/>
    <x v="1"/>
    <s v="Existing Mainstream"/>
  </r>
  <r>
    <x v="9"/>
    <s v="P246_In YearSecLumpSumSubtotal"/>
    <s v="SBS_AllAcademies"/>
    <x v="1"/>
    <s v="P001_1718DaysOpen; P245_Secondary_Lump_Sum; P25_YearDays_1718"/>
    <s v="(P245_Secondary_Lump_Sum) * P001_1718Days_Open / P25_YearDays_1718"/>
    <s v="This calculation determines the lump sum amount for academies with secondary pupils."/>
    <x v="0"/>
    <m/>
  </r>
  <r>
    <x v="9"/>
    <s v="P247_NSENLumpSumPri"/>
    <s v="SBS_AllAcademies"/>
    <x v="1"/>
    <s v="P241_Primary_Lump_Sum; P247a_NSENLumpSumPri_Percent"/>
    <s v="P241_Primary_Lump_Sum * P247a_NSENLumpSumPri_Percent"/>
    <s v="Proportion of primary lump sum funding attributed to NSEN."/>
    <x v="0"/>
    <m/>
  </r>
  <r>
    <x v="9"/>
    <s v="P247a_NSENLumpSumPri_Percent"/>
    <s v="SBS_AllAcademies"/>
    <x v="0"/>
    <s v="No variables used"/>
    <s v="No calculation used"/>
    <s v="The 'LUMPSUM_PRI_SEN' has been obtained from 'APT Proforma dataset - Lump Sum Primary Notional SEN'."/>
    <x v="1"/>
    <s v="Existing Mainstream"/>
  </r>
  <r>
    <x v="9"/>
    <s v="P248_NSENLumpSumSec"/>
    <s v="SBS_AllAcademies"/>
    <x v="1"/>
    <s v="P245_Secondary_Lump_Sum; P248a_NSENLumpSumSec_Percent"/>
    <s v="P245_Secondary_Lump_Sum * P248a_NSENLumpSumSec_Percent"/>
    <s v="Proportion of secondary lump sum funding attributed to NSEN."/>
    <x v="0"/>
    <m/>
  </r>
  <r>
    <x v="9"/>
    <s v="P248a_NSENLumpSumSec_Percent"/>
    <s v="SBS_AllAcademies"/>
    <x v="0"/>
    <s v="No variables used"/>
    <s v="No calculation used"/>
    <s v="The 'LUMPSUM_SEC_SEN' has been obtained from 'APT Proforma dataset - Lump Sum Secondary Notional SEN'."/>
    <x v="1"/>
    <s v="Existing Mainstream"/>
  </r>
  <r>
    <x v="10"/>
    <s v="P249_SplitSiteSubtotal"/>
    <s v="SBS_AllAcademies"/>
    <x v="1"/>
    <s v="[1718_APT_NewISB.Split_Sites]"/>
    <s v="IF [Split Sites - New ISB] = &quot;BLANK&quot;, THEN 0, ELSE [APT_New_ISB_dataset.Split_Sites]"/>
    <s v="This figure is obtained from the '1718 APT New ISB dataset - Split Sites'."/>
    <x v="1"/>
    <s v="Existing Mainstream"/>
  </r>
  <r>
    <x v="10"/>
    <s v="P250_NSENSplitSites"/>
    <s v="SBS_AllAcademies"/>
    <x v="1"/>
    <s v="P249_SplitSiteSubtotal; P250a_NSENSplitSites_Percent"/>
    <s v="P249_SplitSiteSubtotal * P250a_NSENSplitSites_Percent"/>
    <s v="Proportion of split site funding attributed to NSEN."/>
    <x v="0"/>
    <m/>
  </r>
  <r>
    <x v="10"/>
    <s v="P250a_NSENSplitSites_Percent"/>
    <s v="SBS_AllAcademies"/>
    <x v="0"/>
    <s v="No variables used"/>
    <s v="No calculation used"/>
    <s v="The 'SPLIT SITE_SEN' has been obtained from 'APT Proforma dataset - Split Site Notional SEN'."/>
    <x v="1"/>
    <s v="Existing Mainstream"/>
  </r>
  <r>
    <x v="10"/>
    <s v="P251_InYearSplitSitesSubtotal"/>
    <s v="SBS_AllAcademies"/>
    <x v="1"/>
    <s v="P001_1718DaysOpen; P249_SplitSiteSubtotal; P25_YearDays_1718"/>
    <s v="(P249_SplitSiteSubtotal) * P001_1718Days_Open / P25_YearDays_1718"/>
    <s v="This figure is obtained from the '1718 APT New ISB dataset - Split Sites' and pro-rated."/>
    <x v="0"/>
    <m/>
  </r>
  <r>
    <x v="9"/>
    <s v="P252_PFISubtotal"/>
    <s v="SBS_AllAcademies"/>
    <x v="1"/>
    <s v="[1718_APT_NewISB.PFI]"/>
    <s v="If ([PFI - New ISB] = &quot;BLANK&quot;, THEN 0, ELSE [APT_New_ISB_dataset.PFI]"/>
    <s v="This figure is obtained from the '1718 APT New ISB dataset - PFI', where the LA has applied this factor."/>
    <x v="1"/>
    <s v="Existing Mainstream"/>
  </r>
  <r>
    <x v="9"/>
    <s v="P253_NSENPFI"/>
    <s v="SBS_AllAcademies"/>
    <x v="1"/>
    <s v="P252_PFISubtotal; P253a_NSENPFI_Percent"/>
    <s v="P252_PFISubtotal * P253a_NSENPFI_Percent"/>
    <s v="Proportion of PFI funding attributed to NSEN."/>
    <x v="0"/>
    <m/>
  </r>
  <r>
    <x v="9"/>
    <s v="P253a_NSENPFI_Percent"/>
    <s v="SBS_AllAcademies"/>
    <x v="0"/>
    <s v="No variables used"/>
    <s v="No calculation used"/>
    <s v="The 'PFI_SEN' has been obtained from 'APT Proforma dataset - PFI Notional SEN'."/>
    <x v="1"/>
    <s v="Existing Mainstream"/>
  </r>
  <r>
    <x v="9"/>
    <s v="P254_InYearPFISubtotal"/>
    <s v="SBS_AllAcademies"/>
    <x v="1"/>
    <s v="P001_1718DaysOpen; P252_PFISubtotal; P25_YearDays_1718"/>
    <s v="(P252_PFISubtotal) * P001_1718Days_Open / P25_YearDays_1718"/>
    <s v="This figure is obtained from the '1718 APT New ISB dataset - PFI' and pro-rated."/>
    <x v="0"/>
    <m/>
  </r>
  <r>
    <x v="9"/>
    <s v="P255_FringeSubtotal"/>
    <s v="SBS_AllAcademies"/>
    <x v="1"/>
    <s v="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45_EAL1PriSubtotal; P150_EAL2PriSubtotal; P155_EAL3PriSubtotal; P161_EAL1SecSubtotal; P166_EAL2SecSubtotal; P171_EAL3SecSubtotal; P117_LACSubtotal; P133_PPATotalFunding; P139_SecPASubtotal; P177_MobPriSubtotal; P183_MobSecSubtotal; P241_PriLumpSumSubtotal; P245_SecLumpSumSubtotal;  P261_Ex1Subtotal"/>
    <s v="IF Existing Academy or New Opener 1718 on estimates THEN _x000a__x000a_(PriBESubtotal + KS3_BESubtotal + KS4_BESubtotal + PriFSMSubtotal + PriFSM6Subtotal + SecFSMSubtotal + __x000a_              SecFSM6Subtotal + IDACIFPriSubtotal + IDACIEPriSubtotal + IDACIDPriSubtotal + IDACICPriSubtotal + IDACIBPriSubtotal + __x000a_              IDACIAPriSubtotal + IDACIFSecSubtotal + IDACIE2SecSubtotal + IDACIDSecSubtotal + IDACICSecSubtotal + IDACIBSecSubtotal + __x000a_              IDACIASecSubtotal + EAL1PriSubtotal + EAL2PriSubtotal + EAL3PriSubtotal + EAL1SecSubtotal + EAL2SecSubtotal + __x000a_              EAL3SecSubtotal + LACSubtotal + PPATotalFunding + SecPASubtotal + MobPriSubtotal + MobSecSubtotal + PriLumpSumSubtotal +  __x000a_              SecLumpSumSubtotal + Ex1Subtotal) * (FringeFactor¹ - 1)_x000a__x000a_Else If (New Opener)   then APT_New_ISB_dataset.London_Fringe_x000a__x000a_¹If  APT_Inputs_and_Adjustments.London_Fringe is BLANK then FringeFactor = Census_Pupil_Characteristics.London_Fringe ELSE FringeFactor = APT_Inputs_and_Adjustments.London_Fringe "/>
    <s v="The London Fringe indicator (uplift) is set to 1.0156360164 for academies within the London Fringe area and 1.00 for all others and this is obtained from '1718 Census Pupil Characteristics dataset - London Fringe' or from '1718 APT Inputs and Adjustments dataset - London Fringe', if the LA has applied an adjustment within the APT.  This calculation provides the total London Fringe amount for all academies within the London Frige area.  P261_Ex1Subtotal is included as this is reserved for additional lump sum funding."/>
    <x v="1"/>
    <s v="Existing Mainstream"/>
  </r>
  <r>
    <x v="9"/>
    <s v="P257_InYearFringeSubtotal"/>
    <s v="SBS_AllAcademies"/>
    <x v="1"/>
    <s v="P001_1718DaysOpen; P255_FringeSubtotal; P25_YearDays_1718"/>
    <s v="(P255_FringeSubtotal) * P001_1718Days_Open; P25_YearDays_1718"/>
    <s v=" This calculation provides the total London Fringe amount and pro-rated for all academies within the London Fringe area.  "/>
    <x v="0"/>
    <m/>
  </r>
  <r>
    <x v="9"/>
    <s v="P261_Ex1Subtotal"/>
    <s v="SBS_AllAcademies"/>
    <x v="1"/>
    <s v="[1718_APT_NewISB.Exceptional_Circumstances_1:_Reserved_for_additional_lump_sum_for_schools_amalgamated_during_FY16-17]"/>
    <s v="IF([Exceptional Circumstances 1 - New ISB] = &quot;BLANK&quot;), THEN 0, ELSE [APT_New_ISB_dataset.17-18_Approved_Exceptional__Circumstance_1:_Reserved_for_Additional_lump_sum_for_schools_amalgamated_during__FY16-17]"/>
    <s v="This figure is obtained from the '1718 APT New ISB dataset - 17-18 Approved Exceptional Circumstance 1'.  Please note this is reserved for additional lump sum for schools amalgamated during FY16-17."/>
    <x v="1"/>
    <s v="Existing Mainstream"/>
  </r>
  <r>
    <x v="9"/>
    <s v="P262_NSENEx1"/>
    <s v="SBS_AllAcademies"/>
    <x v="1"/>
    <s v="P239_PriLumpSumFactor; P243_SecLumpSumFactor; P247a_NSENLumpSumPri_Percent; P248a_NSENLumpSumSec_Percent; P261_Ex1Subtotal"/>
    <s v="(P261_Ex1Subtotal * P239_PriLumpSumFactor * P247a_NSENLumpSumPri_Percent) + (P261_Ex1Subtotal * P243_SecLumpSumFactor * P248a_NSENLumpSumSec_Percent)"/>
    <s v="The amount of Ex1 (additional lump sum) attributed to notional SEN funding. Calculation apportions additional lump sum using the primary and secondary lump sum factor products to ensure correct split is applied for middle schools and correct NSEN% is applied depending if primary, secondary or all-through."/>
    <x v="0"/>
    <m/>
  </r>
  <r>
    <x v="9"/>
    <s v="P262a_NSENEx1_Percent"/>
    <s v="SBS_AllAcademies"/>
    <x v="0"/>
    <s v="No variables used"/>
    <s v="No calculation used"/>
    <s v="The 'Ex1_SEN' has been obtained from 'APT Proforma dataset - Exceptional Circumstances 1  Notional SEN'."/>
    <x v="1"/>
    <s v="Existing Mainstream"/>
  </r>
  <r>
    <x v="9"/>
    <s v="P264_InYearEx1Subtotal"/>
    <s v="SBS_AllAcademies"/>
    <x v="1"/>
    <s v="P001_1718DaysOpen; P261_Ex1Subtotal; P25_YearDays_1718"/>
    <s v="(P261_Ex1Subtotal) * P001_1718Days_Open; P25_YearDays_1718"/>
    <s v="This figure is obtained from the '1718 APT New ISB dataset - 17-18 Approved Exceptional Circumstance 1' and is pro-rated for in year opening academies.  Please note this is reserved for additional lump sum for schools amalgamated during FY15-16."/>
    <x v="0"/>
    <m/>
  </r>
  <r>
    <x v="9"/>
    <s v="P265_Ex2Subtotal"/>
    <s v="SBS_AllAcademies"/>
    <x v="1"/>
    <s v="[1718_APT_NewISB.Exceptional_Circumstances_2:_Reserved_for_additional_sparsity_lump_sum]"/>
    <s v="IF ([Exceptional Circumstances 2 - New ISB] = &quot;BLANK&quot;, THEN 0, ELSE [APT_New_ISB_dataset.APT_New_ISB_dataset.17-18_Approved_Exceptional__Circumstance_2:_Reserved_for_additional_sparsity_lump_sum]"/>
    <s v="This figure is obtained from the '1718 APT New ISB dataset - 16-17 Approved Exceptional Circumstance 2'.  Please note this is reserved for additional sparsity lump sum.  "/>
    <x v="1"/>
    <s v="Existing Mainstream"/>
  </r>
  <r>
    <x v="9"/>
    <s v="P266_NSENEx2"/>
    <s v="SBS_AllAcademies"/>
    <x v="1"/>
    <s v="P265_Ex2Subtotal; P266a_NSENEx2_Percent"/>
    <s v="P265_Ex2Subtotal * P266a_NSENEx2_Percent"/>
    <s v="The 'EXC_CIRC_2_SEN' has been obtained from 'APT Proforma dataset - Exceptional Circs 2 Notional SEN'. "/>
    <x v="0"/>
    <m/>
  </r>
  <r>
    <x v="9"/>
    <s v="P266a_NSENEx2_Percent"/>
    <s v="SBS_AllAcademies"/>
    <x v="0"/>
    <s v="No variables used"/>
    <s v="No calculation used"/>
    <s v="The 'Ex2_SEN' has been obtained from 'APT Proforma dataset - Exceptional Circumstances 2 Notional SEN'."/>
    <x v="1"/>
    <s v="Existing Mainstream"/>
  </r>
  <r>
    <x v="9"/>
    <s v="P267_InYearEx2Subtotal"/>
    <s v="SBS_AllAcademies"/>
    <x v="1"/>
    <s v="P001_1718DaysOpen; P265_Ex2Subtotal; P25_YearDays_1718"/>
    <s v="P265_Ex2Subtotal * P001_1718DaysOpen / P25_YearDays_1718"/>
    <s v="This figure is obtained from the '1718 APT New ISB dataset - 17-18 Approved Exceptional Circumstance 2' and is pro-rated for in year opening academies.  Please note this is reserved for additional sparsity lump sum."/>
    <x v="0"/>
    <m/>
  </r>
  <r>
    <x v="9"/>
    <s v="P269_Ex3Subtotal"/>
    <s v="SBS_AllAcademies"/>
    <x v="1"/>
    <s v="[1718_APT_NewISB.Exceptional_Circumstances_3]"/>
    <s v="IF ([Exceptional Circumstances 3 - New ISB] = &quot;BLANK&quot;, THEN 0, ELSE [APT_New_ISB_dataset.17-18_Approved_Exceptional__Circumstance_3]"/>
    <s v="This figure is obtained from the '1718 APT New ISB dataset - 17-18 Approved Exceptional Circumstance 3'."/>
    <x v="1"/>
    <s v="Existing Mainstream"/>
  </r>
  <r>
    <x v="9"/>
    <s v="P270_NSENEx3"/>
    <s v="SBS_AllAcademies"/>
    <x v="1"/>
    <s v="P269_Ex3Subtotal; P270a_NSENEx3_Percent"/>
    <s v="P269_Ex3Subtotal * P270a_NSENEx3_Percent"/>
    <s v="The 'EXC_CIRC_3_SEN' has been obtained from 'APT Proforma dataset - Exceptional Circs 3 Notional SEN'. "/>
    <x v="0"/>
    <m/>
  </r>
  <r>
    <x v="9"/>
    <s v="P270a_NSENEx3_Percent"/>
    <s v="SBS_AllAcademies"/>
    <x v="0"/>
    <s v="No variables used"/>
    <s v="No calculation used"/>
    <s v="The 'Ex3_SEN' has been obtained from 'APT Proforma dataset - Exceptional Circumstances 3 Notional SEN'."/>
    <x v="1"/>
    <s v="Existing Mainstream"/>
  </r>
  <r>
    <x v="9"/>
    <s v="P271_InYearEx3Subtotal"/>
    <s v="SBS_AllAcademies"/>
    <x v="1"/>
    <s v="P001_1718DaysOpen; P269_Ex3Subtotal; P25_YearDays_1718"/>
    <s v="P269_Ex3Subtotal * P001_1718DaysOpen / P25_YearDays_1718"/>
    <s v="This figure is obtained from the '1718 APT New ISB dataset - 17-18 Approved Exceptional Circumstance 3' pro-rated for in-year openers."/>
    <x v="0"/>
    <m/>
  </r>
  <r>
    <x v="9"/>
    <s v="P273_Ex4Subtotal"/>
    <s v="SBS_AllAcademies"/>
    <x v="1"/>
    <s v="[1718_APT_NewISB.Exceptional_Circumstances_4]"/>
    <s v="IF  ([Exceptional Circumstances 4 - New ISB] = &quot;BLANK&quot;, THEN 0, ELSE [APT_New_ISB_dataset.17-18_Approved_Exceptional__Circumstance_4]"/>
    <s v="This figure is obtained from the '1718 APT New ISB dataset - 17-18 Approved Exceptional Circumstance 4'."/>
    <x v="1"/>
    <s v="Existing Mainstream"/>
  </r>
  <r>
    <x v="9"/>
    <s v="P274_NSENEx4"/>
    <s v="SBS_AllAcademies"/>
    <x v="1"/>
    <s v="P273_Ex4Subtotal; P274a_NSENEx4_Percent"/>
    <s v="P273_Ex4Subtotal * P274a_NSENEx4_Percent"/>
    <s v="The 'EXC_CIRC_4_SEN' has been obtained from 'APT Proforma dataset - Exceptional Circs 4 Notional SEN'.  "/>
    <x v="0"/>
    <m/>
  </r>
  <r>
    <x v="9"/>
    <s v="P274a_NSENEx4_Percent"/>
    <s v="SBS_AllAcademies"/>
    <x v="0"/>
    <s v="No variables used"/>
    <s v="No calculation used"/>
    <s v="The 'Ex4_SEN' has been obtained from 'APT Proforma dataset - Exceptional Circumstances 4 Notional SEN'."/>
    <x v="1"/>
    <s v="Existing Mainstream"/>
  </r>
  <r>
    <x v="9"/>
    <s v="P275_InYearEx4Subtotal"/>
    <s v="SBS_AllAcademies"/>
    <x v="1"/>
    <s v="P001_1718DaysOpen; P273_Ex4Subtotal; P25_YearDays_1718"/>
    <s v="P273_Ex4Subtotal * P001_1718DaysOpen / P25_YearDays_1718"/>
    <s v="This figure is obtained from the '1718 APT New ISB dataset - 17-18 Approved Exceptional Circumstance 4' pro-rated for in-year openers."/>
    <x v="0"/>
    <m/>
  </r>
  <r>
    <x v="9"/>
    <s v="P277_Ex5Subtotal"/>
    <s v="SBS_AllAcademies"/>
    <x v="1"/>
    <s v="[1718_APT_NewISB.Exceptional_Circumstances_5]"/>
    <s v="IF   ([Exceptional Circumstances 5 - New ISB] = &quot;BLANK&quot;), THEN 0, ELSE [APT_New_ISB_dataset.17-18_Approved_Exceptional__Circumstance_5]"/>
    <s v="This figure is obtained from the '1718 APT New ISB dataset - 17-18 Approved Exceptional Circumstance 5'."/>
    <x v="1"/>
    <s v="Existing Mainstream"/>
  </r>
  <r>
    <x v="9"/>
    <s v="P278_NSENEx5"/>
    <s v="SBS_AllAcademies"/>
    <x v="1"/>
    <s v="P277_Ex5Subtotal; P278a_NSENEx5_Percent"/>
    <s v="P277_Ex5Subtotal * P278a_NSENEx5_Percent"/>
    <s v="The 'EXC_CIRC_5_SEN' has been obtained from 'APT Proforma dataset - Exceptional Circs 5 Notional SEN'. "/>
    <x v="0"/>
    <m/>
  </r>
  <r>
    <x v="9"/>
    <s v="P278a_NSENEx5_Percent"/>
    <s v="SBS_AllAcademies"/>
    <x v="0"/>
    <s v="No variables used"/>
    <s v="No calculation used"/>
    <s v="The 'Ex5_SEN' has been obtained from 'APT Proforma dataset - Exceptional Circumstances 5 Notional SEN'."/>
    <x v="1"/>
    <s v="Existing Mainstream"/>
  </r>
  <r>
    <x v="9"/>
    <s v="P279_InYearEx5Subtotal"/>
    <s v="SBS_AllAcademies"/>
    <x v="1"/>
    <s v="P001_1718DaysOpen; P277_Ex5Subtotal; P25_YearDays_1718"/>
    <s v="P277_Ex5Subtotal * P001_1718DaysOpen / P25_YearDays_1718"/>
    <s v="This figure is obtained from the '1718 APT New ISB dataset - 17-18 Approved Exceptional Circumstance 5' pro-rated for in-year openers."/>
    <x v="0"/>
    <m/>
  </r>
  <r>
    <x v="9"/>
    <s v="P281_Ex6Subtotal"/>
    <s v="SBS_AllAcademies"/>
    <x v="1"/>
    <s v="[1718_APT_NewISB.Exceptional_Circumstances_6]; [P286_PriorYearAdjusmentSubtotal]; P298_Growth; P300_SBSOutcomeAdjustment"/>
    <s v="IF  ([Exceptional Circumstances 6 - New ISB] = &quot;BLANK&quot;), THEN [P286_PriorYearAdjustmetnSubtotal], ELSE [APT_New_ISB_dataset.17-18_Approved_Exceptional__Circumstance_6] + [P286_PriorYearAdjustmetnSubtotal] + P298_Growth + P300_SBSOutcomeAdjustment"/>
    <s v="This figure is obtained from the '1718 APT New ISB dataset - 17-18 Approved Exceptional Circumstance 6'."/>
    <x v="1"/>
    <s v="Existing Mainstream"/>
  </r>
  <r>
    <x v="9"/>
    <s v="P282_NSENEx6"/>
    <s v="SBS_AllAcademies"/>
    <x v="1"/>
    <s v="P281_Ex6Subtotal; P282a_NSENEx6_Percent; P286_PriorYearAdjustmentSubtotal; P298_Growth; P300_SBSOutcomeAdjustment"/>
    <s v="(P281_Ex6Subtotal - P286_PriorYearAdjustmentSubtotal - P298_Growth - P300_SBSOutcomeAdjustment) * P282a_NSENEx6_Percent"/>
    <s v="The 'EXC_CIRC_6_SEN' has been obtained from 'APT Proforma dataset - Exceptional Circs 6 Notional SEN'. "/>
    <x v="0"/>
    <m/>
  </r>
  <r>
    <x v="9"/>
    <s v="P282a_NSENEx6_Percent"/>
    <s v="SBS_AllAcademies"/>
    <x v="0"/>
    <s v="No variables used"/>
    <s v="No calculation used"/>
    <s v="The 'Ex6_SEN' has been obtained from 'APT Proforma dataset - Exceptional Circumstances 6 Notional SEN'."/>
    <x v="1"/>
    <s v="Existing Mainstream"/>
  </r>
  <r>
    <x v="9"/>
    <s v="P283_InYearEx6Subtotal"/>
    <s v="SBS_AllAcademies"/>
    <x v="1"/>
    <s v="P001_1718DaysOpen; P281_Ex6Subtotal; P25_YearDays_1718"/>
    <s v="P281_Ex6Subtotal * P001_1718DaysOpen / P25_YearDays_1718"/>
    <s v="This figure is obtained from the '1718 APT New ISB dataset - 17-18 Approved Exceptional Circumstance 6' pro-rated for in-year openers."/>
    <x v="0"/>
    <m/>
  </r>
  <r>
    <x v="9"/>
    <s v="P284_NSENSubtotal"/>
    <s v="SBS_AllAcademies"/>
    <x v="1"/>
    <s v="P006_NSEN_PriBE; P011_NSEN_KS3BE; P016_NSEN_KS4BE; P028_NSENFSMPri; P039_NSENFSMSec; P045_NSENIDACIFPri; P051_NSENIDACIEPri; P057_NSENIDACIDPri; P063_NSENIDACICPri; P069_NSENIDACIBPri; P075_NSENIDACIAPri; P081_NSENIDACIFSec; P087_NSENIDACIESec; P093_NSENIDACIDSec; P099_NSENIDACICSec; P105_NSENIDACIBSec; P111_NSENIDACIASec; P118_NSENLAC; P134_NSENPPA; P140_NSENSecPA; P156_NSENPriEAL; P172_NSENSecEAL; P178_NSENMobPri; P184_NSENMobSec; P236_NSENSparsity; ; P247_NSENLumpSumPri; P248_NSENLumpSumSec; P250_NSENSplitSites; P253_NSENPFI; P262_NSENEx1; P266_NSENEx2; P270_NSENEx3; P274_NSENEx4; P278_NSENEx5; P282_NSENEx6_x000a_"/>
    <s v="IF Existing Academy or New Opener on estimates THEN _x000a__x000a_(FringeFactor  * (P006_NSEN_PriBE + P011_NSEN_KS3BE + P016_NSEN_KS4BE + P028_NSENFSMPri +_x000a_P039_NSENFSMSec + P045_NSENIDACIFPri + P051_NSENIDACIEPri + P057_NSENIDACIDPri +_x000a_P063_NSENIDACICPri + P069_NSENIDACIBPri + P075_NSENIDACIAPri + P081_NSENIDACIFSec +_x000a_P087_NSENIDACIESec + P093_NSENIDACIDSec + P099_NSENIDACICSec + P105_NSENIDACIBSec +_x000a_P111_NSENIDACIASec + P118_NSENLAC + P134_NSENPPA + P140_NSENSecPA +_x000a_P156_NSENPriEAL + P172_NSENSecEAL + P178_NSENMobPri + P184_NSENMobSec +_x000a_P236_NSENSparsity + P247_NSENLumpSumPri + P248_NSENLumpSumSec +_x000a_P262_NSENEx1)) +_x000a_P250_NSENSplitSites + P253_NSENPFI + P266_NSENEx2 + P270_NSENEx3 +_x000a_P274_NSENEx4 + P278_NSENEx5 + P282_NSENEx6, ELSE_x000a_If New Opener  then_x000a_    result = APT_NSENSubtotal_x000a_ _x000a_ELSE 0"/>
    <s v="This calculation determines the total SBS NSEN for existing academies. Factors that attract London Fringe uplift (where applicable) are uplifted by Fringe amount (factor  = 1 for those not in receipt of fringe) where applicable."/>
    <x v="1"/>
    <s v="Existing Mainstream"/>
  </r>
  <r>
    <x v="9"/>
    <s v="P285_InYearNSENSubtotal"/>
    <s v="SBS_AllAcademies"/>
    <x v="1"/>
    <s v=" P001_1718DaysOpen; P284_NSENSubtotal; P25_YearDays_1718"/>
    <s v="(P284_NSENSubtotal) *  P001_1718Days_Open / P25_YearDays_1718"/>
    <s v="This calculation detemines the total SBS NSEN for in-year opening academies."/>
    <x v="0"/>
    <m/>
  </r>
  <r>
    <x v="9"/>
    <s v="P286_PriorYearAdjustmentSubtotal"/>
    <s v="SBS_AllAcademies"/>
    <x v="1"/>
    <s v="No variables used"/>
    <s v="[1718_EFA_Adjustments.APT_Adjustment_relating_to_prior_year_SBS]"/>
    <s v="Any relavant 'prior year adjustment' is taken from the EFA Adjustments dataset (LA's provide this data via the ‘Other Adjustments to 16-17 Budget shares’ field of the Local Factors sheet, but colleagues in the Data and Quality Assurance Unit will review these adjustments and provide those adjustments that are relevant to academies via the EFA adjustments dataset)"/>
    <x v="0"/>
    <m/>
  </r>
  <r>
    <x v="9"/>
    <s v="P287_InYearPriorYearAdjsutmentSubtotal"/>
    <s v="SBS_AllAcademies"/>
    <x v="1"/>
    <s v="P001_1718DaysOpen; P286_PriorYearAdjustmentSubtotal; P25_YearDays_1718"/>
    <s v="P286_PriorYearAdjustmentSubtotal * P001_1718DaysOpen / P25_YearDays_1718"/>
    <s v="above value, pro-rated for in-year openers"/>
    <x v="0"/>
    <m/>
  </r>
  <r>
    <x v="9"/>
    <s v="P298_Growth"/>
    <s v="SBS_AllAcademies"/>
    <x v="1"/>
    <s v="No variables used"/>
    <s v="[1718_EFA_Adjustments.Growth_Funding_Total]"/>
    <s v="If EFA approves any exceptional growth funding it will be uploaded to this field in the EFA adjustments dataset and included in the SBS total."/>
    <x v="0"/>
    <m/>
  </r>
  <r>
    <x v="9"/>
    <s v="P299_InYearGrowth"/>
    <s v="SBS_AllAcademies"/>
    <x v="1"/>
    <s v="P001_1718DaysOpen; P298_Growth; P25_YearDays_1718"/>
    <s v="P298_Growth * P001_1718DaysOpen / P25_YearDays_1718"/>
    <s v="above value, pro-rated for in-year openers"/>
    <x v="0"/>
    <m/>
  </r>
  <r>
    <x v="9"/>
    <s v="P300_SBSOutcomeAdjustment"/>
    <s v="SBS_AllAcademies"/>
    <x v="1"/>
    <s v="No variables used"/>
    <s v="[1718_EFA_Adjustments.SBS_outcome_adjustment]"/>
    <s v="No calculation.  This product offers the flexibility to make adjustments to the total SBS allocation e.g. to ensure a total balances when merging allocations for an academy merger case.  This is more transparent than the previous approach where such adjustments were applied by amending data in the Exception 6 field of the New ISB dataset."/>
    <x v="0"/>
    <m/>
  </r>
  <r>
    <x v="9"/>
    <s v="P301_InYearSBSOutcomeAdjustment"/>
    <s v="SBS_AllAcademies"/>
    <x v="1"/>
    <s v="P001_1718DaysOpen; P300_SBSOutcomeAdjustment; P25_YearDays_1718"/>
    <s v="P300_SBSOutcomeAdjustment * P001_1718DaysOpen / P25_YearDays_1718"/>
    <s v="above value, pro-rated for in-year openers"/>
    <x v="0"/>
    <m/>
  </r>
  <r>
    <x v="0"/>
    <s v="Lump_Sum_Total"/>
    <s v="SBS_AllAcademies"/>
    <x v="1"/>
    <s v="P241_Primary_Lump_Sum; P245_Secondary_Lump_Sum"/>
    <s v="P241_Primary_Lump_Sum + P245_Secondary_Lump_Sum"/>
    <s v="Single Lump sum product required for FAP only.  The calculation simply added the primary and secondary totals "/>
    <x v="0"/>
    <m/>
  </r>
  <r>
    <x v="0"/>
    <s v="InYearLumpSum"/>
    <s v="SBS_AllAcademies"/>
    <x v="1"/>
    <s v="P242_InYearPriLumpSumSubtotal; P246_In YearSecLumpSumSubtotal"/>
    <s v="P242_InYearPriLumpSumSubtotal + P246_In YearSecLumpSumSubtotal"/>
    <s v="similar to above value, this product sums the pro-rated totals for in-year openers. Required for the FAP."/>
    <x v="0"/>
    <m/>
  </r>
  <r>
    <x v="0"/>
    <s v="P288_SBSFundingTotal"/>
    <s v="SBS_AllAcademies"/>
    <x v="1"/>
    <s v="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PATotalFunding; P139_SecPASubtotal; P145_EAL1PriSubtotal; P150_EAL2PriSubtotal; P155_EAL3PriSubtotal; P161_EAL1SecSubtotal; P166_EAL2SecSubtotal; P171_EAL3SecSubtotal; P177_MobPriSubtotal; P183_MobSecSubtotal; P197_SparsityLumpSumSubtotal; P198_SparsityTaperSubtotal; P241_PriLumpSumSubtotal; P245_SecLumpSumSubtotal; P249_SplitSitesSubtotal; P252_PFISubtotal; P255_FringeSubtotal; P261_Ex1Subtotal; P265_Ex2Subtotal; P269_Ex3Subtotal; P273_Ex4Subtotal; P277_Ex5Subtotal; P281_Ex6Subtotal"/>
    <s v="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PATotalFunding + P139_SecPASubtotal + P145_EAL1PriSubtotal + P150_EAL2PriSubtotal + P155_EAL3PriSubtotal + P161_EAL1SecSubtotal + P166_EAL2SecSubtotal + P171_EAL3SecSubtotal + P177_MobPriSubtotal + P183_MobSecSubtotal + P197_SparsityLumpSumSubtotal + P198_SparsityTaperSubtotal + P241_PriLumpSumSubtotal +_x000a_P245_SecLumpSumSubtotal + P249_SplitSitesSubtotal + P252_PFISubtotal + P255_FringeSubtotal + P261_Ex1Subtotal + P265_Ex2Subtotal + P269_Ex3Subtotal + P273_Ex4Subtotal + P277_Ex5Subtotal + P281_Ex6Subtotal "/>
    <s v="This calculation determines the total amount of SBS funding for existing academies."/>
    <x v="1"/>
    <s v="Existing Mainstream"/>
  </r>
  <r>
    <x v="0"/>
    <s v="P289_InYearSBSFundingTotal"/>
    <s v="SBS_AllAcademies"/>
    <x v="1"/>
    <s v="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 P199_InYearSparsityLumpSumSubtotal; P200_InYearSparsityTaperSubtotal;   P242_InYearPrLumpSumSubtotal; P246_InYearSecLumpSumSubtotal; P251_InYearSplitSitesSubtotal; P254_InYearPFISubtotal; P257_InYearFringeSubtotal; P264_InYearEx1Subtotal; P267_InYearEx2Subtotal; P271_InYearEx3Subtotal; P275_InYearEx4Subtotal; P279_InYearEx5Subtotal; P283_InYearEx6Subtotal"/>
    <s v="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 P199_InYearSparsityLumpSumSubtotal + P200_InYearSparsityTaperSubtotal + _x000a_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
    <s v="This calculation determines the total amount of SBS funding for in-year opening academies.  This is the total that is used to feed payments."/>
    <x v="0"/>
    <m/>
  </r>
  <r>
    <x v="0"/>
    <s v="P290_ISBTotalSBSFunding"/>
    <s v="SBS_AllAcademies"/>
    <x v="1"/>
    <s v="New_ISB_dataset.Total_Allocation; New_ISB_dataset.Rates"/>
    <s v=" Total_Allocation - Rates"/>
    <s v="Rates' figures is obtained from '1718 APT New ISB' dataset.  This calculation determines the total SBS allocation minus rates for all academies, taken from the APT - for comparison purposes."/>
    <x v="0"/>
    <m/>
  </r>
  <r>
    <x v="0"/>
    <s v="P291_TotalPupilLedFactors"/>
    <s v="SBS_AllAcademies"/>
    <x v="1"/>
    <s v="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rimaryPA;  P139_SecPASubtotal; P145_EAL1PriSubtotal; P150_EAL2PriSubtotal; P155_EAL3PriSubtotal; P161_EAL1SecSubtotal; P166_EAL2SecSubtotal; P171_EAL3SecSubtotal; P177_MobPriSubtotal; P183_MobSecSubtotal"/>
    <s v="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rimaryPA + P139_SecPASubtotal + P145_EAL1PriSubtotal + P150_EAL2PriSubtotal + P155_EAL3PriSubtotal + P161_EAL1SecSubtotal + P166_EAL2SecSubtotal + P171_EAL3SecSubtotal + P177_MobPriSubtotal + P183_MobSecSubtotal "/>
    <s v="This calculation determines the total amount of pupil led factors funding for existing academies."/>
    <x v="1"/>
    <s v="Existing Mainstream"/>
  </r>
  <r>
    <x v="0"/>
    <s v="P292_InYearTotalPupilLedfactors"/>
    <s v="SBS_AllAcademies"/>
    <x v="1"/>
    <s v="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
    <s v="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
    <s v="This calculation determines the total amount of pupil led factors funding for in-year opening academies.  This total feeds payments."/>
    <x v="0"/>
    <m/>
  </r>
  <r>
    <x v="0"/>
    <s v="P293_TotalOtherFactors"/>
    <s v="SBS_AllAcademies"/>
    <x v="1"/>
    <s v="P241_PriLumpSumSubtotal; P245_SecLumpSumSubtotal; P249_SplitSitesSubtotal; P252_PFISubtotal; P255_FringeSubtotal; P261_Ex1Subtotal; P265_Ex2Subtotal; P269_Ex3Subtotal; P273_Ex4Subtotal; P277_Ex5Subtotal; P281_Ex6Subtotal; P197_SparsityLumpSumSubtotal; P198_SparsityTaperSubtotal"/>
    <s v="P241_PriLumpSumSubtotal + P245_SecLumpSumSubtotal + P249_SplitSitesSubtotal + P252_PFISubtotal + P255_FringeSubtotal + P261_Ex1Subtotal + P265_Ex2Subtotal + P269_Ex3Subtotal + P273_Ex4Subtotal + P277_Ex5Subtotal + P281_Ex6Subtotal + P286_PriorYearAdjustmentSubtotal + P197_SparsityLumpSumSubtotal + P198_SparsityTaperSubtotal"/>
    <s v="This calculation determines the total amount of other factors funding for existing academies."/>
    <x v="0"/>
    <m/>
  </r>
  <r>
    <x v="0"/>
    <s v="P293a_TotalOtherFactors_NoExc"/>
    <s v="SBS_AllAcademies"/>
    <x v="1"/>
    <s v="P241_Primary_Lump_Sum; P245_Secondary_Lump_Sum; P250a_NSENSplitSites_Percent; P253a_NSENPFI_Percent; P255_FringeSubtotal; P197_SparsityLumpSumSubtotal; P198_SparsityTaperSubtotal"/>
    <s v="P241_Primary_Lump_Sum + P245_Secondary_Lump_Sum + P250a_NSENSplitSites_Percent + P253a_NSENPFI_Percent + P255_FringeSubtotal + P197_SparsityLumpSumSubtotal + P198_SparsityTaperSubtotal "/>
    <s v="Product for mainstream FAP production. Totals other factors, excluding exceptions."/>
    <x v="1"/>
    <s v="Existing Mainstream"/>
  </r>
  <r>
    <x v="0"/>
    <s v="P294_InYearTotalOtherFactors"/>
    <s v="SBS_AllAcademies"/>
    <x v="1"/>
    <s v="P242_InYearPrLumpSumSubtotal; P246_InYearSecLumpSumSubtotal; P251_InYearSplitSitesSubtotal; P254_InYearPFISubtotal; P257_InYearFringeSubtotal; P264_InYearEx1Subtotal; P267_InYearEx2Subtotal; P271_InYearEx3Subtotal; P275_InYearEx4Subtotal; P279_InYearEx5Subtotal; P283_InYearEx6Subtotal; P199_InYearSparsityLumpSumSubtotal; P200_InYearSparsityTaperSubtotal"/>
    <s v="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 + P287_InYearPriorYearAdjustmentSubtotal+ P199_InYearSparsityLumpSumSubtotal + P200_InYearSparsityTaperSubtotal"/>
    <s v="This calculation determines the total amount of other factors funding for in-year opening academies. This total feeds payments."/>
    <x v="0"/>
    <m/>
  </r>
  <r>
    <x v="0"/>
    <s v="P294a_InYearTotalOtherFactors_NoExc"/>
    <s v="SBS_AllAcademies"/>
    <x v="1"/>
    <s v="P242_InYearPrLumpSumSubtotal; P246_InYearSecLumpSumSubtotal; P251_InYearSplitSitesSubtotal; P254_InYearPFISubtotal; P257_InYearFringeSubtotal; P199_InYearSparsityLumpSumSubtotal; P200_InYearSparsityTaperSubtotal"/>
    <s v="P242_InYearPrLumpSumSubtotal + P246_InYearSecLumpSumSubtotal + P251_InYearSplitSitesSubtotal + P254_InYearPFISubtotal + P257_InYearFringeSubtotal + P199_InYearSparsityLumpSumSubtotal + P200_InYearSparsityTaperSubtotal "/>
    <s v="Product for IY openers mainstream FAP production. Totals other factors, excluding exceptions."/>
    <x v="0"/>
    <m/>
  </r>
  <r>
    <x v="0"/>
    <s v="P295_Dedelegation"/>
    <s v="SBS_AllAcademies"/>
    <x v="1"/>
    <s v="[APT_New_ISB.De-delegation]"/>
    <s v="APT_New_ISB_dataset.De-delegation * -1"/>
    <s v="this calculation determines the funding identified as de-delegated for existing academies."/>
    <x v="0"/>
    <m/>
  </r>
  <r>
    <x v="0"/>
    <s v="P296_InYearDedelegation"/>
    <s v="SBS_AllAcademies"/>
    <x v="1"/>
    <s v="P001_1718DaysOpen; P295_Dedelegation; P25_YearDays_1718"/>
    <s v="(P295_Dedelegation) * P001_1718Days_Open / P25_YearDays_1718"/>
    <s v="this calculation determines the funding identified as de-delegated for in-year academies."/>
    <x v="0"/>
    <m/>
  </r>
  <r>
    <x v="11"/>
    <s v="P297_DedelegationRetained"/>
    <s v="SBS_AllAcademies"/>
    <x v="1"/>
    <s v="P001_1718DaysOpen ; P295_Dedelegation"/>
    <s v="IF P001_1718DaysOpen = 365, THEN 0, ELSE (P001_1718DaysOpen - 153) / Year_Days * - P295_Dedelegation"/>
    <s v="For academies open on or after 2 September 2017, the LA retains the proportion of their dedelegation funding to the end of March, with funding only provided to the academy for the 153 days from 1 April 2018 to 31 August 2018.  This calculation produces the amount of dedelegation funding from the opening date to the end of March, that is retained by the authority and therefore removed from the part-year total SBS.  "/>
    <x v="0"/>
    <m/>
  </r>
  <r>
    <x v="12"/>
    <s v="ExSubtotal"/>
    <s v="SBS_AllAcademies"/>
    <x v="1"/>
    <s v="P261_Ex1Subtotal; P265_Ex2Subtotal; P269_Ex3Subtotal; P273_Ex4Subtotal; P277_Ex5Subtotal; P281_Ex6Subtotal"/>
    <s v="P261_Ex1Subtotal + P265_Ex2Subtotal + P269_Ex3Subtotal + P273_Ex4Subtotal + P277_Ex5Subtotal + P281_Ex6Subtotal"/>
    <s v="Total exceptions product used in FAP to determine whether section listing exceptions is shown."/>
    <x v="1"/>
    <s v="Existing Mainstream"/>
  </r>
  <r>
    <x v="12"/>
    <s v="SparsityTotal"/>
    <s v="SBS_AllAcademies"/>
    <x v="1"/>
    <s v="P197_SparsityLumpSumSubtotal; P198_SparsityTaperSubtotal"/>
    <s v="P197_SparsityLumpSumSubtotal + P198_SparsityTaperSubtotal"/>
    <s v="Total sparsity funding product, used to determine whether to include sparsity table in FAP coding."/>
    <x v="1"/>
    <s v="Existing Mainstrea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8" firstHeaderRow="1" firstDataRow="2" firstDataCol="1" rowPageCount="1" colPageCount="1"/>
  <pivotFields count="9">
    <pivotField axis="axisRow" showAll="0">
      <items count="15">
        <item x="1"/>
        <item x="11"/>
        <item x="6"/>
        <item x="12"/>
        <item x="2"/>
        <item x="3"/>
        <item x="4"/>
        <item x="7"/>
        <item x="9"/>
        <item x="5"/>
        <item x="8"/>
        <item x="10"/>
        <item x="0"/>
        <item x="13"/>
        <item t="default"/>
      </items>
    </pivotField>
    <pivotField dataField="1" showAll="0"/>
    <pivotField showAll="0"/>
    <pivotField axis="axisCol" showAll="0">
      <items count="5">
        <item x="1"/>
        <item x="0"/>
        <item x="2"/>
        <item x="3"/>
        <item t="default"/>
      </items>
    </pivotField>
    <pivotField showAll="0"/>
    <pivotField showAll="0"/>
    <pivotField showAll="0"/>
    <pivotField axis="axisPage" showAll="0">
      <items count="3">
        <item x="1"/>
        <item x="0"/>
        <item t="default"/>
      </items>
    </pivotField>
    <pivotField showAll="0"/>
  </pivotFields>
  <rowFields count="1">
    <field x="0"/>
  </rowFields>
  <rowItems count="14">
    <i>
      <x/>
    </i>
    <i>
      <x v="1"/>
    </i>
    <i>
      <x v="2"/>
    </i>
    <i>
      <x v="4"/>
    </i>
    <i>
      <x v="5"/>
    </i>
    <i>
      <x v="6"/>
    </i>
    <i>
      <x v="7"/>
    </i>
    <i>
      <x v="8"/>
    </i>
    <i>
      <x v="9"/>
    </i>
    <i>
      <x v="10"/>
    </i>
    <i>
      <x v="11"/>
    </i>
    <i>
      <x v="12"/>
    </i>
    <i>
      <x v="13"/>
    </i>
    <i t="grand">
      <x/>
    </i>
  </rowItems>
  <colFields count="1">
    <field x="3"/>
  </colFields>
  <colItems count="5">
    <i>
      <x/>
    </i>
    <i>
      <x v="1"/>
    </i>
    <i>
      <x v="2"/>
    </i>
    <i>
      <x v="3"/>
    </i>
    <i t="grand">
      <x/>
    </i>
  </colItems>
  <pageFields count="1">
    <pageField fld="7" item="1" hier="-1"/>
  </pageFields>
  <dataFields count="1">
    <dataField name="Count of Product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A5" sqref="A3:F18"/>
    </sheetView>
  </sheetViews>
  <sheetFormatPr defaultRowHeight="14.6" x14ac:dyDescent="0.4"/>
  <cols>
    <col min="1" max="1" width="23.61328125" bestFit="1" customWidth="1"/>
    <col min="2" max="2" width="14.69140625" customWidth="1"/>
    <col min="3" max="3" width="5.4609375" customWidth="1"/>
    <col min="4" max="4" width="12.765625" bestFit="1" customWidth="1"/>
    <col min="5" max="5" width="6.3828125" customWidth="1"/>
    <col min="6" max="6" width="10.23046875" bestFit="1" customWidth="1"/>
  </cols>
  <sheetData>
    <row r="1" spans="1:6" x14ac:dyDescent="0.4">
      <c r="A1" s="31" t="s">
        <v>7</v>
      </c>
      <c r="B1" t="s">
        <v>754</v>
      </c>
    </row>
    <row r="3" spans="1:6" x14ac:dyDescent="0.4">
      <c r="A3" s="31" t="s">
        <v>752</v>
      </c>
      <c r="B3" s="31" t="s">
        <v>756</v>
      </c>
    </row>
    <row r="4" spans="1:6" x14ac:dyDescent="0.4">
      <c r="A4" s="31" t="s">
        <v>753</v>
      </c>
      <c r="B4" t="s">
        <v>16</v>
      </c>
      <c r="C4" t="s">
        <v>12</v>
      </c>
      <c r="D4" t="s">
        <v>335</v>
      </c>
      <c r="E4" t="s">
        <v>754</v>
      </c>
      <c r="F4" t="s">
        <v>755</v>
      </c>
    </row>
    <row r="5" spans="1:6" x14ac:dyDescent="0.4">
      <c r="A5" s="32" t="s">
        <v>14</v>
      </c>
      <c r="B5" s="30">
        <v>6</v>
      </c>
      <c r="C5" s="30"/>
      <c r="D5" s="30"/>
      <c r="E5" s="30"/>
      <c r="F5" s="30">
        <v>6</v>
      </c>
    </row>
    <row r="6" spans="1:6" x14ac:dyDescent="0.4">
      <c r="A6" s="32" t="s">
        <v>743</v>
      </c>
      <c r="B6" s="30">
        <v>1</v>
      </c>
      <c r="C6" s="30"/>
      <c r="D6" s="30"/>
      <c r="E6" s="30"/>
      <c r="F6" s="30">
        <v>1</v>
      </c>
    </row>
    <row r="7" spans="1:6" x14ac:dyDescent="0.4">
      <c r="A7" s="32" t="s">
        <v>388</v>
      </c>
      <c r="B7" s="30">
        <v>8</v>
      </c>
      <c r="C7" s="30"/>
      <c r="D7" s="30"/>
      <c r="E7" s="30"/>
      <c r="F7" s="30">
        <v>8</v>
      </c>
    </row>
    <row r="8" spans="1:6" x14ac:dyDescent="0.4">
      <c r="A8" s="32" t="s">
        <v>50</v>
      </c>
      <c r="B8" s="30">
        <v>6</v>
      </c>
      <c r="C8" s="30"/>
      <c r="D8" s="30"/>
      <c r="E8" s="30"/>
      <c r="F8" s="30">
        <v>6</v>
      </c>
    </row>
    <row r="9" spans="1:6" x14ac:dyDescent="0.4">
      <c r="A9" s="32" t="s">
        <v>107</v>
      </c>
      <c r="B9" s="30">
        <v>24</v>
      </c>
      <c r="C9" s="30"/>
      <c r="D9" s="30"/>
      <c r="E9" s="30"/>
      <c r="F9" s="30">
        <v>24</v>
      </c>
    </row>
    <row r="10" spans="1:6" x14ac:dyDescent="0.4">
      <c r="A10" s="32" t="s">
        <v>300</v>
      </c>
      <c r="B10" s="30">
        <v>2</v>
      </c>
      <c r="C10" s="30"/>
      <c r="D10" s="30"/>
      <c r="E10" s="30"/>
      <c r="F10" s="30">
        <v>2</v>
      </c>
    </row>
    <row r="11" spans="1:6" x14ac:dyDescent="0.4">
      <c r="A11" s="32" t="s">
        <v>469</v>
      </c>
      <c r="B11" s="30">
        <v>4</v>
      </c>
      <c r="C11" s="30"/>
      <c r="D11" s="30"/>
      <c r="E11" s="30"/>
      <c r="F11" s="30">
        <v>4</v>
      </c>
    </row>
    <row r="12" spans="1:6" x14ac:dyDescent="0.4">
      <c r="A12" s="32" t="s">
        <v>563</v>
      </c>
      <c r="B12" s="30">
        <v>26</v>
      </c>
      <c r="C12" s="30"/>
      <c r="D12" s="30"/>
      <c r="E12" s="30"/>
      <c r="F12" s="30">
        <v>26</v>
      </c>
    </row>
    <row r="13" spans="1:6" x14ac:dyDescent="0.4">
      <c r="A13" s="32" t="s">
        <v>316</v>
      </c>
      <c r="B13" s="30">
        <v>4</v>
      </c>
      <c r="C13" s="30">
        <v>6</v>
      </c>
      <c r="D13" s="30">
        <v>1</v>
      </c>
      <c r="E13" s="30"/>
      <c r="F13" s="30">
        <v>11</v>
      </c>
    </row>
    <row r="14" spans="1:6" x14ac:dyDescent="0.4">
      <c r="A14" s="32" t="s">
        <v>500</v>
      </c>
      <c r="B14" s="30">
        <v>5</v>
      </c>
      <c r="C14" s="30">
        <v>9</v>
      </c>
      <c r="D14" s="30"/>
      <c r="E14" s="30"/>
      <c r="F14" s="30">
        <v>14</v>
      </c>
    </row>
    <row r="15" spans="1:6" x14ac:dyDescent="0.4">
      <c r="A15" s="32" t="s">
        <v>593</v>
      </c>
      <c r="B15" s="30">
        <v>2</v>
      </c>
      <c r="C15" s="30"/>
      <c r="D15" s="30"/>
      <c r="E15" s="30"/>
      <c r="F15" s="30">
        <v>2</v>
      </c>
    </row>
    <row r="16" spans="1:6" x14ac:dyDescent="0.4">
      <c r="A16" s="32" t="s">
        <v>9</v>
      </c>
      <c r="B16" s="30">
        <v>10</v>
      </c>
      <c r="C16" s="30">
        <v>1</v>
      </c>
      <c r="D16" s="30"/>
      <c r="E16" s="30"/>
      <c r="F16" s="30">
        <v>11</v>
      </c>
    </row>
    <row r="17" spans="1:6" x14ac:dyDescent="0.4">
      <c r="A17" s="32" t="s">
        <v>754</v>
      </c>
      <c r="B17" s="30"/>
      <c r="C17" s="30"/>
      <c r="D17" s="30"/>
      <c r="E17" s="30"/>
      <c r="F17" s="30"/>
    </row>
    <row r="18" spans="1:6" x14ac:dyDescent="0.4">
      <c r="A18" s="32" t="s">
        <v>755</v>
      </c>
      <c r="B18" s="30">
        <v>98</v>
      </c>
      <c r="C18" s="30">
        <v>16</v>
      </c>
      <c r="D18" s="30">
        <v>1</v>
      </c>
      <c r="E18" s="30"/>
      <c r="F18" s="30">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workbookViewId="0">
      <selection activeCell="B6" sqref="B6"/>
    </sheetView>
  </sheetViews>
  <sheetFormatPr defaultRowHeight="14.6" x14ac:dyDescent="0.4"/>
  <cols>
    <col min="1" max="1" width="33.4609375" bestFit="1" customWidth="1"/>
    <col min="2" max="2" width="24.69140625" bestFit="1" customWidth="1"/>
    <col min="3" max="3" width="17.84375" bestFit="1" customWidth="1"/>
    <col min="4" max="4" width="10.23046875" bestFit="1" customWidth="1"/>
  </cols>
  <sheetData>
    <row r="1" spans="1:4" x14ac:dyDescent="0.4">
      <c r="A1" t="s">
        <v>759</v>
      </c>
      <c r="B1" t="s">
        <v>758</v>
      </c>
      <c r="C1" t="s">
        <v>775</v>
      </c>
      <c r="D1" t="s">
        <v>6</v>
      </c>
    </row>
    <row r="2" spans="1:4" x14ac:dyDescent="0.4">
      <c r="A2" t="s">
        <v>776</v>
      </c>
      <c r="B2" t="s">
        <v>774</v>
      </c>
      <c r="C2">
        <v>1819</v>
      </c>
    </row>
    <row r="3" spans="1:4" x14ac:dyDescent="0.4">
      <c r="B3" s="32"/>
    </row>
    <row r="4" spans="1:4" x14ac:dyDescent="0.4">
      <c r="B4" s="32"/>
    </row>
    <row r="5" spans="1:4" x14ac:dyDescent="0.4">
      <c r="B5" s="32"/>
    </row>
    <row r="6" spans="1:4" x14ac:dyDescent="0.4">
      <c r="B6" s="32"/>
    </row>
    <row r="7" spans="1:4" x14ac:dyDescent="0.4">
      <c r="A7" s="33"/>
      <c r="B7" s="32"/>
    </row>
    <row r="8" spans="1:4" x14ac:dyDescent="0.4">
      <c r="B8" s="32"/>
    </row>
    <row r="9" spans="1:4" x14ac:dyDescent="0.4">
      <c r="A9" s="33"/>
      <c r="B9" s="32"/>
    </row>
    <row r="10" spans="1:4" x14ac:dyDescent="0.4">
      <c r="B10" s="32"/>
    </row>
    <row r="11" spans="1:4" x14ac:dyDescent="0.4">
      <c r="B11" s="32"/>
    </row>
    <row r="12" spans="1:4" x14ac:dyDescent="0.4">
      <c r="B12" s="32"/>
    </row>
    <row r="13" spans="1:4" x14ac:dyDescent="0.4">
      <c r="B13" s="32"/>
    </row>
    <row r="14" spans="1:4" x14ac:dyDescent="0.4">
      <c r="B14" s="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74"/>
  <sheetViews>
    <sheetView zoomScaleNormal="100" workbookViewId="0">
      <selection activeCell="B129" sqref="B129"/>
    </sheetView>
  </sheetViews>
  <sheetFormatPr defaultRowHeight="14.6" x14ac:dyDescent="0.4"/>
  <cols>
    <col min="1" max="1" width="15.4609375" style="26" customWidth="1"/>
    <col min="2" max="2" width="30.23046875" style="27" customWidth="1"/>
    <col min="3" max="3" width="17.61328125" style="26" customWidth="1"/>
    <col min="4" max="4" width="10.53515625" style="26" customWidth="1"/>
    <col min="5" max="5" width="72.23046875" style="28" customWidth="1"/>
    <col min="6" max="6" width="69.3046875" style="29" customWidth="1"/>
    <col min="7" max="7" width="42.53515625" style="26" customWidth="1"/>
    <col min="8" max="8" width="9.4609375" bestFit="1" customWidth="1"/>
    <col min="9" max="9" width="14.3828125" style="2" customWidth="1"/>
  </cols>
  <sheetData>
    <row r="1" spans="1:9" ht="24.9" x14ac:dyDescent="0.4">
      <c r="A1" s="3" t="s">
        <v>0</v>
      </c>
      <c r="B1" s="3" t="s">
        <v>1</v>
      </c>
      <c r="C1" s="4" t="s">
        <v>2</v>
      </c>
      <c r="D1" s="4" t="s">
        <v>3</v>
      </c>
      <c r="E1" s="4" t="s">
        <v>4</v>
      </c>
      <c r="F1" s="4" t="s">
        <v>5</v>
      </c>
      <c r="G1" s="4" t="s">
        <v>6</v>
      </c>
      <c r="H1" s="4" t="s">
        <v>7</v>
      </c>
      <c r="I1" s="4" t="s">
        <v>8</v>
      </c>
    </row>
    <row r="2" spans="1:9" s="5" customFormat="1" ht="37.299999999999997" x14ac:dyDescent="0.4">
      <c r="A2" s="6" t="s">
        <v>9</v>
      </c>
      <c r="B2" s="6" t="s">
        <v>10</v>
      </c>
      <c r="C2" s="6" t="s">
        <v>11</v>
      </c>
      <c r="D2" s="6" t="s">
        <v>12</v>
      </c>
      <c r="E2" s="6" t="str">
        <f>'[1]Variables-Products'!B29</f>
        <v>P27_DaysOpen</v>
      </c>
      <c r="F2" s="6" t="str">
        <f>'[1]Variables-Products'!B29</f>
        <v>P27_DaysOpen</v>
      </c>
      <c r="G2" s="6" t="s">
        <v>13</v>
      </c>
      <c r="H2" s="7"/>
      <c r="I2" s="8"/>
    </row>
    <row r="3" spans="1:9" s="1" customFormat="1" ht="37.299999999999997" x14ac:dyDescent="0.4">
      <c r="A3" s="9" t="s">
        <v>14</v>
      </c>
      <c r="B3" s="9" t="s">
        <v>15</v>
      </c>
      <c r="C3" s="9" t="s">
        <v>11</v>
      </c>
      <c r="D3" s="9" t="s">
        <v>16</v>
      </c>
      <c r="E3" s="10" t="s">
        <v>17</v>
      </c>
      <c r="F3" s="10" t="s">
        <v>18</v>
      </c>
      <c r="G3" s="10" t="s">
        <v>19</v>
      </c>
      <c r="H3" s="7" t="s">
        <v>20</v>
      </c>
      <c r="I3" s="8" t="s">
        <v>21</v>
      </c>
    </row>
    <row r="4" spans="1:9" s="1" customFormat="1" ht="74.599999999999994" x14ac:dyDescent="0.4">
      <c r="A4" s="11" t="s">
        <v>14</v>
      </c>
      <c r="B4" s="11" t="s">
        <v>22</v>
      </c>
      <c r="C4" s="11" t="s">
        <v>11</v>
      </c>
      <c r="D4" s="11" t="s">
        <v>16</v>
      </c>
      <c r="E4" s="6" t="str">
        <f>'[1]Variables-Products'!B22&amp;", "&amp;B3&amp;", FundingBasis(201718)"</f>
        <v>P22_Total_NOR_PRI_SBS, P004_PriRate, FundingBasis(201718)</v>
      </c>
      <c r="F4" s="6" t="str">
        <f>"IF Existing Academy OR New Opener1718 funded on estimates, THEN "&amp; '[1]Variables-Products'!B22&amp;" * "&amp;B3&amp;", ELSE (IF New Opener 1718 funded on census) THEN APT_New_ISB_dataset.Basic_Entitlement_Primary"</f>
        <v>IF Existing Academy OR New Opener1718 funded on estimates, THEN P22_Total_NOR_PRI_SBS * P004_PriRate, ELSE (IF New Opener 1718 funded on census) THEN APT_New_ISB_dataset.Basic_Entitlement_Primary</v>
      </c>
      <c r="G4" s="6" t="s">
        <v>23</v>
      </c>
      <c r="H4" s="7" t="s">
        <v>20</v>
      </c>
      <c r="I4" s="8" t="s">
        <v>21</v>
      </c>
    </row>
    <row r="5" spans="1:9" s="1" customFormat="1" ht="49.75" x14ac:dyDescent="0.4">
      <c r="A5" s="11" t="s">
        <v>14</v>
      </c>
      <c r="B5" s="11" t="s">
        <v>24</v>
      </c>
      <c r="C5" s="11" t="s">
        <v>11</v>
      </c>
      <c r="D5" s="11" t="s">
        <v>16</v>
      </c>
      <c r="E5" s="6" t="str">
        <f>B4&amp;"; "&amp;B6</f>
        <v>P005_PriBESubtotal; P006a_NSEN_PriBE_Percent</v>
      </c>
      <c r="F5" s="6" t="str">
        <f>B4&amp;" * "&amp;B6</f>
        <v>P005_PriBESubtotal * P006a_NSEN_PriBE_Percent</v>
      </c>
      <c r="G5" s="6" t="s">
        <v>25</v>
      </c>
      <c r="H5" s="7"/>
      <c r="I5" s="8"/>
    </row>
    <row r="6" spans="1:9" s="1" customFormat="1" ht="24.9" x14ac:dyDescent="0.4">
      <c r="A6" s="11" t="s">
        <v>14</v>
      </c>
      <c r="B6" s="11" t="s">
        <v>26</v>
      </c>
      <c r="C6" s="11" t="s">
        <v>11</v>
      </c>
      <c r="D6" s="11" t="s">
        <v>12</v>
      </c>
      <c r="E6" s="6" t="s">
        <v>17</v>
      </c>
      <c r="F6" s="6" t="s">
        <v>18</v>
      </c>
      <c r="G6" s="6" t="s">
        <v>27</v>
      </c>
      <c r="H6" s="7" t="s">
        <v>20</v>
      </c>
      <c r="I6" s="8" t="s">
        <v>21</v>
      </c>
    </row>
    <row r="7" spans="1:9" s="1" customFormat="1" ht="49.75" x14ac:dyDescent="0.4">
      <c r="A7" s="12" t="s">
        <v>14</v>
      </c>
      <c r="B7" s="12" t="s">
        <v>28</v>
      </c>
      <c r="C7" s="12" t="s">
        <v>11</v>
      </c>
      <c r="D7" s="12" t="s">
        <v>16</v>
      </c>
      <c r="E7" s="13" t="str">
        <f>B4&amp;"; "&amp;$B$2&amp;"; "&amp;'[1]Variables-Products'!$B$12</f>
        <v>P005_PriBESubtotal; P001_1718DaysOpen; P25_YearDays_1718</v>
      </c>
      <c r="F7" s="13" t="str">
        <f>B4&amp;" * "&amp;$B$2&amp;" / "&amp;'[1]Variables-Products'!$B$12</f>
        <v>P005_PriBESubtotal * P001_1718DaysOpen / P25_YearDays_1718</v>
      </c>
      <c r="G7" s="13" t="s">
        <v>29</v>
      </c>
      <c r="H7" s="7"/>
      <c r="I7" s="8"/>
    </row>
    <row r="8" spans="1:9" s="1" customFormat="1" ht="24.9" x14ac:dyDescent="0.4">
      <c r="A8" s="9" t="s">
        <v>14</v>
      </c>
      <c r="B8" s="9" t="s">
        <v>30</v>
      </c>
      <c r="C8" s="9" t="s">
        <v>11</v>
      </c>
      <c r="D8" s="9" t="s">
        <v>16</v>
      </c>
      <c r="E8" s="10" t="s">
        <v>17</v>
      </c>
      <c r="F8" s="10" t="s">
        <v>18</v>
      </c>
      <c r="G8" s="10" t="s">
        <v>31</v>
      </c>
      <c r="H8" s="7" t="s">
        <v>20</v>
      </c>
      <c r="I8" s="8" t="s">
        <v>21</v>
      </c>
    </row>
    <row r="9" spans="1:9" s="1" customFormat="1" ht="74.599999999999994" x14ac:dyDescent="0.4">
      <c r="A9" s="11" t="s">
        <v>14</v>
      </c>
      <c r="B9" s="11" t="s">
        <v>32</v>
      </c>
      <c r="C9" s="11" t="s">
        <v>11</v>
      </c>
      <c r="D9" s="11" t="s">
        <v>16</v>
      </c>
      <c r="E9" s="6" t="str">
        <f>'[1]Variables-Products'!B23&amp;", "&amp;B8&amp;", FundingBasis(201718)"</f>
        <v>P23_Total_NOR_KS3_SBS, P009_KS3Rate, FundingBasis(201718)</v>
      </c>
      <c r="F9" s="6" t="str">
        <f>"IF Existing Academy OR New Opener1718 funded on estimates, THEN "&amp; '[1]Variables-Products'!B23&amp;" * "&amp;B8&amp;", ELSE (IF New Opener 1718 funded on census) THEN APT_New_ISB_dataset.Basic_Entitlement_KS3"</f>
        <v>IF Existing Academy OR New Opener1718 funded on estimates, THEN P23_Total_NOR_KS3_SBS * P009_KS3Rate, ELSE (IF New Opener 1718 funded on census) THEN APT_New_ISB_dataset.Basic_Entitlement_KS3</v>
      </c>
      <c r="G9" s="6" t="s">
        <v>33</v>
      </c>
      <c r="H9" s="7" t="s">
        <v>20</v>
      </c>
      <c r="I9" s="8" t="s">
        <v>21</v>
      </c>
    </row>
    <row r="10" spans="1:9" s="1" customFormat="1" ht="49.75" x14ac:dyDescent="0.4">
      <c r="A10" s="11" t="s">
        <v>14</v>
      </c>
      <c r="B10" s="11" t="s">
        <v>34</v>
      </c>
      <c r="C10" s="11" t="s">
        <v>11</v>
      </c>
      <c r="D10" s="11" t="s">
        <v>16</v>
      </c>
      <c r="E10" s="6" t="str">
        <f>B9&amp;"; "&amp;B11</f>
        <v>P010_KS3_BESubtotal; P011a_NSEN_KS3BE_Percent</v>
      </c>
      <c r="F10" s="6" t="str">
        <f>B9&amp;" * "&amp;B11</f>
        <v>P010_KS3_BESubtotal * P011a_NSEN_KS3BE_Percent</v>
      </c>
      <c r="G10" s="6" t="s">
        <v>35</v>
      </c>
      <c r="H10" s="7"/>
      <c r="I10" s="8"/>
    </row>
    <row r="11" spans="1:9" s="1" customFormat="1" ht="24.9" x14ac:dyDescent="0.4">
      <c r="A11" s="11" t="s">
        <v>14</v>
      </c>
      <c r="B11" s="11" t="s">
        <v>36</v>
      </c>
      <c r="C11" s="11" t="s">
        <v>11</v>
      </c>
      <c r="D11" s="11" t="s">
        <v>12</v>
      </c>
      <c r="E11" s="6" t="s">
        <v>17</v>
      </c>
      <c r="F11" s="6" t="s">
        <v>18</v>
      </c>
      <c r="G11" s="6" t="s">
        <v>37</v>
      </c>
      <c r="H11" s="7" t="s">
        <v>20</v>
      </c>
      <c r="I11" s="8" t="s">
        <v>21</v>
      </c>
    </row>
    <row r="12" spans="1:9" s="1" customFormat="1" ht="49.75" x14ac:dyDescent="0.4">
      <c r="A12" s="12" t="s">
        <v>14</v>
      </c>
      <c r="B12" s="12" t="s">
        <v>38</v>
      </c>
      <c r="C12" s="12" t="s">
        <v>11</v>
      </c>
      <c r="D12" s="12" t="s">
        <v>16</v>
      </c>
      <c r="E12" s="13" t="str">
        <f>B9&amp;"; "&amp;$B$2&amp;"; "&amp;'[1]Variables-Products'!$B$12</f>
        <v>P010_KS3_BESubtotal; P001_1718DaysOpen; P25_YearDays_1718</v>
      </c>
      <c r="F12" s="13" t="str">
        <f>B9&amp;" * "&amp;$B$2&amp;" / "&amp;'[1]Variables-Products'!$B$12</f>
        <v>P010_KS3_BESubtotal * P001_1718DaysOpen / P25_YearDays_1718</v>
      </c>
      <c r="G12" s="13" t="s">
        <v>39</v>
      </c>
      <c r="H12" s="7"/>
      <c r="I12" s="8"/>
    </row>
    <row r="13" spans="1:9" s="1" customFormat="1" ht="24.9" x14ac:dyDescent="0.4">
      <c r="A13" s="9" t="s">
        <v>14</v>
      </c>
      <c r="B13" s="9" t="s">
        <v>40</v>
      </c>
      <c r="C13" s="9" t="s">
        <v>11</v>
      </c>
      <c r="D13" s="9" t="s">
        <v>16</v>
      </c>
      <c r="E13" s="10" t="s">
        <v>17</v>
      </c>
      <c r="F13" s="10" t="s">
        <v>18</v>
      </c>
      <c r="G13" s="10" t="s">
        <v>41</v>
      </c>
      <c r="H13" s="7" t="s">
        <v>20</v>
      </c>
      <c r="I13" s="8" t="s">
        <v>21</v>
      </c>
    </row>
    <row r="14" spans="1:9" s="1" customFormat="1" ht="74.599999999999994" x14ac:dyDescent="0.4">
      <c r="A14" s="11" t="s">
        <v>14</v>
      </c>
      <c r="B14" s="11" t="s">
        <v>42</v>
      </c>
      <c r="C14" s="11" t="s">
        <v>11</v>
      </c>
      <c r="D14" s="11" t="s">
        <v>16</v>
      </c>
      <c r="E14" s="6" t="str">
        <f>'[1]Variables-Products'!B24&amp;", "&amp;B13&amp;", FundingBasis(201718)"</f>
        <v>P24_Total_NOR_KS4_SBS, P014_KS4Rate, FundingBasis(201718)</v>
      </c>
      <c r="F14" s="6" t="str">
        <f>"IF Existing Academy OR New Opener1718 funded on estimates, THEN "&amp; '[1]Variables-Products'!B24&amp;" * "&amp;B13&amp;", ELSE (IF New Opener 1718 funded on census) THEN use APT_New_ISB_dataset.Basic_Entitlement_KS4"</f>
        <v>IF Existing Academy OR New Opener1718 funded on estimates, THEN P24_Total_NOR_KS4_SBS * P014_KS4Rate, ELSE (IF New Opener 1718 funded on census) THEN use APT_New_ISB_dataset.Basic_Entitlement_KS4</v>
      </c>
      <c r="G14" s="6" t="s">
        <v>43</v>
      </c>
      <c r="H14" s="7" t="s">
        <v>20</v>
      </c>
      <c r="I14" s="8" t="s">
        <v>21</v>
      </c>
    </row>
    <row r="15" spans="1:9" s="1" customFormat="1" ht="49.75" x14ac:dyDescent="0.4">
      <c r="A15" s="11" t="s">
        <v>14</v>
      </c>
      <c r="B15" s="11" t="s">
        <v>44</v>
      </c>
      <c r="C15" s="11" t="s">
        <v>11</v>
      </c>
      <c r="D15" s="11" t="s">
        <v>16</v>
      </c>
      <c r="E15" s="6" t="str">
        <f>B14&amp;"; "&amp;B16</f>
        <v>P015_KS4_BESubtotal; P016a_NSEN_KS4BE_Percent</v>
      </c>
      <c r="F15" s="6" t="str">
        <f>B14&amp;" * "&amp;B16</f>
        <v>P015_KS4_BESubtotal * P016a_NSEN_KS4BE_Percent</v>
      </c>
      <c r="G15" s="6" t="s">
        <v>45</v>
      </c>
      <c r="H15" s="7"/>
      <c r="I15" s="8"/>
    </row>
    <row r="16" spans="1:9" s="1" customFormat="1" ht="24.9" x14ac:dyDescent="0.4">
      <c r="A16" s="11" t="s">
        <v>14</v>
      </c>
      <c r="B16" s="11" t="s">
        <v>46</v>
      </c>
      <c r="C16" s="11" t="s">
        <v>11</v>
      </c>
      <c r="D16" s="11" t="s">
        <v>12</v>
      </c>
      <c r="E16" s="6" t="s">
        <v>17</v>
      </c>
      <c r="F16" s="6" t="s">
        <v>18</v>
      </c>
      <c r="G16" s="6" t="s">
        <v>47</v>
      </c>
      <c r="H16" s="7" t="s">
        <v>20</v>
      </c>
      <c r="I16" s="8" t="s">
        <v>21</v>
      </c>
    </row>
    <row r="17" spans="1:9" s="1" customFormat="1" ht="49.75" x14ac:dyDescent="0.4">
      <c r="A17" s="12" t="s">
        <v>14</v>
      </c>
      <c r="B17" s="12" t="s">
        <v>48</v>
      </c>
      <c r="C17" s="12" t="s">
        <v>11</v>
      </c>
      <c r="D17" s="12" t="s">
        <v>16</v>
      </c>
      <c r="E17" s="13" t="str">
        <f>B14&amp;"; "&amp;$B$2&amp;"; "&amp;'[1]Variables-Products'!$B$12</f>
        <v>P015_KS4_BESubtotal; P001_1718DaysOpen; P25_YearDays_1718</v>
      </c>
      <c r="F17" s="13" t="str">
        <f>B14&amp;" * "&amp;$B$2&amp;" / "&amp;'[1]Variables-Products'!$B$12</f>
        <v>P015_KS4_BESubtotal * P001_1718DaysOpen / P25_YearDays_1718</v>
      </c>
      <c r="G17" s="13" t="s">
        <v>49</v>
      </c>
      <c r="H17" s="7"/>
      <c r="I17" s="8"/>
    </row>
    <row r="18" spans="1:9" s="1" customFormat="1" ht="99.45" x14ac:dyDescent="0.4">
      <c r="A18" s="6" t="s">
        <v>50</v>
      </c>
      <c r="B18" s="6" t="s">
        <v>51</v>
      </c>
      <c r="C18" s="6" t="s">
        <v>11</v>
      </c>
      <c r="D18" s="6" t="s">
        <v>12</v>
      </c>
      <c r="E18" s="6" t="s">
        <v>52</v>
      </c>
      <c r="F18" s="14" t="s">
        <v>53</v>
      </c>
      <c r="G18" s="6" t="s">
        <v>54</v>
      </c>
      <c r="H18" s="7" t="s">
        <v>20</v>
      </c>
      <c r="I18" s="8" t="s">
        <v>21</v>
      </c>
    </row>
    <row r="19" spans="1:9" ht="37.299999999999997" x14ac:dyDescent="0.4">
      <c r="A19" s="6" t="s">
        <v>50</v>
      </c>
      <c r="B19" s="6" t="s">
        <v>55</v>
      </c>
      <c r="C19" s="6" t="s">
        <v>11</v>
      </c>
      <c r="D19" s="6" t="s">
        <v>16</v>
      </c>
      <c r="E19" s="6" t="s">
        <v>56</v>
      </c>
      <c r="F19" s="6" t="s">
        <v>57</v>
      </c>
      <c r="G19" s="6" t="s">
        <v>58</v>
      </c>
      <c r="H19" s="7" t="s">
        <v>20</v>
      </c>
      <c r="I19" s="8" t="s">
        <v>21</v>
      </c>
    </row>
    <row r="20" spans="1:9" ht="49.75" x14ac:dyDescent="0.4">
      <c r="A20" s="6" t="s">
        <v>50</v>
      </c>
      <c r="B20" s="6" t="s">
        <v>59</v>
      </c>
      <c r="C20" s="6" t="s">
        <v>11</v>
      </c>
      <c r="D20" s="6" t="s">
        <v>16</v>
      </c>
      <c r="E20" s="6" t="str">
        <f>'[1]Variables-Products'!B22&amp;"; "&amp;B19&amp;"; "&amp;B18&amp;"; Funding_Basis(201718)"</f>
        <v>P22_Total_NOR_PRI_SBS; P021_PriFSMRate; P019_PriFSMFactor; Funding_Basis(201718)</v>
      </c>
      <c r="F20" s="14" t="str">
        <f>"IF Existing Academy OR New Opener 1718 funded on estimates, THEN "&amp;'[1]Variables-Products'!B22&amp;" * "&amp;'[1]Products-Calcs'!C35&amp;" * "&amp;'[1]Products-Calcs'!C34&amp;", ELSE (i.e. IF New Opener 1718 funded on census) THEN (IF "&amp;'[1]Products-Calcs'!C35&amp;" &gt;0) APT_New_ISB_dataset.Free_School_Meals_Primary"</f>
        <v>IF Existing Academy OR New Opener 1718 funded on estimates, THEN P22_Total_NOR_PRI_SBS * P021_PriFSMRate * P019_PriFSMFactor, ELSE (i.e. IF New Opener 1718 funded on census) THEN (IF P021_PriFSMRate &gt;0) APT_New_ISB_dataset.Free_School_Meals_Primary</v>
      </c>
      <c r="G20" s="6" t="s">
        <v>60</v>
      </c>
      <c r="H20" s="7" t="s">
        <v>20</v>
      </c>
      <c r="I20" s="8" t="s">
        <v>21</v>
      </c>
    </row>
    <row r="21" spans="1:9" ht="37.299999999999997" x14ac:dyDescent="0.4">
      <c r="A21" s="13" t="s">
        <v>50</v>
      </c>
      <c r="B21" s="13" t="s">
        <v>61</v>
      </c>
      <c r="C21" s="13" t="s">
        <v>11</v>
      </c>
      <c r="D21" s="13" t="s">
        <v>16</v>
      </c>
      <c r="E21" s="13" t="str">
        <f>B20&amp;"; "&amp;$B$2&amp;"; "&amp;'[1]Variables-Products'!$B$12</f>
        <v>P022_PriFSMSubtotal; P001_1718DaysOpen; P25_YearDays_1718</v>
      </c>
      <c r="F21" s="13" t="str">
        <f>B20&amp;" * "&amp;$B$2&amp;" / "&amp;'[1]Variables-Products'!$B$12</f>
        <v>P022_PriFSMSubtotal * P001_1718DaysOpen / P25_YearDays_1718</v>
      </c>
      <c r="G21" s="13" t="s">
        <v>62</v>
      </c>
      <c r="H21" s="7"/>
      <c r="I21" s="15"/>
    </row>
    <row r="22" spans="1:9" ht="99.45" x14ac:dyDescent="0.4">
      <c r="A22" s="6" t="s">
        <v>50</v>
      </c>
      <c r="B22" s="6" t="s">
        <v>63</v>
      </c>
      <c r="C22" s="6" t="s">
        <v>11</v>
      </c>
      <c r="D22" s="6" t="s">
        <v>12</v>
      </c>
      <c r="E22" s="6" t="s">
        <v>64</v>
      </c>
      <c r="F22" s="14" t="s">
        <v>65</v>
      </c>
      <c r="G22" s="6" t="s">
        <v>66</v>
      </c>
      <c r="H22" s="7" t="s">
        <v>20</v>
      </c>
      <c r="I22" s="8" t="s">
        <v>21</v>
      </c>
    </row>
    <row r="23" spans="1:9" ht="37.299999999999997" x14ac:dyDescent="0.4">
      <c r="A23" s="6" t="s">
        <v>50</v>
      </c>
      <c r="B23" s="6" t="s">
        <v>67</v>
      </c>
      <c r="C23" s="6" t="s">
        <v>11</v>
      </c>
      <c r="D23" s="6" t="s">
        <v>16</v>
      </c>
      <c r="E23" s="6" t="s">
        <v>56</v>
      </c>
      <c r="F23" s="6" t="s">
        <v>68</v>
      </c>
      <c r="G23" s="6" t="s">
        <v>58</v>
      </c>
      <c r="H23" s="7" t="s">
        <v>20</v>
      </c>
      <c r="I23" s="8" t="s">
        <v>21</v>
      </c>
    </row>
    <row r="24" spans="1:9" ht="49.75" x14ac:dyDescent="0.4">
      <c r="A24" s="6" t="s">
        <v>50</v>
      </c>
      <c r="B24" s="6" t="s">
        <v>69</v>
      </c>
      <c r="C24" s="6" t="s">
        <v>11</v>
      </c>
      <c r="D24" s="6" t="s">
        <v>16</v>
      </c>
      <c r="E24" s="6" t="str">
        <f>'[1]Variables-Products'!B22&amp;"; "&amp;B23&amp;"; "&amp;B22&amp;"; Funding_Basis(201718)"</f>
        <v>P22_Total_NOR_PRI_SBS; P026_PriFSM6Rate; P024_PriFSM6Factor; Funding_Basis(201718)</v>
      </c>
      <c r="F24" s="14" t="str">
        <f>"IF Existing Academy OR New Opener 1718 funded on estimates, THEN "&amp;'[1]Variables-Products'!B22&amp;" * "&amp;'[1]Products-Calcs'!C39&amp;" * "&amp;'[1]Products-Calcs'!C38&amp;", ELSE (i.e. IF New Opener 1718 funded on census) THEN (IF "&amp;'[1]Products-Calcs'!C39&amp;" &gt;0) APT_New_ISB_dataset.Free_School_Meals_Primary"</f>
        <v>IF Existing Academy OR New Opener 1718 funded on estimates, THEN P22_Total_NOR_PRI_SBS * P026_PriFSM6Rate * P024_PriFSM6Factor, ELSE (i.e. IF New Opener 1718 funded on census) THEN (IF P026_PriFSM6Rate &gt;0) APT_New_ISB_dataset.Free_School_Meals_Primary</v>
      </c>
      <c r="G24" s="6" t="s">
        <v>70</v>
      </c>
      <c r="H24" s="7" t="s">
        <v>20</v>
      </c>
      <c r="I24" s="8" t="s">
        <v>21</v>
      </c>
    </row>
    <row r="25" spans="1:9" ht="49.75" x14ac:dyDescent="0.4">
      <c r="A25" s="6" t="s">
        <v>50</v>
      </c>
      <c r="B25" s="6" t="s">
        <v>71</v>
      </c>
      <c r="C25" s="6" t="s">
        <v>11</v>
      </c>
      <c r="D25" s="6" t="s">
        <v>16</v>
      </c>
      <c r="E25" s="6" t="s">
        <v>72</v>
      </c>
      <c r="F25" s="6" t="s">
        <v>73</v>
      </c>
      <c r="G25" s="6" t="s">
        <v>74</v>
      </c>
      <c r="H25" s="7"/>
      <c r="I25" s="15"/>
    </row>
    <row r="26" spans="1:9" ht="24.9" x14ac:dyDescent="0.4">
      <c r="A26" s="6" t="s">
        <v>50</v>
      </c>
      <c r="B26" s="6" t="s">
        <v>75</v>
      </c>
      <c r="C26" s="6" t="s">
        <v>11</v>
      </c>
      <c r="D26" s="6" t="s">
        <v>12</v>
      </c>
      <c r="E26" s="6" t="s">
        <v>17</v>
      </c>
      <c r="F26" s="6" t="s">
        <v>18</v>
      </c>
      <c r="G26" s="6" t="s">
        <v>76</v>
      </c>
      <c r="H26" s="7" t="s">
        <v>20</v>
      </c>
      <c r="I26" s="8" t="s">
        <v>21</v>
      </c>
    </row>
    <row r="27" spans="1:9" ht="37.299999999999997" x14ac:dyDescent="0.4">
      <c r="A27" s="13" t="s">
        <v>50</v>
      </c>
      <c r="B27" s="13" t="s">
        <v>77</v>
      </c>
      <c r="C27" s="13" t="s">
        <v>11</v>
      </c>
      <c r="D27" s="13" t="s">
        <v>16</v>
      </c>
      <c r="E27" s="13" t="str">
        <f>B24&amp;"; "&amp;$B$2&amp;"; "&amp;'[1]Variables-Products'!$B$12</f>
        <v>P027_PriFSM6Subtotal; P001_1718DaysOpen; P25_YearDays_1718</v>
      </c>
      <c r="F27" s="13" t="str">
        <f>B24&amp;" * "&amp;$B$2&amp;" / "&amp;'[1]Variables-Products'!$B$12</f>
        <v>P027_PriFSM6Subtotal * P001_1718DaysOpen / P25_YearDays_1718</v>
      </c>
      <c r="G27" s="13" t="s">
        <v>78</v>
      </c>
      <c r="H27" s="7"/>
      <c r="I27" s="15"/>
    </row>
    <row r="28" spans="1:9" ht="99.45" x14ac:dyDescent="0.4">
      <c r="A28" s="6" t="s">
        <v>50</v>
      </c>
      <c r="B28" s="6" t="s">
        <v>79</v>
      </c>
      <c r="C28" s="6" t="s">
        <v>11</v>
      </c>
      <c r="D28" s="6" t="s">
        <v>12</v>
      </c>
      <c r="E28" s="6" t="s">
        <v>80</v>
      </c>
      <c r="F28" s="14" t="s">
        <v>81</v>
      </c>
      <c r="G28" s="6" t="s">
        <v>82</v>
      </c>
      <c r="H28" s="7" t="s">
        <v>20</v>
      </c>
      <c r="I28" s="8" t="s">
        <v>21</v>
      </c>
    </row>
    <row r="29" spans="1:9" ht="49.75" x14ac:dyDescent="0.4">
      <c r="A29" s="6" t="s">
        <v>50</v>
      </c>
      <c r="B29" s="6" t="s">
        <v>83</v>
      </c>
      <c r="C29" s="6" t="s">
        <v>11</v>
      </c>
      <c r="D29" s="6" t="s">
        <v>16</v>
      </c>
      <c r="E29" s="6" t="s">
        <v>84</v>
      </c>
      <c r="F29" s="6" t="s">
        <v>85</v>
      </c>
      <c r="G29" s="6" t="s">
        <v>86</v>
      </c>
      <c r="H29" s="7" t="s">
        <v>20</v>
      </c>
      <c r="I29" s="8" t="s">
        <v>21</v>
      </c>
    </row>
    <row r="30" spans="1:9" ht="49.75" x14ac:dyDescent="0.4">
      <c r="A30" s="6" t="s">
        <v>50</v>
      </c>
      <c r="B30" s="6" t="s">
        <v>87</v>
      </c>
      <c r="C30" s="6" t="s">
        <v>11</v>
      </c>
      <c r="D30" s="6" t="s">
        <v>16</v>
      </c>
      <c r="E30" s="6" t="str">
        <f>'[1]Variables-Products'!B25&amp;"; "&amp;B29&amp;"; "&amp;B28&amp;"; Funding_Basis(201718)"</f>
        <v>P25_Total_NOR_SEC_SBS; P032_SecFSMRate; P030_SecFSMFactor; Funding_Basis(201718)</v>
      </c>
      <c r="F30" s="14" t="str">
        <f>"IF Existing Academy OR New Opener 1718 funded on estimates, THEN "&amp;'[1]Variables-Products'!B25&amp;" * "&amp;'[1]Products-Calcs'!C45&amp;" * "&amp;'[1]Products-Calcs'!C44&amp;", ELSE (i.e. IF New Opener 1718 funded on census) THEN (IF "&amp;'[1]Products-Calcs'!C45&amp;" &gt;0) APT_New_ISB_dataset.Free_School_Meals_Primary"</f>
        <v>IF Existing Academy OR New Opener 1718 funded on estimates, THEN P25_Total_NOR_SEC_SBS * P032_SecFSMRate * P030_SecFSMFactor, ELSE (i.e. IF New Opener 1718 funded on census) THEN (IF P032_SecFSMRate &gt;0) APT_New_ISB_dataset.Free_School_Meals_Primary</v>
      </c>
      <c r="G30" s="6" t="s">
        <v>88</v>
      </c>
      <c r="H30" s="7" t="s">
        <v>20</v>
      </c>
      <c r="I30" s="8" t="s">
        <v>21</v>
      </c>
    </row>
    <row r="31" spans="1:9" ht="37.299999999999997" x14ac:dyDescent="0.4">
      <c r="A31" s="13" t="s">
        <v>50</v>
      </c>
      <c r="B31" s="13" t="s">
        <v>89</v>
      </c>
      <c r="C31" s="13" t="s">
        <v>11</v>
      </c>
      <c r="D31" s="13" t="s">
        <v>16</v>
      </c>
      <c r="E31" s="13" t="str">
        <f>B30&amp;"; "&amp;$B$2&amp;"; "&amp;'[1]Variables-Products'!$B$12</f>
        <v>P033_SecFSMSubtotal; P001_1718DaysOpen; P25_YearDays_1718</v>
      </c>
      <c r="F31" s="13" t="str">
        <f>B30&amp;" * "&amp;$B$2&amp;" / "&amp;'[1]Variables-Products'!$B$12</f>
        <v>P033_SecFSMSubtotal * P001_1718DaysOpen / P25_YearDays_1718</v>
      </c>
      <c r="G31" s="13" t="s">
        <v>90</v>
      </c>
      <c r="H31" s="7"/>
      <c r="I31" s="8"/>
    </row>
    <row r="32" spans="1:9" ht="99.45" x14ac:dyDescent="0.4">
      <c r="A32" s="6" t="s">
        <v>50</v>
      </c>
      <c r="B32" s="6" t="s">
        <v>91</v>
      </c>
      <c r="C32" s="6" t="s">
        <v>11</v>
      </c>
      <c r="D32" s="6" t="s">
        <v>12</v>
      </c>
      <c r="E32" s="6" t="s">
        <v>92</v>
      </c>
      <c r="F32" s="14" t="s">
        <v>93</v>
      </c>
      <c r="G32" s="6" t="s">
        <v>94</v>
      </c>
      <c r="H32" s="7" t="s">
        <v>20</v>
      </c>
      <c r="I32" s="8" t="s">
        <v>21</v>
      </c>
    </row>
    <row r="33" spans="1:9" ht="49.75" x14ac:dyDescent="0.4">
      <c r="A33" s="6" t="s">
        <v>50</v>
      </c>
      <c r="B33" s="6" t="s">
        <v>95</v>
      </c>
      <c r="C33" s="6" t="s">
        <v>11</v>
      </c>
      <c r="D33" s="6" t="s">
        <v>16</v>
      </c>
      <c r="E33" s="6" t="s">
        <v>84</v>
      </c>
      <c r="F33" s="6" t="s">
        <v>96</v>
      </c>
      <c r="G33" s="6" t="s">
        <v>86</v>
      </c>
      <c r="H33" s="7" t="s">
        <v>20</v>
      </c>
      <c r="I33" s="8" t="s">
        <v>21</v>
      </c>
    </row>
    <row r="34" spans="1:9" ht="49.75" x14ac:dyDescent="0.4">
      <c r="A34" s="6" t="s">
        <v>50</v>
      </c>
      <c r="B34" s="6" t="s">
        <v>97</v>
      </c>
      <c r="C34" s="6" t="s">
        <v>11</v>
      </c>
      <c r="D34" s="6" t="s">
        <v>16</v>
      </c>
      <c r="E34" s="6" t="str">
        <f>'[1]Variables-Products'!B25&amp;"; "&amp;B33&amp;"; "&amp;B32&amp;"; Funding_Basis(201718)"</f>
        <v>P25_Total_NOR_SEC_SBS; P037_SecFSM6Rate; P035_SecFSM6Factor; Funding_Basis(201718)</v>
      </c>
      <c r="F34" s="14" t="str">
        <f>"IF Existing Academy OR New Opener 1718 funded on estimates, THEN "&amp;'[1]Variables-Products'!B25&amp;" * "&amp;'[1]Products-Calcs'!C49&amp;" * "&amp;'[1]Products-Calcs'!C48&amp;", ELSE (i.e. IF New Opener 1718 funded on census) THEN (IF "&amp;'[1]Products-Calcs'!C49&amp;" &gt;0) APT_New_ISB_dataset.Free_School_Meals_Primary"</f>
        <v>IF Existing Academy OR New Opener 1718 funded on estimates, THEN P25_Total_NOR_SEC_SBS * P037_SecFSM6Rate * P035_SecFSM6Factor, ELSE (i.e. IF New Opener 1718 funded on census) THEN (IF P037_SecFSM6Rate &gt;0) APT_New_ISB_dataset.Free_School_Meals_Primary</v>
      </c>
      <c r="G34" s="6" t="s">
        <v>98</v>
      </c>
      <c r="H34" s="7" t="s">
        <v>20</v>
      </c>
      <c r="I34" s="8" t="s">
        <v>21</v>
      </c>
    </row>
    <row r="35" spans="1:9" ht="49.75" x14ac:dyDescent="0.4">
      <c r="A35" s="6" t="s">
        <v>50</v>
      </c>
      <c r="B35" s="6" t="s">
        <v>99</v>
      </c>
      <c r="C35" s="6" t="s">
        <v>11</v>
      </c>
      <c r="D35" s="6" t="s">
        <v>16</v>
      </c>
      <c r="E35" s="6" t="s">
        <v>100</v>
      </c>
      <c r="F35" s="6" t="s">
        <v>101</v>
      </c>
      <c r="G35" s="6" t="s">
        <v>102</v>
      </c>
      <c r="H35" s="7"/>
      <c r="I35" s="8"/>
    </row>
    <row r="36" spans="1:9" ht="24.9" x14ac:dyDescent="0.4">
      <c r="A36" s="6" t="s">
        <v>50</v>
      </c>
      <c r="B36" s="6" t="s">
        <v>103</v>
      </c>
      <c r="C36" s="6" t="s">
        <v>11</v>
      </c>
      <c r="D36" s="6" t="s">
        <v>12</v>
      </c>
      <c r="E36" s="6" t="s">
        <v>17</v>
      </c>
      <c r="F36" s="6" t="s">
        <v>18</v>
      </c>
      <c r="G36" s="6" t="s">
        <v>104</v>
      </c>
      <c r="H36" s="7" t="s">
        <v>20</v>
      </c>
      <c r="I36" s="8" t="s">
        <v>21</v>
      </c>
    </row>
    <row r="37" spans="1:9" ht="49.75" x14ac:dyDescent="0.4">
      <c r="A37" s="13" t="s">
        <v>50</v>
      </c>
      <c r="B37" s="13" t="s">
        <v>105</v>
      </c>
      <c r="C37" s="13" t="s">
        <v>11</v>
      </c>
      <c r="D37" s="13" t="s">
        <v>16</v>
      </c>
      <c r="E37" s="13" t="str">
        <f>B34&amp;"; "&amp;$B$2&amp;"; "&amp;'[1]Variables-Products'!$B$12</f>
        <v>P038_SecFSM6Subtotal; P001_1718DaysOpen; P25_YearDays_1718</v>
      </c>
      <c r="F37" s="13" t="str">
        <f>B34&amp;" * "&amp;$B$2&amp;" / "&amp;'[1]Variables-Products'!$B$12</f>
        <v>P038_SecFSM6Subtotal * P001_1718DaysOpen / P25_YearDays_1718</v>
      </c>
      <c r="G37" s="13" t="s">
        <v>106</v>
      </c>
      <c r="H37" s="7"/>
      <c r="I37" s="8"/>
    </row>
    <row r="38" spans="1:9" ht="99.45" x14ac:dyDescent="0.4">
      <c r="A38" s="6" t="s">
        <v>107</v>
      </c>
      <c r="B38" s="10" t="s">
        <v>108</v>
      </c>
      <c r="C38" s="6" t="s">
        <v>11</v>
      </c>
      <c r="D38" s="6" t="s">
        <v>12</v>
      </c>
      <c r="E38" s="6" t="s">
        <v>109</v>
      </c>
      <c r="F38" s="14" t="s">
        <v>110</v>
      </c>
      <c r="G38" s="6" t="s">
        <v>111</v>
      </c>
      <c r="H38" s="7" t="s">
        <v>20</v>
      </c>
      <c r="I38" s="8" t="s">
        <v>21</v>
      </c>
    </row>
    <row r="39" spans="1:9" ht="49.75" x14ac:dyDescent="0.4">
      <c r="A39" s="6" t="s">
        <v>107</v>
      </c>
      <c r="B39" s="10" t="s">
        <v>112</v>
      </c>
      <c r="C39" s="6" t="s">
        <v>11</v>
      </c>
      <c r="D39" s="6" t="s">
        <v>16</v>
      </c>
      <c r="E39" s="10" t="s">
        <v>113</v>
      </c>
      <c r="F39" s="10" t="s">
        <v>113</v>
      </c>
      <c r="G39" s="6" t="s">
        <v>114</v>
      </c>
      <c r="H39" s="7" t="s">
        <v>20</v>
      </c>
      <c r="I39" s="8" t="s">
        <v>21</v>
      </c>
    </row>
    <row r="40" spans="1:9" ht="49.75" x14ac:dyDescent="0.4">
      <c r="A40" s="6" t="s">
        <v>107</v>
      </c>
      <c r="B40" s="6" t="s">
        <v>115</v>
      </c>
      <c r="C40" s="6" t="s">
        <v>11</v>
      </c>
      <c r="D40" s="6" t="s">
        <v>16</v>
      </c>
      <c r="E40" s="6" t="str">
        <f>'[1]Variables-Products'!$B$22&amp;"; "&amp;B39&amp;"; "&amp;B38&amp;"; Funding_Basis(201718)"</f>
        <v>P22_Total_NOR_PRI_SBS; P043_IDACIFPriRate; P041_IDACIFPriFactor; Funding_Basis(201718)</v>
      </c>
      <c r="F40" s="14" t="str">
        <f>"IF Existing Academy OR New Opener 1718 funded on estimates, THEN "&amp;'[1]Variables-Products'!$B$22&amp;" * "&amp;'[1]Products-Calcs'!C56&amp;" * "&amp;'[1]Products-Calcs'!C55&amp;", ELSE (i.e. IF New Opener 1718 funded on census) THEN (IF "&amp;'[1]Products-Calcs'!C56&amp;" &gt;0) APT_New_ISB_dataset.IDACIF_Primary"</f>
        <v>IF Existing Academy OR New Opener 1718 funded on estimates, THEN P22_Total_NOR_PRI_SBS * P043_IDACIFPriRate * P041_IDACIFPriFactor, ELSE (i.e. IF New Opener 1718 funded on census) THEN (IF P043_IDACIFPriRate &gt;0) APT_New_ISB_dataset.IDACIF_Primary</v>
      </c>
      <c r="G40" s="6" t="s">
        <v>116</v>
      </c>
      <c r="H40" s="7" t="s">
        <v>20</v>
      </c>
      <c r="I40" s="8" t="s">
        <v>21</v>
      </c>
    </row>
    <row r="41" spans="1:9" ht="49.75" x14ac:dyDescent="0.4">
      <c r="A41" s="6" t="s">
        <v>107</v>
      </c>
      <c r="B41" s="6" t="s">
        <v>117</v>
      </c>
      <c r="C41" s="6" t="s">
        <v>11</v>
      </c>
      <c r="D41" s="6" t="s">
        <v>16</v>
      </c>
      <c r="E41" s="6" t="s">
        <v>118</v>
      </c>
      <c r="F41" s="6" t="s">
        <v>119</v>
      </c>
      <c r="G41" s="6" t="s">
        <v>120</v>
      </c>
      <c r="H41" s="7"/>
      <c r="I41" s="8"/>
    </row>
    <row r="42" spans="1:9" ht="24.9" x14ac:dyDescent="0.4">
      <c r="A42" s="6" t="s">
        <v>107</v>
      </c>
      <c r="B42" s="6" t="s">
        <v>121</v>
      </c>
      <c r="C42" s="6" t="s">
        <v>11</v>
      </c>
      <c r="D42" s="6" t="s">
        <v>12</v>
      </c>
      <c r="E42" s="6" t="s">
        <v>17</v>
      </c>
      <c r="F42" s="6" t="s">
        <v>18</v>
      </c>
      <c r="G42" s="6" t="s">
        <v>122</v>
      </c>
      <c r="H42" s="7" t="s">
        <v>20</v>
      </c>
      <c r="I42" s="8" t="s">
        <v>21</v>
      </c>
    </row>
    <row r="43" spans="1:9" ht="49.75" x14ac:dyDescent="0.4">
      <c r="A43" s="13" t="s">
        <v>107</v>
      </c>
      <c r="B43" s="13" t="s">
        <v>123</v>
      </c>
      <c r="C43" s="13" t="s">
        <v>11</v>
      </c>
      <c r="D43" s="13" t="s">
        <v>16</v>
      </c>
      <c r="E43" s="13" t="str">
        <f>B40&amp;"; "&amp;$B$2&amp;"; "&amp;'[1]Variables-Products'!$B$12</f>
        <v>P044_IDACIFPriSubtotal; P001_1718DaysOpen; P25_YearDays_1718</v>
      </c>
      <c r="F43" s="13" t="str">
        <f>B40&amp;" * "&amp;$B$2&amp;" / "&amp;'[1]Variables-Products'!$B$12</f>
        <v>P044_IDACIFPriSubtotal * P001_1718DaysOpen / P25_YearDays_1718</v>
      </c>
      <c r="G43" s="13" t="s">
        <v>124</v>
      </c>
      <c r="H43" s="7"/>
      <c r="I43" s="8"/>
    </row>
    <row r="44" spans="1:9" ht="99.45" x14ac:dyDescent="0.4">
      <c r="A44" s="6" t="s">
        <v>107</v>
      </c>
      <c r="B44" s="10" t="s">
        <v>125</v>
      </c>
      <c r="C44" s="6" t="s">
        <v>11</v>
      </c>
      <c r="D44" s="6" t="s">
        <v>12</v>
      </c>
      <c r="E44" s="6" t="s">
        <v>126</v>
      </c>
      <c r="F44" s="14" t="s">
        <v>127</v>
      </c>
      <c r="G44" s="6" t="s">
        <v>128</v>
      </c>
      <c r="H44" s="7" t="s">
        <v>20</v>
      </c>
      <c r="I44" s="8" t="s">
        <v>21</v>
      </c>
    </row>
    <row r="45" spans="1:9" ht="49.75" x14ac:dyDescent="0.4">
      <c r="A45" s="6" t="s">
        <v>107</v>
      </c>
      <c r="B45" s="10" t="s">
        <v>129</v>
      </c>
      <c r="C45" s="6" t="s">
        <v>11</v>
      </c>
      <c r="D45" s="6" t="s">
        <v>16</v>
      </c>
      <c r="E45" s="10" t="s">
        <v>130</v>
      </c>
      <c r="F45" s="10" t="s">
        <v>130</v>
      </c>
      <c r="G45" s="6" t="s">
        <v>131</v>
      </c>
      <c r="H45" s="7" t="s">
        <v>20</v>
      </c>
      <c r="I45" s="8" t="s">
        <v>21</v>
      </c>
    </row>
    <row r="46" spans="1:9" ht="49.75" x14ac:dyDescent="0.4">
      <c r="A46" s="6" t="s">
        <v>107</v>
      </c>
      <c r="B46" s="6" t="s">
        <v>132</v>
      </c>
      <c r="C46" s="6" t="s">
        <v>11</v>
      </c>
      <c r="D46" s="6" t="s">
        <v>16</v>
      </c>
      <c r="E46" s="6" t="str">
        <f>'[1]Variables-Products'!$B$22&amp;"; "&amp;B45&amp;"; "&amp;B44&amp;"; Funding_Basis(201718)"</f>
        <v>P22_Total_NOR_PRI_SBS; P049_IDACIEPriRate; P047_IDACIEPriFactor; Funding_Basis(201718)</v>
      </c>
      <c r="F46" s="14" t="str">
        <f>"IF Existing Academy OR New Opener 1718 funded on estimates, THEN "&amp;'[1]Variables-Products'!$B$22&amp;" * "&amp;'[1]Products-Calcs'!C62&amp;" * "&amp;'[1]Products-Calcs'!C61&amp;", ELSE (i.e. IF New Opener 1718 funded on census) THEN (IF "&amp;'[1]Products-Calcs'!C62&amp;" &gt;0) APT_New_ISB_dataset.IDACIE_Primary"</f>
        <v>IF Existing Academy OR New Opener 1718 funded on estimates, THEN P22_Total_NOR_PRI_SBS * P049_IDACIEPriRate * P047_IDACIEPriFactor, ELSE (i.e. IF New Opener 1718 funded on census) THEN (IF P049_IDACIEPriRate &gt;0) APT_New_ISB_dataset.IDACIE_Primary</v>
      </c>
      <c r="G46" s="6" t="s">
        <v>133</v>
      </c>
      <c r="H46" s="7" t="s">
        <v>20</v>
      </c>
      <c r="I46" s="8" t="s">
        <v>21</v>
      </c>
    </row>
    <row r="47" spans="1:9" ht="49.75" x14ac:dyDescent="0.4">
      <c r="A47" s="6" t="s">
        <v>107</v>
      </c>
      <c r="B47" s="6" t="s">
        <v>134</v>
      </c>
      <c r="C47" s="6" t="s">
        <v>11</v>
      </c>
      <c r="D47" s="6" t="s">
        <v>16</v>
      </c>
      <c r="E47" s="6" t="s">
        <v>135</v>
      </c>
      <c r="F47" s="6" t="s">
        <v>136</v>
      </c>
      <c r="G47" s="6" t="s">
        <v>137</v>
      </c>
      <c r="H47" s="7"/>
      <c r="I47" s="8"/>
    </row>
    <row r="48" spans="1:9" ht="24.9" x14ac:dyDescent="0.4">
      <c r="A48" s="6" t="s">
        <v>107</v>
      </c>
      <c r="B48" s="6" t="s">
        <v>138</v>
      </c>
      <c r="C48" s="6" t="s">
        <v>11</v>
      </c>
      <c r="D48" s="6" t="s">
        <v>12</v>
      </c>
      <c r="E48" s="6" t="s">
        <v>17</v>
      </c>
      <c r="F48" s="6" t="s">
        <v>18</v>
      </c>
      <c r="G48" s="6" t="s">
        <v>139</v>
      </c>
      <c r="H48" s="7" t="s">
        <v>20</v>
      </c>
      <c r="I48" s="8" t="s">
        <v>21</v>
      </c>
    </row>
    <row r="49" spans="1:9" ht="49.75" x14ac:dyDescent="0.4">
      <c r="A49" s="13" t="s">
        <v>107</v>
      </c>
      <c r="B49" s="13" t="s">
        <v>140</v>
      </c>
      <c r="C49" s="13" t="s">
        <v>11</v>
      </c>
      <c r="D49" s="13" t="s">
        <v>16</v>
      </c>
      <c r="E49" s="13" t="str">
        <f>B46&amp;"; "&amp;$B$2&amp;"; "&amp;'[1]Variables-Products'!$B$12</f>
        <v>P050_IDACIEPriSubtotal; P001_1718DaysOpen; P25_YearDays_1718</v>
      </c>
      <c r="F49" s="13" t="str">
        <f>B46&amp;" * "&amp;$B$2&amp;" / "&amp;'[1]Variables-Products'!$B$12</f>
        <v>P050_IDACIEPriSubtotal * P001_1718DaysOpen / P25_YearDays_1718</v>
      </c>
      <c r="G49" s="13" t="s">
        <v>141</v>
      </c>
      <c r="H49" s="7"/>
      <c r="I49" s="8"/>
    </row>
    <row r="50" spans="1:9" ht="99.45" x14ac:dyDescent="0.4">
      <c r="A50" s="6" t="s">
        <v>107</v>
      </c>
      <c r="B50" s="10" t="s">
        <v>142</v>
      </c>
      <c r="C50" s="6" t="s">
        <v>11</v>
      </c>
      <c r="D50" s="6" t="s">
        <v>12</v>
      </c>
      <c r="E50" s="6" t="s">
        <v>143</v>
      </c>
      <c r="F50" s="14" t="s">
        <v>144</v>
      </c>
      <c r="G50" s="6" t="s">
        <v>145</v>
      </c>
      <c r="H50" s="7" t="s">
        <v>20</v>
      </c>
      <c r="I50" s="8" t="s">
        <v>21</v>
      </c>
    </row>
    <row r="51" spans="1:9" ht="49.75" x14ac:dyDescent="0.4">
      <c r="A51" s="6" t="s">
        <v>107</v>
      </c>
      <c r="B51" s="10" t="s">
        <v>146</v>
      </c>
      <c r="C51" s="6" t="s">
        <v>11</v>
      </c>
      <c r="D51" s="6" t="s">
        <v>16</v>
      </c>
      <c r="E51" s="10" t="s">
        <v>147</v>
      </c>
      <c r="F51" s="10" t="s">
        <v>147</v>
      </c>
      <c r="G51" s="6" t="s">
        <v>148</v>
      </c>
      <c r="H51" s="7" t="s">
        <v>20</v>
      </c>
      <c r="I51" s="8" t="s">
        <v>21</v>
      </c>
    </row>
    <row r="52" spans="1:9" ht="49.75" x14ac:dyDescent="0.4">
      <c r="A52" s="6" t="s">
        <v>107</v>
      </c>
      <c r="B52" s="6" t="s">
        <v>149</v>
      </c>
      <c r="C52" s="6" t="s">
        <v>11</v>
      </c>
      <c r="D52" s="6" t="s">
        <v>16</v>
      </c>
      <c r="E52" s="6" t="str">
        <f>'[1]Variables-Products'!$B$22&amp;"; "&amp;B51&amp;"; "&amp;B50&amp;"; Funding_Basis(201718)"</f>
        <v>P22_Total_NOR_PRI_SBS; P055_IDACIDPriRate; P053_IDACIDPriFactor; Funding_Basis(201718)</v>
      </c>
      <c r="F52" s="14" t="str">
        <f>"IF Existing Academy OR New Opener 1718 funded on estimates, THEN "&amp;'[1]Variables-Products'!$B$22&amp;" * "&amp;'[1]Products-Calcs'!C68&amp;" * "&amp;'[1]Products-Calcs'!C67&amp;", ELSE (i.e. IF New Opener 1718 funded on census) THEN (IF "&amp;'[1]Products-Calcs'!C68&amp;" &gt;0) APT_New_ISB_dataset.IDACID_Primary"</f>
        <v>IF Existing Academy OR New Opener 1718 funded on estimates, THEN P22_Total_NOR_PRI_SBS * P055_IDACIDPriRate * P053_IDACIDPriFactor, ELSE (i.e. IF New Opener 1718 funded on census) THEN (IF P055_IDACIDPriRate &gt;0) APT_New_ISB_dataset.IDACID_Primary</v>
      </c>
      <c r="G52" s="6" t="s">
        <v>150</v>
      </c>
      <c r="H52" s="7" t="s">
        <v>20</v>
      </c>
      <c r="I52" s="8" t="s">
        <v>21</v>
      </c>
    </row>
    <row r="53" spans="1:9" ht="49.75" x14ac:dyDescent="0.4">
      <c r="A53" s="6" t="s">
        <v>107</v>
      </c>
      <c r="B53" s="6" t="s">
        <v>151</v>
      </c>
      <c r="C53" s="6" t="s">
        <v>11</v>
      </c>
      <c r="D53" s="6" t="s">
        <v>16</v>
      </c>
      <c r="E53" s="6" t="s">
        <v>152</v>
      </c>
      <c r="F53" s="6" t="s">
        <v>153</v>
      </c>
      <c r="G53" s="6" t="s">
        <v>154</v>
      </c>
      <c r="H53" s="7"/>
      <c r="I53" s="8"/>
    </row>
    <row r="54" spans="1:9" ht="24.9" x14ac:dyDescent="0.4">
      <c r="A54" s="6" t="s">
        <v>107</v>
      </c>
      <c r="B54" s="6" t="s">
        <v>155</v>
      </c>
      <c r="C54" s="6" t="s">
        <v>11</v>
      </c>
      <c r="D54" s="6" t="s">
        <v>12</v>
      </c>
      <c r="E54" s="6" t="s">
        <v>17</v>
      </c>
      <c r="F54" s="6" t="s">
        <v>18</v>
      </c>
      <c r="G54" s="6" t="s">
        <v>156</v>
      </c>
      <c r="H54" s="7" t="s">
        <v>20</v>
      </c>
      <c r="I54" s="8" t="s">
        <v>21</v>
      </c>
    </row>
    <row r="55" spans="1:9" ht="49.75" x14ac:dyDescent="0.4">
      <c r="A55" s="13" t="s">
        <v>107</v>
      </c>
      <c r="B55" s="13" t="s">
        <v>157</v>
      </c>
      <c r="C55" s="13" t="s">
        <v>11</v>
      </c>
      <c r="D55" s="13" t="s">
        <v>16</v>
      </c>
      <c r="E55" s="13" t="str">
        <f>B52&amp;"; "&amp;$B$2&amp;"; "&amp;'[1]Variables-Products'!$B$12</f>
        <v>P056_IDACIDPriSubtotal; P001_1718DaysOpen; P25_YearDays_1718</v>
      </c>
      <c r="F55" s="13" t="str">
        <f>B52&amp;" * "&amp;$B$2&amp;" / "&amp;'[1]Variables-Products'!$B$12</f>
        <v>P056_IDACIDPriSubtotal * P001_1718DaysOpen / P25_YearDays_1718</v>
      </c>
      <c r="G55" s="13" t="s">
        <v>158</v>
      </c>
      <c r="H55" s="7"/>
      <c r="I55" s="8"/>
    </row>
    <row r="56" spans="1:9" ht="99.45" x14ac:dyDescent="0.4">
      <c r="A56" s="6" t="s">
        <v>107</v>
      </c>
      <c r="B56" s="10" t="s">
        <v>159</v>
      </c>
      <c r="C56" s="6" t="s">
        <v>11</v>
      </c>
      <c r="D56" s="6" t="s">
        <v>12</v>
      </c>
      <c r="E56" s="6" t="s">
        <v>160</v>
      </c>
      <c r="F56" s="14" t="s">
        <v>161</v>
      </c>
      <c r="G56" s="6" t="s">
        <v>162</v>
      </c>
      <c r="H56" s="7" t="s">
        <v>20</v>
      </c>
      <c r="I56" s="8" t="s">
        <v>21</v>
      </c>
    </row>
    <row r="57" spans="1:9" ht="49.75" x14ac:dyDescent="0.4">
      <c r="A57" s="6" t="s">
        <v>107</v>
      </c>
      <c r="B57" s="10" t="s">
        <v>163</v>
      </c>
      <c r="C57" s="6" t="s">
        <v>11</v>
      </c>
      <c r="D57" s="6" t="s">
        <v>16</v>
      </c>
      <c r="E57" s="10" t="s">
        <v>164</v>
      </c>
      <c r="F57" s="10" t="s">
        <v>164</v>
      </c>
      <c r="G57" s="6" t="s">
        <v>165</v>
      </c>
      <c r="H57" s="7" t="s">
        <v>20</v>
      </c>
      <c r="I57" s="8" t="s">
        <v>21</v>
      </c>
    </row>
    <row r="58" spans="1:9" ht="49.75" x14ac:dyDescent="0.4">
      <c r="A58" s="6" t="s">
        <v>107</v>
      </c>
      <c r="B58" s="6" t="s">
        <v>166</v>
      </c>
      <c r="C58" s="6" t="s">
        <v>11</v>
      </c>
      <c r="D58" s="6" t="s">
        <v>16</v>
      </c>
      <c r="E58" s="6" t="str">
        <f>'[1]Variables-Products'!$B$22&amp;"; "&amp;B57&amp;"; "&amp;B56&amp;"; Funding_Basis(201718)"</f>
        <v>P22_Total_NOR_PRI_SBS; P061_IDACICPriRate; P059_IDACICPriFactor; Funding_Basis(201718)</v>
      </c>
      <c r="F58" s="14" t="str">
        <f>"IF Existing Academy OR New Opener 1718 funded on estimates, THEN "&amp;'[1]Variables-Products'!$B$22&amp;" * "&amp;'[1]Products-Calcs'!C74&amp;" * "&amp;'[1]Products-Calcs'!C73&amp;", ELSE (i.e. IF New Opener 1718 funded on census) THEN (IF "&amp;'[1]Products-Calcs'!C74&amp;" &gt;0) APT_New_ISB_dataset.IDACIC_Primary"</f>
        <v>IF Existing Academy OR New Opener 1718 funded on estimates, THEN P22_Total_NOR_PRI_SBS * P061_IDACICPriRate * P059_IDACICPriFactor, ELSE (i.e. IF New Opener 1718 funded on census) THEN (IF P061_IDACICPriRate &gt;0) APT_New_ISB_dataset.IDACIC_Primary</v>
      </c>
      <c r="G58" s="6" t="s">
        <v>167</v>
      </c>
      <c r="H58" s="7" t="s">
        <v>20</v>
      </c>
      <c r="I58" s="8" t="s">
        <v>21</v>
      </c>
    </row>
    <row r="59" spans="1:9" ht="49.75" x14ac:dyDescent="0.4">
      <c r="A59" s="6" t="s">
        <v>107</v>
      </c>
      <c r="B59" s="6" t="s">
        <v>168</v>
      </c>
      <c r="C59" s="6" t="s">
        <v>11</v>
      </c>
      <c r="D59" s="6" t="s">
        <v>16</v>
      </c>
      <c r="E59" s="6" t="s">
        <v>169</v>
      </c>
      <c r="F59" s="6" t="s">
        <v>170</v>
      </c>
      <c r="G59" s="6" t="s">
        <v>171</v>
      </c>
      <c r="H59" s="7"/>
      <c r="I59" s="8"/>
    </row>
    <row r="60" spans="1:9" ht="24.9" x14ac:dyDescent="0.4">
      <c r="A60" s="6" t="s">
        <v>107</v>
      </c>
      <c r="B60" s="6" t="s">
        <v>172</v>
      </c>
      <c r="C60" s="6" t="s">
        <v>11</v>
      </c>
      <c r="D60" s="6" t="s">
        <v>12</v>
      </c>
      <c r="E60" s="6" t="s">
        <v>17</v>
      </c>
      <c r="F60" s="6" t="s">
        <v>18</v>
      </c>
      <c r="G60" s="6" t="s">
        <v>173</v>
      </c>
      <c r="H60" s="7" t="s">
        <v>20</v>
      </c>
      <c r="I60" s="8" t="s">
        <v>21</v>
      </c>
    </row>
    <row r="61" spans="1:9" ht="49.75" x14ac:dyDescent="0.4">
      <c r="A61" s="13" t="s">
        <v>107</v>
      </c>
      <c r="B61" s="13" t="s">
        <v>174</v>
      </c>
      <c r="C61" s="13" t="s">
        <v>11</v>
      </c>
      <c r="D61" s="13" t="s">
        <v>16</v>
      </c>
      <c r="E61" s="13" t="str">
        <f>B58&amp;"; "&amp;$B$2&amp;"; "&amp;'[1]Variables-Products'!$B$12</f>
        <v>P062_IDACICPriSubtotal; P001_1718DaysOpen; P25_YearDays_1718</v>
      </c>
      <c r="F61" s="13" t="str">
        <f>B58&amp;" * "&amp;$B$2&amp;" / "&amp;'[1]Variables-Products'!$B$12</f>
        <v>P062_IDACICPriSubtotal * P001_1718DaysOpen / P25_YearDays_1718</v>
      </c>
      <c r="G61" s="13" t="s">
        <v>175</v>
      </c>
      <c r="H61" s="7"/>
      <c r="I61" s="8"/>
    </row>
    <row r="62" spans="1:9" ht="99.45" x14ac:dyDescent="0.4">
      <c r="A62" s="6" t="s">
        <v>107</v>
      </c>
      <c r="B62" s="10" t="s">
        <v>176</v>
      </c>
      <c r="C62" s="6" t="s">
        <v>11</v>
      </c>
      <c r="D62" s="6" t="s">
        <v>12</v>
      </c>
      <c r="E62" s="6" t="s">
        <v>177</v>
      </c>
      <c r="F62" s="14" t="s">
        <v>178</v>
      </c>
      <c r="G62" s="6" t="s">
        <v>179</v>
      </c>
      <c r="H62" s="7" t="s">
        <v>20</v>
      </c>
      <c r="I62" s="8" t="s">
        <v>21</v>
      </c>
    </row>
    <row r="63" spans="1:9" ht="49.75" x14ac:dyDescent="0.4">
      <c r="A63" s="6" t="s">
        <v>107</v>
      </c>
      <c r="B63" s="10" t="s">
        <v>180</v>
      </c>
      <c r="C63" s="6" t="s">
        <v>11</v>
      </c>
      <c r="D63" s="6" t="s">
        <v>16</v>
      </c>
      <c r="E63" s="10" t="s">
        <v>181</v>
      </c>
      <c r="F63" s="10" t="s">
        <v>181</v>
      </c>
      <c r="G63" s="6" t="s">
        <v>182</v>
      </c>
      <c r="H63" s="7" t="s">
        <v>20</v>
      </c>
      <c r="I63" s="8" t="s">
        <v>21</v>
      </c>
    </row>
    <row r="64" spans="1:9" ht="49.75" x14ac:dyDescent="0.4">
      <c r="A64" s="6" t="s">
        <v>107</v>
      </c>
      <c r="B64" s="6" t="s">
        <v>183</v>
      </c>
      <c r="C64" s="6" t="s">
        <v>11</v>
      </c>
      <c r="D64" s="6" t="s">
        <v>16</v>
      </c>
      <c r="E64" s="6" t="str">
        <f>'[1]Variables-Products'!$B$22&amp;"; "&amp;B63&amp;"; "&amp;B62&amp;"; Funding_Basis(201718)"</f>
        <v>P22_Total_NOR_PRI_SBS; P067_IDACIBPriRate; P065_IDACIBPriFactor; Funding_Basis(201718)</v>
      </c>
      <c r="F64" s="14" t="str">
        <f>"IF Existing Academy OR New Opener 1718 funded on estimates, THEN "&amp;'[1]Variables-Products'!$B$22&amp;" * "&amp;'[1]Products-Calcs'!C80&amp;" * "&amp;'[1]Products-Calcs'!C79&amp;", ELSE (i.e. IF New Opener 1718 funded on census) THEN (IF "&amp;'[1]Products-Calcs'!C80&amp;" &gt;0) APT_New_ISB_dataset.IDACIB_Primary"</f>
        <v>IF Existing Academy OR New Opener 1718 funded on estimates, THEN P22_Total_NOR_PRI_SBS * P067_IDACIBPriRate * P065_IDACIBPriFactor, ELSE (i.e. IF New Opener 1718 funded on census) THEN (IF P067_IDACIBPriRate &gt;0) APT_New_ISB_dataset.IDACIB_Primary</v>
      </c>
      <c r="G64" s="6" t="s">
        <v>184</v>
      </c>
      <c r="H64" s="7" t="s">
        <v>20</v>
      </c>
      <c r="I64" s="8" t="s">
        <v>21</v>
      </c>
    </row>
    <row r="65" spans="1:9" ht="49.75" x14ac:dyDescent="0.4">
      <c r="A65" s="6" t="s">
        <v>107</v>
      </c>
      <c r="B65" s="6" t="s">
        <v>185</v>
      </c>
      <c r="C65" s="6" t="s">
        <v>11</v>
      </c>
      <c r="D65" s="6" t="s">
        <v>16</v>
      </c>
      <c r="E65" s="6" t="s">
        <v>186</v>
      </c>
      <c r="F65" s="6" t="s">
        <v>187</v>
      </c>
      <c r="G65" s="6" t="s">
        <v>188</v>
      </c>
      <c r="H65" s="7"/>
      <c r="I65" s="8"/>
    </row>
    <row r="66" spans="1:9" ht="24.9" x14ac:dyDescent="0.4">
      <c r="A66" s="6" t="s">
        <v>107</v>
      </c>
      <c r="B66" s="6" t="s">
        <v>189</v>
      </c>
      <c r="C66" s="6" t="s">
        <v>11</v>
      </c>
      <c r="D66" s="6" t="s">
        <v>12</v>
      </c>
      <c r="E66" s="6" t="s">
        <v>17</v>
      </c>
      <c r="F66" s="6" t="s">
        <v>18</v>
      </c>
      <c r="G66" s="6" t="s">
        <v>190</v>
      </c>
      <c r="H66" s="7" t="s">
        <v>20</v>
      </c>
      <c r="I66" s="8" t="s">
        <v>21</v>
      </c>
    </row>
    <row r="67" spans="1:9" ht="49.75" x14ac:dyDescent="0.4">
      <c r="A67" s="13" t="s">
        <v>107</v>
      </c>
      <c r="B67" s="13" t="s">
        <v>191</v>
      </c>
      <c r="C67" s="13" t="s">
        <v>11</v>
      </c>
      <c r="D67" s="13" t="s">
        <v>16</v>
      </c>
      <c r="E67" s="13" t="str">
        <f>B64&amp;"; "&amp;$B$2&amp;"; "&amp;'[1]Variables-Products'!$B$12</f>
        <v>P068_IDACIBPriSubtotal; P001_1718DaysOpen; P25_YearDays_1718</v>
      </c>
      <c r="F67" s="13" t="str">
        <f>B64&amp;" * "&amp;$B$2&amp;" / "&amp;'[1]Variables-Products'!$B$12</f>
        <v>P068_IDACIBPriSubtotal * P001_1718DaysOpen / P25_YearDays_1718</v>
      </c>
      <c r="G67" s="13" t="s">
        <v>192</v>
      </c>
      <c r="H67" s="7"/>
      <c r="I67" s="8"/>
    </row>
    <row r="68" spans="1:9" ht="99.45" x14ac:dyDescent="0.4">
      <c r="A68" s="6" t="s">
        <v>107</v>
      </c>
      <c r="B68" s="10" t="s">
        <v>193</v>
      </c>
      <c r="C68" s="6" t="s">
        <v>11</v>
      </c>
      <c r="D68" s="6" t="s">
        <v>12</v>
      </c>
      <c r="E68" s="6" t="s">
        <v>194</v>
      </c>
      <c r="F68" s="14" t="s">
        <v>195</v>
      </c>
      <c r="G68" s="6" t="s">
        <v>196</v>
      </c>
      <c r="H68" s="7" t="s">
        <v>20</v>
      </c>
      <c r="I68" s="8" t="s">
        <v>21</v>
      </c>
    </row>
    <row r="69" spans="1:9" ht="49.75" x14ac:dyDescent="0.4">
      <c r="A69" s="6" t="s">
        <v>107</v>
      </c>
      <c r="B69" s="10" t="s">
        <v>197</v>
      </c>
      <c r="C69" s="6" t="s">
        <v>11</v>
      </c>
      <c r="D69" s="6" t="s">
        <v>16</v>
      </c>
      <c r="E69" s="10" t="s">
        <v>198</v>
      </c>
      <c r="F69" s="10" t="s">
        <v>198</v>
      </c>
      <c r="G69" s="6" t="s">
        <v>199</v>
      </c>
      <c r="H69" s="7" t="s">
        <v>20</v>
      </c>
      <c r="I69" s="8" t="s">
        <v>21</v>
      </c>
    </row>
    <row r="70" spans="1:9" ht="49.75" x14ac:dyDescent="0.4">
      <c r="A70" s="6" t="s">
        <v>107</v>
      </c>
      <c r="B70" s="6" t="s">
        <v>200</v>
      </c>
      <c r="C70" s="6" t="s">
        <v>11</v>
      </c>
      <c r="D70" s="6" t="s">
        <v>16</v>
      </c>
      <c r="E70" s="6" t="str">
        <f>'[1]Variables-Products'!$B$22&amp;"; "&amp;B69&amp;"; "&amp;B68&amp;"; Funding_Basis(201718)"</f>
        <v>P22_Total_NOR_PRI_SBS; P073_IDACIAPriRate; P071_IDACIAPriFactor; Funding_Basis(201718)</v>
      </c>
      <c r="F70" s="14" t="str">
        <f>"IF Existing Academy OR New Opener 1718 funded on estimates, THEN "&amp;'[1]Variables-Products'!$B$22&amp;" * "&amp;'[1]Products-Calcs'!C86&amp;" * "&amp;'[1]Products-Calcs'!C85&amp;", ELSE (i.e. IF New Opener 1718 funded on census) THEN (IF "&amp;'[1]Products-Calcs'!C86&amp;" &gt;0) APT_New_ISB_dataset.IDACIB_Primary"</f>
        <v>IF Existing Academy OR New Opener 1718 funded on estimates, THEN P22_Total_NOR_PRI_SBS * P073_IDACIAPriRate * P071_IDACIAPriFactor, ELSE (i.e. IF New Opener 1718 funded on census) THEN (IF P073_IDACIAPriRate &gt;0) APT_New_ISB_dataset.IDACIB_Primary</v>
      </c>
      <c r="G70" s="6" t="s">
        <v>201</v>
      </c>
      <c r="H70" s="7" t="s">
        <v>20</v>
      </c>
      <c r="I70" s="8" t="s">
        <v>21</v>
      </c>
    </row>
    <row r="71" spans="1:9" ht="49.75" x14ac:dyDescent="0.4">
      <c r="A71" s="6" t="s">
        <v>107</v>
      </c>
      <c r="B71" s="6" t="s">
        <v>202</v>
      </c>
      <c r="C71" s="6" t="s">
        <v>11</v>
      </c>
      <c r="D71" s="6" t="s">
        <v>16</v>
      </c>
      <c r="E71" s="6" t="s">
        <v>203</v>
      </c>
      <c r="F71" s="6" t="s">
        <v>204</v>
      </c>
      <c r="G71" s="6" t="s">
        <v>205</v>
      </c>
      <c r="H71" s="7"/>
      <c r="I71" s="8"/>
    </row>
    <row r="72" spans="1:9" ht="24.9" x14ac:dyDescent="0.4">
      <c r="A72" s="6" t="s">
        <v>107</v>
      </c>
      <c r="B72" s="6" t="s">
        <v>206</v>
      </c>
      <c r="C72" s="6" t="s">
        <v>11</v>
      </c>
      <c r="D72" s="6" t="s">
        <v>12</v>
      </c>
      <c r="E72" s="6" t="s">
        <v>17</v>
      </c>
      <c r="F72" s="6" t="s">
        <v>18</v>
      </c>
      <c r="G72" s="6" t="s">
        <v>207</v>
      </c>
      <c r="H72" s="7" t="s">
        <v>20</v>
      </c>
      <c r="I72" s="8" t="s">
        <v>21</v>
      </c>
    </row>
    <row r="73" spans="1:9" ht="49.75" x14ac:dyDescent="0.4">
      <c r="A73" s="13" t="s">
        <v>107</v>
      </c>
      <c r="B73" s="13" t="s">
        <v>208</v>
      </c>
      <c r="C73" s="13" t="s">
        <v>11</v>
      </c>
      <c r="D73" s="13" t="s">
        <v>16</v>
      </c>
      <c r="E73" s="13" t="str">
        <f>B70&amp;"; "&amp;$B$2&amp;"; "&amp;'[1]Variables-Products'!$B$12</f>
        <v>P074_IDACIAPriSubtotal; P001_1718DaysOpen; P25_YearDays_1718</v>
      </c>
      <c r="F73" s="13" t="str">
        <f>B70&amp;" * "&amp;$B$2&amp;" / "&amp;'[1]Variables-Products'!$B$12</f>
        <v>P074_IDACIAPriSubtotal * P001_1718DaysOpen / P25_YearDays_1718</v>
      </c>
      <c r="G73" s="13" t="s">
        <v>209</v>
      </c>
      <c r="H73" s="7"/>
      <c r="I73" s="8"/>
    </row>
    <row r="74" spans="1:9" ht="99.45" x14ac:dyDescent="0.4">
      <c r="A74" s="6" t="s">
        <v>107</v>
      </c>
      <c r="B74" s="10" t="s">
        <v>210</v>
      </c>
      <c r="C74" s="6" t="s">
        <v>11</v>
      </c>
      <c r="D74" s="6" t="s">
        <v>12</v>
      </c>
      <c r="E74" s="6" t="s">
        <v>211</v>
      </c>
      <c r="F74" s="14" t="s">
        <v>212</v>
      </c>
      <c r="G74" s="6" t="s">
        <v>213</v>
      </c>
      <c r="H74" s="7" t="s">
        <v>20</v>
      </c>
      <c r="I74" s="8" t="s">
        <v>21</v>
      </c>
    </row>
    <row r="75" spans="1:9" ht="49.75" x14ac:dyDescent="0.4">
      <c r="A75" s="6" t="s">
        <v>107</v>
      </c>
      <c r="B75" s="10" t="s">
        <v>214</v>
      </c>
      <c r="C75" s="6" t="s">
        <v>11</v>
      </c>
      <c r="D75" s="6" t="s">
        <v>16</v>
      </c>
      <c r="E75" s="10" t="s">
        <v>215</v>
      </c>
      <c r="F75" s="10" t="s">
        <v>215</v>
      </c>
      <c r="G75" s="6" t="s">
        <v>216</v>
      </c>
      <c r="H75" s="7" t="s">
        <v>20</v>
      </c>
      <c r="I75" s="8" t="s">
        <v>21</v>
      </c>
    </row>
    <row r="76" spans="1:9" ht="49.75" x14ac:dyDescent="0.4">
      <c r="A76" s="6" t="s">
        <v>107</v>
      </c>
      <c r="B76" s="6" t="s">
        <v>217</v>
      </c>
      <c r="C76" s="6" t="s">
        <v>11</v>
      </c>
      <c r="D76" s="6" t="s">
        <v>16</v>
      </c>
      <c r="E76" s="6" t="str">
        <f>'[1]Variables-Products'!$B$25&amp;"; "&amp;B75&amp;"; "&amp;B74&amp;"; Funding_Basis(201718)"</f>
        <v>P25_Total_NOR_SEC_SBS; P079_IDACIFSecRate; P077_IDACIFSecFactor; Funding_Basis(201718)</v>
      </c>
      <c r="F76" s="14" t="str">
        <f>"IF Existing Academy OR New Opener 1718 funded on estimates, THEN "&amp;'[1]Variables-Products'!$B$25&amp;" * "&amp;'[1]Products-Calcs'!C92&amp;" * "&amp;'[1]Products-Calcs'!C91&amp;", ELSE (i.e. IF New Opener 1718 funded on census) THEN (IF "&amp;'[1]Products-Calcs'!C92&amp;" &gt;0) APT_New_ISB_dataset.IDACIF_Secondary"</f>
        <v>IF Existing Academy OR New Opener 1718 funded on estimates, THEN P25_Total_NOR_SEC_SBS * P079_IDACIFSecRate * P077_IDACIFSecFactor, ELSE (i.e. IF New Opener 1718 funded on census) THEN (IF P079_IDACIFSecRate &gt;0) APT_New_ISB_dataset.IDACIF_Secondary</v>
      </c>
      <c r="G76" s="6" t="s">
        <v>218</v>
      </c>
      <c r="H76" s="7" t="s">
        <v>20</v>
      </c>
      <c r="I76" s="8" t="s">
        <v>21</v>
      </c>
    </row>
    <row r="77" spans="1:9" ht="49.75" x14ac:dyDescent="0.4">
      <c r="A77" s="6" t="s">
        <v>107</v>
      </c>
      <c r="B77" s="6" t="s">
        <v>219</v>
      </c>
      <c r="C77" s="6" t="s">
        <v>11</v>
      </c>
      <c r="D77" s="6" t="s">
        <v>16</v>
      </c>
      <c r="E77" s="6" t="str">
        <f>B76&amp;"; "&amp;B78</f>
        <v>P080_IDACIFSecSubtotal; P081a_NSENIDACIFSec_Percent</v>
      </c>
      <c r="F77" s="6" t="str">
        <f>B76&amp;" * "&amp;B78</f>
        <v>P080_IDACIFSecSubtotal * P081a_NSENIDACIFSec_Percent</v>
      </c>
      <c r="G77" s="6" t="s">
        <v>220</v>
      </c>
      <c r="H77" s="7"/>
      <c r="I77" s="8"/>
    </row>
    <row r="78" spans="1:9" ht="24.9" x14ac:dyDescent="0.4">
      <c r="A78" s="6" t="s">
        <v>107</v>
      </c>
      <c r="B78" s="6" t="s">
        <v>221</v>
      </c>
      <c r="C78" s="6" t="s">
        <v>11</v>
      </c>
      <c r="D78" s="6" t="s">
        <v>16</v>
      </c>
      <c r="E78" s="6" t="s">
        <v>17</v>
      </c>
      <c r="F78" s="6" t="s">
        <v>18</v>
      </c>
      <c r="G78" s="6" t="s">
        <v>222</v>
      </c>
      <c r="H78" s="7" t="s">
        <v>20</v>
      </c>
      <c r="I78" s="8" t="s">
        <v>21</v>
      </c>
    </row>
    <row r="79" spans="1:9" ht="49.75" x14ac:dyDescent="0.4">
      <c r="A79" s="13" t="s">
        <v>107</v>
      </c>
      <c r="B79" s="13" t="s">
        <v>223</v>
      </c>
      <c r="C79" s="13" t="s">
        <v>11</v>
      </c>
      <c r="D79" s="13" t="s">
        <v>16</v>
      </c>
      <c r="E79" s="13" t="str">
        <f>B76&amp;"; "&amp;$B$2&amp;"; "&amp;'[1]Variables-Products'!$B$12</f>
        <v>P080_IDACIFSecSubtotal; P001_1718DaysOpen; P25_YearDays_1718</v>
      </c>
      <c r="F79" s="13" t="str">
        <f>B76&amp;" * "&amp;$B$2&amp;" / "&amp;'[1]Variables-Products'!$B$12</f>
        <v>P080_IDACIFSecSubtotal * P001_1718DaysOpen / P25_YearDays_1718</v>
      </c>
      <c r="G79" s="13" t="s">
        <v>224</v>
      </c>
      <c r="H79" s="7"/>
      <c r="I79" s="8"/>
    </row>
    <row r="80" spans="1:9" ht="99.45" x14ac:dyDescent="0.4">
      <c r="A80" s="6" t="s">
        <v>107</v>
      </c>
      <c r="B80" s="10" t="s">
        <v>225</v>
      </c>
      <c r="C80" s="6" t="s">
        <v>11</v>
      </c>
      <c r="D80" s="6" t="s">
        <v>12</v>
      </c>
      <c r="E80" s="6" t="s">
        <v>226</v>
      </c>
      <c r="F80" s="14" t="s">
        <v>227</v>
      </c>
      <c r="G80" s="6" t="s">
        <v>228</v>
      </c>
      <c r="H80" s="7" t="s">
        <v>20</v>
      </c>
      <c r="I80" s="8" t="s">
        <v>21</v>
      </c>
    </row>
    <row r="81" spans="1:9" ht="49.75" x14ac:dyDescent="0.4">
      <c r="A81" s="6" t="s">
        <v>107</v>
      </c>
      <c r="B81" s="10" t="s">
        <v>229</v>
      </c>
      <c r="C81" s="6" t="s">
        <v>11</v>
      </c>
      <c r="D81" s="6" t="s">
        <v>16</v>
      </c>
      <c r="E81" s="10" t="s">
        <v>230</v>
      </c>
      <c r="F81" s="10" t="s">
        <v>230</v>
      </c>
      <c r="G81" s="6" t="s">
        <v>231</v>
      </c>
      <c r="H81" s="7" t="s">
        <v>20</v>
      </c>
      <c r="I81" s="8" t="s">
        <v>21</v>
      </c>
    </row>
    <row r="82" spans="1:9" ht="49.75" x14ac:dyDescent="0.4">
      <c r="A82" s="6" t="s">
        <v>107</v>
      </c>
      <c r="B82" s="6" t="s">
        <v>232</v>
      </c>
      <c r="C82" s="6" t="s">
        <v>11</v>
      </c>
      <c r="D82" s="6" t="s">
        <v>16</v>
      </c>
      <c r="E82" s="6" t="str">
        <f>'[1]Variables-Products'!$B$25&amp;"; "&amp;B81&amp;"; "&amp;B80&amp;"; Funding_Basis(201718)"</f>
        <v>P25_Total_NOR_SEC_SBS; P085_IDACIESecRate; P083_IDACIESecFactor; Funding_Basis(201718)</v>
      </c>
      <c r="F82" s="14" t="str">
        <f>"IF Existing Academy OR New Opener 1718 funded on estimates, THEN "&amp;'[1]Variables-Products'!$B$25&amp;" * "&amp;'[1]Products-Calcs'!C98&amp;" * "&amp;'[1]Products-Calcs'!C97&amp;", ELSE (i.e. IF New Opener 1718 funded on census) THEN (IF "&amp;'[1]Products-Calcs'!C98&amp;" &gt;0) APT_New_ISB_dataset.IDACIE_Secondary"</f>
        <v>IF Existing Academy OR New Opener 1718 funded on estimates, THEN P25_Total_NOR_SEC_SBS * P085_IDACIESecRate * P083_IDACIESecFactor, ELSE (i.e. IF New Opener 1718 funded on census) THEN (IF P085_IDACIESecRate &gt;0) APT_New_ISB_dataset.IDACIE_Secondary</v>
      </c>
      <c r="G82" s="6" t="s">
        <v>233</v>
      </c>
      <c r="H82" s="7" t="s">
        <v>20</v>
      </c>
      <c r="I82" s="8" t="s">
        <v>21</v>
      </c>
    </row>
    <row r="83" spans="1:9" ht="49.75" x14ac:dyDescent="0.4">
      <c r="A83" s="6" t="s">
        <v>107</v>
      </c>
      <c r="B83" s="6" t="s">
        <v>234</v>
      </c>
      <c r="C83" s="6" t="s">
        <v>11</v>
      </c>
      <c r="D83" s="6" t="s">
        <v>16</v>
      </c>
      <c r="E83" s="6" t="str">
        <f>B82&amp;"; "&amp;B84</f>
        <v>P086_IDACIESecSubtotal; P87a_NSENIDACIESec_Percent</v>
      </c>
      <c r="F83" s="6" t="str">
        <f>B82&amp;" * "&amp;B84</f>
        <v>P086_IDACIESecSubtotal * P87a_NSENIDACIESec_Percent</v>
      </c>
      <c r="G83" s="6" t="s">
        <v>235</v>
      </c>
      <c r="H83" s="7"/>
      <c r="I83" s="8"/>
    </row>
    <row r="84" spans="1:9" ht="24.9" x14ac:dyDescent="0.4">
      <c r="A84" s="6" t="s">
        <v>107</v>
      </c>
      <c r="B84" s="6" t="s">
        <v>236</v>
      </c>
      <c r="C84" s="6" t="s">
        <v>11</v>
      </c>
      <c r="D84" s="6" t="s">
        <v>12</v>
      </c>
      <c r="E84" s="6" t="s">
        <v>17</v>
      </c>
      <c r="F84" s="6" t="s">
        <v>18</v>
      </c>
      <c r="G84" s="6" t="s">
        <v>237</v>
      </c>
      <c r="H84" s="7" t="s">
        <v>20</v>
      </c>
      <c r="I84" s="8" t="s">
        <v>21</v>
      </c>
    </row>
    <row r="85" spans="1:9" ht="49.75" x14ac:dyDescent="0.4">
      <c r="A85" s="13" t="s">
        <v>107</v>
      </c>
      <c r="B85" s="13" t="s">
        <v>238</v>
      </c>
      <c r="C85" s="13" t="s">
        <v>11</v>
      </c>
      <c r="D85" s="13" t="s">
        <v>16</v>
      </c>
      <c r="E85" s="13" t="str">
        <f>B82&amp;"; "&amp;$B$2&amp;"; "&amp;'[1]Variables-Products'!$B$12</f>
        <v>P086_IDACIESecSubtotal; P001_1718DaysOpen; P25_YearDays_1718</v>
      </c>
      <c r="F85" s="13" t="str">
        <f>B82&amp;" * "&amp;$B$2&amp;" / "&amp;'[1]Variables-Products'!$B$12</f>
        <v>P086_IDACIESecSubtotal * P001_1718DaysOpen / P25_YearDays_1718</v>
      </c>
      <c r="G85" s="13" t="s">
        <v>239</v>
      </c>
      <c r="H85" s="7"/>
      <c r="I85" s="8"/>
    </row>
    <row r="86" spans="1:9" ht="99.45" x14ac:dyDescent="0.4">
      <c r="A86" s="6" t="s">
        <v>107</v>
      </c>
      <c r="B86" s="10" t="s">
        <v>240</v>
      </c>
      <c r="C86" s="6" t="s">
        <v>11</v>
      </c>
      <c r="D86" s="6" t="s">
        <v>12</v>
      </c>
      <c r="E86" s="6" t="s">
        <v>241</v>
      </c>
      <c r="F86" s="14" t="s">
        <v>242</v>
      </c>
      <c r="G86" s="6" t="s">
        <v>243</v>
      </c>
      <c r="H86" s="7" t="s">
        <v>20</v>
      </c>
      <c r="I86" s="8" t="s">
        <v>21</v>
      </c>
    </row>
    <row r="87" spans="1:9" ht="49.75" x14ac:dyDescent="0.4">
      <c r="A87" s="6" t="s">
        <v>107</v>
      </c>
      <c r="B87" s="10" t="s">
        <v>244</v>
      </c>
      <c r="C87" s="6" t="s">
        <v>11</v>
      </c>
      <c r="D87" s="6" t="s">
        <v>16</v>
      </c>
      <c r="E87" s="10" t="s">
        <v>245</v>
      </c>
      <c r="F87" s="10" t="s">
        <v>245</v>
      </c>
      <c r="G87" s="6" t="s">
        <v>246</v>
      </c>
      <c r="H87" s="7" t="s">
        <v>20</v>
      </c>
      <c r="I87" s="8" t="s">
        <v>21</v>
      </c>
    </row>
    <row r="88" spans="1:9" ht="49.75" x14ac:dyDescent="0.4">
      <c r="A88" s="6" t="s">
        <v>107</v>
      </c>
      <c r="B88" s="6" t="s">
        <v>247</v>
      </c>
      <c r="C88" s="6" t="s">
        <v>11</v>
      </c>
      <c r="D88" s="6" t="s">
        <v>16</v>
      </c>
      <c r="E88" s="6" t="str">
        <f>'[1]Variables-Products'!$B$25&amp;"; "&amp;B87&amp;"; "&amp;B86&amp;"; Funding_Basis(201718)"</f>
        <v>P25_Total_NOR_SEC_SBS; P091_IDACIDSecRate; P089_IDACIDSecFactor; Funding_Basis(201718)</v>
      </c>
      <c r="F88" s="14" t="str">
        <f>"IF Existing Academy OR New Opener 1718 funded on estimates, THEN "&amp;'[1]Variables-Products'!$B$25&amp;" * "&amp;'[1]Products-Calcs'!C104&amp;" * "&amp;'[1]Products-Calcs'!C103&amp;", ELSE (i.e. IF New Opener 1718 funded on census) THEN (IF "&amp;'[1]Products-Calcs'!C104&amp;" &gt;0) APT_New_ISB_dataset.IDACID_Secondary"</f>
        <v>IF Existing Academy OR New Opener 1718 funded on estimates, THEN P25_Total_NOR_SEC_SBS * P091_IDACIDSecRate * P089_IDACIDSecFactor, ELSE (i.e. IF New Opener 1718 funded on census) THEN (IF P091_IDACIDSecRate &gt;0) APT_New_ISB_dataset.IDACID_Secondary</v>
      </c>
      <c r="G88" s="6" t="s">
        <v>248</v>
      </c>
      <c r="H88" s="7" t="s">
        <v>20</v>
      </c>
      <c r="I88" s="8" t="s">
        <v>21</v>
      </c>
    </row>
    <row r="89" spans="1:9" ht="49.75" x14ac:dyDescent="0.4">
      <c r="A89" s="6" t="s">
        <v>107</v>
      </c>
      <c r="B89" s="6" t="s">
        <v>249</v>
      </c>
      <c r="C89" s="6" t="s">
        <v>11</v>
      </c>
      <c r="D89" s="6" t="s">
        <v>16</v>
      </c>
      <c r="E89" s="6" t="str">
        <f>B88&amp;"; "&amp;B90</f>
        <v>P092_IDACIDSecSubtotal; P093a_NSENIDACIDSec_Percent</v>
      </c>
      <c r="F89" s="6" t="str">
        <f>B88&amp;" * "&amp;B90</f>
        <v>P092_IDACIDSecSubtotal * P093a_NSENIDACIDSec_Percent</v>
      </c>
      <c r="G89" s="6" t="s">
        <v>250</v>
      </c>
      <c r="H89" s="7"/>
      <c r="I89" s="8"/>
    </row>
    <row r="90" spans="1:9" ht="24.9" x14ac:dyDescent="0.4">
      <c r="A90" s="6" t="s">
        <v>107</v>
      </c>
      <c r="B90" s="6" t="s">
        <v>251</v>
      </c>
      <c r="C90" s="6" t="s">
        <v>11</v>
      </c>
      <c r="D90" s="6" t="s">
        <v>12</v>
      </c>
      <c r="E90" s="6" t="s">
        <v>17</v>
      </c>
      <c r="F90" s="6" t="s">
        <v>18</v>
      </c>
      <c r="G90" s="6" t="s">
        <v>252</v>
      </c>
      <c r="H90" s="7" t="s">
        <v>20</v>
      </c>
      <c r="I90" s="8" t="s">
        <v>21</v>
      </c>
    </row>
    <row r="91" spans="1:9" ht="49.75" x14ac:dyDescent="0.4">
      <c r="A91" s="13" t="s">
        <v>107</v>
      </c>
      <c r="B91" s="13" t="s">
        <v>253</v>
      </c>
      <c r="C91" s="13" t="s">
        <v>11</v>
      </c>
      <c r="D91" s="13" t="s">
        <v>16</v>
      </c>
      <c r="E91" s="13" t="str">
        <f>B88&amp;"; "&amp;$B$2&amp;"; "&amp;'[1]Variables-Products'!$B$12</f>
        <v>P092_IDACIDSecSubtotal; P001_1718DaysOpen; P25_YearDays_1718</v>
      </c>
      <c r="F91" s="13" t="str">
        <f>B88&amp;" * "&amp;$B$2&amp;" / "&amp;'[1]Variables-Products'!$B$12</f>
        <v>P092_IDACIDSecSubtotal * P001_1718DaysOpen / P25_YearDays_1718</v>
      </c>
      <c r="G91" s="13" t="s">
        <v>254</v>
      </c>
      <c r="H91" s="7"/>
      <c r="I91" s="8"/>
    </row>
    <row r="92" spans="1:9" ht="99.45" x14ac:dyDescent="0.4">
      <c r="A92" s="6" t="s">
        <v>107</v>
      </c>
      <c r="B92" s="10" t="s">
        <v>255</v>
      </c>
      <c r="C92" s="6" t="s">
        <v>11</v>
      </c>
      <c r="D92" s="6" t="s">
        <v>12</v>
      </c>
      <c r="E92" s="6" t="s">
        <v>256</v>
      </c>
      <c r="F92" s="14" t="s">
        <v>257</v>
      </c>
      <c r="G92" s="6" t="s">
        <v>258</v>
      </c>
      <c r="H92" s="7" t="s">
        <v>20</v>
      </c>
      <c r="I92" s="8" t="s">
        <v>21</v>
      </c>
    </row>
    <row r="93" spans="1:9" ht="49.75" x14ac:dyDescent="0.4">
      <c r="A93" s="6" t="s">
        <v>107</v>
      </c>
      <c r="B93" s="10" t="s">
        <v>259</v>
      </c>
      <c r="C93" s="6" t="s">
        <v>11</v>
      </c>
      <c r="D93" s="6" t="s">
        <v>16</v>
      </c>
      <c r="E93" s="10" t="s">
        <v>260</v>
      </c>
      <c r="F93" s="10" t="s">
        <v>260</v>
      </c>
      <c r="G93" s="6" t="s">
        <v>261</v>
      </c>
      <c r="H93" s="7" t="s">
        <v>20</v>
      </c>
      <c r="I93" s="8" t="s">
        <v>21</v>
      </c>
    </row>
    <row r="94" spans="1:9" ht="49.75" x14ac:dyDescent="0.4">
      <c r="A94" s="6" t="s">
        <v>107</v>
      </c>
      <c r="B94" s="6" t="s">
        <v>262</v>
      </c>
      <c r="C94" s="6" t="s">
        <v>11</v>
      </c>
      <c r="D94" s="6" t="s">
        <v>16</v>
      </c>
      <c r="E94" s="6" t="str">
        <f>'[1]Variables-Products'!$B$25&amp;"; "&amp;B93&amp;"; "&amp;B92&amp;"; Funding_Basis(201718)"</f>
        <v>P25_Total_NOR_SEC_SBS; P097_IDACICSecRate; P095_IDACICSecFactor; Funding_Basis(201718)</v>
      </c>
      <c r="F94" s="14" t="str">
        <f>"IF Existing Academy OR New Opener 1718 funded on estimates, THEN "&amp;'[1]Variables-Products'!$B$25&amp;" * "&amp;'[1]Products-Calcs'!C110&amp;" * "&amp;'[1]Products-Calcs'!C109&amp;", ELSE (i.e. IF New Opener 1718 funded on census) THEN (IF "&amp;'[1]Products-Calcs'!C110&amp;" &gt;0) APT_New_ISB_dataset.IDACIC_Secondary"</f>
        <v>IF Existing Academy OR New Opener 1718 funded on estimates, THEN P25_Total_NOR_SEC_SBS * P097_IDACICSecRate * P095_IDACICSecFactor, ELSE (i.e. IF New Opener 1718 funded on census) THEN (IF P097_IDACICSecRate &gt;0) APT_New_ISB_dataset.IDACIC_Secondary</v>
      </c>
      <c r="G94" s="6" t="s">
        <v>263</v>
      </c>
      <c r="H94" s="7" t="s">
        <v>20</v>
      </c>
      <c r="I94" s="8" t="s">
        <v>21</v>
      </c>
    </row>
    <row r="95" spans="1:9" ht="49.75" x14ac:dyDescent="0.4">
      <c r="A95" s="6" t="s">
        <v>107</v>
      </c>
      <c r="B95" s="6" t="s">
        <v>264</v>
      </c>
      <c r="C95" s="6" t="s">
        <v>11</v>
      </c>
      <c r="D95" s="6" t="s">
        <v>16</v>
      </c>
      <c r="E95" s="6" t="str">
        <f>B94&amp;"; "&amp;B96</f>
        <v>P098_IDACICSecSubtotal; P099a_NSENIDACICSec_Percent</v>
      </c>
      <c r="F95" s="6" t="str">
        <f>B94&amp;" * "&amp;B96</f>
        <v>P098_IDACICSecSubtotal * P099a_NSENIDACICSec_Percent</v>
      </c>
      <c r="G95" s="6" t="s">
        <v>265</v>
      </c>
      <c r="H95" s="7"/>
      <c r="I95" s="8"/>
    </row>
    <row r="96" spans="1:9" ht="24.9" x14ac:dyDescent="0.4">
      <c r="A96" s="6" t="s">
        <v>107</v>
      </c>
      <c r="B96" s="6" t="s">
        <v>266</v>
      </c>
      <c r="C96" s="6" t="s">
        <v>11</v>
      </c>
      <c r="D96" s="6" t="s">
        <v>12</v>
      </c>
      <c r="E96" s="6" t="s">
        <v>17</v>
      </c>
      <c r="F96" s="6" t="s">
        <v>18</v>
      </c>
      <c r="G96" s="6" t="s">
        <v>267</v>
      </c>
      <c r="H96" s="7" t="s">
        <v>20</v>
      </c>
      <c r="I96" s="8" t="s">
        <v>21</v>
      </c>
    </row>
    <row r="97" spans="1:9" ht="49.75" x14ac:dyDescent="0.4">
      <c r="A97" s="13" t="s">
        <v>107</v>
      </c>
      <c r="B97" s="13" t="s">
        <v>268</v>
      </c>
      <c r="C97" s="13" t="s">
        <v>11</v>
      </c>
      <c r="D97" s="13" t="s">
        <v>16</v>
      </c>
      <c r="E97" s="13" t="str">
        <f>B94&amp;"; "&amp;$B$2&amp;"; "&amp;'[1]Variables-Products'!$B$12</f>
        <v>P098_IDACICSecSubtotal; P001_1718DaysOpen; P25_YearDays_1718</v>
      </c>
      <c r="F97" s="13" t="str">
        <f>B94&amp;" * "&amp;$B$2&amp;" / "&amp;'[1]Variables-Products'!$B$12</f>
        <v>P098_IDACICSecSubtotal * P001_1718DaysOpen / P25_YearDays_1718</v>
      </c>
      <c r="G97" s="13" t="s">
        <v>269</v>
      </c>
      <c r="H97" s="7"/>
      <c r="I97" s="8"/>
    </row>
    <row r="98" spans="1:9" ht="99.45" x14ac:dyDescent="0.4">
      <c r="A98" s="6" t="s">
        <v>107</v>
      </c>
      <c r="B98" s="10" t="s">
        <v>270</v>
      </c>
      <c r="C98" s="6" t="s">
        <v>11</v>
      </c>
      <c r="D98" s="6" t="s">
        <v>12</v>
      </c>
      <c r="E98" s="6" t="s">
        <v>271</v>
      </c>
      <c r="F98" s="14" t="s">
        <v>272</v>
      </c>
      <c r="G98" s="6" t="s">
        <v>273</v>
      </c>
      <c r="H98" s="7" t="s">
        <v>20</v>
      </c>
      <c r="I98" s="8" t="s">
        <v>21</v>
      </c>
    </row>
    <row r="99" spans="1:9" ht="49.75" x14ac:dyDescent="0.4">
      <c r="A99" s="6" t="s">
        <v>107</v>
      </c>
      <c r="B99" s="10" t="s">
        <v>274</v>
      </c>
      <c r="C99" s="6" t="s">
        <v>11</v>
      </c>
      <c r="D99" s="6" t="s">
        <v>16</v>
      </c>
      <c r="E99" s="10" t="s">
        <v>275</v>
      </c>
      <c r="F99" s="10" t="s">
        <v>275</v>
      </c>
      <c r="G99" s="6" t="s">
        <v>276</v>
      </c>
      <c r="H99" s="7" t="s">
        <v>20</v>
      </c>
      <c r="I99" s="8" t="s">
        <v>21</v>
      </c>
    </row>
    <row r="100" spans="1:9" ht="49.75" x14ac:dyDescent="0.4">
      <c r="A100" s="6" t="s">
        <v>107</v>
      </c>
      <c r="B100" s="6" t="s">
        <v>277</v>
      </c>
      <c r="C100" s="6" t="s">
        <v>11</v>
      </c>
      <c r="D100" s="6" t="s">
        <v>16</v>
      </c>
      <c r="E100" s="6" t="str">
        <f>'[1]Variables-Products'!$B$25&amp;"; "&amp;B99&amp;"; "&amp;B98&amp;"; Funding_Basis(201718)"</f>
        <v>P25_Total_NOR_SEC_SBS; P103_IDACIBSecRate; P101_IDACIBSecFactor; Funding_Basis(201718)</v>
      </c>
      <c r="F100" s="14" t="str">
        <f>"IF Existing Academy OR New Opener 1718 funded on estimates, THEN "&amp;'[1]Variables-Products'!$B$25&amp;" * "&amp;'[1]Products-Calcs'!C116&amp;" * "&amp;'[1]Products-Calcs'!C115&amp;", ELSE (i.e. IF New Opener 1718 funded on census) THEN (IF "&amp;'[1]Products-Calcs'!C116&amp;" &gt;0) APT_New_ISB_dataset.IDACIB_Secondary"</f>
        <v>IF Existing Academy OR New Opener 1718 funded on estimates, THEN P25_Total_NOR_SEC_SBS * P103_IDACIBSecRate * P101_IDACIBSecFactor, ELSE (i.e. IF New Opener 1718 funded on census) THEN (IF P103_IDACIBSecRate &gt;0) APT_New_ISB_dataset.IDACIB_Secondary</v>
      </c>
      <c r="G100" s="6" t="s">
        <v>278</v>
      </c>
      <c r="H100" s="7" t="s">
        <v>20</v>
      </c>
      <c r="I100" s="8" t="s">
        <v>21</v>
      </c>
    </row>
    <row r="101" spans="1:9" ht="49.75" x14ac:dyDescent="0.4">
      <c r="A101" s="6" t="s">
        <v>107</v>
      </c>
      <c r="B101" s="6" t="s">
        <v>279</v>
      </c>
      <c r="C101" s="6" t="s">
        <v>11</v>
      </c>
      <c r="D101" s="6" t="s">
        <v>16</v>
      </c>
      <c r="E101" s="6" t="str">
        <f>B100&amp;"; "&amp;B102</f>
        <v>P104_IDACIBSecSubtotal; P105a_NSENIDACIBSec_Percent</v>
      </c>
      <c r="F101" s="6" t="str">
        <f>B100&amp;" * "&amp;B102</f>
        <v>P104_IDACIBSecSubtotal * P105a_NSENIDACIBSec_Percent</v>
      </c>
      <c r="G101" s="6" t="s">
        <v>280</v>
      </c>
      <c r="H101" s="7"/>
      <c r="I101" s="8"/>
    </row>
    <row r="102" spans="1:9" ht="24.9" x14ac:dyDescent="0.4">
      <c r="A102" s="6" t="s">
        <v>107</v>
      </c>
      <c r="B102" s="6" t="s">
        <v>281</v>
      </c>
      <c r="C102" s="6" t="s">
        <v>11</v>
      </c>
      <c r="D102" s="6" t="s">
        <v>12</v>
      </c>
      <c r="E102" s="6" t="s">
        <v>17</v>
      </c>
      <c r="F102" s="6" t="s">
        <v>18</v>
      </c>
      <c r="G102" s="6" t="s">
        <v>282</v>
      </c>
      <c r="H102" s="7" t="s">
        <v>20</v>
      </c>
      <c r="I102" s="8" t="s">
        <v>21</v>
      </c>
    </row>
    <row r="103" spans="1:9" ht="49.75" x14ac:dyDescent="0.4">
      <c r="A103" s="13" t="s">
        <v>107</v>
      </c>
      <c r="B103" s="13" t="s">
        <v>283</v>
      </c>
      <c r="C103" s="13" t="s">
        <v>11</v>
      </c>
      <c r="D103" s="13" t="s">
        <v>16</v>
      </c>
      <c r="E103" s="13" t="str">
        <f>B100&amp;"; "&amp;$B$2&amp;"; "&amp;'[1]Variables-Products'!$B$12</f>
        <v>P104_IDACIBSecSubtotal; P001_1718DaysOpen; P25_YearDays_1718</v>
      </c>
      <c r="F103" s="13" t="str">
        <f>B100&amp;" * "&amp;$B$2&amp;" / "&amp;'[1]Variables-Products'!$B$12</f>
        <v>P104_IDACIBSecSubtotal * P001_1718DaysOpen / P25_YearDays_1718</v>
      </c>
      <c r="G103" s="13" t="s">
        <v>284</v>
      </c>
      <c r="H103" s="7"/>
      <c r="I103" s="15"/>
    </row>
    <row r="104" spans="1:9" ht="99.45" x14ac:dyDescent="0.4">
      <c r="A104" s="6" t="s">
        <v>107</v>
      </c>
      <c r="B104" s="10" t="s">
        <v>285</v>
      </c>
      <c r="C104" s="6" t="s">
        <v>11</v>
      </c>
      <c r="D104" s="6" t="s">
        <v>12</v>
      </c>
      <c r="E104" s="6" t="s">
        <v>286</v>
      </c>
      <c r="F104" s="14" t="s">
        <v>287</v>
      </c>
      <c r="G104" s="6" t="s">
        <v>288</v>
      </c>
      <c r="H104" s="7" t="s">
        <v>20</v>
      </c>
      <c r="I104" s="8" t="s">
        <v>21</v>
      </c>
    </row>
    <row r="105" spans="1:9" ht="49.75" x14ac:dyDescent="0.4">
      <c r="A105" s="6" t="s">
        <v>107</v>
      </c>
      <c r="B105" s="10" t="s">
        <v>289</v>
      </c>
      <c r="C105" s="6" t="s">
        <v>11</v>
      </c>
      <c r="D105" s="6" t="s">
        <v>16</v>
      </c>
      <c r="E105" s="10" t="s">
        <v>290</v>
      </c>
      <c r="F105" s="10" t="s">
        <v>290</v>
      </c>
      <c r="G105" s="6" t="s">
        <v>291</v>
      </c>
      <c r="H105" s="7" t="s">
        <v>20</v>
      </c>
      <c r="I105" s="8" t="s">
        <v>21</v>
      </c>
    </row>
    <row r="106" spans="1:9" ht="49.75" x14ac:dyDescent="0.4">
      <c r="A106" s="6" t="s">
        <v>107</v>
      </c>
      <c r="B106" s="6" t="s">
        <v>292</v>
      </c>
      <c r="C106" s="6" t="s">
        <v>11</v>
      </c>
      <c r="D106" s="6" t="s">
        <v>16</v>
      </c>
      <c r="E106" s="6" t="str">
        <f>'[1]Variables-Products'!$B$25&amp;"; "&amp;B105&amp;"; "&amp;B104&amp;"; Funding_Basis(201718)"</f>
        <v>P25_Total_NOR_SEC_SBS; P109_IDACIASecRate; P107_IDACIASecFactor; Funding_Basis(201718)</v>
      </c>
      <c r="F106" s="14" t="str">
        <f>"IF Existing Academy OR New Opener 1718 funded on estimates, THEN "&amp;'[1]Variables-Products'!$B$25&amp;" * "&amp;'[1]Products-Calcs'!C122&amp;" * "&amp;'[1]Products-Calcs'!C121&amp;", ELSE (i.e. IF New Opener 1718 funded on census) THEN (IF "&amp;'[1]Products-Calcs'!C122&amp;" &gt;0) APT_New_ISB_dataset.IDACIA_Secondary"</f>
        <v>IF Existing Academy OR New Opener 1718 funded on estimates, THEN P25_Total_NOR_SEC_SBS * P109_IDACIASecRate * P107_IDACIASecFactor, ELSE (i.e. IF New Opener 1718 funded on census) THEN (IF P109_IDACIASecRate &gt;0) APT_New_ISB_dataset.IDACIA_Secondary</v>
      </c>
      <c r="G106" s="6" t="s">
        <v>293</v>
      </c>
      <c r="H106" s="7" t="s">
        <v>20</v>
      </c>
      <c r="I106" s="8" t="s">
        <v>21</v>
      </c>
    </row>
    <row r="107" spans="1:9" ht="49.75" x14ac:dyDescent="0.4">
      <c r="A107" s="6" t="s">
        <v>107</v>
      </c>
      <c r="B107" s="6" t="s">
        <v>294</v>
      </c>
      <c r="C107" s="6" t="s">
        <v>11</v>
      </c>
      <c r="D107" s="6" t="s">
        <v>16</v>
      </c>
      <c r="E107" s="6" t="str">
        <f>B106&amp;"; "&amp;B108</f>
        <v>P110_IDACIASecSubtotal; P111a_NSENIDACIASec_Percent</v>
      </c>
      <c r="F107" s="6" t="str">
        <f>B106&amp;" * "&amp;B108</f>
        <v>P110_IDACIASecSubtotal * P111a_NSENIDACIASec_Percent</v>
      </c>
      <c r="G107" s="6" t="s">
        <v>295</v>
      </c>
      <c r="H107" s="7"/>
      <c r="I107" s="8"/>
    </row>
    <row r="108" spans="1:9" ht="24.9" x14ac:dyDescent="0.4">
      <c r="A108" s="6" t="s">
        <v>107</v>
      </c>
      <c r="B108" s="6" t="s">
        <v>296</v>
      </c>
      <c r="C108" s="6" t="s">
        <v>11</v>
      </c>
      <c r="D108" s="6" t="s">
        <v>12</v>
      </c>
      <c r="E108" s="6" t="s">
        <v>17</v>
      </c>
      <c r="F108" s="6" t="s">
        <v>18</v>
      </c>
      <c r="G108" s="6" t="s">
        <v>297</v>
      </c>
      <c r="H108" s="7" t="s">
        <v>20</v>
      </c>
      <c r="I108" s="8" t="s">
        <v>21</v>
      </c>
    </row>
    <row r="109" spans="1:9" ht="49.75" x14ac:dyDescent="0.4">
      <c r="A109" s="13" t="s">
        <v>107</v>
      </c>
      <c r="B109" s="13" t="s">
        <v>298</v>
      </c>
      <c r="C109" s="13" t="s">
        <v>11</v>
      </c>
      <c r="D109" s="13" t="s">
        <v>16</v>
      </c>
      <c r="E109" s="13" t="str">
        <f>B106&amp;"; "&amp;$B$2&amp;"; "&amp;'[1]Variables-Products'!$B$12</f>
        <v>P110_IDACIASecSubtotal; P001_1718DaysOpen; P25_YearDays_1718</v>
      </c>
      <c r="F109" s="13" t="str">
        <f>B106&amp;" * "&amp;$B$2&amp;" / "&amp;'[1]Variables-Products'!$B$12</f>
        <v>P110_IDACIASecSubtotal * P001_1718DaysOpen / P25_YearDays_1718</v>
      </c>
      <c r="G109" s="13" t="s">
        <v>299</v>
      </c>
      <c r="H109" s="7"/>
      <c r="I109" s="8"/>
    </row>
    <row r="110" spans="1:9" ht="87" x14ac:dyDescent="0.4">
      <c r="A110" s="9" t="s">
        <v>300</v>
      </c>
      <c r="B110" s="10" t="s">
        <v>301</v>
      </c>
      <c r="C110" s="9" t="s">
        <v>11</v>
      </c>
      <c r="D110" s="9" t="s">
        <v>12</v>
      </c>
      <c r="E110" s="10" t="s">
        <v>302</v>
      </c>
      <c r="F110" s="14" t="s">
        <v>303</v>
      </c>
      <c r="G110" s="6" t="s">
        <v>304</v>
      </c>
      <c r="H110" s="7" t="s">
        <v>20</v>
      </c>
      <c r="I110" s="8" t="s">
        <v>21</v>
      </c>
    </row>
    <row r="111" spans="1:9" ht="49.75" x14ac:dyDescent="0.4">
      <c r="A111" s="9" t="s">
        <v>300</v>
      </c>
      <c r="B111" s="10" t="s">
        <v>305</v>
      </c>
      <c r="C111" s="9" t="s">
        <v>11</v>
      </c>
      <c r="D111" s="9" t="s">
        <v>16</v>
      </c>
      <c r="E111" s="10" t="s">
        <v>306</v>
      </c>
      <c r="F111" s="10" t="s">
        <v>306</v>
      </c>
      <c r="G111" s="6" t="s">
        <v>307</v>
      </c>
      <c r="H111" s="7" t="s">
        <v>20</v>
      </c>
      <c r="I111" s="8" t="s">
        <v>21</v>
      </c>
    </row>
    <row r="112" spans="1:9" ht="49.75" x14ac:dyDescent="0.4">
      <c r="A112" s="9" t="s">
        <v>300</v>
      </c>
      <c r="B112" s="6" t="s">
        <v>308</v>
      </c>
      <c r="C112" s="9" t="s">
        <v>11</v>
      </c>
      <c r="D112" s="9" t="s">
        <v>16</v>
      </c>
      <c r="E112" s="6" t="str">
        <f>'[1]Variables-Products'!$B$26&amp;"; "&amp;B111&amp;"; "&amp;B110&amp;"; Funding_Basis(201718)"</f>
        <v>P26_Total_NOR_SBS; P116_LACRate; P114_LACFactor; Funding_Basis(201718)</v>
      </c>
      <c r="F112" s="14" t="str">
        <f>"IF Existing Academy OR New Opener 1718 funded on estimates, THEN "&amp;'[1]Variables-Products'!$B$26&amp;" * "&amp;'[1]Products-Calcs'!C129&amp;" * "&amp;'[1]Products-Calcs'!C128&amp;", ELSE (i.e. IF New Opener 1718 funded on census) THEN (IF "&amp;'[1]Products-Calcs'!C129&amp;" &gt;0) APT_New_ISB_dataset.IDACIF_Secondary"</f>
        <v>IF Existing Academy OR New Opener 1718 funded on estimates, THEN P26_Total_NOR_SBS * P116_LACRate * P114_LACFactor, ELSE (i.e. IF New Opener 1718 funded on census) THEN (IF P116_LACRate &gt;0) APT_New_ISB_dataset.IDACIF_Secondary</v>
      </c>
      <c r="G112" s="6" t="s">
        <v>309</v>
      </c>
      <c r="H112" s="7" t="s">
        <v>20</v>
      </c>
      <c r="I112" s="8" t="s">
        <v>21</v>
      </c>
    </row>
    <row r="113" spans="1:9" ht="37.299999999999997" x14ac:dyDescent="0.4">
      <c r="A113" s="6" t="s">
        <v>300</v>
      </c>
      <c r="B113" s="6" t="s">
        <v>310</v>
      </c>
      <c r="C113" s="6" t="s">
        <v>11</v>
      </c>
      <c r="D113" s="6" t="s">
        <v>16</v>
      </c>
      <c r="E113" s="6" t="str">
        <f>B112&amp;"; "&amp;B114</f>
        <v>P117_LACSubtotal; P118a_NSENLAC_Percent</v>
      </c>
      <c r="F113" s="6" t="str">
        <f>B112&amp;" * "&amp;B114</f>
        <v>P117_LACSubtotal * P118a_NSENLAC_Percent</v>
      </c>
      <c r="G113" s="6" t="s">
        <v>311</v>
      </c>
      <c r="H113" s="7"/>
      <c r="I113" s="8"/>
    </row>
    <row r="114" spans="1:9" ht="24.9" x14ac:dyDescent="0.4">
      <c r="A114" s="6" t="s">
        <v>300</v>
      </c>
      <c r="B114" s="6" t="s">
        <v>312</v>
      </c>
      <c r="C114" s="6" t="s">
        <v>11</v>
      </c>
      <c r="D114" s="6" t="s">
        <v>12</v>
      </c>
      <c r="E114" s="6" t="s">
        <v>17</v>
      </c>
      <c r="F114" s="6" t="s">
        <v>18</v>
      </c>
      <c r="G114" s="6" t="s">
        <v>313</v>
      </c>
      <c r="H114" s="7" t="s">
        <v>20</v>
      </c>
      <c r="I114" s="8" t="s">
        <v>21</v>
      </c>
    </row>
    <row r="115" spans="1:9" ht="37.299999999999997" x14ac:dyDescent="0.4">
      <c r="A115" s="12" t="s">
        <v>300</v>
      </c>
      <c r="B115" s="13" t="s">
        <v>314</v>
      </c>
      <c r="C115" s="12" t="s">
        <v>11</v>
      </c>
      <c r="D115" s="12" t="s">
        <v>16</v>
      </c>
      <c r="E115" s="13" t="str">
        <f>B112&amp;"; "&amp;$B$2&amp;"; "&amp;'[1]Variables-Products'!$B$12</f>
        <v>P117_LACSubtotal; P001_1718DaysOpen; P25_YearDays_1718</v>
      </c>
      <c r="F115" s="13" t="str">
        <f>B112&amp;" * "&amp;$B$2&amp;" / "&amp;'[1]Variables-Products'!$B$12</f>
        <v>P117_LACSubtotal * P001_1718DaysOpen / P25_YearDays_1718</v>
      </c>
      <c r="G115" s="13" t="s">
        <v>315</v>
      </c>
      <c r="H115" s="7"/>
      <c r="I115" s="8"/>
    </row>
    <row r="116" spans="1:9" ht="62.15" x14ac:dyDescent="0.4">
      <c r="A116" s="6" t="s">
        <v>316</v>
      </c>
      <c r="B116" s="6" t="s">
        <v>317</v>
      </c>
      <c r="C116" s="6" t="s">
        <v>11</v>
      </c>
      <c r="D116" s="6" t="s">
        <v>12</v>
      </c>
      <c r="E116" s="6" t="s">
        <v>318</v>
      </c>
      <c r="F116" s="6" t="s">
        <v>318</v>
      </c>
      <c r="G116" s="6" t="s">
        <v>319</v>
      </c>
      <c r="H116" s="7"/>
      <c r="I116" s="8"/>
    </row>
    <row r="117" spans="1:9" ht="74.599999999999994" x14ac:dyDescent="0.4">
      <c r="A117" s="6" t="s">
        <v>316</v>
      </c>
      <c r="B117" s="6" t="s">
        <v>320</v>
      </c>
      <c r="C117" s="6" t="s">
        <v>11</v>
      </c>
      <c r="D117" s="6" t="s">
        <v>12</v>
      </c>
      <c r="E117" s="6" t="s">
        <v>321</v>
      </c>
      <c r="F117" s="6" t="s">
        <v>322</v>
      </c>
      <c r="G117" s="6" t="s">
        <v>323</v>
      </c>
      <c r="H117" s="7"/>
      <c r="I117" s="8"/>
    </row>
    <row r="118" spans="1:9" ht="74.599999999999994" x14ac:dyDescent="0.4">
      <c r="A118" s="6" t="s">
        <v>316</v>
      </c>
      <c r="B118" s="6" t="s">
        <v>324</v>
      </c>
      <c r="C118" s="6" t="s">
        <v>11</v>
      </c>
      <c r="D118" s="6" t="s">
        <v>12</v>
      </c>
      <c r="E118" s="6" t="s">
        <v>325</v>
      </c>
      <c r="F118" s="6" t="s">
        <v>326</v>
      </c>
      <c r="G118" s="6" t="s">
        <v>327</v>
      </c>
      <c r="H118" s="7"/>
      <c r="I118" s="8"/>
    </row>
    <row r="119" spans="1:9" ht="49.75" x14ac:dyDescent="0.4">
      <c r="A119" s="6" t="s">
        <v>316</v>
      </c>
      <c r="B119" s="6" t="s">
        <v>328</v>
      </c>
      <c r="C119" s="6" t="s">
        <v>11</v>
      </c>
      <c r="D119" s="6" t="s">
        <v>12</v>
      </c>
      <c r="E119" s="6" t="str">
        <f>B116&amp;"; "&amp;B117&amp;"; "&amp;B118</f>
        <v>P120_PPAindicator; P121_PPAY5to6Proportion73; P122_PPAY5to6Proportion78</v>
      </c>
      <c r="F119" s="6" t="str">
        <f>"IF "&amp;B116&amp;" = 73 THEN "&amp;B117&amp;" ELSE IF "&amp;B116&amp;" = 78 THEN "&amp;B118&amp;" ELSE 0"</f>
        <v>IF P120_PPAindicator = 73 THEN P121_PPAY5to6Proportion73 ELSE IF P120_PPAindicator = 78 THEN P122_PPAY5to6Proportion78 ELSE 0</v>
      </c>
      <c r="G119" s="6" t="s">
        <v>329</v>
      </c>
      <c r="H119" s="7" t="s">
        <v>20</v>
      </c>
      <c r="I119" s="8" t="s">
        <v>21</v>
      </c>
    </row>
    <row r="120" spans="1:9" ht="111.9" x14ac:dyDescent="0.4">
      <c r="A120" s="6" t="s">
        <v>316</v>
      </c>
      <c r="B120" s="6" t="s">
        <v>330</v>
      </c>
      <c r="C120" s="6" t="s">
        <v>11</v>
      </c>
      <c r="D120" s="6" t="s">
        <v>12</v>
      </c>
      <c r="E120" s="6" t="s">
        <v>331</v>
      </c>
      <c r="F120" s="6" t="s">
        <v>332</v>
      </c>
      <c r="G120" s="6" t="s">
        <v>333</v>
      </c>
      <c r="H120" s="7" t="s">
        <v>20</v>
      </c>
      <c r="I120" s="8" t="s">
        <v>21</v>
      </c>
    </row>
    <row r="121" spans="1:9" ht="37.299999999999997" x14ac:dyDescent="0.4">
      <c r="A121" s="6" t="s">
        <v>316</v>
      </c>
      <c r="B121" s="6" t="s">
        <v>334</v>
      </c>
      <c r="C121" s="6" t="s">
        <v>11</v>
      </c>
      <c r="D121" s="6" t="s">
        <v>335</v>
      </c>
      <c r="E121" s="6" t="str">
        <f>'[1]Variables-Products'!B18</f>
        <v>P04_Y5-6</v>
      </c>
      <c r="F121" s="6" t="str">
        <f>'[1]Variables-Products'!B18</f>
        <v>P04_Y5-6</v>
      </c>
      <c r="G121" s="6" t="s">
        <v>336</v>
      </c>
      <c r="H121" s="7" t="s">
        <v>20</v>
      </c>
      <c r="I121" s="8" t="s">
        <v>21</v>
      </c>
    </row>
    <row r="122" spans="1:9" ht="37.299999999999997" x14ac:dyDescent="0.4">
      <c r="A122" s="6" t="s">
        <v>316</v>
      </c>
      <c r="B122" s="6" t="s">
        <v>337</v>
      </c>
      <c r="C122" s="6" t="s">
        <v>11</v>
      </c>
      <c r="D122" s="6" t="s">
        <v>335</v>
      </c>
      <c r="E122" s="6" t="str">
        <f>'[1]Variables-Products'!B19</f>
        <v>P03_Y1-4</v>
      </c>
      <c r="F122" s="6" t="str">
        <f>'[1]Variables-Products'!B19</f>
        <v>P03_Y1-4</v>
      </c>
      <c r="G122" s="6" t="s">
        <v>338</v>
      </c>
      <c r="H122" s="7" t="s">
        <v>20</v>
      </c>
      <c r="I122" s="8" t="s">
        <v>21</v>
      </c>
    </row>
    <row r="123" spans="1:9" ht="62.15" x14ac:dyDescent="0.4">
      <c r="A123" s="6" t="s">
        <v>316</v>
      </c>
      <c r="B123" s="6" t="s">
        <v>339</v>
      </c>
      <c r="C123" s="6" t="s">
        <v>11</v>
      </c>
      <c r="D123" s="6" t="s">
        <v>335</v>
      </c>
      <c r="E123" s="6" t="str">
        <f>'[1]Variables-Products'!B22</f>
        <v>P22_Total_NOR_PRI_SBS</v>
      </c>
      <c r="F123" s="6" t="str">
        <f>'[1]Variables-Products'!B22</f>
        <v>P22_Total_NOR_PRI_SBS</v>
      </c>
      <c r="G123" s="6" t="s">
        <v>340</v>
      </c>
      <c r="H123" s="7"/>
      <c r="I123" s="8"/>
    </row>
    <row r="124" spans="1:9" ht="49.75" x14ac:dyDescent="0.4">
      <c r="A124" s="6" t="s">
        <v>316</v>
      </c>
      <c r="B124" s="6" t="s">
        <v>341</v>
      </c>
      <c r="C124" s="6" t="s">
        <v>11</v>
      </c>
      <c r="D124" s="6" t="s">
        <v>16</v>
      </c>
      <c r="E124" s="10" t="s">
        <v>342</v>
      </c>
      <c r="F124" s="10" t="s">
        <v>342</v>
      </c>
      <c r="G124" s="6" t="s">
        <v>343</v>
      </c>
      <c r="H124" s="7" t="s">
        <v>20</v>
      </c>
      <c r="I124" s="8" t="s">
        <v>21</v>
      </c>
    </row>
    <row r="125" spans="1:9" ht="49.75" x14ac:dyDescent="0.4">
      <c r="A125" s="6" t="s">
        <v>316</v>
      </c>
      <c r="B125" s="6" t="s">
        <v>344</v>
      </c>
      <c r="C125" s="6" t="s">
        <v>11</v>
      </c>
      <c r="D125" s="6" t="s">
        <v>12</v>
      </c>
      <c r="E125" s="10" t="s">
        <v>345</v>
      </c>
      <c r="F125" s="10" t="s">
        <v>345</v>
      </c>
      <c r="G125" s="6" t="s">
        <v>346</v>
      </c>
      <c r="H125" s="7" t="s">
        <v>20</v>
      </c>
      <c r="I125" s="8" t="s">
        <v>21</v>
      </c>
    </row>
    <row r="126" spans="1:9" ht="37.299999999999997" x14ac:dyDescent="0.4">
      <c r="A126" s="6" t="s">
        <v>316</v>
      </c>
      <c r="B126" s="6" t="s">
        <v>347</v>
      </c>
      <c r="C126" s="6" t="s">
        <v>11</v>
      </c>
      <c r="D126" s="6" t="s">
        <v>12</v>
      </c>
      <c r="E126" s="6" t="str">
        <f>B116&amp;"; "&amp;B117&amp;"; "&amp;B121&amp;"; "&amp;B118</f>
        <v>P120_PPAindicator; P121_PPAY5to6Proportion73; P124_PPAY5to6NOR; P122_PPAY5to6Proportion78</v>
      </c>
      <c r="F126" s="6" t="str">
        <f>"IF ("&amp;B116&amp;" = 73) THEN "&amp;B117&amp;" * "&amp;B121&amp; " IF ("&amp;B116&amp;" = 78) THEN "&amp;B118&amp;" * "&amp;B121&amp;" ELSE zero"</f>
        <v>IF (P120_PPAindicator = 73) THEN P121_PPAY5to6Proportion73 * P124_PPAY5to6NOR IF (P120_PPAindicator = 78) THEN P122_PPAY5to6Proportion78 * P124_PPAY5to6NOR ELSE zero</v>
      </c>
      <c r="G126" s="6" t="s">
        <v>348</v>
      </c>
      <c r="H126" s="7" t="s">
        <v>20</v>
      </c>
      <c r="I126" s="8" t="s">
        <v>21</v>
      </c>
    </row>
    <row r="127" spans="1:9" ht="37.299999999999997" x14ac:dyDescent="0.4">
      <c r="A127" s="6" t="s">
        <v>316</v>
      </c>
      <c r="B127" s="6" t="s">
        <v>349</v>
      </c>
      <c r="C127" s="6" t="s">
        <v>11</v>
      </c>
      <c r="D127" s="6" t="s">
        <v>12</v>
      </c>
      <c r="E127" s="6" t="str">
        <f>B120&amp;"; "&amp;B125&amp;"; "&amp;B122</f>
        <v>P123_PPAY1to4ProportionUnder; P128_PPAWeighting; P125_PPAY1to4NOR</v>
      </c>
      <c r="F127" s="6" t="str">
        <f>B120&amp;" * "&amp;B125&amp;" * "&amp;B122</f>
        <v>P123_PPAY1to4ProportionUnder * P128_PPAWeighting * P125_PPAY1to4NOR</v>
      </c>
      <c r="G127" s="6" t="s">
        <v>350</v>
      </c>
      <c r="H127" s="7" t="s">
        <v>20</v>
      </c>
      <c r="I127" s="8" t="s">
        <v>21</v>
      </c>
    </row>
    <row r="128" spans="1:9" ht="37.299999999999997" x14ac:dyDescent="0.4">
      <c r="A128" s="6" t="s">
        <v>316</v>
      </c>
      <c r="B128" s="6" t="s">
        <v>351</v>
      </c>
      <c r="C128" s="6" t="s">
        <v>11</v>
      </c>
      <c r="D128" s="6" t="s">
        <v>12</v>
      </c>
      <c r="E128" s="6" t="str">
        <f>B126&amp;"; "&amp;B127</f>
        <v>P129_PPAPupilsY5to6NotAchieving; P130_PPAPupilsY1to4NotAchieving</v>
      </c>
      <c r="F128" s="6" t="str">
        <f>B127&amp;" + "&amp;B126</f>
        <v>P130_PPAPupilsY1to4NotAchieving + P129_PPAPupilsY5to6NotAchieving</v>
      </c>
      <c r="G128" s="6" t="s">
        <v>352</v>
      </c>
      <c r="H128" s="7" t="s">
        <v>20</v>
      </c>
      <c r="I128" s="8" t="s">
        <v>21</v>
      </c>
    </row>
    <row r="129" spans="1:9" ht="49.75" x14ac:dyDescent="0.4">
      <c r="A129" s="6" t="s">
        <v>316</v>
      </c>
      <c r="B129" s="6" t="s">
        <v>353</v>
      </c>
      <c r="C129" s="6" t="s">
        <v>11</v>
      </c>
      <c r="D129" s="6" t="s">
        <v>12</v>
      </c>
      <c r="E129" s="6" t="str">
        <f>B121&amp;"; "&amp;B122&amp;"; "&amp;B128</f>
        <v>P124_PPAY5to6NOR; P125_PPAY1to4NOR; P131_PPATotalPupilsY1to6NotAchieving</v>
      </c>
      <c r="F129" s="6" t="str">
        <f>B128&amp;" / ("&amp;B121&amp;" + "&amp;B122&amp;")"</f>
        <v>P131_PPATotalPupilsY1to6NotAchieving / (P124_PPAY5to6NOR + P125_PPAY1to4NOR)</v>
      </c>
      <c r="G129" s="6" t="s">
        <v>354</v>
      </c>
      <c r="H129" s="7" t="s">
        <v>20</v>
      </c>
      <c r="I129" s="8" t="s">
        <v>21</v>
      </c>
    </row>
    <row r="130" spans="1:9" ht="37.299999999999997" x14ac:dyDescent="0.4">
      <c r="A130" s="6" t="s">
        <v>316</v>
      </c>
      <c r="B130" s="6" t="s">
        <v>355</v>
      </c>
      <c r="C130" s="6" t="s">
        <v>11</v>
      </c>
      <c r="D130" s="6" t="s">
        <v>16</v>
      </c>
      <c r="E130" s="6" t="str">
        <f>B129&amp;"; "&amp;B123&amp;"; "&amp;B124</f>
        <v>P132_PPATotalProportionNotAchieving; P126_PPAPriNOR; P127_PPARate</v>
      </c>
      <c r="F130" s="6" t="str">
        <f>B123&amp;" * "&amp;B124&amp;" * "&amp;B129</f>
        <v>P126_PPAPriNOR * P127_PPARate * P132_PPATotalProportionNotAchieving</v>
      </c>
      <c r="G130" s="6" t="s">
        <v>356</v>
      </c>
      <c r="H130" s="7" t="s">
        <v>20</v>
      </c>
      <c r="I130" s="8" t="s">
        <v>21</v>
      </c>
    </row>
    <row r="131" spans="1:9" ht="37.299999999999997" x14ac:dyDescent="0.4">
      <c r="A131" s="6" t="s">
        <v>316</v>
      </c>
      <c r="B131" s="6" t="s">
        <v>357</v>
      </c>
      <c r="C131" s="6" t="s">
        <v>11</v>
      </c>
      <c r="D131" s="6" t="s">
        <v>16</v>
      </c>
      <c r="E131" s="6" t="str">
        <f>B130&amp;"; "&amp;B132</f>
        <v>P133_PPATotalFunding; P134a_NSENPPA_Percent</v>
      </c>
      <c r="F131" s="6" t="str">
        <f>B130&amp;" * "&amp;B132</f>
        <v>P133_PPATotalFunding * P134a_NSENPPA_Percent</v>
      </c>
      <c r="G131" s="6" t="s">
        <v>358</v>
      </c>
      <c r="H131" s="7"/>
      <c r="I131" s="8"/>
    </row>
    <row r="132" spans="1:9" ht="24.9" x14ac:dyDescent="0.4">
      <c r="A132" s="6" t="s">
        <v>316</v>
      </c>
      <c r="B132" s="6" t="s">
        <v>359</v>
      </c>
      <c r="C132" s="6" t="s">
        <v>11</v>
      </c>
      <c r="D132" s="6" t="s">
        <v>12</v>
      </c>
      <c r="E132" s="6" t="s">
        <v>17</v>
      </c>
      <c r="F132" s="6" t="s">
        <v>18</v>
      </c>
      <c r="G132" s="6" t="s">
        <v>360</v>
      </c>
      <c r="H132" s="7" t="s">
        <v>20</v>
      </c>
      <c r="I132" s="8" t="s">
        <v>21</v>
      </c>
    </row>
    <row r="133" spans="1:9" ht="37.299999999999997" x14ac:dyDescent="0.4">
      <c r="A133" s="13" t="s">
        <v>316</v>
      </c>
      <c r="B133" s="13" t="s">
        <v>361</v>
      </c>
      <c r="C133" s="13" t="s">
        <v>11</v>
      </c>
      <c r="D133" s="13" t="s">
        <v>16</v>
      </c>
      <c r="E133" s="13" t="str">
        <f>B130&amp;"; "&amp;$B$2&amp;"; "&amp;'[1]Variables-Products'!$B$12</f>
        <v>P133_PPATotalFunding; P001_1718DaysOpen; P25_YearDays_1718</v>
      </c>
      <c r="F133" s="13" t="str">
        <f>B130&amp;" * "&amp;$B$2&amp;" / "&amp;'[1]Variables-Products'!$B$12</f>
        <v>P133_PPATotalFunding * P001_1718DaysOpen / P25_YearDays_1718</v>
      </c>
      <c r="G133" s="13" t="s">
        <v>362</v>
      </c>
      <c r="H133" s="7"/>
      <c r="I133" s="8"/>
    </row>
    <row r="134" spans="1:9" ht="87" x14ac:dyDescent="0.4">
      <c r="A134" s="9" t="s">
        <v>316</v>
      </c>
      <c r="B134" s="6" t="s">
        <v>363</v>
      </c>
      <c r="C134" s="9" t="s">
        <v>11</v>
      </c>
      <c r="D134" s="9" t="s">
        <v>12</v>
      </c>
      <c r="E134" s="10" t="s">
        <v>364</v>
      </c>
      <c r="F134" s="14" t="s">
        <v>365</v>
      </c>
      <c r="G134" s="6" t="s">
        <v>366</v>
      </c>
      <c r="H134" s="7"/>
      <c r="I134" s="8"/>
    </row>
    <row r="135" spans="1:9" ht="37.299999999999997" x14ac:dyDescent="0.4">
      <c r="A135" s="9" t="s">
        <v>316</v>
      </c>
      <c r="B135" s="6" t="s">
        <v>367</v>
      </c>
      <c r="C135" s="9" t="s">
        <v>11</v>
      </c>
      <c r="D135" s="9" t="s">
        <v>12</v>
      </c>
      <c r="E135" s="10" t="s">
        <v>368</v>
      </c>
      <c r="F135" s="14" t="s">
        <v>368</v>
      </c>
      <c r="G135" s="6" t="s">
        <v>369</v>
      </c>
      <c r="H135" s="7"/>
      <c r="I135" s="8"/>
    </row>
    <row r="136" spans="1:9" ht="87" x14ac:dyDescent="0.4">
      <c r="A136" s="9" t="s">
        <v>370</v>
      </c>
      <c r="B136" s="6" t="s">
        <v>371</v>
      </c>
      <c r="C136" s="9" t="s">
        <v>11</v>
      </c>
      <c r="D136" s="9" t="s">
        <v>12</v>
      </c>
      <c r="E136" s="10" t="s">
        <v>372</v>
      </c>
      <c r="F136" s="14" t="s">
        <v>373</v>
      </c>
      <c r="G136" s="6" t="s">
        <v>374</v>
      </c>
      <c r="H136" s="7"/>
      <c r="I136" s="8"/>
    </row>
    <row r="137" spans="1:9" ht="49.75" x14ac:dyDescent="0.4">
      <c r="A137" s="9" t="s">
        <v>316</v>
      </c>
      <c r="B137" s="6" t="s">
        <v>375</v>
      </c>
      <c r="C137" s="9" t="s">
        <v>11</v>
      </c>
      <c r="D137" s="9" t="s">
        <v>16</v>
      </c>
      <c r="E137" s="10" t="s">
        <v>376</v>
      </c>
      <c r="F137" s="10" t="s">
        <v>376</v>
      </c>
      <c r="G137" s="6" t="s">
        <v>377</v>
      </c>
      <c r="H137" s="7" t="s">
        <v>20</v>
      </c>
      <c r="I137" s="8" t="s">
        <v>21</v>
      </c>
    </row>
    <row r="138" spans="1:9" ht="62.15" x14ac:dyDescent="0.4">
      <c r="A138" s="9" t="s">
        <v>316</v>
      </c>
      <c r="B138" s="6" t="s">
        <v>378</v>
      </c>
      <c r="C138" s="9" t="s">
        <v>11</v>
      </c>
      <c r="D138" s="9" t="s">
        <v>16</v>
      </c>
      <c r="E138" s="10" t="str">
        <f>'[1]Variables-Products'!B20&amp;"; "&amp;'[1]Variables-Products'!B21&amp;"; "&amp;B134&amp;"; "&amp;B135&amp;"; "&amp;B136</f>
        <v>P08a_Y7; P08b_Y8-11; P136_SecPA_Y7Factor; P136a_SecPA_Y7NationalWeight; P137_SecPA_Y8to11Factor</v>
      </c>
      <c r="F138" s="17" t="str">
        <f>"(("&amp;B134&amp;" * "&amp;'[1]Variables-Products'!B20&amp;" * "&amp;B135&amp;") + ("&amp;B136&amp;" * "&amp;'[1]Variables-Products'!B21&amp;")) / ("&amp;'[1]Variables-Products'!B20&amp;" + "&amp;'[1]Variables-Products'!B21&amp;")"</f>
        <v>((P136_SecPA_Y7Factor * P08a_Y7 * P136a_SecPA_Y7NationalWeight) + (P137_SecPA_Y8to11Factor * P08b_Y8-11)) / (P08a_Y7 + P08b_Y8-11)</v>
      </c>
      <c r="G138" s="6" t="s">
        <v>379</v>
      </c>
      <c r="H138" s="7" t="s">
        <v>20</v>
      </c>
      <c r="I138" s="8" t="s">
        <v>21</v>
      </c>
    </row>
    <row r="139" spans="1:9" ht="87" x14ac:dyDescent="0.4">
      <c r="A139" s="9" t="s">
        <v>316</v>
      </c>
      <c r="B139" s="6" t="s">
        <v>380</v>
      </c>
      <c r="C139" s="11" t="s">
        <v>11</v>
      </c>
      <c r="D139" s="11" t="s">
        <v>16</v>
      </c>
      <c r="E139" s="6" t="str">
        <f>'[1]Variables-Products'!B25&amp;"; "&amp;B138&amp;"; "&amp;B137</f>
        <v>P25_Total_NOR_SEC_SBS; P138a_SecPA_AdjustedSecFactor; P138_SecPARate</v>
      </c>
      <c r="F139" s="6" t="str">
        <f>"IF Existing Academy OR New Opener 1718 funded on estimates, THEN
 "&amp;'[1]Variables-Products'!$B$25&amp;" * "&amp;'[1]Products-Calcs'!C156&amp;" * "&amp;'[1]Products-Calcs'!C157&amp;", 
ELSE (i.e. IF New Opener 1718 funded on census) THEN (IF "&amp;'[1]Products-Calcs'!C156&amp;" &gt;0) APT_New_ISB_dataset.Low_Attainment_(S)"</f>
        <v>IF Existing Academy OR New Opener 1718 funded on estimates, THEN
 P25_Total_NOR_SEC_SBS * P138_SecPARate * P138a_SecPA_AdjustedSecFactor, 
ELSE (i.e. IF New Opener 1718 funded on census) THEN (IF P138_SecPARate &gt;0) APT_New_ISB_dataset.Low_Attainment_(S)</v>
      </c>
      <c r="G139" s="6" t="s">
        <v>381</v>
      </c>
      <c r="H139" s="7" t="s">
        <v>20</v>
      </c>
      <c r="I139" s="8" t="s">
        <v>21</v>
      </c>
    </row>
    <row r="140" spans="1:9" ht="37.299999999999997" x14ac:dyDescent="0.4">
      <c r="A140" s="11" t="s">
        <v>316</v>
      </c>
      <c r="B140" s="18" t="s">
        <v>382</v>
      </c>
      <c r="C140" s="6" t="s">
        <v>11</v>
      </c>
      <c r="D140" s="6" t="s">
        <v>16</v>
      </c>
      <c r="E140" s="6" t="str">
        <f>B139&amp;"; "&amp;B141</f>
        <v>P139_SecPASubtotal; P140a_NSENSecPA_Percent</v>
      </c>
      <c r="F140" s="6" t="str">
        <f>B139&amp;" * "&amp;B141</f>
        <v>P139_SecPASubtotal * P140a_NSENSecPA_Percent</v>
      </c>
      <c r="G140" s="6" t="s">
        <v>383</v>
      </c>
      <c r="H140" s="7"/>
      <c r="I140" s="8"/>
    </row>
    <row r="141" spans="1:9" ht="24.9" x14ac:dyDescent="0.4">
      <c r="A141" s="11" t="s">
        <v>316</v>
      </c>
      <c r="B141" s="18" t="s">
        <v>384</v>
      </c>
      <c r="C141" s="6" t="s">
        <v>11</v>
      </c>
      <c r="D141" s="6" t="s">
        <v>12</v>
      </c>
      <c r="E141" s="6" t="s">
        <v>17</v>
      </c>
      <c r="F141" s="6" t="s">
        <v>18</v>
      </c>
      <c r="G141" s="6" t="s">
        <v>385</v>
      </c>
      <c r="H141" s="7" t="s">
        <v>20</v>
      </c>
      <c r="I141" s="8" t="s">
        <v>21</v>
      </c>
    </row>
    <row r="142" spans="1:9" ht="49.75" x14ac:dyDescent="0.4">
      <c r="A142" s="12" t="s">
        <v>316</v>
      </c>
      <c r="B142" s="13" t="s">
        <v>386</v>
      </c>
      <c r="C142" s="12" t="s">
        <v>11</v>
      </c>
      <c r="D142" s="12" t="s">
        <v>16</v>
      </c>
      <c r="E142" s="13" t="str">
        <f>B139&amp;"; "&amp;$B$2&amp;"; "&amp;'[1]Variables-Products'!$B$12</f>
        <v>P139_SecPASubtotal; P001_1718DaysOpen; P25_YearDays_1718</v>
      </c>
      <c r="F142" s="13" t="str">
        <f>B139&amp;" * "&amp;$B$2&amp;" / "&amp;'[1]Variables-Products'!$B$12</f>
        <v>P139_SecPASubtotal * P001_1718DaysOpen / P25_YearDays_1718</v>
      </c>
      <c r="G142" s="13" t="s">
        <v>387</v>
      </c>
      <c r="H142" s="7"/>
      <c r="I142" s="8"/>
    </row>
    <row r="143" spans="1:9" ht="136.75" x14ac:dyDescent="0.4">
      <c r="A143" s="9" t="s">
        <v>388</v>
      </c>
      <c r="B143" s="10" t="s">
        <v>389</v>
      </c>
      <c r="C143" s="9" t="s">
        <v>11</v>
      </c>
      <c r="D143" s="9" t="s">
        <v>12</v>
      </c>
      <c r="E143" s="10" t="s">
        <v>390</v>
      </c>
      <c r="F143" s="14" t="s">
        <v>391</v>
      </c>
      <c r="G143" s="6" t="s">
        <v>392</v>
      </c>
      <c r="H143" s="7" t="s">
        <v>20</v>
      </c>
      <c r="I143" s="8" t="s">
        <v>21</v>
      </c>
    </row>
    <row r="144" spans="1:9" ht="49.75" x14ac:dyDescent="0.4">
      <c r="A144" s="9" t="s">
        <v>388</v>
      </c>
      <c r="B144" s="10" t="s">
        <v>393</v>
      </c>
      <c r="C144" s="9" t="s">
        <v>11</v>
      </c>
      <c r="D144" s="9" t="s">
        <v>16</v>
      </c>
      <c r="E144" s="10" t="s">
        <v>394</v>
      </c>
      <c r="F144" s="14" t="s">
        <v>395</v>
      </c>
      <c r="G144" s="6" t="s">
        <v>396</v>
      </c>
      <c r="H144" s="7" t="s">
        <v>20</v>
      </c>
      <c r="I144" s="8" t="s">
        <v>21</v>
      </c>
    </row>
    <row r="145" spans="1:9" ht="49.75" x14ac:dyDescent="0.4">
      <c r="A145" s="9" t="s">
        <v>388</v>
      </c>
      <c r="B145" s="6" t="s">
        <v>397</v>
      </c>
      <c r="C145" s="9" t="s">
        <v>11</v>
      </c>
      <c r="D145" s="9" t="s">
        <v>16</v>
      </c>
      <c r="E145" s="6" t="str">
        <f>'[1]Variables-Products'!$B$22&amp;"; "&amp;B144&amp;"; "&amp;B143&amp;"; Funding_Basis(201718)"</f>
        <v>P22_Total_NOR_PRI_SBS; P144_EAL1PriRate; P142_EAL1PriFactor; Funding_Basis(201718)</v>
      </c>
      <c r="F145" s="14" t="str">
        <f>"IF Existing Academy OR New Opener 1718 funded on estimates, THEN "&amp;'[1]Variables-Products'!$B$26&amp;" * "&amp;'[1]Products-Calcs'!C164&amp;" * "&amp;'[1]Products-Calcs'!C163&amp;", ELSE (i.e. IF New Opener 1718 funded on census) THEN (IF "&amp;'[1]Products-Calcs'!C164&amp;" &gt;0) APT_New_ISB_dataset.IDACIF_Secondary"</f>
        <v>IF Existing Academy OR New Opener 1718 funded on estimates, THEN P26_Total_NOR_SBS * P144_EAL1PriRate * P142_EAL1PriFactor, ELSE (i.e. IF New Opener 1718 funded on census) THEN (IF P144_EAL1PriRate &gt;0) APT_New_ISB_dataset.IDACIF_Secondary</v>
      </c>
      <c r="G145" s="6" t="s">
        <v>398</v>
      </c>
      <c r="H145" s="7" t="s">
        <v>20</v>
      </c>
      <c r="I145" s="8" t="s">
        <v>21</v>
      </c>
    </row>
    <row r="146" spans="1:9" ht="37.299999999999997" x14ac:dyDescent="0.4">
      <c r="A146" s="12" t="s">
        <v>388</v>
      </c>
      <c r="B146" s="13" t="s">
        <v>399</v>
      </c>
      <c r="C146" s="12" t="s">
        <v>11</v>
      </c>
      <c r="D146" s="12" t="s">
        <v>16</v>
      </c>
      <c r="E146" s="13" t="str">
        <f>B145&amp;"; "&amp;$B$2&amp;"; "&amp;'[1]Variables-Products'!$B$12</f>
        <v>P145_EAL1PriSubtotal; P001_1718DaysOpen; P25_YearDays_1718</v>
      </c>
      <c r="F146" s="13" t="str">
        <f>B145&amp;" * "&amp;$B$2&amp;" / "&amp;'[1]Variables-Products'!$B$12</f>
        <v>P145_EAL1PriSubtotal * P001_1718DaysOpen / P25_YearDays_1718</v>
      </c>
      <c r="G146" s="13" t="s">
        <v>400</v>
      </c>
      <c r="H146" s="7"/>
      <c r="I146" s="8"/>
    </row>
    <row r="147" spans="1:9" ht="87" x14ac:dyDescent="0.4">
      <c r="A147" s="9" t="s">
        <v>388</v>
      </c>
      <c r="B147" s="6" t="s">
        <v>401</v>
      </c>
      <c r="C147" s="9" t="s">
        <v>11</v>
      </c>
      <c r="D147" s="9" t="s">
        <v>12</v>
      </c>
      <c r="E147" s="10" t="s">
        <v>402</v>
      </c>
      <c r="F147" s="14" t="s">
        <v>403</v>
      </c>
      <c r="G147" s="6" t="s">
        <v>404</v>
      </c>
      <c r="H147" s="7" t="s">
        <v>20</v>
      </c>
      <c r="I147" s="8" t="s">
        <v>21</v>
      </c>
    </row>
    <row r="148" spans="1:9" ht="49.75" x14ac:dyDescent="0.4">
      <c r="A148" s="9" t="s">
        <v>388</v>
      </c>
      <c r="B148" s="6" t="s">
        <v>405</v>
      </c>
      <c r="C148" s="9" t="s">
        <v>11</v>
      </c>
      <c r="D148" s="9" t="s">
        <v>16</v>
      </c>
      <c r="E148" s="10" t="s">
        <v>394</v>
      </c>
      <c r="F148" s="14" t="s">
        <v>406</v>
      </c>
      <c r="G148" s="6" t="s">
        <v>407</v>
      </c>
      <c r="H148" s="7" t="s">
        <v>20</v>
      </c>
      <c r="I148" s="8" t="s">
        <v>21</v>
      </c>
    </row>
    <row r="149" spans="1:9" ht="49.75" x14ac:dyDescent="0.4">
      <c r="A149" s="9" t="s">
        <v>388</v>
      </c>
      <c r="B149" s="6" t="s">
        <v>408</v>
      </c>
      <c r="C149" s="9" t="s">
        <v>11</v>
      </c>
      <c r="D149" s="9" t="s">
        <v>16</v>
      </c>
      <c r="E149" s="6" t="str">
        <f>'[1]Variables-Products'!$B$22&amp;"; "&amp;B148&amp;"; "&amp;B147&amp;"; Funding_Basis(201718)"</f>
        <v>P22_Total_NOR_PRI_SBS; P149_EAL2PriRate; P147_EAL2PriFactor; Funding_Basis(201718)</v>
      </c>
      <c r="F149" s="14" t="str">
        <f>"IF Existing Academy OR New Opener 1718 funded on estimates, THEN "&amp;'[1]Variables-Products'!$B$26&amp;" * "&amp;'[1]Products-Calcs'!C168&amp;" * "&amp;'[1]Products-Calcs'!C167&amp;", ELSE (i.e. IF New Opener 1718 funded on census) THEN (IF "&amp;'[1]Products-Calcs'!C168&amp;" &gt;0) APT_New_ISB_dataset.IDACIF_Secondary"</f>
        <v>IF Existing Academy OR New Opener 1718 funded on estimates, THEN P26_Total_NOR_SBS * P149_EAL2PriRate * P147_EAL2PriFactor, ELSE (i.e. IF New Opener 1718 funded on census) THEN (IF P149_EAL2PriRate &gt;0) APT_New_ISB_dataset.IDACIF_Secondary</v>
      </c>
      <c r="G149" s="6" t="s">
        <v>409</v>
      </c>
      <c r="H149" s="7" t="s">
        <v>20</v>
      </c>
      <c r="I149" s="8" t="s">
        <v>21</v>
      </c>
    </row>
    <row r="150" spans="1:9" ht="37.299999999999997" x14ac:dyDescent="0.4">
      <c r="A150" s="12" t="s">
        <v>388</v>
      </c>
      <c r="B150" s="13" t="s">
        <v>410</v>
      </c>
      <c r="C150" s="12" t="s">
        <v>11</v>
      </c>
      <c r="D150" s="12" t="s">
        <v>16</v>
      </c>
      <c r="E150" s="13" t="str">
        <f>B149&amp;"; "&amp;$B$2&amp;"; "&amp;'[1]Variables-Products'!$B$12</f>
        <v>P150_EAL2PriSubtotal; P001_1718DaysOpen; P25_YearDays_1718</v>
      </c>
      <c r="F150" s="13" t="str">
        <f>B149&amp;" * "&amp;$B$2&amp;" / "&amp;'[1]Variables-Products'!$B$12</f>
        <v>P150_EAL2PriSubtotal * P001_1718DaysOpen / P25_YearDays_1718</v>
      </c>
      <c r="G150" s="13" t="s">
        <v>411</v>
      </c>
      <c r="H150" s="7"/>
      <c r="I150" s="8"/>
    </row>
    <row r="151" spans="1:9" ht="87" x14ac:dyDescent="0.4">
      <c r="A151" s="9" t="s">
        <v>388</v>
      </c>
      <c r="B151" s="6" t="s">
        <v>412</v>
      </c>
      <c r="C151" s="9" t="s">
        <v>11</v>
      </c>
      <c r="D151" s="9" t="s">
        <v>12</v>
      </c>
      <c r="E151" s="10" t="s">
        <v>413</v>
      </c>
      <c r="F151" s="14" t="s">
        <v>414</v>
      </c>
      <c r="G151" s="6" t="s">
        <v>415</v>
      </c>
      <c r="H151" s="7" t="s">
        <v>20</v>
      </c>
      <c r="I151" s="8" t="s">
        <v>21</v>
      </c>
    </row>
    <row r="152" spans="1:9" ht="49.75" x14ac:dyDescent="0.4">
      <c r="A152" s="9" t="s">
        <v>388</v>
      </c>
      <c r="B152" s="6" t="s">
        <v>416</v>
      </c>
      <c r="C152" s="9" t="s">
        <v>11</v>
      </c>
      <c r="D152" s="9" t="s">
        <v>16</v>
      </c>
      <c r="E152" s="10" t="s">
        <v>394</v>
      </c>
      <c r="F152" s="14" t="s">
        <v>417</v>
      </c>
      <c r="G152" s="6" t="s">
        <v>418</v>
      </c>
      <c r="H152" s="7" t="s">
        <v>20</v>
      </c>
      <c r="I152" s="8" t="s">
        <v>21</v>
      </c>
    </row>
    <row r="153" spans="1:9" ht="49.75" x14ac:dyDescent="0.4">
      <c r="A153" s="9" t="s">
        <v>388</v>
      </c>
      <c r="B153" s="6" t="s">
        <v>419</v>
      </c>
      <c r="C153" s="9" t="s">
        <v>11</v>
      </c>
      <c r="D153" s="9" t="s">
        <v>16</v>
      </c>
      <c r="E153" s="6" t="str">
        <f>'[1]Variables-Products'!$B$22&amp;"; "&amp;B152&amp;"; "&amp;B151&amp;"; Funding_Basis(201718)"</f>
        <v>P22_Total_NOR_PRI_SBS; P154_EAL3PriRate; P152_EAL3PriFactor; Funding_Basis(201718)</v>
      </c>
      <c r="F153" s="14" t="str">
        <f>"IF Existing Academy OR New Opener 1718 funded on estimates, THEN "&amp;'[1]Variables-Products'!$B$26&amp;" * "&amp;'[1]Products-Calcs'!C172&amp;" * "&amp;'[1]Products-Calcs'!C171&amp;", ELSE (i.e. IF New Opener 1718 funded on census) THEN (IF "&amp;'[1]Products-Calcs'!C172&amp;" &gt;0) APT_New_ISB_dataset.IDACIF_Secondary"</f>
        <v>IF Existing Academy OR New Opener 1718 funded on estimates, THEN P26_Total_NOR_SBS * P154_EAL3PriRate * P152_EAL3PriFactor, ELSE (i.e. IF New Opener 1718 funded on census) THEN (IF P154_EAL3PriRate &gt;0) APT_New_ISB_dataset.IDACIF_Secondary</v>
      </c>
      <c r="G153" s="6" t="s">
        <v>420</v>
      </c>
      <c r="H153" s="7" t="s">
        <v>20</v>
      </c>
      <c r="I153" s="8" t="s">
        <v>21</v>
      </c>
    </row>
    <row r="154" spans="1:9" ht="24.9" x14ac:dyDescent="0.4">
      <c r="A154" s="6" t="s">
        <v>388</v>
      </c>
      <c r="B154" s="6" t="s">
        <v>421</v>
      </c>
      <c r="C154" s="6" t="s">
        <v>11</v>
      </c>
      <c r="D154" s="6" t="s">
        <v>16</v>
      </c>
      <c r="E154" s="6" t="s">
        <v>422</v>
      </c>
      <c r="F154" s="6" t="s">
        <v>423</v>
      </c>
      <c r="G154" s="6" t="s">
        <v>424</v>
      </c>
      <c r="H154" s="7"/>
      <c r="I154" s="8"/>
    </row>
    <row r="155" spans="1:9" ht="24.9" x14ac:dyDescent="0.4">
      <c r="A155" s="6" t="s">
        <v>388</v>
      </c>
      <c r="B155" s="6" t="s">
        <v>425</v>
      </c>
      <c r="C155" s="6" t="s">
        <v>11</v>
      </c>
      <c r="D155" s="6" t="s">
        <v>12</v>
      </c>
      <c r="E155" s="6" t="s">
        <v>17</v>
      </c>
      <c r="F155" s="6" t="s">
        <v>18</v>
      </c>
      <c r="G155" s="6" t="s">
        <v>426</v>
      </c>
      <c r="H155" s="7" t="s">
        <v>20</v>
      </c>
      <c r="I155" s="8" t="s">
        <v>21</v>
      </c>
    </row>
    <row r="156" spans="1:9" ht="37.299999999999997" x14ac:dyDescent="0.4">
      <c r="A156" s="12" t="s">
        <v>388</v>
      </c>
      <c r="B156" s="13" t="s">
        <v>427</v>
      </c>
      <c r="C156" s="12" t="s">
        <v>11</v>
      </c>
      <c r="D156" s="12" t="s">
        <v>16</v>
      </c>
      <c r="E156" s="13" t="str">
        <f>B153&amp;"; "&amp;$B$2&amp;"; "&amp;'[1]Variables-Products'!$B$12</f>
        <v>P155_EAL3PriSubtotal; P001_1718DaysOpen; P25_YearDays_1718</v>
      </c>
      <c r="F156" s="13" t="str">
        <f>B153&amp;" * "&amp;$B$2&amp;" / "&amp;'[1]Variables-Products'!$B$12</f>
        <v>P155_EAL3PriSubtotal * P001_1718DaysOpen / P25_YearDays_1718</v>
      </c>
      <c r="G156" s="13" t="s">
        <v>428</v>
      </c>
      <c r="H156" s="7"/>
      <c r="I156" s="8"/>
    </row>
    <row r="157" spans="1:9" ht="87" x14ac:dyDescent="0.4">
      <c r="A157" s="9" t="s">
        <v>388</v>
      </c>
      <c r="B157" s="6" t="s">
        <v>429</v>
      </c>
      <c r="C157" s="9" t="s">
        <v>11</v>
      </c>
      <c r="D157" s="9" t="s">
        <v>12</v>
      </c>
      <c r="E157" s="10" t="s">
        <v>430</v>
      </c>
      <c r="F157" s="14" t="s">
        <v>431</v>
      </c>
      <c r="G157" s="6" t="s">
        <v>432</v>
      </c>
      <c r="H157" s="7" t="s">
        <v>20</v>
      </c>
      <c r="I157" s="8" t="s">
        <v>21</v>
      </c>
    </row>
    <row r="158" spans="1:9" ht="49.75" x14ac:dyDescent="0.4">
      <c r="A158" s="9" t="s">
        <v>388</v>
      </c>
      <c r="B158" s="6" t="s">
        <v>433</v>
      </c>
      <c r="C158" s="9" t="s">
        <v>11</v>
      </c>
      <c r="D158" s="9" t="s">
        <v>16</v>
      </c>
      <c r="E158" s="10" t="s">
        <v>434</v>
      </c>
      <c r="F158" s="14" t="s">
        <v>435</v>
      </c>
      <c r="G158" s="6" t="s">
        <v>436</v>
      </c>
      <c r="H158" s="7" t="s">
        <v>20</v>
      </c>
      <c r="I158" s="8" t="s">
        <v>21</v>
      </c>
    </row>
    <row r="159" spans="1:9" ht="49.75" x14ac:dyDescent="0.4">
      <c r="A159" s="9" t="s">
        <v>388</v>
      </c>
      <c r="B159" s="6" t="s">
        <v>437</v>
      </c>
      <c r="C159" s="9" t="s">
        <v>11</v>
      </c>
      <c r="D159" s="9" t="s">
        <v>16</v>
      </c>
      <c r="E159" s="6" t="str">
        <f>'[1]Variables-Products'!$B$25&amp;"; "&amp;B158&amp;"; "&amp;B157&amp;"; Funding_Basis(201718)"</f>
        <v>P25_Total_NOR_SEC_SBS; P160_EAL1SecRate; P158_EAL1SecFactor; Funding_Basis(201718)</v>
      </c>
      <c r="F159" s="14" t="str">
        <f>"IF Existing Academy OR New Opener 1718 funded on estimates, THEN "&amp;'[1]Variables-Products'!$B$26&amp;" * "&amp;'[1]Products-Calcs'!C178&amp;" * "&amp;'[1]Products-Calcs'!C177&amp;", ELSE (i.e. IF New Opener 1718 funded on census) THEN (IF "&amp;'[1]Products-Calcs'!C178&amp;" &gt;0) APT_New_ISB_dataset.IDACIF_Secondary"</f>
        <v>IF Existing Academy OR New Opener 1718 funded on estimates, THEN P26_Total_NOR_SBS * P160_EAL1SecRate * P158_EAL1SecFactor, ELSE (i.e. IF New Opener 1718 funded on census) THEN (IF P160_EAL1SecRate &gt;0) APT_New_ISB_dataset.IDACIF_Secondary</v>
      </c>
      <c r="G159" s="6" t="s">
        <v>438</v>
      </c>
      <c r="H159" s="7" t="s">
        <v>20</v>
      </c>
      <c r="I159" s="8" t="s">
        <v>21</v>
      </c>
    </row>
    <row r="160" spans="1:9" ht="49.75" x14ac:dyDescent="0.4">
      <c r="A160" s="12" t="s">
        <v>388</v>
      </c>
      <c r="B160" s="13" t="s">
        <v>439</v>
      </c>
      <c r="C160" s="12" t="s">
        <v>11</v>
      </c>
      <c r="D160" s="12" t="s">
        <v>16</v>
      </c>
      <c r="E160" s="13" t="str">
        <f>B159&amp;"; "&amp;$B$2&amp;"; "&amp;'[1]Variables-Products'!$B$12</f>
        <v>P161_EAL1SecSubtotal; P001_1718DaysOpen; P25_YearDays_1718</v>
      </c>
      <c r="F160" s="13" t="str">
        <f>B159&amp;" * "&amp;$B$2&amp;" / "&amp;'[1]Variables-Products'!$B$12</f>
        <v>P161_EAL1SecSubtotal * P001_1718DaysOpen / P25_YearDays_1718</v>
      </c>
      <c r="G160" s="13" t="s">
        <v>440</v>
      </c>
      <c r="H160" s="7"/>
      <c r="I160" s="8"/>
    </row>
    <row r="161" spans="1:9" ht="87" x14ac:dyDescent="0.4">
      <c r="A161" s="9" t="s">
        <v>388</v>
      </c>
      <c r="B161" s="6" t="s">
        <v>441</v>
      </c>
      <c r="C161" s="9" t="s">
        <v>11</v>
      </c>
      <c r="D161" s="9" t="s">
        <v>12</v>
      </c>
      <c r="E161" s="10" t="s">
        <v>442</v>
      </c>
      <c r="F161" s="14" t="s">
        <v>443</v>
      </c>
      <c r="G161" s="6" t="s">
        <v>444</v>
      </c>
      <c r="H161" s="7" t="s">
        <v>20</v>
      </c>
      <c r="I161" s="8" t="s">
        <v>21</v>
      </c>
    </row>
    <row r="162" spans="1:9" ht="49.75" x14ac:dyDescent="0.4">
      <c r="A162" s="9" t="s">
        <v>388</v>
      </c>
      <c r="B162" s="6" t="s">
        <v>445</v>
      </c>
      <c r="C162" s="9" t="s">
        <v>11</v>
      </c>
      <c r="D162" s="9" t="s">
        <v>16</v>
      </c>
      <c r="E162" s="10" t="s">
        <v>434</v>
      </c>
      <c r="F162" s="14" t="s">
        <v>446</v>
      </c>
      <c r="G162" s="6" t="s">
        <v>447</v>
      </c>
      <c r="H162" s="7" t="s">
        <v>20</v>
      </c>
      <c r="I162" s="8" t="s">
        <v>21</v>
      </c>
    </row>
    <row r="163" spans="1:9" ht="49.75" x14ac:dyDescent="0.4">
      <c r="A163" s="9" t="s">
        <v>388</v>
      </c>
      <c r="B163" s="6" t="s">
        <v>448</v>
      </c>
      <c r="C163" s="9" t="s">
        <v>11</v>
      </c>
      <c r="D163" s="9" t="s">
        <v>16</v>
      </c>
      <c r="E163" s="6" t="str">
        <f>'[1]Variables-Products'!$B$25&amp;"; "&amp;B162&amp;"; "&amp;B161&amp;"; Funding_Basis(201718)"</f>
        <v>P25_Total_NOR_SEC_SBS; P165_EAL2SecRate; P163_EAL2SecFactor; Funding_Basis(201718)</v>
      </c>
      <c r="F163" s="14" t="str">
        <f>"IF Existing Academy OR New Opener 1718 funded on estimates, THEN "&amp;'[1]Variables-Products'!$B$26&amp;" * "&amp;'[1]Products-Calcs'!C182&amp;" * "&amp;'[1]Products-Calcs'!C181&amp;", ELSE (i.e. IF New Opener 1718 funded on census) THEN (IF "&amp;'[1]Products-Calcs'!C182&amp;" &gt;0) APT_New_ISB_dataset.IDACIF_Secondary"</f>
        <v>IF Existing Academy OR New Opener 1718 funded on estimates, THEN P26_Total_NOR_SBS * P165_EAL2SecRate * P163_EAL2SecFactor, ELSE (i.e. IF New Opener 1718 funded on census) THEN (IF P165_EAL2SecRate &gt;0) APT_New_ISB_dataset.IDACIF_Secondary</v>
      </c>
      <c r="G163" s="6" t="s">
        <v>449</v>
      </c>
      <c r="H163" s="7" t="s">
        <v>20</v>
      </c>
      <c r="I163" s="8" t="s">
        <v>21</v>
      </c>
    </row>
    <row r="164" spans="1:9" ht="49.75" x14ac:dyDescent="0.4">
      <c r="A164" s="12" t="s">
        <v>388</v>
      </c>
      <c r="B164" s="13" t="s">
        <v>450</v>
      </c>
      <c r="C164" s="12" t="s">
        <v>11</v>
      </c>
      <c r="D164" s="12" t="s">
        <v>16</v>
      </c>
      <c r="E164" s="13" t="str">
        <f>B163&amp;"; "&amp;$B$2&amp;"; "&amp;'[1]Variables-Products'!$B$12</f>
        <v>P166_EAL2SecSubtotal; P001_1718DaysOpen; P25_YearDays_1718</v>
      </c>
      <c r="F164" s="13" t="str">
        <f>B163&amp;" * "&amp;$B$2&amp;" / "&amp;'[1]Variables-Products'!$B$12</f>
        <v>P166_EAL2SecSubtotal * P001_1718DaysOpen / P25_YearDays_1718</v>
      </c>
      <c r="G164" s="13" t="s">
        <v>451</v>
      </c>
      <c r="H164" s="7"/>
      <c r="I164" s="15"/>
    </row>
    <row r="165" spans="1:9" ht="87" x14ac:dyDescent="0.4">
      <c r="A165" s="9" t="s">
        <v>388</v>
      </c>
      <c r="B165" s="6" t="s">
        <v>452</v>
      </c>
      <c r="C165" s="9" t="s">
        <v>11</v>
      </c>
      <c r="D165" s="9" t="s">
        <v>12</v>
      </c>
      <c r="E165" s="10" t="s">
        <v>453</v>
      </c>
      <c r="F165" s="14" t="s">
        <v>454</v>
      </c>
      <c r="G165" s="6" t="s">
        <v>455</v>
      </c>
      <c r="H165" s="7" t="s">
        <v>20</v>
      </c>
      <c r="I165" s="8" t="s">
        <v>21</v>
      </c>
    </row>
    <row r="166" spans="1:9" ht="49.75" x14ac:dyDescent="0.4">
      <c r="A166" s="9" t="s">
        <v>388</v>
      </c>
      <c r="B166" s="6" t="s">
        <v>456</v>
      </c>
      <c r="C166" s="9" t="s">
        <v>11</v>
      </c>
      <c r="D166" s="9" t="s">
        <v>16</v>
      </c>
      <c r="E166" s="10" t="s">
        <v>434</v>
      </c>
      <c r="F166" s="14" t="s">
        <v>457</v>
      </c>
      <c r="G166" s="6" t="s">
        <v>458</v>
      </c>
      <c r="H166" s="7" t="s">
        <v>20</v>
      </c>
      <c r="I166" s="8" t="s">
        <v>21</v>
      </c>
    </row>
    <row r="167" spans="1:9" ht="49.75" x14ac:dyDescent="0.4">
      <c r="A167" s="9" t="s">
        <v>388</v>
      </c>
      <c r="B167" s="6" t="s">
        <v>459</v>
      </c>
      <c r="C167" s="9" t="s">
        <v>11</v>
      </c>
      <c r="D167" s="9" t="s">
        <v>16</v>
      </c>
      <c r="E167" s="6" t="str">
        <f>'[1]Variables-Products'!$B$25&amp;"; "&amp;B166&amp;"; "&amp;B165&amp;"; Funding_Basis(201718)"</f>
        <v>P25_Total_NOR_SEC_SBS; P170_EAL3SecRate; P168_EAL3SecFactor; Funding_Basis(201718)</v>
      </c>
      <c r="F167" s="14" t="str">
        <f>"IF Existing Academy OR New Opener 1718 funded on estimates, THEN "&amp;'[1]Variables-Products'!$B$26&amp;" * "&amp;'[1]Products-Calcs'!C186&amp;" * "&amp;'[1]Products-Calcs'!C185&amp;", ELSE (i.e. IF New Opener 1718 funded on census) THEN (IF "&amp;'[1]Products-Calcs'!C186&amp;" &gt;0) APT_New_ISB_dataset.IDACIF_Secondary"</f>
        <v>IF Existing Academy OR New Opener 1718 funded on estimates, THEN P26_Total_NOR_SBS * P170_EAL3SecRate * P168_EAL3SecFactor, ELSE (i.e. IF New Opener 1718 funded on census) THEN (IF P170_EAL3SecRate &gt;0) APT_New_ISB_dataset.IDACIF_Secondary</v>
      </c>
      <c r="G167" s="6" t="s">
        <v>460</v>
      </c>
      <c r="H167" s="7" t="s">
        <v>20</v>
      </c>
      <c r="I167" s="8" t="s">
        <v>21</v>
      </c>
    </row>
    <row r="168" spans="1:9" ht="24.9" x14ac:dyDescent="0.4">
      <c r="A168" s="6" t="s">
        <v>388</v>
      </c>
      <c r="B168" s="6" t="s">
        <v>461</v>
      </c>
      <c r="C168" s="6" t="s">
        <v>11</v>
      </c>
      <c r="D168" s="6" t="s">
        <v>16</v>
      </c>
      <c r="E168" s="6" t="s">
        <v>462</v>
      </c>
      <c r="F168" s="6" t="s">
        <v>463</v>
      </c>
      <c r="G168" s="6" t="s">
        <v>464</v>
      </c>
      <c r="H168" s="7"/>
      <c r="I168" s="8"/>
    </row>
    <row r="169" spans="1:9" ht="24.9" x14ac:dyDescent="0.4">
      <c r="A169" s="6" t="s">
        <v>388</v>
      </c>
      <c r="B169" s="6" t="s">
        <v>465</v>
      </c>
      <c r="C169" s="6" t="s">
        <v>11</v>
      </c>
      <c r="D169" s="6" t="s">
        <v>12</v>
      </c>
      <c r="E169" s="6" t="s">
        <v>17</v>
      </c>
      <c r="F169" s="6" t="s">
        <v>18</v>
      </c>
      <c r="G169" s="6" t="s">
        <v>466</v>
      </c>
      <c r="H169" s="7" t="s">
        <v>20</v>
      </c>
      <c r="I169" s="8" t="s">
        <v>21</v>
      </c>
    </row>
    <row r="170" spans="1:9" ht="49.75" x14ac:dyDescent="0.4">
      <c r="A170" s="12" t="s">
        <v>388</v>
      </c>
      <c r="B170" s="13" t="s">
        <v>467</v>
      </c>
      <c r="C170" s="12" t="s">
        <v>11</v>
      </c>
      <c r="D170" s="12" t="s">
        <v>16</v>
      </c>
      <c r="E170" s="13" t="str">
        <f>B167&amp;"; "&amp;$B$2&amp;"; "&amp;'[1]Variables-Products'!$B$12</f>
        <v>P171_EAL3SecSubtotal; P001_1718DaysOpen; P25_YearDays_1718</v>
      </c>
      <c r="F170" s="13" t="str">
        <f>B167&amp;" * "&amp;$B$2&amp;" / "&amp;'[1]Variables-Products'!$B$12</f>
        <v>P171_EAL3SecSubtotal * P001_1718DaysOpen / P25_YearDays_1718</v>
      </c>
      <c r="G170" s="13" t="s">
        <v>468</v>
      </c>
      <c r="H170" s="7"/>
      <c r="I170" s="8"/>
    </row>
    <row r="171" spans="1:9" ht="124.3" x14ac:dyDescent="0.4">
      <c r="A171" s="6" t="s">
        <v>469</v>
      </c>
      <c r="B171" s="10" t="s">
        <v>470</v>
      </c>
      <c r="C171" s="6" t="s">
        <v>11</v>
      </c>
      <c r="D171" s="6" t="s">
        <v>12</v>
      </c>
      <c r="E171" s="6" t="s">
        <v>471</v>
      </c>
      <c r="F171" s="14" t="s">
        <v>472</v>
      </c>
      <c r="G171" s="6" t="s">
        <v>473</v>
      </c>
      <c r="H171" s="7" t="s">
        <v>20</v>
      </c>
      <c r="I171" s="8" t="s">
        <v>21</v>
      </c>
    </row>
    <row r="172" spans="1:9" ht="24.9" x14ac:dyDescent="0.4">
      <c r="A172" s="6" t="s">
        <v>469</v>
      </c>
      <c r="B172" s="10" t="s">
        <v>474</v>
      </c>
      <c r="C172" s="6" t="s">
        <v>11</v>
      </c>
      <c r="D172" s="6" t="s">
        <v>16</v>
      </c>
      <c r="E172" s="6" t="s">
        <v>475</v>
      </c>
      <c r="F172" s="6" t="s">
        <v>475</v>
      </c>
      <c r="G172" s="6" t="s">
        <v>476</v>
      </c>
      <c r="H172" s="7" t="s">
        <v>20</v>
      </c>
      <c r="I172" s="8" t="s">
        <v>21</v>
      </c>
    </row>
    <row r="173" spans="1:9" ht="49.75" x14ac:dyDescent="0.4">
      <c r="A173" s="6" t="s">
        <v>469</v>
      </c>
      <c r="B173" s="6" t="s">
        <v>477</v>
      </c>
      <c r="C173" s="6" t="s">
        <v>11</v>
      </c>
      <c r="D173" s="6" t="s">
        <v>16</v>
      </c>
      <c r="E173" s="6" t="str">
        <f>B171&amp;"; "&amp;'[1]Variables-Products'!B22&amp;"; "&amp;B172</f>
        <v>P174_MobPriFactor; P22_Total_NOR_PRI_SBS; P176_MobPriRate</v>
      </c>
      <c r="F173" s="14" t="str">
        <f>"IF Existing Academy or New Opener 1718 funded on estimates, THEN ("&amp;B171&amp;") * "&amp;'[1]Variables-Products'!B22&amp;" * "&amp;B172&amp;"), ELSE (IF New Opener 1718 funded on census) THEN
APT_New_ISB_dataset.Mobility_P"</f>
        <v>IF Existing Academy or New Opener 1718 funded on estimates, THEN (P174_MobPriFactor) * P22_Total_NOR_PRI_SBS * P176_MobPriRate), ELSE (IF New Opener 1718 funded on census) THEN
APT_New_ISB_dataset.Mobility_P</v>
      </c>
      <c r="G173" s="6" t="s">
        <v>478</v>
      </c>
      <c r="H173" s="7" t="s">
        <v>20</v>
      </c>
      <c r="I173" s="8" t="s">
        <v>21</v>
      </c>
    </row>
    <row r="174" spans="1:9" ht="24.9" x14ac:dyDescent="0.4">
      <c r="A174" s="6" t="s">
        <v>469</v>
      </c>
      <c r="B174" s="6" t="s">
        <v>479</v>
      </c>
      <c r="C174" s="6" t="s">
        <v>11</v>
      </c>
      <c r="D174" s="6" t="s">
        <v>16</v>
      </c>
      <c r="E174" s="6" t="str">
        <f>B173&amp;"; "&amp;B175</f>
        <v>P177_MobPriSubtotal; P178a_NSENMobPri_Percent</v>
      </c>
      <c r="F174" s="6" t="str">
        <f>B173&amp;" * "&amp;B175</f>
        <v>P177_MobPriSubtotal * P178a_NSENMobPri_Percent</v>
      </c>
      <c r="G174" s="6" t="s">
        <v>480</v>
      </c>
      <c r="H174" s="7"/>
      <c r="I174" s="8"/>
    </row>
    <row r="175" spans="1:9" ht="24.9" x14ac:dyDescent="0.4">
      <c r="A175" s="6" t="s">
        <v>469</v>
      </c>
      <c r="B175" s="6" t="s">
        <v>481</v>
      </c>
      <c r="C175" s="6" t="s">
        <v>11</v>
      </c>
      <c r="D175" s="6" t="s">
        <v>12</v>
      </c>
      <c r="E175" s="6" t="s">
        <v>17</v>
      </c>
      <c r="F175" s="6" t="s">
        <v>18</v>
      </c>
      <c r="G175" s="6" t="s">
        <v>482</v>
      </c>
      <c r="H175" s="7" t="s">
        <v>20</v>
      </c>
      <c r="I175" s="8" t="s">
        <v>21</v>
      </c>
    </row>
    <row r="176" spans="1:9" ht="37.299999999999997" x14ac:dyDescent="0.4">
      <c r="A176" s="13" t="s">
        <v>469</v>
      </c>
      <c r="B176" s="13" t="s">
        <v>483</v>
      </c>
      <c r="C176" s="13" t="s">
        <v>11</v>
      </c>
      <c r="D176" s="13" t="s">
        <v>16</v>
      </c>
      <c r="E176" s="13" t="str">
        <f>B173&amp;"; "&amp;$B$2&amp;"; "&amp;'[1]Variables-Products'!B12</f>
        <v>P177_MobPriSubtotal; P001_1718DaysOpen; P25_YearDays_1718</v>
      </c>
      <c r="F176" s="19" t="str">
        <f>B173&amp;" * "&amp;$B$2&amp;" / "&amp;'[1]Variables-Products'!B12</f>
        <v>P177_MobPriSubtotal * P001_1718DaysOpen / P25_YearDays_1718</v>
      </c>
      <c r="G176" s="13" t="s">
        <v>484</v>
      </c>
      <c r="H176" s="7"/>
      <c r="I176" s="8"/>
    </row>
    <row r="177" spans="1:9" ht="124.3" x14ac:dyDescent="0.4">
      <c r="A177" s="6" t="s">
        <v>469</v>
      </c>
      <c r="B177" s="10" t="s">
        <v>485</v>
      </c>
      <c r="C177" s="6" t="s">
        <v>11</v>
      </c>
      <c r="D177" s="6" t="s">
        <v>12</v>
      </c>
      <c r="E177" s="6" t="s">
        <v>486</v>
      </c>
      <c r="F177" s="14" t="s">
        <v>487</v>
      </c>
      <c r="G177" s="6" t="s">
        <v>488</v>
      </c>
      <c r="H177" s="7" t="s">
        <v>20</v>
      </c>
      <c r="I177" s="8" t="s">
        <v>21</v>
      </c>
    </row>
    <row r="178" spans="1:9" ht="24.9" x14ac:dyDescent="0.4">
      <c r="A178" s="6" t="s">
        <v>469</v>
      </c>
      <c r="B178" s="10" t="s">
        <v>489</v>
      </c>
      <c r="C178" s="6" t="s">
        <v>11</v>
      </c>
      <c r="D178" s="6" t="s">
        <v>16</v>
      </c>
      <c r="E178" s="6" t="s">
        <v>490</v>
      </c>
      <c r="F178" s="6" t="s">
        <v>490</v>
      </c>
      <c r="G178" s="6" t="s">
        <v>491</v>
      </c>
      <c r="H178" s="7" t="s">
        <v>20</v>
      </c>
      <c r="I178" s="8" t="s">
        <v>21</v>
      </c>
    </row>
    <row r="179" spans="1:9" ht="49.75" x14ac:dyDescent="0.4">
      <c r="A179" s="6" t="s">
        <v>469</v>
      </c>
      <c r="B179" s="6" t="s">
        <v>492</v>
      </c>
      <c r="C179" s="6" t="s">
        <v>11</v>
      </c>
      <c r="D179" s="6" t="s">
        <v>16</v>
      </c>
      <c r="E179" s="6" t="str">
        <f>B177&amp;"; "&amp;'[1]Variables-Products'!B25&amp;"; "&amp;B178</f>
        <v>P180_MobSecFactor; P25_Total_NOR_SEC_SBS; P182_MobSecRate</v>
      </c>
      <c r="F179" s="14" t="str">
        <f>"IF Existing Academy or New Opener 1718 funded on estimates, THEN ("&amp;B177&amp;") * "&amp;'[1]Variables-Products'!B25&amp;" * "&amp;B178&amp;"), ELSE (IF New Opener 1718 funded on census) THEN
APT_New_ISB_dataset.Mobility_S"</f>
        <v>IF Existing Academy or New Opener 1718 funded on estimates, THEN (P180_MobSecFactor) * P25_Total_NOR_SEC_SBS * P182_MobSecRate), ELSE (IF New Opener 1718 funded on census) THEN
APT_New_ISB_dataset.Mobility_S</v>
      </c>
      <c r="G179" s="6" t="s">
        <v>493</v>
      </c>
      <c r="H179" s="7" t="s">
        <v>20</v>
      </c>
      <c r="I179" s="8" t="s">
        <v>21</v>
      </c>
    </row>
    <row r="180" spans="1:9" ht="24.9" x14ac:dyDescent="0.4">
      <c r="A180" s="6" t="s">
        <v>469</v>
      </c>
      <c r="B180" s="6" t="s">
        <v>494</v>
      </c>
      <c r="C180" s="6" t="s">
        <v>11</v>
      </c>
      <c r="D180" s="6" t="s">
        <v>16</v>
      </c>
      <c r="E180" s="6" t="str">
        <f>B179&amp;"; "&amp;B181</f>
        <v>P183_MobSecSubtotal; P184a_NSENMobSec_Percent</v>
      </c>
      <c r="F180" s="6" t="str">
        <f>B179&amp;" * "&amp;B181</f>
        <v>P183_MobSecSubtotal * P184a_NSENMobSec_Percent</v>
      </c>
      <c r="G180" s="6" t="s">
        <v>495</v>
      </c>
      <c r="H180" s="7"/>
      <c r="I180" s="8"/>
    </row>
    <row r="181" spans="1:9" ht="37.299999999999997" x14ac:dyDescent="0.4">
      <c r="A181" s="6" t="s">
        <v>469</v>
      </c>
      <c r="B181" s="6" t="s">
        <v>496</v>
      </c>
      <c r="C181" s="6" t="s">
        <v>11</v>
      </c>
      <c r="D181" s="6" t="s">
        <v>12</v>
      </c>
      <c r="E181" s="6" t="s">
        <v>17</v>
      </c>
      <c r="F181" s="6" t="s">
        <v>18</v>
      </c>
      <c r="G181" s="6" t="s">
        <v>497</v>
      </c>
      <c r="H181" s="7" t="s">
        <v>20</v>
      </c>
      <c r="I181" s="8" t="s">
        <v>21</v>
      </c>
    </row>
    <row r="182" spans="1:9" ht="49.75" x14ac:dyDescent="0.4">
      <c r="A182" s="13" t="s">
        <v>469</v>
      </c>
      <c r="B182" s="13" t="s">
        <v>498</v>
      </c>
      <c r="C182" s="13" t="s">
        <v>11</v>
      </c>
      <c r="D182" s="13" t="s">
        <v>16</v>
      </c>
      <c r="E182" s="13" t="str">
        <f>B179&amp;"; "&amp;$B$2&amp;"; "&amp;'[1]Variables-Products'!B12</f>
        <v>P183_MobSecSubtotal; P001_1718DaysOpen; P25_YearDays_1718</v>
      </c>
      <c r="F182" s="19" t="str">
        <f>B179&amp;" * "&amp;$B$2&amp;" / "&amp;'[1]Variables-Products'!B12</f>
        <v>P183_MobSecSubtotal * P001_1718DaysOpen / P25_YearDays_1718</v>
      </c>
      <c r="G182" s="13" t="s">
        <v>499</v>
      </c>
      <c r="H182" s="7"/>
      <c r="I182" s="8"/>
    </row>
    <row r="183" spans="1:9" ht="273.45" x14ac:dyDescent="0.4">
      <c r="A183" s="6" t="s">
        <v>500</v>
      </c>
      <c r="B183" s="6" t="s">
        <v>501</v>
      </c>
      <c r="C183" s="6" t="s">
        <v>11</v>
      </c>
      <c r="D183" s="6" t="s">
        <v>12</v>
      </c>
      <c r="E183" s="6" t="s">
        <v>502</v>
      </c>
      <c r="F183" s="14" t="s">
        <v>503</v>
      </c>
      <c r="G183" s="6" t="s">
        <v>504</v>
      </c>
      <c r="H183" s="7"/>
      <c r="I183" s="8"/>
    </row>
    <row r="184" spans="1:9" ht="49.75" x14ac:dyDescent="0.4">
      <c r="A184" s="6" t="s">
        <v>500</v>
      </c>
      <c r="B184" s="10" t="s">
        <v>505</v>
      </c>
      <c r="C184" s="6" t="s">
        <v>11</v>
      </c>
      <c r="D184" s="6" t="s">
        <v>12</v>
      </c>
      <c r="E184" s="6" t="s">
        <v>506</v>
      </c>
      <c r="F184" s="6" t="s">
        <v>507</v>
      </c>
      <c r="G184" s="6" t="s">
        <v>508</v>
      </c>
      <c r="H184" s="7"/>
      <c r="I184" s="8"/>
    </row>
    <row r="185" spans="1:9" ht="49.75" x14ac:dyDescent="0.4">
      <c r="A185" s="6" t="s">
        <v>500</v>
      </c>
      <c r="B185" s="10" t="s">
        <v>509</v>
      </c>
      <c r="C185" s="6" t="s">
        <v>11</v>
      </c>
      <c r="D185" s="6" t="s">
        <v>12</v>
      </c>
      <c r="E185" s="6" t="s">
        <v>510</v>
      </c>
      <c r="F185" s="6" t="s">
        <v>511</v>
      </c>
      <c r="G185" s="6" t="s">
        <v>512</v>
      </c>
      <c r="H185" s="7"/>
      <c r="I185" s="8"/>
    </row>
    <row r="186" spans="1:9" ht="49.75" x14ac:dyDescent="0.4">
      <c r="A186" s="6" t="s">
        <v>500</v>
      </c>
      <c r="B186" s="10" t="s">
        <v>513</v>
      </c>
      <c r="C186" s="6" t="s">
        <v>11</v>
      </c>
      <c r="D186" s="6" t="s">
        <v>12</v>
      </c>
      <c r="E186" s="6" t="s">
        <v>514</v>
      </c>
      <c r="F186" s="6" t="s">
        <v>515</v>
      </c>
      <c r="G186" s="6" t="s">
        <v>516</v>
      </c>
      <c r="H186" s="7"/>
      <c r="I186" s="8"/>
    </row>
    <row r="187" spans="1:9" ht="49.75" x14ac:dyDescent="0.4">
      <c r="A187" s="6" t="s">
        <v>500</v>
      </c>
      <c r="B187" s="10" t="s">
        <v>517</v>
      </c>
      <c r="C187" s="6" t="s">
        <v>11</v>
      </c>
      <c r="D187" s="6" t="s">
        <v>12</v>
      </c>
      <c r="E187" s="6" t="s">
        <v>518</v>
      </c>
      <c r="F187" s="6" t="s">
        <v>519</v>
      </c>
      <c r="G187" s="6" t="s">
        <v>520</v>
      </c>
      <c r="H187" s="7"/>
      <c r="I187" s="8"/>
    </row>
    <row r="188" spans="1:9" ht="49.75" x14ac:dyDescent="0.4">
      <c r="A188" s="6" t="s">
        <v>500</v>
      </c>
      <c r="B188" s="10" t="s">
        <v>521</v>
      </c>
      <c r="C188" s="6" t="s">
        <v>11</v>
      </c>
      <c r="D188" s="6" t="s">
        <v>12</v>
      </c>
      <c r="E188" s="6" t="str">
        <f>B183&amp;"; [1718_APT_Proforma.Sparsity_Primary_Lump_Sum]"&amp;"; [1718_APT_Proforma.Sparsity_Middle_Lump_Sum]"&amp;"; [1718_APT_Proforma.Sparsity_Secondary_Lump_Sum]"&amp;"; [1718_APT_Proforma.Sparsity_All-Through_Lump_Sum]"</f>
        <v>P185a_Phase; [1718_APT_Proforma.Sparsity_Primary_Lump_Sum]; [1718_APT_Proforma.Sparsity_Middle_Lump_Sum]; [1718_APT_Proforma.Sparsity_Secondary_Lump_Sum]; [1718_APT_Proforma.Sparsity_All-Through_Lump_Sum]</v>
      </c>
      <c r="F188" s="6" t="str">
        <f>"IF "&amp;B183&amp;"=1 , Sparsity_Primary_Lump_Sum;  IF"&amp;B183&amp;"=2 OR 4, Sparsity_Middle_Lump_Sum;  IF"&amp;B183&amp;"=3 , Sparsity_Secondary_Lump_Sum;  IF"&amp;B183&amp;"=5 , Sparsity_All-Through_Lump_Sum"</f>
        <v>IF P185a_Phase=1 , Sparsity_Primary_Lump_Sum;  IFP185a_Phase=2 OR 4, Sparsity_Middle_Lump_Sum;  IFP185a_Phase=3 , Sparsity_Secondary_Lump_Sum;  IFP185a_Phase=5 , Sparsity_All-Through_Lump_Sum</v>
      </c>
      <c r="G188" s="6" t="s">
        <v>522</v>
      </c>
      <c r="H188" s="7" t="s">
        <v>20</v>
      </c>
      <c r="I188" s="8" t="s">
        <v>21</v>
      </c>
    </row>
    <row r="189" spans="1:9" ht="161.6" x14ac:dyDescent="0.4">
      <c r="A189" s="6" t="s">
        <v>500</v>
      </c>
      <c r="B189" s="10" t="s">
        <v>523</v>
      </c>
      <c r="C189" s="6" t="s">
        <v>11</v>
      </c>
      <c r="D189" s="6" t="s">
        <v>12</v>
      </c>
      <c r="E189" s="6" t="str">
        <f>B183&amp;"; [1718_APT_Inputs_and_Adjustments.Primary_Sparsity_av_Distance_to_2nd_School]; [Census_Pupil_Characteristics.Primary_Sparsity_av_Distance_to_2nd_School];"&amp; " [1718_APT_Inputs_and_Adjustments.Secondary_Sparsity_av_Distance_to_2nd_School]; [Census_Pupil_Characteristics.Secondary_Sparsity_av_Distance_to_2nd_School]"</f>
        <v>P185a_Phase; [1718_APT_Inputs_and_Adjustments.Primary_Sparsity_av_Distance_to_2nd_School]; [Census_Pupil_Characteristics.Primary_Sparsity_av_Distance_to_2nd_School]; [1718_APT_Inputs_and_Adjustments.Secondary_Sparsity_av_Distance_to_2nd_School]; [Census_Pupil_Characteristics.Secondary_Sparsity_av_Distance_to_2nd_School]</v>
      </c>
      <c r="F189" s="6" t="s">
        <v>524</v>
      </c>
      <c r="G189" s="6" t="s">
        <v>525</v>
      </c>
      <c r="H189" s="7" t="s">
        <v>20</v>
      </c>
      <c r="I189" s="8" t="s">
        <v>21</v>
      </c>
    </row>
    <row r="190" spans="1:9" ht="111.9" x14ac:dyDescent="0.4">
      <c r="A190" s="6" t="s">
        <v>500</v>
      </c>
      <c r="B190" s="10" t="s">
        <v>526</v>
      </c>
      <c r="C190" s="6" t="s">
        <v>11</v>
      </c>
      <c r="D190" s="6" t="s">
        <v>12</v>
      </c>
      <c r="E190" s="6" t="str">
        <f>B183&amp;"; [1718_APT_Proforma.Primary_Distance_Threshold]; [1718_APT_Proforma.Middle_School_Distance_Threshold]; [1718_APT_Proforma.Secondary_Distance_Threshold]; [1718_APT_Proforma.All-Through_Distance_Threshold]"</f>
        <v>P185a_Phase; [1718_APT_Proforma.Primary_Distance_Threshold]; [1718_APT_Proforma.Middle_School_Distance_Threshold]; [1718_APT_Proforma.Secondary_Distance_Threshold]; [1718_APT_Proforma.All-Through_Distance_Threshold]</v>
      </c>
      <c r="F190" s="6" t="s">
        <v>527</v>
      </c>
      <c r="G190" s="6" t="s">
        <v>528</v>
      </c>
      <c r="H190" s="7" t="s">
        <v>20</v>
      </c>
      <c r="I190" s="8" t="s">
        <v>21</v>
      </c>
    </row>
    <row r="191" spans="1:9" ht="49.75" x14ac:dyDescent="0.4">
      <c r="A191" s="6" t="s">
        <v>500</v>
      </c>
      <c r="B191" s="10" t="s">
        <v>529</v>
      </c>
      <c r="C191" s="6" t="s">
        <v>11</v>
      </c>
      <c r="D191" s="6" t="s">
        <v>12</v>
      </c>
      <c r="E191" s="6" t="str">
        <f>B189&amp;"; "&amp;B190</f>
        <v>P191_SparsityDistance; P192_SparsityDistThreshold</v>
      </c>
      <c r="F191" s="6" t="s">
        <v>530</v>
      </c>
      <c r="G191" s="6" t="s">
        <v>531</v>
      </c>
      <c r="H191" s="7"/>
      <c r="I191" s="8"/>
    </row>
    <row r="192" spans="1:9" ht="37.299999999999997" x14ac:dyDescent="0.4">
      <c r="A192" s="6" t="s">
        <v>500</v>
      </c>
      <c r="B192" s="6" t="s">
        <v>532</v>
      </c>
      <c r="C192" s="6" t="s">
        <v>11</v>
      </c>
      <c r="D192" s="6" t="s">
        <v>335</v>
      </c>
      <c r="E192" s="6" t="str">
        <f>'[1]Variables-Products'!B26&amp;"; "&amp;B201&amp;"; "&amp;B202</f>
        <v>P26_Total_NOR_SBS; P212_PYG; P213_SYG</v>
      </c>
      <c r="F192" s="14" t="str">
        <f>'[1]Variables-Products'!B26&amp;" / ("&amp;B201&amp;" + "&amp;B202&amp;")"</f>
        <v>P26_Total_NOR_SBS / (P212_PYG + P213_SYG)</v>
      </c>
      <c r="G192" s="6" t="s">
        <v>533</v>
      </c>
      <c r="H192" s="7" t="s">
        <v>20</v>
      </c>
      <c r="I192" s="8" t="s">
        <v>21</v>
      </c>
    </row>
    <row r="193" spans="1:9" ht="186.45" x14ac:dyDescent="0.4">
      <c r="A193" s="6" t="s">
        <v>500</v>
      </c>
      <c r="B193" s="10" t="s">
        <v>534</v>
      </c>
      <c r="C193" s="6" t="s">
        <v>11</v>
      </c>
      <c r="D193" s="6" t="s">
        <v>12</v>
      </c>
      <c r="E193" s="6" t="str">
        <f>B183&amp;"; [1718_APT_Proforma.Primary_Pupil_Number_Average_Year_Group_Threshold]; [1718_APT_Proforma.Middle_School_Pupil_Number_Average_Year_Group_Threshold]; "&amp;"[1718_APT_Proforma.Secondary_Pupil_Number_Average_Year_Group_Threshold]; [1718_APT_Proforma.All-Through_Pupil_Number_Average_Year_Group_Threshold]"</f>
        <v>P185a_Phase; [1718_APT_Proforma.Primary_Pupil_Number_Average_Year_Group_Threshold]; [1718_APT_Proforma.Middle_School_Pupil_Number_Average_Year_Group_Threshold]; [1718_APT_Proforma.Secondary_Pupil_Number_Average_Year_Group_Threshold]; [1718_APT_Proforma.All-Through_Pupil_Number_Average_Year_Group_Threshold]</v>
      </c>
      <c r="F193" s="6" t="s">
        <v>535</v>
      </c>
      <c r="G193" s="6" t="s">
        <v>536</v>
      </c>
      <c r="H193" s="7" t="s">
        <v>20</v>
      </c>
      <c r="I193" s="8" t="s">
        <v>21</v>
      </c>
    </row>
    <row r="194" spans="1:9" ht="37.299999999999997" x14ac:dyDescent="0.4">
      <c r="A194" s="6" t="s">
        <v>500</v>
      </c>
      <c r="B194" s="10" t="s">
        <v>537</v>
      </c>
      <c r="C194" s="6" t="s">
        <v>11</v>
      </c>
      <c r="D194" s="6" t="s">
        <v>12</v>
      </c>
      <c r="E194" s="6" t="str">
        <f>B192&amp;"; "&amp;B193</f>
        <v>P194_SparsityAveYGSize; P195_SparsityYGThreshold</v>
      </c>
      <c r="F194" s="6" t="s">
        <v>538</v>
      </c>
      <c r="G194" s="6" t="s">
        <v>539</v>
      </c>
      <c r="H194" s="7"/>
      <c r="I194" s="8"/>
    </row>
    <row r="195" spans="1:9" ht="248.6" x14ac:dyDescent="0.4">
      <c r="A195" s="6" t="s">
        <v>500</v>
      </c>
      <c r="B195" s="10" t="s">
        <v>540</v>
      </c>
      <c r="C195" s="6" t="s">
        <v>11</v>
      </c>
      <c r="D195" s="6" t="s">
        <v>16</v>
      </c>
      <c r="E195" s="6" t="str">
        <f>B184&amp;"; "&amp;B185&amp;"; "&amp;B186&amp;"; "&amp;B187&amp;"; "&amp;B188&amp;"; "&amp;B191&amp;"; "&amp;B194</f>
        <v>P186_SparsityTaperFlagPri; P187_SparsityTaperFlagMid; P188_SparsityTaperFlagSec; P189_SparsityTaperFlagAllThru; P190_SparsityUnit; P193_SparsityDistMet_YN; P196_SparsityYGThresholdMet_YN</v>
      </c>
      <c r="F195" s="14" t="s">
        <v>541</v>
      </c>
      <c r="G195" s="6" t="s">
        <v>542</v>
      </c>
      <c r="H195" s="7"/>
      <c r="I195" s="8"/>
    </row>
    <row r="196" spans="1:9" ht="298.3" x14ac:dyDescent="0.4">
      <c r="A196" s="6" t="s">
        <v>500</v>
      </c>
      <c r="B196" s="6" t="s">
        <v>543</v>
      </c>
      <c r="C196" s="6" t="s">
        <v>11</v>
      </c>
      <c r="D196" s="6" t="s">
        <v>16</v>
      </c>
      <c r="E196" s="6" t="str">
        <f>B184&amp;"; "&amp;B185&amp;"; "&amp;B186&amp;"; "&amp;B187&amp;"; "&amp;B188&amp;"; "&amp;B191&amp;"; "&amp;B194&amp;"; "&amp;B192&amp;"; "&amp;B193</f>
        <v>P186_SparsityTaperFlagPri; P187_SparsityTaperFlagMid; P188_SparsityTaperFlagSec; P189_SparsityTaperFlagAllThru; P190_SparsityUnit; P193_SparsityDistMet_YN; P196_SparsityYGThresholdMet_YN; P194_SparsityAveYGSize; P195_SparsityYGThreshold</v>
      </c>
      <c r="F196" s="14" t="s">
        <v>544</v>
      </c>
      <c r="G196" s="6" t="s">
        <v>545</v>
      </c>
      <c r="H196" s="7" t="s">
        <v>20</v>
      </c>
      <c r="I196" s="8" t="s">
        <v>21</v>
      </c>
    </row>
    <row r="197" spans="1:9" ht="24.9" x14ac:dyDescent="0.4">
      <c r="A197" s="6" t="s">
        <v>500</v>
      </c>
      <c r="B197" s="6" t="s">
        <v>546</v>
      </c>
      <c r="C197" s="6" t="s">
        <v>11</v>
      </c>
      <c r="D197" s="6" t="s">
        <v>16</v>
      </c>
      <c r="E197" s="6" t="str">
        <f>B195&amp;"; "&amp;B196</f>
        <v>P197_SparsityLumpSumSubtotal; P198_SparsityTaperSubtotal</v>
      </c>
      <c r="F197" s="14" t="str">
        <f>B195&amp;" + "&amp;B196</f>
        <v>P197_SparsityLumpSumSubtotal + P198_SparsityTaperSubtotal</v>
      </c>
      <c r="G197" s="6" t="s">
        <v>547</v>
      </c>
      <c r="H197" s="7" t="s">
        <v>20</v>
      </c>
      <c r="I197" s="8" t="s">
        <v>21</v>
      </c>
    </row>
    <row r="198" spans="1:9" ht="37.299999999999997" x14ac:dyDescent="0.4">
      <c r="A198" s="13" t="s">
        <v>500</v>
      </c>
      <c r="B198" s="13" t="s">
        <v>548</v>
      </c>
      <c r="C198" s="13" t="s">
        <v>11</v>
      </c>
      <c r="D198" s="13" t="s">
        <v>16</v>
      </c>
      <c r="E198" s="13" t="str">
        <f>$B$2&amp;", "&amp;B195&amp;"; "&amp;'[1]Variables-Products'!B12</f>
        <v>P001_1718DaysOpen, P197_SparsityLumpSumSubtotal; P25_YearDays_1718</v>
      </c>
      <c r="F198" s="19" t="str">
        <f>"(P197_SparsityLumpSumSubtotal) * P001_1718Days_Open"&amp;"; "&amp;'[1]Variables-Products'!B12</f>
        <v>(P197_SparsityLumpSumSubtotal) * P001_1718Days_Open; P25_YearDays_1718</v>
      </c>
      <c r="G198" s="13" t="s">
        <v>549</v>
      </c>
      <c r="H198" s="7"/>
      <c r="I198" s="8"/>
    </row>
    <row r="199" spans="1:9" ht="37.299999999999997" x14ac:dyDescent="0.4">
      <c r="A199" s="13" t="s">
        <v>500</v>
      </c>
      <c r="B199" s="13" t="s">
        <v>550</v>
      </c>
      <c r="C199" s="13" t="s">
        <v>11</v>
      </c>
      <c r="D199" s="13" t="s">
        <v>16</v>
      </c>
      <c r="E199" s="13" t="str">
        <f>$B$2&amp;", "&amp;B196&amp;"; "&amp;'[1]Variables-Products'!B12</f>
        <v>P001_1718DaysOpen, P198_SparsityTaperSubtotal; P25_YearDays_1718</v>
      </c>
      <c r="F199" s="19" t="str">
        <f>"(P198_SparsityTaperSubtotal) * P001_1718Days_Open"&amp;"; "&amp;'[1]Variables-Products'!B12</f>
        <v>(P198_SparsityTaperSubtotal) * P001_1718Days_Open; P25_YearDays_1718</v>
      </c>
      <c r="G199" s="13" t="s">
        <v>551</v>
      </c>
      <c r="H199" s="7"/>
      <c r="I199" s="8"/>
    </row>
    <row r="200" spans="1:9" ht="24.9" x14ac:dyDescent="0.4">
      <c r="A200" s="6" t="s">
        <v>500</v>
      </c>
      <c r="B200" s="6" t="s">
        <v>552</v>
      </c>
      <c r="C200" s="6" t="s">
        <v>11</v>
      </c>
      <c r="D200" s="6" t="s">
        <v>16</v>
      </c>
      <c r="E200" s="6" t="str">
        <f>B198&amp;"; "&amp;B199</f>
        <v>P199_InYearSparsityLumpSumSubtotal; P200_InYearSparsityTaperSubtotal</v>
      </c>
      <c r="F200" s="14" t="str">
        <f>B198&amp;" + "&amp;B199</f>
        <v>P199_InYearSparsityLumpSumSubtotal + P200_InYearSparsityTaperSubtotal</v>
      </c>
      <c r="G200" s="6" t="s">
        <v>553</v>
      </c>
      <c r="H200" s="7"/>
      <c r="I200" s="15"/>
    </row>
    <row r="201" spans="1:9" ht="49.75" x14ac:dyDescent="0.4">
      <c r="A201" s="6" t="s">
        <v>500</v>
      </c>
      <c r="B201" s="10" t="s">
        <v>554</v>
      </c>
      <c r="C201" s="6" t="s">
        <v>11</v>
      </c>
      <c r="D201" s="6" t="s">
        <v>12</v>
      </c>
      <c r="E201" s="14" t="str">
        <f>'[1]Variables-Products'!B27</f>
        <v>P42a_Year_Groups_Primary</v>
      </c>
      <c r="F201" s="14" t="str">
        <f>'[1]Variables-Products'!B27</f>
        <v>P42a_Year_Groups_Primary</v>
      </c>
      <c r="G201" s="6" t="s">
        <v>555</v>
      </c>
      <c r="H201" s="7"/>
      <c r="I201" s="8"/>
    </row>
    <row r="202" spans="1:9" ht="49.75" x14ac:dyDescent="0.4">
      <c r="A202" s="6" t="s">
        <v>500</v>
      </c>
      <c r="B202" s="10" t="s">
        <v>556</v>
      </c>
      <c r="C202" s="6" t="s">
        <v>11</v>
      </c>
      <c r="D202" s="6" t="s">
        <v>12</v>
      </c>
      <c r="E202" s="14" t="str">
        <f>'[1]Variables-Products'!B28</f>
        <v>P42b_Year_Groups_Secondary</v>
      </c>
      <c r="F202" s="14" t="str">
        <f>'[1]Variables-Products'!B28</f>
        <v>P42b_Year_Groups_Secondary</v>
      </c>
      <c r="G202" s="6" t="s">
        <v>557</v>
      </c>
      <c r="H202" s="7"/>
      <c r="I202" s="8"/>
    </row>
    <row r="203" spans="1:9" ht="24.9" x14ac:dyDescent="0.4">
      <c r="A203" s="6" t="s">
        <v>500</v>
      </c>
      <c r="B203" s="6" t="s">
        <v>558</v>
      </c>
      <c r="C203" s="6" t="s">
        <v>11</v>
      </c>
      <c r="D203" s="6" t="s">
        <v>16</v>
      </c>
      <c r="E203" s="6" t="str">
        <f>B195&amp;"; "&amp;B196&amp;"; "&amp;B204</f>
        <v>P197_SparsityLumpSumSubtotal; P198_SparsityTaperSubtotal; P236a_NSENSparsity_Percent</v>
      </c>
      <c r="F203" s="6" t="str">
        <f>"( "&amp;B195&amp;" + "&amp;B196&amp;" )"&amp;" * "&amp;B204</f>
        <v>( P197_SparsityLumpSumSubtotal + P198_SparsityTaperSubtotal ) * P236a_NSENSparsity_Percent</v>
      </c>
      <c r="G203" s="6" t="s">
        <v>559</v>
      </c>
      <c r="H203" s="7"/>
      <c r="I203" s="8"/>
    </row>
    <row r="204" spans="1:9" ht="74.599999999999994" x14ac:dyDescent="0.4">
      <c r="A204" s="6" t="s">
        <v>500</v>
      </c>
      <c r="B204" s="6" t="s">
        <v>560</v>
      </c>
      <c r="C204" s="6" t="s">
        <v>11</v>
      </c>
      <c r="D204" s="6" t="s">
        <v>12</v>
      </c>
      <c r="E204" s="6" t="s">
        <v>17</v>
      </c>
      <c r="F204" s="6" t="s">
        <v>561</v>
      </c>
      <c r="G204" s="6" t="s">
        <v>562</v>
      </c>
      <c r="H204" s="7" t="s">
        <v>20</v>
      </c>
      <c r="I204" s="8" t="s">
        <v>21</v>
      </c>
    </row>
    <row r="205" spans="1:9" ht="111.9" x14ac:dyDescent="0.4">
      <c r="A205" s="6" t="s">
        <v>563</v>
      </c>
      <c r="B205" s="6" t="s">
        <v>564</v>
      </c>
      <c r="C205" s="6" t="s">
        <v>11</v>
      </c>
      <c r="D205" s="6" t="s">
        <v>12</v>
      </c>
      <c r="E205" s="6" t="str">
        <f>B201&amp;"; "&amp;B202</f>
        <v>P212_PYG; P213_SYG</v>
      </c>
      <c r="F205" s="14" t="s">
        <v>565</v>
      </c>
      <c r="G205" s="6" t="s">
        <v>566</v>
      </c>
      <c r="H205" s="7" t="s">
        <v>20</v>
      </c>
      <c r="I205" s="8" t="s">
        <v>21</v>
      </c>
    </row>
    <row r="206" spans="1:9" ht="24.9" x14ac:dyDescent="0.4">
      <c r="A206" s="6" t="s">
        <v>563</v>
      </c>
      <c r="B206" s="10" t="s">
        <v>567</v>
      </c>
      <c r="C206" s="6" t="s">
        <v>11</v>
      </c>
      <c r="D206" s="6" t="s">
        <v>16</v>
      </c>
      <c r="E206" s="6" t="s">
        <v>568</v>
      </c>
      <c r="F206" s="6" t="s">
        <v>568</v>
      </c>
      <c r="G206" s="6" t="s">
        <v>569</v>
      </c>
      <c r="H206" s="7" t="s">
        <v>20</v>
      </c>
      <c r="I206" s="8" t="s">
        <v>21</v>
      </c>
    </row>
    <row r="207" spans="1:9" ht="49.75" x14ac:dyDescent="0.4">
      <c r="A207" s="6" t="s">
        <v>563</v>
      </c>
      <c r="B207" s="6" t="s">
        <v>570</v>
      </c>
      <c r="C207" s="6" t="s">
        <v>11</v>
      </c>
      <c r="D207" s="6" t="s">
        <v>16</v>
      </c>
      <c r="E207" s="6" t="str">
        <f>B205&amp;"; "&amp;B206</f>
        <v>P239_PriLumpSumFactor; P240_PriLumpSumRate</v>
      </c>
      <c r="F207" s="14" t="s">
        <v>571</v>
      </c>
      <c r="G207" s="6" t="s">
        <v>572</v>
      </c>
      <c r="H207" s="7" t="s">
        <v>20</v>
      </c>
      <c r="I207" s="8" t="s">
        <v>21</v>
      </c>
    </row>
    <row r="208" spans="1:9" ht="24.9" x14ac:dyDescent="0.4">
      <c r="A208" s="13" t="s">
        <v>563</v>
      </c>
      <c r="B208" s="13" t="s">
        <v>573</v>
      </c>
      <c r="C208" s="13" t="s">
        <v>11</v>
      </c>
      <c r="D208" s="13" t="s">
        <v>16</v>
      </c>
      <c r="E208" s="13" t="str">
        <f>$B$2&amp;"; "&amp;B207&amp;"; "&amp;'[1]Variables-Products'!B12</f>
        <v>P001_1718DaysOpen; P241_Primary_Lump_Sum; P25_YearDays_1718</v>
      </c>
      <c r="F208" s="19" t="str">
        <f>" (P241_Primary_Lump_Sum) * P001_1718Days_Open"&amp;" / "&amp;'[1]Variables-Products'!B12</f>
        <v> (P241_Primary_Lump_Sum) * P001_1718Days_Open / P25_YearDays_1718</v>
      </c>
      <c r="G208" s="13" t="s">
        <v>572</v>
      </c>
      <c r="H208" s="7"/>
      <c r="I208" s="8"/>
    </row>
    <row r="209" spans="1:9" ht="111.9" x14ac:dyDescent="0.4">
      <c r="A209" s="6" t="s">
        <v>563</v>
      </c>
      <c r="B209" s="6" t="s">
        <v>574</v>
      </c>
      <c r="C209" s="6" t="s">
        <v>11</v>
      </c>
      <c r="D209" s="6" t="s">
        <v>12</v>
      </c>
      <c r="E209" s="6" t="s">
        <v>575</v>
      </c>
      <c r="F209" s="14" t="s">
        <v>576</v>
      </c>
      <c r="G209" s="6" t="s">
        <v>577</v>
      </c>
      <c r="H209" s="7" t="s">
        <v>20</v>
      </c>
      <c r="I209" s="8" t="s">
        <v>21</v>
      </c>
    </row>
    <row r="210" spans="1:9" ht="24.9" x14ac:dyDescent="0.4">
      <c r="A210" s="6" t="s">
        <v>563</v>
      </c>
      <c r="B210" s="10" t="s">
        <v>578</v>
      </c>
      <c r="C210" s="6" t="s">
        <v>11</v>
      </c>
      <c r="D210" s="6" t="s">
        <v>16</v>
      </c>
      <c r="E210" s="6" t="s">
        <v>579</v>
      </c>
      <c r="F210" s="6" t="s">
        <v>579</v>
      </c>
      <c r="G210" s="6" t="s">
        <v>580</v>
      </c>
      <c r="H210" s="7" t="s">
        <v>20</v>
      </c>
      <c r="I210" s="8" t="s">
        <v>21</v>
      </c>
    </row>
    <row r="211" spans="1:9" ht="49.75" x14ac:dyDescent="0.4">
      <c r="A211" s="6" t="s">
        <v>563</v>
      </c>
      <c r="B211" s="6" t="s">
        <v>581</v>
      </c>
      <c r="C211" s="6" t="s">
        <v>11</v>
      </c>
      <c r="D211" s="6" t="s">
        <v>16</v>
      </c>
      <c r="E211" s="6" t="str">
        <f>B209&amp;"; "&amp;B210</f>
        <v>P243_SecLumpSumFactor; P244_SecLumpSumRate</v>
      </c>
      <c r="F211" s="14" t="s">
        <v>582</v>
      </c>
      <c r="G211" s="6" t="s">
        <v>583</v>
      </c>
      <c r="H211" s="7" t="s">
        <v>20</v>
      </c>
      <c r="I211" s="8" t="s">
        <v>21</v>
      </c>
    </row>
    <row r="212" spans="1:9" ht="24.9" x14ac:dyDescent="0.4">
      <c r="A212" s="13" t="s">
        <v>563</v>
      </c>
      <c r="B212" s="13" t="s">
        <v>584</v>
      </c>
      <c r="C212" s="13" t="s">
        <v>11</v>
      </c>
      <c r="D212" s="13" t="s">
        <v>16</v>
      </c>
      <c r="E212" s="13" t="str">
        <f>$B$2&amp;"; "&amp;B211&amp;"; "&amp;'[1]Variables-Products'!B12</f>
        <v>P001_1718DaysOpen; P245_Secondary_Lump_Sum; P25_YearDays_1718</v>
      </c>
      <c r="F212" s="19" t="str">
        <f>"(P245_Secondary_Lump_Sum) * P001_1718Days_Open"&amp;" / "&amp;'[1]Variables-Products'!B12</f>
        <v>(P245_Secondary_Lump_Sum) * P001_1718Days_Open / P25_YearDays_1718</v>
      </c>
      <c r="G212" s="13" t="s">
        <v>583</v>
      </c>
      <c r="H212" s="7"/>
      <c r="I212" s="8"/>
    </row>
    <row r="213" spans="1:9" ht="24.9" x14ac:dyDescent="0.4">
      <c r="A213" s="6" t="s">
        <v>563</v>
      </c>
      <c r="B213" s="6" t="s">
        <v>585</v>
      </c>
      <c r="C213" s="6" t="s">
        <v>11</v>
      </c>
      <c r="D213" s="6" t="s">
        <v>16</v>
      </c>
      <c r="E213" s="6" t="str">
        <f>B207&amp;"; "&amp;B214</f>
        <v>P241_Primary_Lump_Sum; P247a_NSENLumpSumPri_Percent</v>
      </c>
      <c r="F213" s="6" t="str">
        <f>B207&amp;" * "&amp;B214</f>
        <v>P241_Primary_Lump_Sum * P247a_NSENLumpSumPri_Percent</v>
      </c>
      <c r="G213" s="6" t="s">
        <v>586</v>
      </c>
      <c r="H213" s="7"/>
      <c r="I213" s="8"/>
    </row>
    <row r="214" spans="1:9" ht="37.299999999999997" x14ac:dyDescent="0.4">
      <c r="A214" s="6" t="s">
        <v>563</v>
      </c>
      <c r="B214" s="6" t="s">
        <v>587</v>
      </c>
      <c r="C214" s="6" t="s">
        <v>11</v>
      </c>
      <c r="D214" s="6" t="s">
        <v>12</v>
      </c>
      <c r="E214" s="6" t="s">
        <v>17</v>
      </c>
      <c r="F214" s="6" t="s">
        <v>18</v>
      </c>
      <c r="G214" s="6" t="s">
        <v>588</v>
      </c>
      <c r="H214" s="7" t="s">
        <v>20</v>
      </c>
      <c r="I214" s="8" t="s">
        <v>21</v>
      </c>
    </row>
    <row r="215" spans="1:9" ht="24.9" x14ac:dyDescent="0.4">
      <c r="A215" s="6" t="s">
        <v>563</v>
      </c>
      <c r="B215" s="6" t="s">
        <v>589</v>
      </c>
      <c r="C215" s="6" t="s">
        <v>11</v>
      </c>
      <c r="D215" s="6" t="s">
        <v>16</v>
      </c>
      <c r="E215" s="6" t="str">
        <f>B211&amp;"; "&amp;B216</f>
        <v>P245_Secondary_Lump_Sum; P248a_NSENLumpSumSec_Percent</v>
      </c>
      <c r="F215" s="6" t="str">
        <f>B211&amp;" * "&amp;B216</f>
        <v>P245_Secondary_Lump_Sum * P248a_NSENLumpSumSec_Percent</v>
      </c>
      <c r="G215" s="6" t="s">
        <v>590</v>
      </c>
      <c r="H215" s="7"/>
      <c r="I215" s="8"/>
    </row>
    <row r="216" spans="1:9" ht="37.299999999999997" x14ac:dyDescent="0.4">
      <c r="A216" s="6" t="s">
        <v>563</v>
      </c>
      <c r="B216" s="6" t="s">
        <v>591</v>
      </c>
      <c r="C216" s="6" t="s">
        <v>11</v>
      </c>
      <c r="D216" s="6" t="s">
        <v>12</v>
      </c>
      <c r="E216" s="6" t="s">
        <v>17</v>
      </c>
      <c r="F216" s="6" t="s">
        <v>18</v>
      </c>
      <c r="G216" s="6" t="s">
        <v>592</v>
      </c>
      <c r="H216" s="7" t="s">
        <v>20</v>
      </c>
      <c r="I216" s="8" t="s">
        <v>21</v>
      </c>
    </row>
    <row r="217" spans="1:9" ht="24.9" x14ac:dyDescent="0.4">
      <c r="A217" s="6" t="s">
        <v>593</v>
      </c>
      <c r="B217" s="6" t="s">
        <v>594</v>
      </c>
      <c r="C217" s="6" t="s">
        <v>11</v>
      </c>
      <c r="D217" s="6" t="s">
        <v>16</v>
      </c>
      <c r="E217" s="6" t="s">
        <v>595</v>
      </c>
      <c r="F217" s="6" t="s">
        <v>596</v>
      </c>
      <c r="G217" s="6" t="s">
        <v>597</v>
      </c>
      <c r="H217" s="7" t="s">
        <v>20</v>
      </c>
      <c r="I217" s="8" t="s">
        <v>21</v>
      </c>
    </row>
    <row r="218" spans="1:9" x14ac:dyDescent="0.4">
      <c r="A218" s="6" t="s">
        <v>593</v>
      </c>
      <c r="B218" s="6" t="s">
        <v>598</v>
      </c>
      <c r="C218" s="6" t="s">
        <v>11</v>
      </c>
      <c r="D218" s="6" t="s">
        <v>16</v>
      </c>
      <c r="E218" s="6" t="str">
        <f>B217&amp;"; "&amp;B219</f>
        <v>P249_SplitSiteSubtotal; P250a_NSENSplitSites_Percent</v>
      </c>
      <c r="F218" s="6" t="str">
        <f>B217&amp;" * "&amp;B219</f>
        <v>P249_SplitSiteSubtotal * P250a_NSENSplitSites_Percent</v>
      </c>
      <c r="G218" s="6" t="s">
        <v>599</v>
      </c>
      <c r="H218" s="7"/>
      <c r="I218" s="8"/>
    </row>
    <row r="219" spans="1:9" ht="24.9" x14ac:dyDescent="0.4">
      <c r="A219" s="6" t="s">
        <v>593</v>
      </c>
      <c r="B219" s="6" t="s">
        <v>600</v>
      </c>
      <c r="C219" s="6" t="s">
        <v>11</v>
      </c>
      <c r="D219" s="6" t="s">
        <v>12</v>
      </c>
      <c r="E219" s="6" t="s">
        <v>17</v>
      </c>
      <c r="F219" s="6" t="s">
        <v>18</v>
      </c>
      <c r="G219" s="6" t="s">
        <v>601</v>
      </c>
      <c r="H219" s="7" t="s">
        <v>20</v>
      </c>
      <c r="I219" s="8" t="s">
        <v>21</v>
      </c>
    </row>
    <row r="220" spans="1:9" ht="24.9" x14ac:dyDescent="0.4">
      <c r="A220" s="13" t="s">
        <v>593</v>
      </c>
      <c r="B220" s="13" t="s">
        <v>602</v>
      </c>
      <c r="C220" s="13" t="s">
        <v>11</v>
      </c>
      <c r="D220" s="13" t="s">
        <v>16</v>
      </c>
      <c r="E220" s="13" t="str">
        <f>$B$2&amp;"; "&amp;B217&amp;"; "&amp;'[1]Variables-Products'!B12</f>
        <v>P001_1718DaysOpen; P249_SplitSiteSubtotal; P25_YearDays_1718</v>
      </c>
      <c r="F220" s="19" t="str">
        <f>"(P249_SplitSiteSubtotal) * P001_1718Days_Open"&amp;" / "&amp;'[1]Variables-Products'!B12</f>
        <v>(P249_SplitSiteSubtotal) * P001_1718Days_Open / P25_YearDays_1718</v>
      </c>
      <c r="G220" s="13" t="s">
        <v>603</v>
      </c>
      <c r="H220" s="7"/>
      <c r="I220" s="8"/>
    </row>
    <row r="221" spans="1:9" ht="24.9" x14ac:dyDescent="0.4">
      <c r="A221" s="6" t="s">
        <v>563</v>
      </c>
      <c r="B221" s="6" t="s">
        <v>604</v>
      </c>
      <c r="C221" s="6" t="s">
        <v>11</v>
      </c>
      <c r="D221" s="6" t="s">
        <v>16</v>
      </c>
      <c r="E221" s="6" t="s">
        <v>605</v>
      </c>
      <c r="F221" s="6" t="s">
        <v>606</v>
      </c>
      <c r="G221" s="6" t="s">
        <v>607</v>
      </c>
      <c r="H221" s="7" t="s">
        <v>20</v>
      </c>
      <c r="I221" s="8" t="s">
        <v>21</v>
      </c>
    </row>
    <row r="222" spans="1:9" x14ac:dyDescent="0.4">
      <c r="A222" s="6" t="s">
        <v>563</v>
      </c>
      <c r="B222" s="6" t="s">
        <v>608</v>
      </c>
      <c r="C222" s="6" t="s">
        <v>11</v>
      </c>
      <c r="D222" s="6" t="s">
        <v>16</v>
      </c>
      <c r="E222" s="6" t="str">
        <f>B221&amp;"; "&amp;B223</f>
        <v>P252_PFISubtotal; P253a_NSENPFI_Percent</v>
      </c>
      <c r="F222" s="6" t="str">
        <f>B221&amp;" * "&amp;B223</f>
        <v>P252_PFISubtotal * P253a_NSENPFI_Percent</v>
      </c>
      <c r="G222" s="6" t="s">
        <v>609</v>
      </c>
      <c r="H222" s="7"/>
      <c r="I222" s="8"/>
    </row>
    <row r="223" spans="1:9" ht="24.9" x14ac:dyDescent="0.4">
      <c r="A223" s="6" t="s">
        <v>563</v>
      </c>
      <c r="B223" s="6" t="s">
        <v>610</v>
      </c>
      <c r="C223" s="6" t="s">
        <v>11</v>
      </c>
      <c r="D223" s="6" t="s">
        <v>12</v>
      </c>
      <c r="E223" s="6" t="s">
        <v>17</v>
      </c>
      <c r="F223" s="6" t="s">
        <v>18</v>
      </c>
      <c r="G223" s="6" t="s">
        <v>611</v>
      </c>
      <c r="H223" s="7" t="s">
        <v>20</v>
      </c>
      <c r="I223" s="8" t="s">
        <v>21</v>
      </c>
    </row>
    <row r="224" spans="1:9" ht="24.9" x14ac:dyDescent="0.4">
      <c r="A224" s="13" t="s">
        <v>563</v>
      </c>
      <c r="B224" s="13" t="s">
        <v>612</v>
      </c>
      <c r="C224" s="13" t="s">
        <v>11</v>
      </c>
      <c r="D224" s="13" t="s">
        <v>16</v>
      </c>
      <c r="E224" s="13" t="str">
        <f>$B$2&amp;"; "&amp;B221&amp;"; "&amp;'[1]Variables-Products'!B12</f>
        <v>P001_1718DaysOpen; P252_PFISubtotal; P25_YearDays_1718</v>
      </c>
      <c r="F224" s="19" t="str">
        <f>"(P252_PFISubtotal) * P001_1718Days_Open"&amp;" / "&amp;'[1]Variables-Products'!B12</f>
        <v>(P252_PFISubtotal) * P001_1718Days_Open / P25_YearDays_1718</v>
      </c>
      <c r="G224" s="13" t="s">
        <v>613</v>
      </c>
      <c r="H224" s="7"/>
      <c r="I224" s="8"/>
    </row>
    <row r="225" spans="1:9" ht="236.15" x14ac:dyDescent="0.4">
      <c r="A225" s="6" t="s">
        <v>563</v>
      </c>
      <c r="B225" s="6" t="s">
        <v>614</v>
      </c>
      <c r="C225" s="6" t="s">
        <v>11</v>
      </c>
      <c r="D225" s="6" t="s">
        <v>16</v>
      </c>
      <c r="E225" s="6" t="s">
        <v>615</v>
      </c>
      <c r="F225" s="14" t="s">
        <v>616</v>
      </c>
      <c r="G225" s="6" t="s">
        <v>617</v>
      </c>
      <c r="H225" s="7" t="s">
        <v>20</v>
      </c>
      <c r="I225" s="8" t="s">
        <v>21</v>
      </c>
    </row>
    <row r="226" spans="1:9" ht="37.299999999999997" x14ac:dyDescent="0.4">
      <c r="A226" s="13" t="s">
        <v>563</v>
      </c>
      <c r="B226" s="13" t="s">
        <v>618</v>
      </c>
      <c r="C226" s="13" t="s">
        <v>11</v>
      </c>
      <c r="D226" s="13" t="s">
        <v>16</v>
      </c>
      <c r="E226" s="13" t="str">
        <f>$B$2&amp;"; "&amp;B225&amp;"; "&amp;'[1]Variables-Products'!B12</f>
        <v>P001_1718DaysOpen; P255_FringeSubtotal; P25_YearDays_1718</v>
      </c>
      <c r="F226" s="19" t="str">
        <f>"(P255_FringeSubtotal) * P001_1718Days_Open"&amp;"; "&amp;'[1]Variables-Products'!B12</f>
        <v>(P255_FringeSubtotal) * P001_1718Days_Open; P25_YearDays_1718</v>
      </c>
      <c r="G226" s="13" t="s">
        <v>619</v>
      </c>
      <c r="H226" s="7"/>
      <c r="I226" s="8"/>
    </row>
    <row r="227" spans="1:9" ht="49.75" x14ac:dyDescent="0.4">
      <c r="A227" s="6" t="s">
        <v>563</v>
      </c>
      <c r="B227" s="6" t="s">
        <v>620</v>
      </c>
      <c r="C227" s="6" t="s">
        <v>11</v>
      </c>
      <c r="D227" s="6" t="s">
        <v>16</v>
      </c>
      <c r="E227" s="6" t="s">
        <v>621</v>
      </c>
      <c r="F227" s="6" t="s">
        <v>622</v>
      </c>
      <c r="G227" s="6" t="s">
        <v>623</v>
      </c>
      <c r="H227" s="7" t="s">
        <v>20</v>
      </c>
      <c r="I227" s="8" t="s">
        <v>21</v>
      </c>
    </row>
    <row r="228" spans="1:9" ht="87" x14ac:dyDescent="0.4">
      <c r="A228" s="6" t="s">
        <v>563</v>
      </c>
      <c r="B228" s="6" t="s">
        <v>624</v>
      </c>
      <c r="C228" s="6" t="s">
        <v>11</v>
      </c>
      <c r="D228" s="6" t="s">
        <v>16</v>
      </c>
      <c r="E228" s="6" t="str">
        <f>B205&amp;"; "&amp;B209&amp;"; "&amp;B214&amp;"; "&amp;B216&amp;"; "&amp;B227</f>
        <v>P239_PriLumpSumFactor; P243_SecLumpSumFactor; P247a_NSENLumpSumPri_Percent; P248a_NSENLumpSumSec_Percent; P261_Ex1Subtotal</v>
      </c>
      <c r="F228" s="14" t="str">
        <f>"("&amp;B227&amp;" * "&amp;B205&amp;" * "&amp;B214&amp;") + ("&amp;B227&amp;" * "&amp;B209&amp;" * "&amp;B216&amp;")"</f>
        <v>(P261_Ex1Subtotal * P239_PriLumpSumFactor * P247a_NSENLumpSumPri_Percent) + (P261_Ex1Subtotal * P243_SecLumpSumFactor * P248a_NSENLumpSumSec_Percent)</v>
      </c>
      <c r="G228" s="6" t="s">
        <v>625</v>
      </c>
      <c r="H228" s="7"/>
      <c r="I228" s="8"/>
    </row>
    <row r="229" spans="1:9" ht="37.299999999999997" x14ac:dyDescent="0.4">
      <c r="A229" s="6" t="s">
        <v>563</v>
      </c>
      <c r="B229" s="6" t="s">
        <v>626</v>
      </c>
      <c r="C229" s="6" t="s">
        <v>11</v>
      </c>
      <c r="D229" s="6" t="s">
        <v>12</v>
      </c>
      <c r="E229" s="6" t="s">
        <v>17</v>
      </c>
      <c r="F229" s="6" t="s">
        <v>18</v>
      </c>
      <c r="G229" s="6" t="s">
        <v>627</v>
      </c>
      <c r="H229" s="7" t="s">
        <v>20</v>
      </c>
      <c r="I229" s="8" t="s">
        <v>21</v>
      </c>
    </row>
    <row r="230" spans="1:9" ht="62.15" x14ac:dyDescent="0.4">
      <c r="A230" s="13" t="s">
        <v>563</v>
      </c>
      <c r="B230" s="13" t="s">
        <v>628</v>
      </c>
      <c r="C230" s="13" t="s">
        <v>11</v>
      </c>
      <c r="D230" s="13" t="s">
        <v>16</v>
      </c>
      <c r="E230" s="13" t="str">
        <f>$B$2&amp;"; "&amp;B227&amp;"; "&amp;'[1]Variables-Products'!B12</f>
        <v>P001_1718DaysOpen; P261_Ex1Subtotal; P25_YearDays_1718</v>
      </c>
      <c r="F230" s="19" t="str">
        <f>"(P261_Ex1Subtotal) * P001_1718Days_Open"&amp;"; "&amp;'[1]Variables-Products'!B12</f>
        <v>(P261_Ex1Subtotal) * P001_1718Days_Open; P25_YearDays_1718</v>
      </c>
      <c r="G230" s="13" t="s">
        <v>629</v>
      </c>
      <c r="H230" s="7"/>
      <c r="I230" s="8"/>
    </row>
    <row r="231" spans="1:9" ht="49.75" x14ac:dyDescent="0.4">
      <c r="A231" s="6" t="s">
        <v>563</v>
      </c>
      <c r="B231" s="6" t="s">
        <v>630</v>
      </c>
      <c r="C231" s="6" t="s">
        <v>11</v>
      </c>
      <c r="D231" s="6" t="s">
        <v>16</v>
      </c>
      <c r="E231" s="6" t="s">
        <v>631</v>
      </c>
      <c r="F231" s="6" t="s">
        <v>632</v>
      </c>
      <c r="G231" s="6" t="s">
        <v>633</v>
      </c>
      <c r="H231" s="7" t="s">
        <v>20</v>
      </c>
      <c r="I231" s="8" t="s">
        <v>21</v>
      </c>
    </row>
    <row r="232" spans="1:9" ht="37.299999999999997" x14ac:dyDescent="0.4">
      <c r="A232" s="6" t="s">
        <v>563</v>
      </c>
      <c r="B232" s="6" t="s">
        <v>634</v>
      </c>
      <c r="C232" s="6" t="s">
        <v>11</v>
      </c>
      <c r="D232" s="6" t="s">
        <v>16</v>
      </c>
      <c r="E232" s="6" t="str">
        <f>B231&amp;"; "&amp;B233</f>
        <v>P265_Ex2Subtotal; P266a_NSENEx2_Percent</v>
      </c>
      <c r="F232" s="6" t="str">
        <f>B231&amp;" * "&amp;B233</f>
        <v>P265_Ex2Subtotal * P266a_NSENEx2_Percent</v>
      </c>
      <c r="G232" s="6" t="s">
        <v>635</v>
      </c>
      <c r="H232" s="7"/>
      <c r="I232" s="8"/>
    </row>
    <row r="233" spans="1:9" ht="37.299999999999997" x14ac:dyDescent="0.4">
      <c r="A233" s="6" t="s">
        <v>563</v>
      </c>
      <c r="B233" s="6" t="s">
        <v>636</v>
      </c>
      <c r="C233" s="6" t="s">
        <v>11</v>
      </c>
      <c r="D233" s="6" t="s">
        <v>12</v>
      </c>
      <c r="E233" s="6" t="s">
        <v>17</v>
      </c>
      <c r="F233" s="6" t="s">
        <v>18</v>
      </c>
      <c r="G233" s="6" t="s">
        <v>637</v>
      </c>
      <c r="H233" s="7" t="s">
        <v>20</v>
      </c>
      <c r="I233" s="8" t="s">
        <v>21</v>
      </c>
    </row>
    <row r="234" spans="1:9" ht="62.15" x14ac:dyDescent="0.4">
      <c r="A234" s="13" t="s">
        <v>563</v>
      </c>
      <c r="B234" s="13" t="s">
        <v>638</v>
      </c>
      <c r="C234" s="13" t="s">
        <v>11</v>
      </c>
      <c r="D234" s="13" t="s">
        <v>16</v>
      </c>
      <c r="E234" s="13" t="str">
        <f>$B$2&amp;"; "&amp;B231&amp;"; "&amp;'[1]Variables-Products'!B12</f>
        <v>P001_1718DaysOpen; P265_Ex2Subtotal; P25_YearDays_1718</v>
      </c>
      <c r="F234" s="19" t="str">
        <f>B231&amp;" * "&amp;$B$2&amp;" / "&amp;'[1]Variables-Products'!B12</f>
        <v>P265_Ex2Subtotal * P001_1718DaysOpen / P25_YearDays_1718</v>
      </c>
      <c r="G234" s="13" t="s">
        <v>639</v>
      </c>
      <c r="H234" s="7"/>
      <c r="I234" s="8"/>
    </row>
    <row r="235" spans="1:9" ht="37.299999999999997" x14ac:dyDescent="0.4">
      <c r="A235" s="6" t="s">
        <v>563</v>
      </c>
      <c r="B235" s="6" t="s">
        <v>640</v>
      </c>
      <c r="C235" s="6" t="s">
        <v>11</v>
      </c>
      <c r="D235" s="6" t="s">
        <v>16</v>
      </c>
      <c r="E235" s="6" t="s">
        <v>641</v>
      </c>
      <c r="F235" s="6" t="s">
        <v>642</v>
      </c>
      <c r="G235" s="6" t="s">
        <v>643</v>
      </c>
      <c r="H235" s="7" t="s">
        <v>20</v>
      </c>
      <c r="I235" s="8" t="s">
        <v>21</v>
      </c>
    </row>
    <row r="236" spans="1:9" ht="37.299999999999997" x14ac:dyDescent="0.4">
      <c r="A236" s="6" t="s">
        <v>563</v>
      </c>
      <c r="B236" s="6" t="s">
        <v>644</v>
      </c>
      <c r="C236" s="6" t="s">
        <v>11</v>
      </c>
      <c r="D236" s="6" t="s">
        <v>16</v>
      </c>
      <c r="E236" s="6" t="str">
        <f>B235&amp;"; "&amp;B237</f>
        <v>P269_Ex3Subtotal; P270a_NSENEx3_Percent</v>
      </c>
      <c r="F236" s="6" t="str">
        <f>B235&amp;" * "&amp;B237</f>
        <v>P269_Ex3Subtotal * P270a_NSENEx3_Percent</v>
      </c>
      <c r="G236" s="6" t="s">
        <v>645</v>
      </c>
      <c r="H236" s="7"/>
      <c r="I236" s="8"/>
    </row>
    <row r="237" spans="1:9" ht="37.299999999999997" x14ac:dyDescent="0.4">
      <c r="A237" s="6" t="s">
        <v>563</v>
      </c>
      <c r="B237" s="6" t="s">
        <v>646</v>
      </c>
      <c r="C237" s="6" t="s">
        <v>11</v>
      </c>
      <c r="D237" s="6" t="s">
        <v>12</v>
      </c>
      <c r="E237" s="6" t="s">
        <v>17</v>
      </c>
      <c r="F237" s="6" t="s">
        <v>18</v>
      </c>
      <c r="G237" s="6" t="s">
        <v>647</v>
      </c>
      <c r="H237" s="7" t="s">
        <v>20</v>
      </c>
      <c r="I237" s="8" t="s">
        <v>21</v>
      </c>
    </row>
    <row r="238" spans="1:9" ht="37.299999999999997" x14ac:dyDescent="0.4">
      <c r="A238" s="13" t="s">
        <v>563</v>
      </c>
      <c r="B238" s="13" t="s">
        <v>648</v>
      </c>
      <c r="C238" s="13" t="s">
        <v>11</v>
      </c>
      <c r="D238" s="13" t="s">
        <v>16</v>
      </c>
      <c r="E238" s="13" t="str">
        <f>$B$2&amp;"; "&amp;B235&amp;"; "&amp;'[1]Variables-Products'!B12</f>
        <v>P001_1718DaysOpen; P269_Ex3Subtotal; P25_YearDays_1718</v>
      </c>
      <c r="F238" s="19" t="str">
        <f>B235&amp;" * "&amp;$B$2&amp;" / "&amp;'[1]Variables-Products'!B12</f>
        <v>P269_Ex3Subtotal * P001_1718DaysOpen / P25_YearDays_1718</v>
      </c>
      <c r="G238" s="13" t="s">
        <v>649</v>
      </c>
      <c r="H238" s="7"/>
      <c r="I238" s="8"/>
    </row>
    <row r="239" spans="1:9" ht="37.299999999999997" x14ac:dyDescent="0.4">
      <c r="A239" s="6" t="s">
        <v>563</v>
      </c>
      <c r="B239" s="6" t="s">
        <v>650</v>
      </c>
      <c r="C239" s="6" t="s">
        <v>11</v>
      </c>
      <c r="D239" s="6" t="s">
        <v>16</v>
      </c>
      <c r="E239" s="6" t="s">
        <v>651</v>
      </c>
      <c r="F239" s="6" t="s">
        <v>652</v>
      </c>
      <c r="G239" s="6" t="s">
        <v>653</v>
      </c>
      <c r="H239" s="7" t="s">
        <v>20</v>
      </c>
      <c r="I239" s="8" t="s">
        <v>21</v>
      </c>
    </row>
    <row r="240" spans="1:9" ht="37.299999999999997" x14ac:dyDescent="0.4">
      <c r="A240" s="6" t="s">
        <v>563</v>
      </c>
      <c r="B240" s="6" t="s">
        <v>654</v>
      </c>
      <c r="C240" s="6" t="s">
        <v>11</v>
      </c>
      <c r="D240" s="6" t="s">
        <v>16</v>
      </c>
      <c r="E240" s="6" t="str">
        <f>B239&amp;"; "&amp;B241</f>
        <v>P273_Ex4Subtotal; P274a_NSENEx4_Percent</v>
      </c>
      <c r="F240" s="6" t="str">
        <f>B239&amp;" * "&amp;B241</f>
        <v>P273_Ex4Subtotal * P274a_NSENEx4_Percent</v>
      </c>
      <c r="G240" s="6" t="s">
        <v>655</v>
      </c>
      <c r="H240" s="7"/>
      <c r="I240" s="15"/>
    </row>
    <row r="241" spans="1:9" ht="37.299999999999997" x14ac:dyDescent="0.4">
      <c r="A241" s="6" t="s">
        <v>563</v>
      </c>
      <c r="B241" s="6" t="s">
        <v>656</v>
      </c>
      <c r="C241" s="6" t="s">
        <v>11</v>
      </c>
      <c r="D241" s="6" t="s">
        <v>12</v>
      </c>
      <c r="E241" s="6" t="s">
        <v>17</v>
      </c>
      <c r="F241" s="6" t="s">
        <v>18</v>
      </c>
      <c r="G241" s="6" t="s">
        <v>657</v>
      </c>
      <c r="H241" s="7" t="s">
        <v>20</v>
      </c>
      <c r="I241" s="8" t="s">
        <v>21</v>
      </c>
    </row>
    <row r="242" spans="1:9" ht="37.299999999999997" x14ac:dyDescent="0.4">
      <c r="A242" s="13" t="s">
        <v>563</v>
      </c>
      <c r="B242" s="13" t="s">
        <v>658</v>
      </c>
      <c r="C242" s="13" t="s">
        <v>11</v>
      </c>
      <c r="D242" s="13" t="s">
        <v>16</v>
      </c>
      <c r="E242" s="13" t="str">
        <f>$B$2&amp;"; "&amp;B239&amp;"; "&amp;'[1]Variables-Products'!B12</f>
        <v>P001_1718DaysOpen; P273_Ex4Subtotal; P25_YearDays_1718</v>
      </c>
      <c r="F242" s="19" t="str">
        <f>B239&amp;" * "&amp;$B$2&amp;" / "&amp;'[1]Variables-Products'!B12</f>
        <v>P273_Ex4Subtotal * P001_1718DaysOpen / P25_YearDays_1718</v>
      </c>
      <c r="G242" s="13" t="s">
        <v>659</v>
      </c>
      <c r="H242" s="7"/>
      <c r="I242" s="8"/>
    </row>
    <row r="243" spans="1:9" ht="37.299999999999997" x14ac:dyDescent="0.4">
      <c r="A243" s="6" t="s">
        <v>563</v>
      </c>
      <c r="B243" s="6" t="s">
        <v>660</v>
      </c>
      <c r="C243" s="6" t="s">
        <v>11</v>
      </c>
      <c r="D243" s="6" t="s">
        <v>16</v>
      </c>
      <c r="E243" s="6" t="s">
        <v>661</v>
      </c>
      <c r="F243" s="6" t="s">
        <v>662</v>
      </c>
      <c r="G243" s="6" t="s">
        <v>663</v>
      </c>
      <c r="H243" s="7" t="s">
        <v>20</v>
      </c>
      <c r="I243" s="8" t="s">
        <v>21</v>
      </c>
    </row>
    <row r="244" spans="1:9" ht="37.299999999999997" x14ac:dyDescent="0.4">
      <c r="A244" s="6" t="s">
        <v>563</v>
      </c>
      <c r="B244" s="6" t="s">
        <v>664</v>
      </c>
      <c r="C244" s="6" t="s">
        <v>11</v>
      </c>
      <c r="D244" s="6" t="s">
        <v>16</v>
      </c>
      <c r="E244" s="6" t="str">
        <f>B243&amp;"; "&amp;B245</f>
        <v>P277_Ex5Subtotal; P278a_NSENEx5_Percent</v>
      </c>
      <c r="F244" s="6" t="str">
        <f>B243&amp;" * "&amp;B245</f>
        <v>P277_Ex5Subtotal * P278a_NSENEx5_Percent</v>
      </c>
      <c r="G244" s="6" t="s">
        <v>665</v>
      </c>
      <c r="H244" s="7"/>
      <c r="I244" s="8"/>
    </row>
    <row r="245" spans="1:9" ht="37.299999999999997" x14ac:dyDescent="0.4">
      <c r="A245" s="6" t="s">
        <v>563</v>
      </c>
      <c r="B245" s="6" t="s">
        <v>666</v>
      </c>
      <c r="C245" s="6" t="s">
        <v>11</v>
      </c>
      <c r="D245" s="6" t="s">
        <v>12</v>
      </c>
      <c r="E245" s="6" t="s">
        <v>17</v>
      </c>
      <c r="F245" s="6" t="s">
        <v>18</v>
      </c>
      <c r="G245" s="6" t="s">
        <v>667</v>
      </c>
      <c r="H245" s="7" t="s">
        <v>20</v>
      </c>
      <c r="I245" s="8" t="s">
        <v>21</v>
      </c>
    </row>
    <row r="246" spans="1:9" ht="37.299999999999997" x14ac:dyDescent="0.4">
      <c r="A246" s="13" t="s">
        <v>563</v>
      </c>
      <c r="B246" s="13" t="s">
        <v>668</v>
      </c>
      <c r="C246" s="13" t="s">
        <v>11</v>
      </c>
      <c r="D246" s="13" t="s">
        <v>16</v>
      </c>
      <c r="E246" s="13" t="str">
        <f>$B$2&amp;"; "&amp;B243&amp;"; "&amp;'[1]Variables-Products'!B12</f>
        <v>P001_1718DaysOpen; P277_Ex5Subtotal; P25_YearDays_1718</v>
      </c>
      <c r="F246" s="19" t="str">
        <f>B243&amp;" * "&amp;$B$2&amp;" / "&amp;'[1]Variables-Products'!B12</f>
        <v>P277_Ex5Subtotal * P001_1718DaysOpen / P25_YearDays_1718</v>
      </c>
      <c r="G246" s="13" t="s">
        <v>669</v>
      </c>
      <c r="H246" s="7"/>
      <c r="I246" s="8"/>
    </row>
    <row r="247" spans="1:9" ht="49.75" x14ac:dyDescent="0.4">
      <c r="A247" s="6" t="s">
        <v>563</v>
      </c>
      <c r="B247" s="6" t="s">
        <v>670</v>
      </c>
      <c r="C247" s="6" t="s">
        <v>11</v>
      </c>
      <c r="D247" s="6" t="s">
        <v>16</v>
      </c>
      <c r="E247" s="6" t="s">
        <v>671</v>
      </c>
      <c r="F247" s="6" t="s">
        <v>672</v>
      </c>
      <c r="G247" s="6" t="s">
        <v>673</v>
      </c>
      <c r="H247" s="7" t="s">
        <v>20</v>
      </c>
      <c r="I247" s="8" t="s">
        <v>21</v>
      </c>
    </row>
    <row r="248" spans="1:9" ht="37.299999999999997" x14ac:dyDescent="0.4">
      <c r="A248" s="6" t="s">
        <v>563</v>
      </c>
      <c r="B248" s="6" t="s">
        <v>674</v>
      </c>
      <c r="C248" s="6" t="s">
        <v>11</v>
      </c>
      <c r="D248" s="6" t="s">
        <v>16</v>
      </c>
      <c r="E248" s="6" t="str">
        <f>B247&amp;"; "&amp;B249&amp;"; "&amp;B253&amp;"; "&amp;B255&amp;"; "&amp;B257</f>
        <v>P281_Ex6Subtotal; P282a_NSENEx6_Percent; P286_PriorYearAdjustmentSubtotal; P298_Growth; P300_SBSOutcomeAdjustment</v>
      </c>
      <c r="F248" s="6" t="str">
        <f>"("&amp;B247&amp;" - "&amp;B253&amp;" - "&amp;B255&amp;" - "&amp;B257&amp;") * "&amp;B249</f>
        <v>(P281_Ex6Subtotal - P286_PriorYearAdjustmentSubtotal - P298_Growth - P300_SBSOutcomeAdjustment) * P282a_NSENEx6_Percent</v>
      </c>
      <c r="G248" s="6" t="s">
        <v>675</v>
      </c>
      <c r="H248" s="7"/>
      <c r="I248" s="8"/>
    </row>
    <row r="249" spans="1:9" ht="37.299999999999997" x14ac:dyDescent="0.4">
      <c r="A249" s="6" t="s">
        <v>563</v>
      </c>
      <c r="B249" s="6" t="s">
        <v>676</v>
      </c>
      <c r="C249" s="6" t="s">
        <v>11</v>
      </c>
      <c r="D249" s="6" t="s">
        <v>12</v>
      </c>
      <c r="E249" s="6" t="s">
        <v>17</v>
      </c>
      <c r="F249" s="6" t="s">
        <v>18</v>
      </c>
      <c r="G249" s="6" t="s">
        <v>677</v>
      </c>
      <c r="H249" s="7" t="s">
        <v>20</v>
      </c>
      <c r="I249" s="8" t="s">
        <v>21</v>
      </c>
    </row>
    <row r="250" spans="1:9" ht="37.299999999999997" x14ac:dyDescent="0.4">
      <c r="A250" s="13" t="s">
        <v>563</v>
      </c>
      <c r="B250" s="13" t="s">
        <v>678</v>
      </c>
      <c r="C250" s="13" t="s">
        <v>11</v>
      </c>
      <c r="D250" s="13" t="s">
        <v>16</v>
      </c>
      <c r="E250" s="13" t="str">
        <f>$B$2&amp;"; "&amp;B247&amp;"; "&amp;'[1]Variables-Products'!B12</f>
        <v>P001_1718DaysOpen; P281_Ex6Subtotal; P25_YearDays_1718</v>
      </c>
      <c r="F250" s="19" t="str">
        <f>B247&amp;" * "&amp;$B$2&amp;" / "&amp;'[1]Variables-Products'!B12</f>
        <v>P281_Ex6Subtotal * P001_1718DaysOpen / P25_YearDays_1718</v>
      </c>
      <c r="G250" s="13" t="s">
        <v>679</v>
      </c>
      <c r="H250" s="7"/>
      <c r="I250" s="8"/>
    </row>
    <row r="251" spans="1:9" ht="273.45" x14ac:dyDescent="0.4">
      <c r="A251" s="6" t="s">
        <v>563</v>
      </c>
      <c r="B251" s="6" t="s">
        <v>680</v>
      </c>
      <c r="C251" s="6" t="s">
        <v>11</v>
      </c>
      <c r="D251" s="6" t="s">
        <v>16</v>
      </c>
      <c r="E251" s="6" t="s">
        <v>681</v>
      </c>
      <c r="F251" s="14" t="s">
        <v>682</v>
      </c>
      <c r="G251" s="6" t="s">
        <v>683</v>
      </c>
      <c r="H251" s="7" t="s">
        <v>20</v>
      </c>
      <c r="I251" s="8" t="s">
        <v>21</v>
      </c>
    </row>
    <row r="252" spans="1:9" ht="24.9" x14ac:dyDescent="0.4">
      <c r="A252" s="6" t="s">
        <v>563</v>
      </c>
      <c r="B252" s="6" t="s">
        <v>684</v>
      </c>
      <c r="C252" s="6" t="s">
        <v>11</v>
      </c>
      <c r="D252" s="6" t="s">
        <v>16</v>
      </c>
      <c r="E252" s="6" t="str">
        <f>" P001_1718DaysOpen; P284_NSENSubtotal"&amp;"; "&amp;'[1]Variables-Products'!B12</f>
        <v xml:space="preserve"> P001_1718DaysOpen; P284_NSENSubtotal; P25_YearDays_1718</v>
      </c>
      <c r="F252" s="14" t="str">
        <f>"(P284_NSENSubtotal) *  P001_1718Days_Open"&amp;" / "&amp;'[1]Variables-Products'!B12</f>
        <v>(P284_NSENSubtotal) *  P001_1718Days_Open / P25_YearDays_1718</v>
      </c>
      <c r="G252" s="6" t="s">
        <v>685</v>
      </c>
      <c r="H252" s="7"/>
      <c r="I252" s="8"/>
    </row>
    <row r="253" spans="1:9" ht="99.45" x14ac:dyDescent="0.4">
      <c r="A253" s="6" t="s">
        <v>563</v>
      </c>
      <c r="B253" s="6" t="s">
        <v>686</v>
      </c>
      <c r="C253" s="6" t="s">
        <v>11</v>
      </c>
      <c r="D253" s="6" t="s">
        <v>16</v>
      </c>
      <c r="E253" s="6" t="s">
        <v>17</v>
      </c>
      <c r="F253" s="6" t="s">
        <v>687</v>
      </c>
      <c r="G253" s="6" t="s">
        <v>688</v>
      </c>
      <c r="H253" s="7"/>
      <c r="I253" s="8"/>
    </row>
    <row r="254" spans="1:9" ht="24.9" x14ac:dyDescent="0.4">
      <c r="A254" s="13" t="s">
        <v>563</v>
      </c>
      <c r="B254" s="13" t="s">
        <v>689</v>
      </c>
      <c r="C254" s="13" t="s">
        <v>11</v>
      </c>
      <c r="D254" s="13" t="s">
        <v>16</v>
      </c>
      <c r="E254" s="13" t="str">
        <f>$B$2&amp;"; "&amp;B253&amp;"; "&amp;'[1]Variables-Products'!B12</f>
        <v>P001_1718DaysOpen; P286_PriorYearAdjustmentSubtotal; P25_YearDays_1718</v>
      </c>
      <c r="F254" s="19" t="str">
        <f>B253&amp;" * "&amp;$B$2&amp;" / "&amp;'[1]Variables-Products'!B12</f>
        <v>P286_PriorYearAdjustmentSubtotal * P001_1718DaysOpen / P25_YearDays_1718</v>
      </c>
      <c r="G254" s="19" t="s">
        <v>690</v>
      </c>
      <c r="H254" s="7"/>
      <c r="I254" s="8"/>
    </row>
    <row r="255" spans="1:9" ht="37.299999999999997" x14ac:dyDescent="0.4">
      <c r="A255" s="6" t="s">
        <v>563</v>
      </c>
      <c r="B255" s="6" t="s">
        <v>691</v>
      </c>
      <c r="C255" s="6" t="s">
        <v>11</v>
      </c>
      <c r="D255" s="6" t="s">
        <v>16</v>
      </c>
      <c r="E255" s="6" t="s">
        <v>17</v>
      </c>
      <c r="F255" s="14" t="s">
        <v>692</v>
      </c>
      <c r="G255" s="14" t="s">
        <v>693</v>
      </c>
      <c r="H255" s="7"/>
      <c r="I255" s="8"/>
    </row>
    <row r="256" spans="1:9" x14ac:dyDescent="0.4">
      <c r="A256" s="13" t="s">
        <v>563</v>
      </c>
      <c r="B256" s="13" t="s">
        <v>694</v>
      </c>
      <c r="C256" s="13" t="s">
        <v>11</v>
      </c>
      <c r="D256" s="13" t="s">
        <v>16</v>
      </c>
      <c r="E256" s="13" t="str">
        <f>$B$2&amp;"; "&amp;B255&amp;"; "&amp;'[1]Variables-Products'!B12</f>
        <v>P001_1718DaysOpen; P298_Growth; P25_YearDays_1718</v>
      </c>
      <c r="F256" s="19" t="str">
        <f>B255&amp;" * "&amp;$B$2&amp;" / "&amp;'[1]Variables-Products'!B12</f>
        <v>P298_Growth * P001_1718DaysOpen / P25_YearDays_1718</v>
      </c>
      <c r="G256" s="19" t="s">
        <v>690</v>
      </c>
      <c r="H256" s="7"/>
      <c r="I256" s="8"/>
    </row>
    <row r="257" spans="1:9" ht="87" x14ac:dyDescent="0.4">
      <c r="A257" s="6" t="s">
        <v>563</v>
      </c>
      <c r="B257" s="6" t="s">
        <v>695</v>
      </c>
      <c r="C257" s="6" t="s">
        <v>11</v>
      </c>
      <c r="D257" s="6" t="s">
        <v>16</v>
      </c>
      <c r="E257" s="6" t="s">
        <v>17</v>
      </c>
      <c r="F257" s="14" t="s">
        <v>696</v>
      </c>
      <c r="G257" s="14" t="s">
        <v>697</v>
      </c>
      <c r="H257" s="7"/>
      <c r="I257" s="8"/>
    </row>
    <row r="258" spans="1:9" ht="24.9" x14ac:dyDescent="0.4">
      <c r="A258" s="13" t="s">
        <v>563</v>
      </c>
      <c r="B258" s="13" t="s">
        <v>698</v>
      </c>
      <c r="C258" s="13" t="s">
        <v>11</v>
      </c>
      <c r="D258" s="13" t="s">
        <v>16</v>
      </c>
      <c r="E258" s="13" t="str">
        <f>$B$2&amp;"; "&amp;B257&amp;"; "&amp;'[1]Variables-Products'!B12</f>
        <v>P001_1718DaysOpen; P300_SBSOutcomeAdjustment; P25_YearDays_1718</v>
      </c>
      <c r="F258" s="19" t="str">
        <f>B257&amp;" * "&amp;$B$2&amp;" / "&amp;'[1]Variables-Products'!B12</f>
        <v>P300_SBSOutcomeAdjustment * P001_1718DaysOpen / P25_YearDays_1718</v>
      </c>
      <c r="G258" s="19" t="s">
        <v>690</v>
      </c>
      <c r="H258" s="7"/>
      <c r="I258" s="8"/>
    </row>
    <row r="259" spans="1:9" ht="37.299999999999997" x14ac:dyDescent="0.4">
      <c r="A259" s="11" t="s">
        <v>9</v>
      </c>
      <c r="B259" s="11" t="s">
        <v>699</v>
      </c>
      <c r="C259" s="11" t="s">
        <v>11</v>
      </c>
      <c r="D259" s="11" t="s">
        <v>16</v>
      </c>
      <c r="E259" s="6" t="str">
        <f>$B$207&amp;"; "&amp;$B$211</f>
        <v>P241_Primary_Lump_Sum; P245_Secondary_Lump_Sum</v>
      </c>
      <c r="F259" s="6" t="str">
        <f>$B$207&amp;" + "&amp;$B$211</f>
        <v>P241_Primary_Lump_Sum + P245_Secondary_Lump_Sum</v>
      </c>
      <c r="G259" s="6" t="s">
        <v>700</v>
      </c>
      <c r="H259" s="7"/>
      <c r="I259" s="8"/>
    </row>
    <row r="260" spans="1:9" ht="37.299999999999997" x14ac:dyDescent="0.4">
      <c r="A260" s="11" t="s">
        <v>9</v>
      </c>
      <c r="B260" s="11" t="s">
        <v>701</v>
      </c>
      <c r="C260" s="11" t="s">
        <v>11</v>
      </c>
      <c r="D260" s="11" t="s">
        <v>16</v>
      </c>
      <c r="E260" s="6" t="str">
        <f>$B$208&amp;"; "&amp;$B$212</f>
        <v>P242_InYearPriLumpSumSubtotal; P246_In YearSecLumpSumSubtotal</v>
      </c>
      <c r="F260" s="6" t="str">
        <f>$B$208&amp;" + "&amp;$B$212</f>
        <v>P242_InYearPriLumpSumSubtotal + P246_In YearSecLumpSumSubtotal</v>
      </c>
      <c r="G260" s="6" t="s">
        <v>702</v>
      </c>
      <c r="H260" s="7"/>
      <c r="I260" s="8"/>
    </row>
    <row r="261" spans="1:9" s="16" customFormat="1" ht="186.45" x14ac:dyDescent="0.4">
      <c r="A261" s="6" t="s">
        <v>9</v>
      </c>
      <c r="B261" s="6" t="s">
        <v>703</v>
      </c>
      <c r="C261" s="6" t="s">
        <v>11</v>
      </c>
      <c r="D261" s="6" t="s">
        <v>16</v>
      </c>
      <c r="E261" s="6" t="s">
        <v>704</v>
      </c>
      <c r="F261" s="6" t="s">
        <v>705</v>
      </c>
      <c r="G261" s="6" t="s">
        <v>706</v>
      </c>
      <c r="H261" s="7" t="s">
        <v>20</v>
      </c>
      <c r="I261" s="20" t="s">
        <v>21</v>
      </c>
    </row>
    <row r="262" spans="1:9" ht="248.6" x14ac:dyDescent="0.4">
      <c r="A262" s="6" t="s">
        <v>9</v>
      </c>
      <c r="B262" s="6" t="s">
        <v>707</v>
      </c>
      <c r="C262" s="6" t="s">
        <v>11</v>
      </c>
      <c r="D262" s="6" t="s">
        <v>16</v>
      </c>
      <c r="E262" s="6" t="s">
        <v>708</v>
      </c>
      <c r="F262" s="6" t="s">
        <v>709</v>
      </c>
      <c r="G262" s="6" t="s">
        <v>710</v>
      </c>
      <c r="H262" s="7"/>
      <c r="I262" s="8"/>
    </row>
    <row r="263" spans="1:9" ht="49.75" x14ac:dyDescent="0.4">
      <c r="A263" s="6" t="s">
        <v>9</v>
      </c>
      <c r="B263" s="10" t="s">
        <v>711</v>
      </c>
      <c r="C263" s="6" t="s">
        <v>11</v>
      </c>
      <c r="D263" s="6" t="s">
        <v>16</v>
      </c>
      <c r="E263" s="6" t="s">
        <v>712</v>
      </c>
      <c r="F263" s="6" t="s">
        <v>713</v>
      </c>
      <c r="G263" s="21" t="s">
        <v>714</v>
      </c>
      <c r="H263" s="7"/>
      <c r="I263" s="8"/>
    </row>
    <row r="264" spans="1:9" ht="124.3" x14ac:dyDescent="0.4">
      <c r="A264" s="6" t="s">
        <v>9</v>
      </c>
      <c r="B264" s="6" t="s">
        <v>715</v>
      </c>
      <c r="C264" s="6" t="s">
        <v>11</v>
      </c>
      <c r="D264" s="6" t="s">
        <v>16</v>
      </c>
      <c r="E264" s="6" t="s">
        <v>716</v>
      </c>
      <c r="F264" s="6" t="s">
        <v>717</v>
      </c>
      <c r="G264" s="6" t="s">
        <v>718</v>
      </c>
      <c r="H264" s="7" t="s">
        <v>20</v>
      </c>
      <c r="I264" s="20" t="s">
        <v>21</v>
      </c>
    </row>
    <row r="265" spans="1:9" ht="174" x14ac:dyDescent="0.4">
      <c r="A265" s="6" t="s">
        <v>9</v>
      </c>
      <c r="B265" s="6" t="s">
        <v>719</v>
      </c>
      <c r="C265" s="6" t="s">
        <v>11</v>
      </c>
      <c r="D265" s="6" t="s">
        <v>16</v>
      </c>
      <c r="E265" s="6" t="s">
        <v>720</v>
      </c>
      <c r="F265" s="6" t="s">
        <v>721</v>
      </c>
      <c r="G265" s="6" t="s">
        <v>722</v>
      </c>
      <c r="H265" s="7"/>
      <c r="I265" s="8"/>
    </row>
    <row r="266" spans="1:9" ht="62.15" x14ac:dyDescent="0.4">
      <c r="A266" s="6" t="s">
        <v>9</v>
      </c>
      <c r="B266" s="6" t="s">
        <v>723</v>
      </c>
      <c r="C266" s="6" t="s">
        <v>11</v>
      </c>
      <c r="D266" s="6" t="s">
        <v>16</v>
      </c>
      <c r="E266" s="6" t="s">
        <v>724</v>
      </c>
      <c r="F266" s="6" t="s">
        <v>725</v>
      </c>
      <c r="G266" s="6" t="s">
        <v>726</v>
      </c>
      <c r="H266" s="7"/>
      <c r="I266" s="8"/>
    </row>
    <row r="267" spans="1:9" ht="37.299999999999997" x14ac:dyDescent="0.4">
      <c r="A267" s="6" t="s">
        <v>9</v>
      </c>
      <c r="B267" s="6" t="s">
        <v>727</v>
      </c>
      <c r="C267" s="6" t="s">
        <v>11</v>
      </c>
      <c r="D267" s="6" t="s">
        <v>16</v>
      </c>
      <c r="E267" s="6" t="str">
        <f>B207&amp;"; "&amp;B211&amp;"; "&amp;B219&amp;"; "&amp;B223&amp;"; "&amp;B225&amp;"; P197_SparsityLumpSumSubtotal; P198_SparsityTaperSubtotal"</f>
        <v>P241_Primary_Lump_Sum; P245_Secondary_Lump_Sum; P250a_NSENSplitSites_Percent; P253a_NSENPFI_Percent; P255_FringeSubtotal; P197_SparsityLumpSumSubtotal; P198_SparsityTaperSubtotal</v>
      </c>
      <c r="F267" s="6" t="str">
        <f>B207&amp;" + "&amp;B211&amp;" + "&amp;B219&amp;" + "&amp;B223&amp;" + "&amp;B225&amp;" + P197_SparsityLumpSumSubtotal + P198_SparsityTaperSubtotal "</f>
        <v xml:space="preserve">P241_Primary_Lump_Sum + P245_Secondary_Lump_Sum + P250a_NSENSplitSites_Percent + P253a_NSENPFI_Percent + P255_FringeSubtotal + P197_SparsityLumpSumSubtotal + P198_SparsityTaperSubtotal </v>
      </c>
      <c r="G267" s="6" t="s">
        <v>728</v>
      </c>
      <c r="H267" s="7" t="s">
        <v>20</v>
      </c>
      <c r="I267" s="20" t="s">
        <v>21</v>
      </c>
    </row>
    <row r="268" spans="1:9" ht="74.599999999999994" x14ac:dyDescent="0.4">
      <c r="A268" s="6" t="s">
        <v>9</v>
      </c>
      <c r="B268" s="6" t="s">
        <v>729</v>
      </c>
      <c r="C268" s="6" t="s">
        <v>11</v>
      </c>
      <c r="D268" s="6" t="s">
        <v>16</v>
      </c>
      <c r="E268" s="6" t="s">
        <v>730</v>
      </c>
      <c r="F268" s="6" t="s">
        <v>731</v>
      </c>
      <c r="G268" s="6" t="s">
        <v>732</v>
      </c>
      <c r="H268" s="7"/>
      <c r="I268" s="8"/>
    </row>
    <row r="269" spans="1:9" ht="49.75" x14ac:dyDescent="0.4">
      <c r="A269" s="6" t="s">
        <v>9</v>
      </c>
      <c r="B269" s="6" t="s">
        <v>733</v>
      </c>
      <c r="C269" s="6" t="s">
        <v>11</v>
      </c>
      <c r="D269" s="6" t="s">
        <v>16</v>
      </c>
      <c r="E269" s="6" t="s">
        <v>734</v>
      </c>
      <c r="F269" s="6" t="s">
        <v>735</v>
      </c>
      <c r="G269" s="6" t="s">
        <v>736</v>
      </c>
      <c r="H269" s="7"/>
      <c r="I269" s="8"/>
    </row>
    <row r="270" spans="1:9" ht="25.75" x14ac:dyDescent="0.4">
      <c r="A270" s="14" t="s">
        <v>9</v>
      </c>
      <c r="B270" s="22" t="s">
        <v>737</v>
      </c>
      <c r="C270" s="14" t="s">
        <v>11</v>
      </c>
      <c r="D270" s="14" t="s">
        <v>16</v>
      </c>
      <c r="E270" s="22" t="s">
        <v>738</v>
      </c>
      <c r="F270" s="22" t="s">
        <v>739</v>
      </c>
      <c r="G270" s="23" t="s">
        <v>740</v>
      </c>
      <c r="H270" s="7"/>
      <c r="I270" s="8"/>
    </row>
    <row r="271" spans="1:9" ht="25.75" x14ac:dyDescent="0.4">
      <c r="A271" s="14" t="s">
        <v>9</v>
      </c>
      <c r="B271" s="22" t="s">
        <v>741</v>
      </c>
      <c r="C271" s="14" t="s">
        <v>11</v>
      </c>
      <c r="D271" s="14" t="s">
        <v>16</v>
      </c>
      <c r="E271" s="22" t="str">
        <f>B2&amp;"; "&amp;B270&amp;"; "&amp;'[1]Variables-Products'!B12</f>
        <v>P001_1718DaysOpen; P295_Dedelegation; P25_YearDays_1718</v>
      </c>
      <c r="F271" s="22" t="str">
        <f>"(P295_Dedelegation) * P001_1718Days_Open"&amp;" / "&amp;'[1]Variables-Products'!B12</f>
        <v>(P295_Dedelegation) * P001_1718Days_Open / P25_YearDays_1718</v>
      </c>
      <c r="G271" s="23" t="s">
        <v>742</v>
      </c>
      <c r="H271" s="7"/>
      <c r="I271" s="8"/>
    </row>
    <row r="272" spans="1:9" ht="111.9" x14ac:dyDescent="0.4">
      <c r="A272" s="24" t="s">
        <v>743</v>
      </c>
      <c r="B272" s="6" t="s">
        <v>744</v>
      </c>
      <c r="C272" s="14" t="s">
        <v>11</v>
      </c>
      <c r="D272" s="6" t="s">
        <v>16</v>
      </c>
      <c r="E272" s="6" t="str">
        <f>B2&amp;" ; "&amp;B270</f>
        <v>P001_1718DaysOpen ; P295_Dedelegation</v>
      </c>
      <c r="F272" s="6" t="s">
        <v>745</v>
      </c>
      <c r="G272" s="24" t="s">
        <v>746</v>
      </c>
      <c r="H272" s="7"/>
      <c r="I272" s="8"/>
    </row>
    <row r="273" spans="1:9" ht="24.9" x14ac:dyDescent="0.4">
      <c r="A273" s="25" t="s">
        <v>747</v>
      </c>
      <c r="B273" s="10" t="s">
        <v>748</v>
      </c>
      <c r="C273" s="25" t="s">
        <v>11</v>
      </c>
      <c r="D273" s="10" t="s">
        <v>16</v>
      </c>
      <c r="E273" s="10" t="str">
        <f>B227&amp;"; "&amp;B231&amp;"; "&amp;B235&amp;"; "&amp;B239&amp;"; "&amp;B243&amp;"; "&amp;B247</f>
        <v>P261_Ex1Subtotal; P265_Ex2Subtotal; P269_Ex3Subtotal; P273_Ex4Subtotal; P277_Ex5Subtotal; P281_Ex6Subtotal</v>
      </c>
      <c r="F273" s="10" t="str">
        <f>B227&amp;" + "&amp;B231&amp;" + "&amp;B235&amp;" + "&amp;B239&amp;" + "&amp;B243&amp;" + "&amp;B247</f>
        <v>P261_Ex1Subtotal + P265_Ex2Subtotal + P269_Ex3Subtotal + P273_Ex4Subtotal + P277_Ex5Subtotal + P281_Ex6Subtotal</v>
      </c>
      <c r="G273" s="25" t="s">
        <v>749</v>
      </c>
      <c r="H273" s="7" t="s">
        <v>20</v>
      </c>
      <c r="I273" s="20" t="s">
        <v>21</v>
      </c>
    </row>
    <row r="274" spans="1:9" ht="24.9" x14ac:dyDescent="0.4">
      <c r="A274" s="25" t="s">
        <v>747</v>
      </c>
      <c r="B274" s="10" t="s">
        <v>750</v>
      </c>
      <c r="C274" s="25" t="s">
        <v>11</v>
      </c>
      <c r="D274" s="10" t="s">
        <v>16</v>
      </c>
      <c r="E274" s="10" t="str">
        <f>B195&amp;"; "&amp;B196</f>
        <v>P197_SparsityLumpSumSubtotal; P198_SparsityTaperSubtotal</v>
      </c>
      <c r="F274" s="10" t="str">
        <f>B195&amp;" + "&amp;B196</f>
        <v>P197_SparsityLumpSumSubtotal + P198_SparsityTaperSubtotal</v>
      </c>
      <c r="G274" s="25" t="s">
        <v>751</v>
      </c>
      <c r="H274" s="7" t="s">
        <v>20</v>
      </c>
      <c r="I274" s="20" t="s">
        <v>21</v>
      </c>
    </row>
  </sheetData>
  <autoFilter ref="A1:XCT1"/>
  <dataValidations count="2">
    <dataValidation type="list" allowBlank="1" showInputMessage="1" showErrorMessage="1" sqref="H2 H259:H271 H38:H109 H3:H17 H18:H37 H110:H115 H205:H258 H143:H170 H273:H274 H171:H182 H272 H183:H204 H116:H142">
      <formula1>"Yes, No"</formula1>
    </dataValidation>
    <dataValidation type="list" allowBlank="1" showInputMessage="1" showErrorMessage="1" sqref="D272 D273:D274">
      <formula1>"Money, Pupil Numbers, Other"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14" sqref="A1:D14"/>
    </sheetView>
  </sheetViews>
  <sheetFormatPr defaultRowHeight="14.6" x14ac:dyDescent="0.4"/>
  <cols>
    <col min="1" max="1" width="32.15234375" bestFit="1" customWidth="1"/>
    <col min="2" max="2" width="24.69140625" bestFit="1" customWidth="1"/>
    <col min="3" max="3" width="17.84375" bestFit="1" customWidth="1"/>
  </cols>
  <sheetData>
    <row r="1" spans="1:4" x14ac:dyDescent="0.4">
      <c r="A1" t="s">
        <v>759</v>
      </c>
      <c r="B1" t="s">
        <v>758</v>
      </c>
      <c r="C1" t="s">
        <v>760</v>
      </c>
      <c r="D1" t="s">
        <v>6</v>
      </c>
    </row>
    <row r="2" spans="1:4" x14ac:dyDescent="0.4">
      <c r="A2" t="s">
        <v>761</v>
      </c>
      <c r="B2" t="s">
        <v>757</v>
      </c>
    </row>
    <row r="3" spans="1:4" x14ac:dyDescent="0.4">
      <c r="A3" t="s">
        <v>762</v>
      </c>
      <c r="B3" s="32" t="s">
        <v>14</v>
      </c>
      <c r="C3" t="s">
        <v>757</v>
      </c>
    </row>
    <row r="4" spans="1:4" x14ac:dyDescent="0.4">
      <c r="A4" t="s">
        <v>763</v>
      </c>
      <c r="B4" s="32" t="s">
        <v>743</v>
      </c>
      <c r="C4" t="s">
        <v>757</v>
      </c>
    </row>
    <row r="5" spans="1:4" x14ac:dyDescent="0.4">
      <c r="A5" t="s">
        <v>764</v>
      </c>
      <c r="B5" s="32" t="s">
        <v>388</v>
      </c>
      <c r="C5" t="s">
        <v>757</v>
      </c>
    </row>
    <row r="6" spans="1:4" x14ac:dyDescent="0.4">
      <c r="A6" t="s">
        <v>765</v>
      </c>
      <c r="B6" s="32" t="s">
        <v>50</v>
      </c>
      <c r="C6" t="s">
        <v>757</v>
      </c>
    </row>
    <row r="7" spans="1:4" x14ac:dyDescent="0.4">
      <c r="A7" s="33" t="s">
        <v>766</v>
      </c>
      <c r="B7" s="32" t="s">
        <v>107</v>
      </c>
      <c r="C7" t="s">
        <v>757</v>
      </c>
    </row>
    <row r="8" spans="1:4" x14ac:dyDescent="0.4">
      <c r="A8" t="s">
        <v>767</v>
      </c>
      <c r="B8" s="32" t="s">
        <v>300</v>
      </c>
      <c r="C8" t="s">
        <v>757</v>
      </c>
    </row>
    <row r="9" spans="1:4" x14ac:dyDescent="0.4">
      <c r="A9" s="33" t="s">
        <v>768</v>
      </c>
      <c r="B9" s="32" t="s">
        <v>469</v>
      </c>
      <c r="C9" t="s">
        <v>757</v>
      </c>
    </row>
    <row r="10" spans="1:4" x14ac:dyDescent="0.4">
      <c r="A10" t="s">
        <v>769</v>
      </c>
      <c r="B10" s="32" t="s">
        <v>563</v>
      </c>
      <c r="C10" t="s">
        <v>757</v>
      </c>
    </row>
    <row r="11" spans="1:4" x14ac:dyDescent="0.4">
      <c r="A11" t="s">
        <v>770</v>
      </c>
      <c r="B11" s="32" t="s">
        <v>316</v>
      </c>
      <c r="C11" t="s">
        <v>757</v>
      </c>
    </row>
    <row r="12" spans="1:4" x14ac:dyDescent="0.4">
      <c r="A12" t="s">
        <v>771</v>
      </c>
      <c r="B12" s="32" t="s">
        <v>500</v>
      </c>
      <c r="C12" t="s">
        <v>757</v>
      </c>
    </row>
    <row r="13" spans="1:4" x14ac:dyDescent="0.4">
      <c r="A13" t="s">
        <v>772</v>
      </c>
      <c r="B13" s="32" t="s">
        <v>593</v>
      </c>
      <c r="C13" t="s">
        <v>757</v>
      </c>
    </row>
    <row r="14" spans="1:4" x14ac:dyDescent="0.4">
      <c r="A14" t="s">
        <v>773</v>
      </c>
      <c r="B14" s="32" t="s">
        <v>9</v>
      </c>
      <c r="C14" t="s">
        <v>757</v>
      </c>
    </row>
    <row r="15" spans="1:4" x14ac:dyDescent="0.4">
      <c r="B15"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Specification</vt:lpstr>
      <vt:lpstr>Spec</vt:lpstr>
      <vt:lpstr>Calculations</vt:lpstr>
      <vt:lpstr>Policies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STEPHENSON, Gavin</dc:creator>
  <cp:lastModifiedBy>Matt Hammond</cp:lastModifiedBy>
  <dcterms:created xsi:type="dcterms:W3CDTF">2017-12-12T12:17:53Z</dcterms:created>
  <dcterms:modified xsi:type="dcterms:W3CDTF">2017-12-13T12:19:12Z</dcterms:modified>
</cp:coreProperties>
</file>