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mondata\Documents\TrabajoLemon\CrecimientoPersonal\UTN\E\"/>
    </mc:Choice>
  </mc:AlternateContent>
  <xr:revisionPtr revIDLastSave="0" documentId="13_ncr:1_{62150D11-012D-4951-960B-9BAD4AA757A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Gastos" sheetId="2" r:id="rId2"/>
    <sheet name="GastosAcotados" sheetId="3" r:id="rId3"/>
    <sheet name="Hoja2 Acotad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4" l="1"/>
  <c r="D54" i="4"/>
  <c r="D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B15" i="4"/>
  <c r="B12" i="4"/>
  <c r="B13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B9" i="4"/>
  <c r="B8" i="4"/>
  <c r="K5" i="3"/>
  <c r="L5" i="3"/>
  <c r="M5" i="3"/>
  <c r="N5" i="3"/>
  <c r="O5" i="3"/>
  <c r="P5" i="3"/>
  <c r="Q5" i="3"/>
  <c r="R5" i="3"/>
  <c r="S5" i="3"/>
  <c r="J5" i="3"/>
  <c r="L4" i="3"/>
  <c r="M4" i="3"/>
  <c r="N4" i="3"/>
  <c r="O4" i="3"/>
  <c r="P4" i="3"/>
  <c r="Q4" i="3"/>
  <c r="R4" i="3"/>
  <c r="S4" i="3"/>
  <c r="K4" i="3"/>
  <c r="I5" i="3"/>
  <c r="J4" i="3"/>
  <c r="E16" i="3"/>
  <c r="F15" i="3"/>
  <c r="F14" i="3"/>
  <c r="F13" i="3"/>
  <c r="F12" i="3"/>
  <c r="F11" i="3"/>
  <c r="F10" i="3"/>
  <c r="F9" i="3"/>
  <c r="F8" i="3"/>
  <c r="F7" i="3"/>
  <c r="F6" i="3"/>
  <c r="F5" i="3"/>
  <c r="D52" i="1"/>
  <c r="D54" i="1"/>
  <c r="D56" i="1"/>
  <c r="B10" i="4" l="1"/>
  <c r="H19" i="4"/>
  <c r="I19" i="4" s="1"/>
  <c r="F16" i="3"/>
  <c r="B15" i="1"/>
  <c r="J27" i="2"/>
  <c r="J26" i="2"/>
  <c r="J25" i="2"/>
  <c r="J24" i="2"/>
  <c r="I5" i="2"/>
  <c r="L5" i="2" s="1"/>
  <c r="I25" i="2"/>
  <c r="I24" i="2"/>
  <c r="E59" i="2"/>
  <c r="K24" i="2" s="1"/>
  <c r="D57" i="2"/>
  <c r="C54" i="2"/>
  <c r="D52" i="2"/>
  <c r="D50" i="2"/>
  <c r="D48" i="2"/>
  <c r="D46" i="2"/>
  <c r="D45" i="2"/>
  <c r="E41" i="2"/>
  <c r="K25" i="2" s="1"/>
  <c r="D39" i="2"/>
  <c r="D38" i="2"/>
  <c r="D37" i="2"/>
  <c r="D32" i="2"/>
  <c r="D30" i="2"/>
  <c r="D29" i="2"/>
  <c r="D27" i="2"/>
  <c r="D25" i="2"/>
  <c r="H20" i="4" l="1"/>
  <c r="I20" i="4" s="1"/>
  <c r="I26" i="2"/>
  <c r="I27" i="2" s="1"/>
  <c r="N5" i="2"/>
  <c r="O5" i="2"/>
  <c r="Q5" i="2"/>
  <c r="P5" i="2"/>
  <c r="D54" i="2"/>
  <c r="D58" i="2" s="1"/>
  <c r="F58" i="2" s="1"/>
  <c r="L24" i="2" s="1"/>
  <c r="S5" i="2"/>
  <c r="R5" i="2"/>
  <c r="K26" i="2"/>
  <c r="K27" i="2" s="1"/>
  <c r="K5" i="2"/>
  <c r="M5" i="2"/>
  <c r="D34" i="2"/>
  <c r="D40" i="2" s="1"/>
  <c r="F40" i="2" s="1"/>
  <c r="E6" i="2"/>
  <c r="E7" i="2"/>
  <c r="E8" i="2"/>
  <c r="E9" i="2"/>
  <c r="E10" i="2"/>
  <c r="E11" i="2"/>
  <c r="E12" i="2"/>
  <c r="E13" i="2"/>
  <c r="E14" i="2"/>
  <c r="E15" i="2"/>
  <c r="E5" i="2"/>
  <c r="D16" i="2"/>
  <c r="H6" i="2" s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B12" i="1"/>
  <c r="B13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B9" i="1"/>
  <c r="B8" i="1"/>
  <c r="H21" i="4" l="1"/>
  <c r="I21" i="4"/>
  <c r="H22" i="4"/>
  <c r="F59" i="2"/>
  <c r="M24" i="2" s="1"/>
  <c r="I6" i="2"/>
  <c r="O6" i="2"/>
  <c r="P6" i="2"/>
  <c r="Q6" i="2"/>
  <c r="K6" i="2"/>
  <c r="R6" i="2"/>
  <c r="L6" i="2"/>
  <c r="S6" i="2"/>
  <c r="M6" i="2"/>
  <c r="N6" i="2"/>
  <c r="E16" i="2"/>
  <c r="D18" i="2"/>
  <c r="E18" i="2" s="1"/>
  <c r="L25" i="2"/>
  <c r="L26" i="2" s="1"/>
  <c r="L27" i="2" s="1"/>
  <c r="F41" i="2"/>
  <c r="M25" i="2" s="1"/>
  <c r="B10" i="1"/>
  <c r="H19" i="1"/>
  <c r="I19" i="1" s="1"/>
  <c r="I22" i="4" l="1"/>
  <c r="H23" i="4"/>
  <c r="H20" i="1"/>
  <c r="I20" i="1" s="1"/>
  <c r="M26" i="2"/>
  <c r="M27" i="2" s="1"/>
  <c r="I23" i="4" l="1"/>
  <c r="H24" i="4"/>
  <c r="H21" i="1"/>
  <c r="I21" i="1" s="1"/>
  <c r="H22" i="1"/>
  <c r="I24" i="4" l="1"/>
  <c r="H25" i="4"/>
  <c r="I22" i="1"/>
  <c r="H23" i="1"/>
  <c r="I25" i="4" l="1"/>
  <c r="H26" i="4"/>
  <c r="I23" i="1"/>
  <c r="H24" i="1"/>
  <c r="I26" i="4" l="1"/>
  <c r="H27" i="4"/>
  <c r="I24" i="1"/>
  <c r="H25" i="1"/>
  <c r="I27" i="4" l="1"/>
  <c r="H28" i="4"/>
  <c r="I25" i="1"/>
  <c r="H26" i="1"/>
  <c r="I28" i="4" l="1"/>
  <c r="H29" i="4"/>
  <c r="I26" i="1"/>
  <c r="H27" i="1"/>
  <c r="I29" i="4" l="1"/>
  <c r="H30" i="4"/>
  <c r="I27" i="1"/>
  <c r="H28" i="1"/>
  <c r="I30" i="4" l="1"/>
  <c r="H31" i="4"/>
  <c r="I28" i="1"/>
  <c r="H29" i="1"/>
  <c r="I31" i="4" l="1"/>
  <c r="H32" i="4"/>
  <c r="I29" i="1"/>
  <c r="H30" i="1"/>
  <c r="I32" i="4" l="1"/>
  <c r="H33" i="4"/>
  <c r="I30" i="1"/>
  <c r="H31" i="1"/>
  <c r="I33" i="4" l="1"/>
  <c r="H34" i="4"/>
  <c r="I31" i="1"/>
  <c r="H32" i="1"/>
  <c r="I34" i="4" l="1"/>
  <c r="H35" i="4"/>
  <c r="I32" i="1"/>
  <c r="H33" i="1"/>
  <c r="I35" i="4" l="1"/>
  <c r="H36" i="4"/>
  <c r="I33" i="1"/>
  <c r="H34" i="1"/>
  <c r="I36" i="4" l="1"/>
  <c r="H37" i="4"/>
  <c r="I34" i="1"/>
  <c r="H35" i="1"/>
  <c r="H38" i="4" l="1"/>
  <c r="I37" i="4"/>
  <c r="I35" i="1"/>
  <c r="H36" i="1"/>
  <c r="I38" i="4" l="1"/>
  <c r="H39" i="4"/>
  <c r="I36" i="1"/>
  <c r="H37" i="1"/>
  <c r="I39" i="4" l="1"/>
  <c r="H40" i="4"/>
  <c r="I37" i="1"/>
  <c r="H38" i="1"/>
  <c r="I40" i="4" l="1"/>
  <c r="H41" i="4"/>
  <c r="I38" i="1"/>
  <c r="H39" i="1"/>
  <c r="H42" i="4" l="1"/>
  <c r="I41" i="4"/>
  <c r="I39" i="1"/>
  <c r="H40" i="1"/>
  <c r="I42" i="4" l="1"/>
  <c r="H43" i="4"/>
  <c r="I40" i="1"/>
  <c r="H41" i="1"/>
  <c r="H44" i="4" l="1"/>
  <c r="I43" i="4"/>
  <c r="I41" i="1"/>
  <c r="H42" i="1"/>
  <c r="I44" i="4" l="1"/>
  <c r="H45" i="4"/>
  <c r="I42" i="1"/>
  <c r="H43" i="1"/>
  <c r="I45" i="4" l="1"/>
  <c r="H46" i="4"/>
  <c r="I43" i="1"/>
  <c r="H44" i="1"/>
  <c r="I46" i="4" l="1"/>
  <c r="H47" i="4"/>
  <c r="I44" i="1"/>
  <c r="H45" i="1"/>
  <c r="I47" i="4" l="1"/>
  <c r="H48" i="4"/>
  <c r="I48" i="4" s="1"/>
  <c r="I45" i="1"/>
  <c r="H46" i="1"/>
  <c r="I46" i="1" l="1"/>
  <c r="H47" i="1"/>
  <c r="I47" i="1" l="1"/>
  <c r="H48" i="1"/>
  <c r="I48" i="1" s="1"/>
</calcChain>
</file>

<file path=xl/sharedStrings.xml><?xml version="1.0" encoding="utf-8"?>
<sst xmlns="http://schemas.openxmlformats.org/spreadsheetml/2006/main" count="207" uniqueCount="116">
  <si>
    <t>CALCULO DE PUNTO DE EQUILIBRIO</t>
  </si>
  <si>
    <t>Costos Fijos</t>
  </si>
  <si>
    <t>Costo Variable Unitario</t>
  </si>
  <si>
    <t>Cantidades a producir</t>
  </si>
  <si>
    <t>Precio de Ventas</t>
  </si>
  <si>
    <t>Punto de Equilibrio en unidades</t>
  </si>
  <si>
    <t>Punto de Equilibrio en pesos</t>
  </si>
  <si>
    <t>Punto de Equilibrio en días</t>
  </si>
  <si>
    <t>Ingreso Total</t>
  </si>
  <si>
    <t>Ingreso diario</t>
  </si>
  <si>
    <t xml:space="preserve">Dias totales de Producción </t>
  </si>
  <si>
    <t>Cantidades diarias de Producción</t>
  </si>
  <si>
    <t>MODIFICAR LAS CELDAS EN BLANCO</t>
  </si>
  <si>
    <t>DIA</t>
  </si>
  <si>
    <t>INGRESOS</t>
  </si>
  <si>
    <t>COSTO FIJO</t>
  </si>
  <si>
    <t>COSTO VARIABLE</t>
  </si>
  <si>
    <t>COSTO TOTAL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</si>
  <si>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</si>
  <si>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</si>
  <si>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</si>
  <si>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</si>
  <si>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</si>
  <si>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</si>
  <si>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</si>
  <si>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</si>
  <si>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</si>
  <si>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</si>
  <si>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</si>
  <si>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</si>
  <si>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</si>
  <si>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</si>
  <si>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</si>
  <si>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</si>
  <si>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</si>
  <si>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</si>
  <si>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</si>
  <si>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</si>
  <si>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</si>
  <si>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</si>
  <si>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</si>
  <si>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</si>
  <si>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</si>
  <si>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</si>
  <si>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</si>
  <si>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</si>
  <si>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</si>
  <si>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</si>
  <si>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Herramientas de cocina</t>
  </si>
  <si>
    <t>Costo</t>
  </si>
  <si>
    <t>Bowls</t>
  </si>
  <si>
    <t>Horno pizzero</t>
  </si>
  <si>
    <t>Cantidad</t>
  </si>
  <si>
    <t>Batidor de mano</t>
  </si>
  <si>
    <t>Espatula de silicona</t>
  </si>
  <si>
    <t>Molde para budines</t>
  </si>
  <si>
    <t xml:space="preserve">Mesada/Mesa </t>
  </si>
  <si>
    <t>Jarra medidora</t>
  </si>
  <si>
    <t>Utencillos de cocina</t>
  </si>
  <si>
    <t>Rayador</t>
  </si>
  <si>
    <t>cubiertos, platos, tamizador, etc</t>
  </si>
  <si>
    <t>Dólar</t>
  </si>
  <si>
    <t>Total</t>
  </si>
  <si>
    <t>Amasadora</t>
  </si>
  <si>
    <t>Esprimidor de jugo manual</t>
  </si>
  <si>
    <t>Gastos de emergencia</t>
  </si>
  <si>
    <t>Precio kl</t>
  </si>
  <si>
    <t>Precio uso</t>
  </si>
  <si>
    <t>Precio politico</t>
  </si>
  <si>
    <t>Ganancia</t>
  </si>
  <si>
    <t>Harina 0000</t>
  </si>
  <si>
    <t>Polvo para hornear</t>
  </si>
  <si>
    <t>Aceite media taza</t>
  </si>
  <si>
    <t>Sal</t>
  </si>
  <si>
    <t xml:space="preserve">Azucar </t>
  </si>
  <si>
    <t>Leche</t>
  </si>
  <si>
    <t>Huevos 2</t>
  </si>
  <si>
    <t>Limon 1 (4 limones)</t>
  </si>
  <si>
    <t>Horno</t>
  </si>
  <si>
    <t>-</t>
  </si>
  <si>
    <t>Bolsa celofan</t>
  </si>
  <si>
    <t>Cintita</t>
  </si>
  <si>
    <t>Papel manteca 500cm</t>
  </si>
  <si>
    <t>Azucar glass (200grs)</t>
  </si>
  <si>
    <t>Frutos secos (100gr)</t>
  </si>
  <si>
    <t>Total gastos extras</t>
  </si>
  <si>
    <t>Gastos Budin prom</t>
  </si>
  <si>
    <t>Harina con levadura</t>
  </si>
  <si>
    <t>Harina integral</t>
  </si>
  <si>
    <t>c/levadura</t>
  </si>
  <si>
    <t>Aceite</t>
  </si>
  <si>
    <t>Manteca/100grs</t>
  </si>
  <si>
    <t>Azucar</t>
  </si>
  <si>
    <t>Semillas 250grs</t>
  </si>
  <si>
    <t>60grs</t>
  </si>
  <si>
    <t>Total gasto extra</t>
  </si>
  <si>
    <t>Gastos Pan Prom</t>
  </si>
  <si>
    <t>Producto</t>
  </si>
  <si>
    <t>Pesos</t>
  </si>
  <si>
    <t>Pan Prom</t>
  </si>
  <si>
    <t>Budin Prom</t>
  </si>
  <si>
    <t>Prom</t>
  </si>
  <si>
    <t>Neto</t>
  </si>
  <si>
    <t>Con costos</t>
  </si>
  <si>
    <t>Total invertido</t>
  </si>
  <si>
    <t>A x años</t>
  </si>
  <si>
    <t>Gasto</t>
  </si>
  <si>
    <t>max</t>
  </si>
  <si>
    <t>mid</t>
  </si>
  <si>
    <t>Por debajo de 50 productos no podria ser viable pagar todo</t>
  </si>
  <si>
    <t>min</t>
  </si>
  <si>
    <t>año bruto</t>
  </si>
  <si>
    <t>Materias primas</t>
  </si>
  <si>
    <t>Dólar en pesos a</t>
  </si>
  <si>
    <t>cant ventas</t>
  </si>
  <si>
    <t>Supongamos que contamos con:
-5 Bolws
-5 Moldes
-Horno pizzero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</si>
</sst>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"/>
    <numFmt numFmtId="165" formatCode="_-* #,##0.00_-;\-* #,##0.00_-;_-* &quot;-&quot;??_-;_-@"/>
    <numFmt numFmtId="166" formatCode="_-* #,##0_-;\-* #,##0_-;_-* &quot;-&quot;??_-;_-@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</font>
    <font>
      <sz val="11"/>
      <name val="Calibri"/>
    </font>
    <font>
      <sz val="18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theme="7"/>
        <bgColor theme="7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2" borderId="3" xfId="0" applyFont="1" applyFill="1" applyBorder="1"/>
    <xf numFmtId="164" fontId="5" fillId="0" borderId="4" xfId="0" applyNumberFormat="1" applyFont="1" applyBorder="1"/>
    <xf numFmtId="0" fontId="5" fillId="2" borderId="5" xfId="0" applyFont="1" applyFill="1" applyBorder="1"/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164" fontId="5" fillId="0" borderId="7" xfId="0" applyNumberFormat="1" applyFont="1" applyBorder="1"/>
    <xf numFmtId="0" fontId="5" fillId="0" borderId="8" xfId="0" applyFont="1" applyBorder="1"/>
    <xf numFmtId="0" fontId="5" fillId="0" borderId="9" xfId="0" applyFont="1" applyBorder="1"/>
    <xf numFmtId="165" fontId="5" fillId="2" borderId="4" xfId="0" applyNumberFormat="1" applyFont="1" applyFill="1" applyBorder="1"/>
    <xf numFmtId="0" fontId="5" fillId="2" borderId="10" xfId="0" applyFont="1" applyFill="1" applyBorder="1"/>
    <xf numFmtId="164" fontId="5" fillId="2" borderId="7" xfId="0" applyNumberFormat="1" applyFont="1" applyFill="1" applyBorder="1"/>
    <xf numFmtId="0" fontId="5" fillId="2" borderId="11" xfId="0" applyFont="1" applyFill="1" applyBorder="1"/>
    <xf numFmtId="166" fontId="5" fillId="2" borderId="4" xfId="0" applyNumberFormat="1" applyFont="1" applyFill="1" applyBorder="1" applyAlignment="1">
      <alignment horizontal="left"/>
    </xf>
    <xf numFmtId="0" fontId="5" fillId="2" borderId="12" xfId="0" applyFont="1" applyFill="1" applyBorder="1"/>
    <xf numFmtId="165" fontId="5" fillId="2" borderId="12" xfId="0" applyNumberFormat="1" applyFont="1" applyFill="1" applyBorder="1"/>
    <xf numFmtId="164" fontId="5" fillId="2" borderId="12" xfId="0" applyNumberFormat="1" applyFont="1" applyFill="1" applyBorder="1"/>
    <xf numFmtId="166" fontId="5" fillId="3" borderId="12" xfId="0" applyNumberFormat="1" applyFont="1" applyFill="1" applyBorder="1" applyAlignment="1">
      <alignment horizontal="center"/>
    </xf>
    <xf numFmtId="166" fontId="5" fillId="2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6" fillId="5" borderId="13" xfId="0" applyFont="1" applyFill="1" applyBorder="1"/>
    <xf numFmtId="0" fontId="6" fillId="6" borderId="13" xfId="0" applyFont="1" applyFill="1" applyBorder="1"/>
    <xf numFmtId="0" fontId="6" fillId="7" borderId="13" xfId="0" applyFont="1" applyFill="1" applyBorder="1"/>
    <xf numFmtId="0" fontId="8" fillId="8" borderId="6" xfId="0" applyFont="1" applyFill="1" applyBorder="1"/>
    <xf numFmtId="164" fontId="8" fillId="8" borderId="6" xfId="0" applyNumberFormat="1" applyFont="1" applyFill="1" applyBorder="1" applyAlignment="1">
      <alignment horizontal="center"/>
    </xf>
    <xf numFmtId="164" fontId="8" fillId="8" borderId="6" xfId="0" applyNumberFormat="1" applyFont="1" applyFill="1" applyBorder="1"/>
    <xf numFmtId="0" fontId="8" fillId="8" borderId="7" xfId="0" applyFont="1" applyFill="1" applyBorder="1"/>
    <xf numFmtId="164" fontId="8" fillId="8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/>
    <xf numFmtId="0" fontId="10" fillId="0" borderId="14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9" fillId="0" borderId="17" xfId="0" applyFont="1" applyBorder="1"/>
    <xf numFmtId="0" fontId="9" fillId="0" borderId="16" xfId="0" applyFont="1" applyBorder="1"/>
    <xf numFmtId="0" fontId="9" fillId="0" borderId="14" xfId="0" applyFont="1" applyBorder="1"/>
    <xf numFmtId="0" fontId="0" fillId="0" borderId="18" xfId="0" applyBorder="1"/>
    <xf numFmtId="0" fontId="0" fillId="0" borderId="15" xfId="0" applyBorder="1"/>
    <xf numFmtId="0" fontId="9" fillId="9" borderId="14" xfId="0" applyFont="1" applyFill="1" applyBorder="1"/>
    <xf numFmtId="0" fontId="0" fillId="9" borderId="18" xfId="0" applyFill="1" applyBorder="1"/>
    <xf numFmtId="0" fontId="0" fillId="9" borderId="15" xfId="0" applyFill="1" applyBorder="1"/>
    <xf numFmtId="0" fontId="9" fillId="9" borderId="17" xfId="0" applyFont="1" applyFill="1" applyBorder="1"/>
    <xf numFmtId="0" fontId="11" fillId="0" borderId="14" xfId="0" applyFont="1" applyBorder="1"/>
    <xf numFmtId="0" fontId="0" fillId="0" borderId="14" xfId="0" applyBorder="1"/>
    <xf numFmtId="164" fontId="12" fillId="0" borderId="4" xfId="0" applyNumberFormat="1" applyFont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5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font>
        <b/>
      </font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AR" sz="1400" b="0" i="0">
                <a:solidFill>
                  <a:srgbClr val="757575"/>
                </a:solidFill>
                <a:latin typeface="+mn-lt"/>
              </a:rPr>
              <a:t>Punto de Equilibrio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INGRESOS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Hoja1!$F$19:$F$48</c:f>
              <c:numCache>
                <c:formatCode>_-"$"\ * #,##0.00_-;\-"$"\ * #,##0.00_-;_-"$"\ * "-"??_-;_-@</c:formatCode>
                <c:ptCount val="30"/>
                <c:pt idx="0">
                  <c:v>4416.666666666667</c:v>
                </c:pt>
                <c:pt idx="1">
                  <c:v>8833.3333333333339</c:v>
                </c:pt>
                <c:pt idx="2">
                  <c:v>13250</c:v>
                </c:pt>
                <c:pt idx="3">
                  <c:v>17666.666666666668</c:v>
                </c:pt>
                <c:pt idx="4">
                  <c:v>22083.333333333336</c:v>
                </c:pt>
                <c:pt idx="5">
                  <c:v>26500.000000000004</c:v>
                </c:pt>
                <c:pt idx="6">
                  <c:v>30916.666666666672</c:v>
                </c:pt>
                <c:pt idx="7">
                  <c:v>35333.333333333336</c:v>
                </c:pt>
                <c:pt idx="8">
                  <c:v>39750</c:v>
                </c:pt>
                <c:pt idx="9">
                  <c:v>44166.666666666664</c:v>
                </c:pt>
                <c:pt idx="10">
                  <c:v>48583.333333333328</c:v>
                </c:pt>
                <c:pt idx="11">
                  <c:v>52999.999999999993</c:v>
                </c:pt>
                <c:pt idx="12">
                  <c:v>57416.666666666657</c:v>
                </c:pt>
                <c:pt idx="13">
                  <c:v>61833.333333333321</c:v>
                </c:pt>
                <c:pt idx="14">
                  <c:v>66249.999999999985</c:v>
                </c:pt>
                <c:pt idx="15">
                  <c:v>70666.666666666657</c:v>
                </c:pt>
                <c:pt idx="16">
                  <c:v>75083.333333333328</c:v>
                </c:pt>
                <c:pt idx="17">
                  <c:v>79500</c:v>
                </c:pt>
                <c:pt idx="18">
                  <c:v>83916.666666666672</c:v>
                </c:pt>
                <c:pt idx="19">
                  <c:v>88333.333333333343</c:v>
                </c:pt>
                <c:pt idx="20">
                  <c:v>92750.000000000015</c:v>
                </c:pt>
                <c:pt idx="21">
                  <c:v>97166.666666666686</c:v>
                </c:pt>
                <c:pt idx="22">
                  <c:v>101583.33333333336</c:v>
                </c:pt>
                <c:pt idx="23">
                  <c:v>106000.00000000003</c:v>
                </c:pt>
                <c:pt idx="24">
                  <c:v>110416.6666666667</c:v>
                </c:pt>
                <c:pt idx="25">
                  <c:v>114833.33333333337</c:v>
                </c:pt>
                <c:pt idx="26">
                  <c:v>119250.00000000004</c:v>
                </c:pt>
                <c:pt idx="27">
                  <c:v>123666.66666666672</c:v>
                </c:pt>
                <c:pt idx="28">
                  <c:v>128083.33333333339</c:v>
                </c:pt>
                <c:pt idx="29">
                  <c:v>132500.00000000006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F-49F8-9436-E0B40034349D}"/>
            </c:ext>
          </c:extLst>
        </c:ser>
        <c:ser>
          <c:idx val="1"/>
          <c:order val="1"/>
          <c:tx>
            <c:v>COSTO FIJO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Hoja1!$G$19:$G$48</c:f>
              <c:numCache>
                <c:formatCode>_-"$"\ * #,##0.00_-;\-"$"\ * #,##0.00_-;_-"$"\ * "-"??_-;_-@</c:formatCode>
                <c:ptCount val="30"/>
                <c:pt idx="0">
                  <c:v>74116</c:v>
                </c:pt>
                <c:pt idx="1">
                  <c:v>74116</c:v>
                </c:pt>
                <c:pt idx="2">
                  <c:v>74116</c:v>
                </c:pt>
                <c:pt idx="3">
                  <c:v>74116</c:v>
                </c:pt>
                <c:pt idx="4">
                  <c:v>74116</c:v>
                </c:pt>
                <c:pt idx="5">
                  <c:v>74116</c:v>
                </c:pt>
                <c:pt idx="6">
                  <c:v>74116</c:v>
                </c:pt>
                <c:pt idx="7">
                  <c:v>74116</c:v>
                </c:pt>
                <c:pt idx="8">
                  <c:v>74116</c:v>
                </c:pt>
                <c:pt idx="9">
                  <c:v>74116</c:v>
                </c:pt>
                <c:pt idx="10">
                  <c:v>74116</c:v>
                </c:pt>
                <c:pt idx="11">
                  <c:v>74116</c:v>
                </c:pt>
                <c:pt idx="12">
                  <c:v>74116</c:v>
                </c:pt>
                <c:pt idx="13">
                  <c:v>74116</c:v>
                </c:pt>
                <c:pt idx="14">
                  <c:v>74116</c:v>
                </c:pt>
                <c:pt idx="15">
                  <c:v>74116</c:v>
                </c:pt>
                <c:pt idx="16">
                  <c:v>74116</c:v>
                </c:pt>
                <c:pt idx="17">
                  <c:v>74116</c:v>
                </c:pt>
                <c:pt idx="18">
                  <c:v>74116</c:v>
                </c:pt>
                <c:pt idx="19">
                  <c:v>74116</c:v>
                </c:pt>
                <c:pt idx="20">
                  <c:v>74116</c:v>
                </c:pt>
                <c:pt idx="21">
                  <c:v>74116</c:v>
                </c:pt>
                <c:pt idx="22">
                  <c:v>74116</c:v>
                </c:pt>
                <c:pt idx="23">
                  <c:v>74116</c:v>
                </c:pt>
                <c:pt idx="24">
                  <c:v>74116</c:v>
                </c:pt>
                <c:pt idx="25">
                  <c:v>74116</c:v>
                </c:pt>
                <c:pt idx="26">
                  <c:v>74116</c:v>
                </c:pt>
                <c:pt idx="27">
                  <c:v>74116</c:v>
                </c:pt>
                <c:pt idx="28">
                  <c:v>74116</c:v>
                </c:pt>
                <c:pt idx="29">
                  <c:v>74116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F-49F8-9436-E0B40034349D}"/>
            </c:ext>
          </c:extLst>
        </c:ser>
        <c:ser>
          <c:idx val="2"/>
          <c:order val="2"/>
          <c:tx>
            <c:v>COSTO VARIABLE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Hoja1!$E$19:$E$48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Hoja1!$H$19:$H$48</c:f>
              <c:numCache>
                <c:formatCode>_-"$"\ * #,##0.00_-;\-"$"\ * #,##0.00_-;_-"$"\ * "-"??_-;_-@</c:formatCode>
                <c:ptCount val="30"/>
                <c:pt idx="0">
                  <c:v>1656.6666666666667</c:v>
                </c:pt>
                <c:pt idx="1">
                  <c:v>3313.3333333333335</c:v>
                </c:pt>
                <c:pt idx="2">
                  <c:v>4970</c:v>
                </c:pt>
                <c:pt idx="3">
                  <c:v>6626.666666666667</c:v>
                </c:pt>
                <c:pt idx="4">
                  <c:v>8283.3333333333339</c:v>
                </c:pt>
                <c:pt idx="5">
                  <c:v>9940</c:v>
                </c:pt>
                <c:pt idx="6">
                  <c:v>11596.666666666666</c:v>
                </c:pt>
                <c:pt idx="7">
                  <c:v>13253.333333333332</c:v>
                </c:pt>
                <c:pt idx="8">
                  <c:v>14909.999999999998</c:v>
                </c:pt>
                <c:pt idx="9">
                  <c:v>16566.666666666664</c:v>
                </c:pt>
                <c:pt idx="10">
                  <c:v>18223.333333333332</c:v>
                </c:pt>
                <c:pt idx="11">
                  <c:v>19880</c:v>
                </c:pt>
                <c:pt idx="12">
                  <c:v>21536.666666666668</c:v>
                </c:pt>
                <c:pt idx="13">
                  <c:v>23193.333333333336</c:v>
                </c:pt>
                <c:pt idx="14">
                  <c:v>24850.000000000004</c:v>
                </c:pt>
                <c:pt idx="15">
                  <c:v>26506.666666666672</c:v>
                </c:pt>
                <c:pt idx="16">
                  <c:v>28163.333333333339</c:v>
                </c:pt>
                <c:pt idx="17">
                  <c:v>29820.000000000007</c:v>
                </c:pt>
                <c:pt idx="18">
                  <c:v>31476.666666666675</c:v>
                </c:pt>
                <c:pt idx="19">
                  <c:v>33133.333333333343</c:v>
                </c:pt>
                <c:pt idx="20">
                  <c:v>34790.000000000007</c:v>
                </c:pt>
                <c:pt idx="21">
                  <c:v>36446.666666666672</c:v>
                </c:pt>
                <c:pt idx="22">
                  <c:v>38103.333333333336</c:v>
                </c:pt>
                <c:pt idx="23">
                  <c:v>39760</c:v>
                </c:pt>
                <c:pt idx="24">
                  <c:v>41416.666666666664</c:v>
                </c:pt>
                <c:pt idx="25">
                  <c:v>43073.333333333328</c:v>
                </c:pt>
                <c:pt idx="26">
                  <c:v>44729.999999999993</c:v>
                </c:pt>
                <c:pt idx="27">
                  <c:v>46386.666666666657</c:v>
                </c:pt>
                <c:pt idx="28">
                  <c:v>48043.333333333321</c:v>
                </c:pt>
                <c:pt idx="29">
                  <c:v>49699.999999999985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F-49F8-9436-E0B40034349D}"/>
            </c:ext>
          </c:extLst>
        </c:ser>
        <c:ser>
          <c:idx val="3"/>
          <c:order val="3"/>
          <c:tx>
            <c:v>COSTO TOTAL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Hoja1!$E$19:$E$48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Hoja1!$I$19:$I$48</c:f>
              <c:numCache>
                <c:formatCode>_-"$"\ * #,##0.00_-;\-"$"\ * #,##0.00_-;_-"$"\ * "-"??_-;_-@</c:formatCode>
                <c:ptCount val="30"/>
                <c:pt idx="0">
                  <c:v>75772.666666666672</c:v>
                </c:pt>
                <c:pt idx="1">
                  <c:v>77429.333333333328</c:v>
                </c:pt>
                <c:pt idx="2">
                  <c:v>79086</c:v>
                </c:pt>
                <c:pt idx="3">
                  <c:v>80742.666666666672</c:v>
                </c:pt>
                <c:pt idx="4">
                  <c:v>82399.333333333328</c:v>
                </c:pt>
                <c:pt idx="5">
                  <c:v>84056</c:v>
                </c:pt>
                <c:pt idx="6">
                  <c:v>85712.666666666672</c:v>
                </c:pt>
                <c:pt idx="7">
                  <c:v>87369.333333333328</c:v>
                </c:pt>
                <c:pt idx="8">
                  <c:v>89026</c:v>
                </c:pt>
                <c:pt idx="9">
                  <c:v>90682.666666666657</c:v>
                </c:pt>
                <c:pt idx="10">
                  <c:v>92339.333333333328</c:v>
                </c:pt>
                <c:pt idx="11">
                  <c:v>93996</c:v>
                </c:pt>
                <c:pt idx="12">
                  <c:v>95652.666666666672</c:v>
                </c:pt>
                <c:pt idx="13">
                  <c:v>97309.333333333343</c:v>
                </c:pt>
                <c:pt idx="14">
                  <c:v>98966</c:v>
                </c:pt>
                <c:pt idx="15">
                  <c:v>100622.66666666667</c:v>
                </c:pt>
                <c:pt idx="16">
                  <c:v>102279.33333333334</c:v>
                </c:pt>
                <c:pt idx="17">
                  <c:v>103936</c:v>
                </c:pt>
                <c:pt idx="18">
                  <c:v>105592.66666666667</c:v>
                </c:pt>
                <c:pt idx="19">
                  <c:v>107249.33333333334</c:v>
                </c:pt>
                <c:pt idx="20">
                  <c:v>108906</c:v>
                </c:pt>
                <c:pt idx="21">
                  <c:v>110562.66666666667</c:v>
                </c:pt>
                <c:pt idx="22">
                  <c:v>112219.33333333334</c:v>
                </c:pt>
                <c:pt idx="23">
                  <c:v>113876</c:v>
                </c:pt>
                <c:pt idx="24">
                  <c:v>115532.66666666666</c:v>
                </c:pt>
                <c:pt idx="25">
                  <c:v>117189.33333333333</c:v>
                </c:pt>
                <c:pt idx="26">
                  <c:v>118846</c:v>
                </c:pt>
                <c:pt idx="27">
                  <c:v>120502.66666666666</c:v>
                </c:pt>
                <c:pt idx="28">
                  <c:v>122159.33333333331</c:v>
                </c:pt>
                <c:pt idx="29">
                  <c:v>123815.99999999999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F-49F8-9436-E0B40034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9305"/>
        <c:axId val="545463269"/>
      </c:lineChart>
      <c:catAx>
        <c:axId val="210929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45463269"/>
        <c:crosses val="autoZero"/>
        <c:auto val="1"/>
        <c:lblAlgn val="ctr"/>
        <c:lblOffset val="100"/>
        <c:noMultiLvlLbl val="1"/>
      </c:catAx>
      <c:valAx>
        <c:axId val="545463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_-&quot;$&quot;\ * #,##0.00_-;\-&quot;$&quot;\ * #,##0.00_-;_-&quot;$&quot;\ 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1092930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AR" sz="1400" b="0" i="0">
                <a:solidFill>
                  <a:srgbClr val="757575"/>
                </a:solidFill>
                <a:latin typeface="+mn-lt"/>
              </a:rPr>
              <a:t>Punto de Equilibrio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INGRESOS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'Hoja2 Acotado'!$E$19:$E$48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'Hoja2 Acotado'!$F$19:$F$48</c:f>
              <c:numCache>
                <c:formatCode>_-"$"\ * #,##0.00_-;\-"$"\ * #,##0.00_-;_-"$"\ * "-"??_-;_-@</c:formatCode>
                <c:ptCount val="30"/>
                <c:pt idx="0">
                  <c:v>2650</c:v>
                </c:pt>
                <c:pt idx="1">
                  <c:v>5300</c:v>
                </c:pt>
                <c:pt idx="2">
                  <c:v>7950</c:v>
                </c:pt>
                <c:pt idx="3">
                  <c:v>10600</c:v>
                </c:pt>
                <c:pt idx="4">
                  <c:v>13250</c:v>
                </c:pt>
                <c:pt idx="5">
                  <c:v>15900</c:v>
                </c:pt>
                <c:pt idx="6">
                  <c:v>18550</c:v>
                </c:pt>
                <c:pt idx="7">
                  <c:v>21200</c:v>
                </c:pt>
                <c:pt idx="8">
                  <c:v>23850</c:v>
                </c:pt>
                <c:pt idx="9">
                  <c:v>26500</c:v>
                </c:pt>
                <c:pt idx="10">
                  <c:v>29150</c:v>
                </c:pt>
                <c:pt idx="11">
                  <c:v>31800</c:v>
                </c:pt>
                <c:pt idx="12">
                  <c:v>34450</c:v>
                </c:pt>
                <c:pt idx="13">
                  <c:v>37100</c:v>
                </c:pt>
                <c:pt idx="14">
                  <c:v>39750</c:v>
                </c:pt>
                <c:pt idx="15">
                  <c:v>42400</c:v>
                </c:pt>
                <c:pt idx="16">
                  <c:v>45050</c:v>
                </c:pt>
                <c:pt idx="17">
                  <c:v>47700</c:v>
                </c:pt>
                <c:pt idx="18">
                  <c:v>50350</c:v>
                </c:pt>
                <c:pt idx="19">
                  <c:v>53000</c:v>
                </c:pt>
                <c:pt idx="20">
                  <c:v>55650</c:v>
                </c:pt>
                <c:pt idx="21">
                  <c:v>58300</c:v>
                </c:pt>
                <c:pt idx="22">
                  <c:v>60950</c:v>
                </c:pt>
                <c:pt idx="23">
                  <c:v>63600</c:v>
                </c:pt>
                <c:pt idx="24">
                  <c:v>66250</c:v>
                </c:pt>
                <c:pt idx="25">
                  <c:v>68900</c:v>
                </c:pt>
                <c:pt idx="26">
                  <c:v>71550</c:v>
                </c:pt>
                <c:pt idx="27">
                  <c:v>74200</c:v>
                </c:pt>
                <c:pt idx="28">
                  <c:v>76850</c:v>
                </c:pt>
                <c:pt idx="29">
                  <c:v>79500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B-48E9-AD43-29230D51B074}"/>
            </c:ext>
          </c:extLst>
        </c:ser>
        <c:ser>
          <c:idx val="1"/>
          <c:order val="1"/>
          <c:tx>
            <c:v>COSTO FIJO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'Hoja2 Acotado'!$E$19:$E$48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'Hoja2 Acotado'!$G$19:$G$48</c:f>
              <c:numCache>
                <c:formatCode>_-"$"\ * #,##0.00_-;\-"$"\ * #,##0.00_-;_-"$"\ * "-"??_-;_-@</c:formatCode>
                <c:ptCount val="30"/>
                <c:pt idx="0">
                  <c:v>26534</c:v>
                </c:pt>
                <c:pt idx="1">
                  <c:v>26534</c:v>
                </c:pt>
                <c:pt idx="2">
                  <c:v>26534</c:v>
                </c:pt>
                <c:pt idx="3">
                  <c:v>26534</c:v>
                </c:pt>
                <c:pt idx="4">
                  <c:v>26534</c:v>
                </c:pt>
                <c:pt idx="5">
                  <c:v>26534</c:v>
                </c:pt>
                <c:pt idx="6">
                  <c:v>26534</c:v>
                </c:pt>
                <c:pt idx="7">
                  <c:v>26534</c:v>
                </c:pt>
                <c:pt idx="8">
                  <c:v>26534</c:v>
                </c:pt>
                <c:pt idx="9">
                  <c:v>26534</c:v>
                </c:pt>
                <c:pt idx="10">
                  <c:v>26534</c:v>
                </c:pt>
                <c:pt idx="11">
                  <c:v>26534</c:v>
                </c:pt>
                <c:pt idx="12">
                  <c:v>26534</c:v>
                </c:pt>
                <c:pt idx="13">
                  <c:v>26534</c:v>
                </c:pt>
                <c:pt idx="14">
                  <c:v>26534</c:v>
                </c:pt>
                <c:pt idx="15">
                  <c:v>26534</c:v>
                </c:pt>
                <c:pt idx="16">
                  <c:v>26534</c:v>
                </c:pt>
                <c:pt idx="17">
                  <c:v>26534</c:v>
                </c:pt>
                <c:pt idx="18">
                  <c:v>26534</c:v>
                </c:pt>
                <c:pt idx="19">
                  <c:v>26534</c:v>
                </c:pt>
                <c:pt idx="20">
                  <c:v>26534</c:v>
                </c:pt>
                <c:pt idx="21">
                  <c:v>26534</c:v>
                </c:pt>
                <c:pt idx="22">
                  <c:v>26534</c:v>
                </c:pt>
                <c:pt idx="23">
                  <c:v>26534</c:v>
                </c:pt>
                <c:pt idx="24">
                  <c:v>26534</c:v>
                </c:pt>
                <c:pt idx="25">
                  <c:v>26534</c:v>
                </c:pt>
                <c:pt idx="26">
                  <c:v>26534</c:v>
                </c:pt>
                <c:pt idx="27">
                  <c:v>26534</c:v>
                </c:pt>
                <c:pt idx="28">
                  <c:v>26534</c:v>
                </c:pt>
                <c:pt idx="29">
                  <c:v>26534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B-48E9-AD43-29230D51B074}"/>
            </c:ext>
          </c:extLst>
        </c:ser>
        <c:ser>
          <c:idx val="2"/>
          <c:order val="2"/>
          <c:tx>
            <c:v>COSTO VARIABLE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'Hoja2 Acotado'!$E$19:$E$48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'Hoja2 Acotado'!$H$19:$H$48</c:f>
              <c:numCache>
                <c:formatCode>_-"$"\ * #,##0.00_-;\-"$"\ * #,##0.00_-;_-"$"\ * "-"??_-;_-@</c:formatCode>
                <c:ptCount val="30"/>
                <c:pt idx="0">
                  <c:v>994</c:v>
                </c:pt>
                <c:pt idx="1">
                  <c:v>1988</c:v>
                </c:pt>
                <c:pt idx="2">
                  <c:v>2982</c:v>
                </c:pt>
                <c:pt idx="3">
                  <c:v>3976</c:v>
                </c:pt>
                <c:pt idx="4">
                  <c:v>4970</c:v>
                </c:pt>
                <c:pt idx="5">
                  <c:v>5964</c:v>
                </c:pt>
                <c:pt idx="6">
                  <c:v>6958</c:v>
                </c:pt>
                <c:pt idx="7">
                  <c:v>7952</c:v>
                </c:pt>
                <c:pt idx="8">
                  <c:v>8946</c:v>
                </c:pt>
                <c:pt idx="9">
                  <c:v>9940</c:v>
                </c:pt>
                <c:pt idx="10">
                  <c:v>10934</c:v>
                </c:pt>
                <c:pt idx="11">
                  <c:v>11928</c:v>
                </c:pt>
                <c:pt idx="12">
                  <c:v>12922</c:v>
                </c:pt>
                <c:pt idx="13">
                  <c:v>13916</c:v>
                </c:pt>
                <c:pt idx="14">
                  <c:v>14910</c:v>
                </c:pt>
                <c:pt idx="15">
                  <c:v>15904</c:v>
                </c:pt>
                <c:pt idx="16">
                  <c:v>16898</c:v>
                </c:pt>
                <c:pt idx="17">
                  <c:v>17892</c:v>
                </c:pt>
                <c:pt idx="18">
                  <c:v>18886</c:v>
                </c:pt>
                <c:pt idx="19">
                  <c:v>19880</c:v>
                </c:pt>
                <c:pt idx="20">
                  <c:v>20874</c:v>
                </c:pt>
                <c:pt idx="21">
                  <c:v>21868</c:v>
                </c:pt>
                <c:pt idx="22">
                  <c:v>22862</c:v>
                </c:pt>
                <c:pt idx="23">
                  <c:v>23856</c:v>
                </c:pt>
                <c:pt idx="24">
                  <c:v>24850</c:v>
                </c:pt>
                <c:pt idx="25">
                  <c:v>25844</c:v>
                </c:pt>
                <c:pt idx="26">
                  <c:v>26838</c:v>
                </c:pt>
                <c:pt idx="27">
                  <c:v>27832</c:v>
                </c:pt>
                <c:pt idx="28">
                  <c:v>28826</c:v>
                </c:pt>
                <c:pt idx="29">
                  <c:v>29820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B-48E9-AD43-29230D51B074}"/>
            </c:ext>
          </c:extLst>
        </c:ser>
        <c:ser>
          <c:idx val="3"/>
          <c:order val="3"/>
          <c:tx>
            <c:v>COSTO TOTAL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'Hoja2 Acotado'!$E$19:$E$48</c:f>
              <c:strCache>
                <c:ptCount val="30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'Hoja2 Acotado'!$I$19:$I$48</c:f>
              <c:numCache>
                <c:formatCode>_-"$"\ * #,##0.00_-;\-"$"\ * #,##0.00_-;_-"$"\ * "-"??_-;_-@</c:formatCode>
                <c:ptCount val="30"/>
                <c:pt idx="0">
                  <c:v>27528</c:v>
                </c:pt>
                <c:pt idx="1">
                  <c:v>28522</c:v>
                </c:pt>
                <c:pt idx="2">
                  <c:v>29516</c:v>
                </c:pt>
                <c:pt idx="3">
                  <c:v>30510</c:v>
                </c:pt>
                <c:pt idx="4">
                  <c:v>31504</c:v>
                </c:pt>
                <c:pt idx="5">
                  <c:v>32498</c:v>
                </c:pt>
                <c:pt idx="6">
                  <c:v>33492</c:v>
                </c:pt>
                <c:pt idx="7">
                  <c:v>34486</c:v>
                </c:pt>
                <c:pt idx="8">
                  <c:v>35480</c:v>
                </c:pt>
                <c:pt idx="9">
                  <c:v>36474</c:v>
                </c:pt>
                <c:pt idx="10">
                  <c:v>37468</c:v>
                </c:pt>
                <c:pt idx="11">
                  <c:v>38462</c:v>
                </c:pt>
                <c:pt idx="12">
                  <c:v>39456</c:v>
                </c:pt>
                <c:pt idx="13">
                  <c:v>40450</c:v>
                </c:pt>
                <c:pt idx="14">
                  <c:v>41444</c:v>
                </c:pt>
                <c:pt idx="15">
                  <c:v>42438</c:v>
                </c:pt>
                <c:pt idx="16">
                  <c:v>43432</c:v>
                </c:pt>
                <c:pt idx="17">
                  <c:v>44426</c:v>
                </c:pt>
                <c:pt idx="18">
                  <c:v>45420</c:v>
                </c:pt>
                <c:pt idx="19">
                  <c:v>46414</c:v>
                </c:pt>
                <c:pt idx="20">
                  <c:v>47408</c:v>
                </c:pt>
                <c:pt idx="21">
                  <c:v>48402</c:v>
                </c:pt>
                <c:pt idx="22">
                  <c:v>49396</c:v>
                </c:pt>
                <c:pt idx="23">
                  <c:v>50390</c:v>
                </c:pt>
                <c:pt idx="24">
                  <c:v>51384</c:v>
                </c:pt>
                <c:pt idx="25">
                  <c:v>52378</c:v>
                </c:pt>
                <c:pt idx="26">
                  <c:v>53372</c:v>
                </c:pt>
                <c:pt idx="27">
                  <c:v>54366</c:v>
                </c:pt>
                <c:pt idx="28">
                  <c:v>55360</c:v>
                </c:pt>
                <c:pt idx="29">
                  <c:v>56354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B-48E9-AD43-29230D51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9305"/>
        <c:axId val="545463269"/>
      </c:lineChart>
      <c:catAx>
        <c:axId val="210929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45463269"/>
        <c:crosses val="autoZero"/>
        <c:auto val="1"/>
        <c:lblAlgn val="ctr"/>
        <c:lblOffset val="100"/>
        <c:noMultiLvlLbl val="1"/>
      </c:catAx>
      <c:valAx>
        <c:axId val="545463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_-&quot;$&quot;\ * #,##0.00_-;\-&quot;$&quot;\ * #,##0.00_-;_-&quot;$&quot;\ 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1092930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9525</xdr:rowOff>
    </xdr:from>
    <xdr:ext cx="7305675" cy="2990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9525</xdr:rowOff>
    </xdr:from>
    <xdr:ext cx="7305675" cy="2990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A829A-E84E-42B7-96E5-906BB7D5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00"/>
  <sheetViews>
    <sheetView topLeftCell="A6" workbookViewId="0">
      <selection activeCell="D14" sqref="D14"/>
    </sheetView>
  </sheetViews>
  <sheetFormatPr baseColWidth="10" defaultColWidth="14.42578125" defaultRowHeight="15" customHeight="1"/>
  <cols>
    <col min="1" max="1" width="49.140625" customWidth="1"/>
    <col min="2" max="2" width="24.5703125" customWidth="1"/>
    <col min="3" max="4" width="10.7109375" customWidth="1"/>
    <col min="5" max="5" width="16.140625" customWidth="1"/>
    <col min="6" max="6" width="14" customWidth="1"/>
    <col min="7" max="7" width="15.85546875" customWidth="1"/>
    <col min="8" max="8" width="16.140625" customWidth="1"/>
    <col min="9" max="9" width="13" customWidth="1"/>
    <col min="10" max="26" width="10.7109375" customWidth="1"/>
  </cols>
  <sheetData>
    <row r="2" spans="1:2" ht="29.25" thickBot="1">
      <c r="A2" s="47" t="s">
        <v>0</v>
      </c>
      <c r="B2" s="48"/>
    </row>
    <row r="3" spans="1:2" ht="23.25">
      <c r="A3" s="1" t="s">
        <v>1</v>
      </c>
      <c r="B3" s="2">
        <v>74116</v>
      </c>
    </row>
    <row r="4" spans="1:2" ht="23.25">
      <c r="A4" s="3" t="s">
        <v>2</v>
      </c>
      <c r="B4" s="4">
        <v>994</v>
      </c>
    </row>
    <row r="5" spans="1:2" ht="23.25">
      <c r="A5" s="3" t="s">
        <v>3</v>
      </c>
      <c r="B5" s="5">
        <v>50</v>
      </c>
    </row>
    <row r="6" spans="1:2" ht="23.25">
      <c r="A6" s="3" t="s">
        <v>4</v>
      </c>
      <c r="B6" s="6">
        <v>2650</v>
      </c>
    </row>
    <row r="7" spans="1:2" ht="23.25">
      <c r="A7" s="7"/>
      <c r="B7" s="8"/>
    </row>
    <row r="8" spans="1:2" ht="23.25">
      <c r="A8" s="1" t="s">
        <v>5</v>
      </c>
      <c r="B8" s="9">
        <f>+B3/(B6-B4)</f>
        <v>44.756038647342997</v>
      </c>
    </row>
    <row r="9" spans="1:2" ht="23.25">
      <c r="A9" s="10" t="s">
        <v>6</v>
      </c>
      <c r="B9" s="11">
        <f>+B3/(1-(B4/B6))</f>
        <v>118603.50241545893</v>
      </c>
    </row>
    <row r="10" spans="1:2" ht="23.25">
      <c r="A10" s="12" t="s">
        <v>7</v>
      </c>
      <c r="B10" s="13">
        <f>+B9/B13</f>
        <v>26.853623188405795</v>
      </c>
    </row>
    <row r="12" spans="1:2" ht="23.25">
      <c r="A12" s="14" t="s">
        <v>8</v>
      </c>
      <c r="B12" s="15">
        <f>+B5*B6</f>
        <v>132500</v>
      </c>
    </row>
    <row r="13" spans="1:2" ht="23.25">
      <c r="A13" s="14" t="s">
        <v>9</v>
      </c>
      <c r="B13" s="16">
        <f>+B12/B14</f>
        <v>4416.666666666667</v>
      </c>
    </row>
    <row r="14" spans="1:2" ht="23.25">
      <c r="A14" s="14" t="s">
        <v>10</v>
      </c>
      <c r="B14" s="17">
        <v>30</v>
      </c>
    </row>
    <row r="15" spans="1:2" ht="23.25">
      <c r="A15" s="12" t="s">
        <v>11</v>
      </c>
      <c r="B15" s="18">
        <f>+B5/30</f>
        <v>1.6666666666666667</v>
      </c>
    </row>
    <row r="17" spans="1:9" ht="23.25">
      <c r="A17" s="49" t="s">
        <v>12</v>
      </c>
      <c r="B17" s="48"/>
    </row>
    <row r="18" spans="1:9">
      <c r="E18" s="19" t="s">
        <v>13</v>
      </c>
      <c r="F18" s="20" t="s">
        <v>14</v>
      </c>
      <c r="G18" s="21" t="s">
        <v>15</v>
      </c>
      <c r="H18" s="22" t="s">
        <v>16</v>
      </c>
      <c r="I18" s="23" t="s">
        <v>17</v>
      </c>
    </row>
    <row r="19" spans="1:9">
      <c r="E19" s="24" t="s">
        <v>18</v>
      </c>
      <c r="F19" s="25">
        <f>+B13</f>
        <v>4416.666666666667</v>
      </c>
      <c r="G19" s="26">
        <f t="shared" ref="G19:G48" si="0">+$B$3</f>
        <v>74116</v>
      </c>
      <c r="H19" s="26">
        <f>+B4*B15</f>
        <v>1656.6666666666667</v>
      </c>
      <c r="I19" s="26">
        <f t="shared" ref="I19:I48" si="1">+H19+G19</f>
        <v>75772.666666666672</v>
      </c>
    </row>
    <row r="20" spans="1:9">
      <c r="E20" s="24" t="s">
        <v>19</v>
      </c>
      <c r="F20" s="25">
        <f t="shared" ref="F20:F48" si="2">+F19+$B$13</f>
        <v>8833.3333333333339</v>
      </c>
      <c r="G20" s="26">
        <f t="shared" si="0"/>
        <v>74116</v>
      </c>
      <c r="H20" s="26">
        <f t="shared" ref="H20:H48" si="3">+$B$4*$B$15+H19</f>
        <v>3313.3333333333335</v>
      </c>
      <c r="I20" s="26">
        <f t="shared" si="1"/>
        <v>77429.333333333328</v>
      </c>
    </row>
    <row r="21" spans="1:9" ht="15.75" customHeight="1">
      <c r="E21" s="24" t="s">
        <v>20</v>
      </c>
      <c r="F21" s="25">
        <f t="shared" si="2"/>
        <v>13250</v>
      </c>
      <c r="G21" s="26">
        <f t="shared" si="0"/>
        <v>74116</v>
      </c>
      <c r="H21" s="26">
        <f t="shared" si="3"/>
        <v>4970</v>
      </c>
      <c r="I21" s="26">
        <f t="shared" si="1"/>
        <v>79086</v>
      </c>
    </row>
    <row r="22" spans="1:9" ht="15.75" customHeight="1">
      <c r="E22" s="24" t="s">
        <v>21</v>
      </c>
      <c r="F22" s="25">
        <f t="shared" si="2"/>
        <v>17666.666666666668</v>
      </c>
      <c r="G22" s="26">
        <f t="shared" si="0"/>
        <v>74116</v>
      </c>
      <c r="H22" s="26">
        <f t="shared" si="3"/>
        <v>6626.666666666667</v>
      </c>
      <c r="I22" s="26">
        <f t="shared" si="1"/>
        <v>80742.666666666672</v>
      </c>
    </row>
    <row r="23" spans="1:9" ht="15.75" customHeight="1">
      <c r="E23" s="24" t="s">
        <v>22</v>
      </c>
      <c r="F23" s="25">
        <f t="shared" si="2"/>
        <v>22083.333333333336</v>
      </c>
      <c r="G23" s="26">
        <f t="shared" si="0"/>
        <v>74116</v>
      </c>
      <c r="H23" s="26">
        <f t="shared" si="3"/>
        <v>8283.3333333333339</v>
      </c>
      <c r="I23" s="26">
        <f t="shared" si="1"/>
        <v>82399.333333333328</v>
      </c>
    </row>
    <row r="24" spans="1:9" ht="15.75" customHeight="1">
      <c r="E24" s="24" t="s">
        <v>23</v>
      </c>
      <c r="F24" s="25">
        <f t="shared" si="2"/>
        <v>26500.000000000004</v>
      </c>
      <c r="G24" s="26">
        <f t="shared" si="0"/>
        <v>74116</v>
      </c>
      <c r="H24" s="26">
        <f t="shared" si="3"/>
        <v>9940</v>
      </c>
      <c r="I24" s="26">
        <f t="shared" si="1"/>
        <v>84056</v>
      </c>
    </row>
    <row r="25" spans="1:9" ht="15.75" customHeight="1" thickBot="1">
      <c r="A25" s="31" t="s">
        <v>109</v>
      </c>
      <c r="E25" s="24" t="s">
        <v>24</v>
      </c>
      <c r="F25" s="25">
        <f t="shared" si="2"/>
        <v>30916.666666666672</v>
      </c>
      <c r="G25" s="26">
        <f t="shared" si="0"/>
        <v>74116</v>
      </c>
      <c r="H25" s="26">
        <f t="shared" si="3"/>
        <v>11596.666666666666</v>
      </c>
      <c r="I25" s="26">
        <f t="shared" si="1"/>
        <v>85712.666666666672</v>
      </c>
    </row>
    <row r="26" spans="1:9" ht="15.75" customHeight="1">
      <c r="A26" s="45"/>
      <c r="E26" s="24" t="s">
        <v>25</v>
      </c>
      <c r="F26" s="25">
        <f t="shared" si="2"/>
        <v>35333.333333333336</v>
      </c>
      <c r="G26" s="26">
        <f t="shared" si="0"/>
        <v>74116</v>
      </c>
      <c r="H26" s="26">
        <f t="shared" si="3"/>
        <v>13253.333333333332</v>
      </c>
      <c r="I26" s="26">
        <f t="shared" si="1"/>
        <v>87369.333333333328</v>
      </c>
    </row>
    <row r="27" spans="1:9" ht="15.75" customHeight="1">
      <c r="E27" s="24" t="s">
        <v>26</v>
      </c>
      <c r="F27" s="25">
        <f t="shared" si="2"/>
        <v>39750</v>
      </c>
      <c r="G27" s="26">
        <f t="shared" si="0"/>
        <v>74116</v>
      </c>
      <c r="H27" s="26">
        <f t="shared" si="3"/>
        <v>14909.999999999998</v>
      </c>
      <c r="I27" s="26">
        <f t="shared" si="1"/>
        <v>89026</v>
      </c>
    </row>
    <row r="28" spans="1:9" ht="15.75" customHeight="1">
      <c r="E28" s="24" t="s">
        <v>27</v>
      </c>
      <c r="F28" s="25">
        <f t="shared" si="2"/>
        <v>44166.666666666664</v>
      </c>
      <c r="G28" s="26">
        <f t="shared" si="0"/>
        <v>74116</v>
      </c>
      <c r="H28" s="26">
        <f t="shared" si="3"/>
        <v>16566.666666666664</v>
      </c>
      <c r="I28" s="26">
        <f t="shared" si="1"/>
        <v>90682.666666666657</v>
      </c>
    </row>
    <row r="29" spans="1:9" ht="15.75" customHeight="1">
      <c r="E29" s="24" t="s">
        <v>28</v>
      </c>
      <c r="F29" s="25">
        <f t="shared" si="2"/>
        <v>48583.333333333328</v>
      </c>
      <c r="G29" s="26">
        <f t="shared" si="0"/>
        <v>74116</v>
      </c>
      <c r="H29" s="26">
        <f t="shared" si="3"/>
        <v>18223.333333333332</v>
      </c>
      <c r="I29" s="26">
        <f t="shared" si="1"/>
        <v>92339.333333333328</v>
      </c>
    </row>
    <row r="30" spans="1:9" ht="15.75" customHeight="1">
      <c r="E30" s="24" t="s">
        <v>29</v>
      </c>
      <c r="F30" s="25">
        <f t="shared" si="2"/>
        <v>52999.999999999993</v>
      </c>
      <c r="G30" s="26">
        <f t="shared" si="0"/>
        <v>74116</v>
      </c>
      <c r="H30" s="26">
        <f t="shared" si="3"/>
        <v>19880</v>
      </c>
      <c r="I30" s="26">
        <f t="shared" si="1"/>
        <v>93996</v>
      </c>
    </row>
    <row r="31" spans="1:9" ht="15.75" customHeight="1">
      <c r="E31" s="24" t="s">
        <v>30</v>
      </c>
      <c r="F31" s="25">
        <f t="shared" si="2"/>
        <v>57416.666666666657</v>
      </c>
      <c r="G31" s="26">
        <f t="shared" si="0"/>
        <v>74116</v>
      </c>
      <c r="H31" s="26">
        <f t="shared" si="3"/>
        <v>21536.666666666668</v>
      </c>
      <c r="I31" s="26">
        <f t="shared" si="1"/>
        <v>95652.666666666672</v>
      </c>
    </row>
    <row r="32" spans="1:9" ht="15.75" customHeight="1">
      <c r="E32" s="24" t="s">
        <v>31</v>
      </c>
      <c r="F32" s="25">
        <f t="shared" si="2"/>
        <v>61833.333333333321</v>
      </c>
      <c r="G32" s="26">
        <f t="shared" si="0"/>
        <v>74116</v>
      </c>
      <c r="H32" s="26">
        <f t="shared" si="3"/>
        <v>23193.333333333336</v>
      </c>
      <c r="I32" s="26">
        <f t="shared" si="1"/>
        <v>97309.333333333343</v>
      </c>
    </row>
    <row r="33" spans="5:9" ht="15.75" customHeight="1">
      <c r="E33" s="24" t="s">
        <v>32</v>
      </c>
      <c r="F33" s="25">
        <f t="shared" si="2"/>
        <v>66249.999999999985</v>
      </c>
      <c r="G33" s="26">
        <f t="shared" si="0"/>
        <v>74116</v>
      </c>
      <c r="H33" s="26">
        <f t="shared" si="3"/>
        <v>24850.000000000004</v>
      </c>
      <c r="I33" s="26">
        <f t="shared" si="1"/>
        <v>98966</v>
      </c>
    </row>
    <row r="34" spans="5:9" ht="15.75" customHeight="1">
      <c r="E34" s="24" t="s">
        <v>33</v>
      </c>
      <c r="F34" s="25">
        <f t="shared" si="2"/>
        <v>70666.666666666657</v>
      </c>
      <c r="G34" s="26">
        <f t="shared" si="0"/>
        <v>74116</v>
      </c>
      <c r="H34" s="26">
        <f t="shared" si="3"/>
        <v>26506.666666666672</v>
      </c>
      <c r="I34" s="26">
        <f t="shared" si="1"/>
        <v>100622.66666666667</v>
      </c>
    </row>
    <row r="35" spans="5:9" ht="15.75" customHeight="1">
      <c r="E35" s="24" t="s">
        <v>34</v>
      </c>
      <c r="F35" s="25">
        <f t="shared" si="2"/>
        <v>75083.333333333328</v>
      </c>
      <c r="G35" s="26">
        <f t="shared" si="0"/>
        <v>74116</v>
      </c>
      <c r="H35" s="26">
        <f t="shared" si="3"/>
        <v>28163.333333333339</v>
      </c>
      <c r="I35" s="26">
        <f t="shared" si="1"/>
        <v>102279.33333333334</v>
      </c>
    </row>
    <row r="36" spans="5:9" ht="15.75" customHeight="1">
      <c r="E36" s="24" t="s">
        <v>35</v>
      </c>
      <c r="F36" s="25">
        <f t="shared" si="2"/>
        <v>79500</v>
      </c>
      <c r="G36" s="26">
        <f t="shared" si="0"/>
        <v>74116</v>
      </c>
      <c r="H36" s="26">
        <f t="shared" si="3"/>
        <v>29820.000000000007</v>
      </c>
      <c r="I36" s="26">
        <f t="shared" si="1"/>
        <v>103936</v>
      </c>
    </row>
    <row r="37" spans="5:9" ht="15.75" customHeight="1">
      <c r="E37" s="24" t="s">
        <v>36</v>
      </c>
      <c r="F37" s="25">
        <f t="shared" si="2"/>
        <v>83916.666666666672</v>
      </c>
      <c r="G37" s="26">
        <f t="shared" si="0"/>
        <v>74116</v>
      </c>
      <c r="H37" s="26">
        <f t="shared" si="3"/>
        <v>31476.666666666675</v>
      </c>
      <c r="I37" s="26">
        <f t="shared" si="1"/>
        <v>105592.66666666667</v>
      </c>
    </row>
    <row r="38" spans="5:9" ht="15.75" customHeight="1">
      <c r="E38" s="24" t="s">
        <v>37</v>
      </c>
      <c r="F38" s="25">
        <f t="shared" si="2"/>
        <v>88333.333333333343</v>
      </c>
      <c r="G38" s="26">
        <f t="shared" si="0"/>
        <v>74116</v>
      </c>
      <c r="H38" s="26">
        <f t="shared" si="3"/>
        <v>33133.333333333343</v>
      </c>
      <c r="I38" s="26">
        <f t="shared" si="1"/>
        <v>107249.33333333334</v>
      </c>
    </row>
    <row r="39" spans="5:9" ht="15.75" customHeight="1">
      <c r="E39" s="24" t="s">
        <v>38</v>
      </c>
      <c r="F39" s="25">
        <f t="shared" si="2"/>
        <v>92750.000000000015</v>
      </c>
      <c r="G39" s="26">
        <f t="shared" si="0"/>
        <v>74116</v>
      </c>
      <c r="H39" s="26">
        <f t="shared" si="3"/>
        <v>34790.000000000007</v>
      </c>
      <c r="I39" s="26">
        <f t="shared" si="1"/>
        <v>108906</v>
      </c>
    </row>
    <row r="40" spans="5:9" ht="15.75" customHeight="1">
      <c r="E40" s="24" t="s">
        <v>39</v>
      </c>
      <c r="F40" s="25">
        <f t="shared" si="2"/>
        <v>97166.666666666686</v>
      </c>
      <c r="G40" s="26">
        <f t="shared" si="0"/>
        <v>74116</v>
      </c>
      <c r="H40" s="26">
        <f t="shared" si="3"/>
        <v>36446.666666666672</v>
      </c>
      <c r="I40" s="26">
        <f t="shared" si="1"/>
        <v>110562.66666666667</v>
      </c>
    </row>
    <row r="41" spans="5:9" ht="15.75" customHeight="1">
      <c r="E41" s="24" t="s">
        <v>40</v>
      </c>
      <c r="F41" s="25">
        <f t="shared" si="2"/>
        <v>101583.33333333336</v>
      </c>
      <c r="G41" s="26">
        <f t="shared" si="0"/>
        <v>74116</v>
      </c>
      <c r="H41" s="26">
        <f t="shared" si="3"/>
        <v>38103.333333333336</v>
      </c>
      <c r="I41" s="26">
        <f t="shared" si="1"/>
        <v>112219.33333333334</v>
      </c>
    </row>
    <row r="42" spans="5:9" ht="15.75" customHeight="1">
      <c r="E42" s="24" t="s">
        <v>41</v>
      </c>
      <c r="F42" s="25">
        <f t="shared" si="2"/>
        <v>106000.00000000003</v>
      </c>
      <c r="G42" s="26">
        <f t="shared" si="0"/>
        <v>74116</v>
      </c>
      <c r="H42" s="26">
        <f t="shared" si="3"/>
        <v>39760</v>
      </c>
      <c r="I42" s="26">
        <f t="shared" si="1"/>
        <v>113876</v>
      </c>
    </row>
    <row r="43" spans="5:9" ht="15.75" customHeight="1">
      <c r="E43" s="24" t="s">
        <v>42</v>
      </c>
      <c r="F43" s="25">
        <f t="shared" si="2"/>
        <v>110416.6666666667</v>
      </c>
      <c r="G43" s="26">
        <f t="shared" si="0"/>
        <v>74116</v>
      </c>
      <c r="H43" s="26">
        <f t="shared" si="3"/>
        <v>41416.666666666664</v>
      </c>
      <c r="I43" s="26">
        <f t="shared" si="1"/>
        <v>115532.66666666666</v>
      </c>
    </row>
    <row r="44" spans="5:9" ht="15.75" customHeight="1">
      <c r="E44" s="24" t="s">
        <v>43</v>
      </c>
      <c r="F44" s="25">
        <f t="shared" si="2"/>
        <v>114833.33333333337</v>
      </c>
      <c r="G44" s="26">
        <f t="shared" si="0"/>
        <v>74116</v>
      </c>
      <c r="H44" s="26">
        <f t="shared" si="3"/>
        <v>43073.333333333328</v>
      </c>
      <c r="I44" s="26">
        <f t="shared" si="1"/>
        <v>117189.33333333333</v>
      </c>
    </row>
    <row r="45" spans="5:9" ht="15.75" customHeight="1">
      <c r="E45" s="24" t="s">
        <v>44</v>
      </c>
      <c r="F45" s="25">
        <f t="shared" si="2"/>
        <v>119250.00000000004</v>
      </c>
      <c r="G45" s="26">
        <f t="shared" si="0"/>
        <v>74116</v>
      </c>
      <c r="H45" s="26">
        <f t="shared" si="3"/>
        <v>44729.999999999993</v>
      </c>
      <c r="I45" s="26">
        <f t="shared" si="1"/>
        <v>118846</v>
      </c>
    </row>
    <row r="46" spans="5:9" ht="15.75" customHeight="1">
      <c r="E46" s="24" t="s">
        <v>45</v>
      </c>
      <c r="F46" s="25">
        <f t="shared" si="2"/>
        <v>123666.66666666672</v>
      </c>
      <c r="G46" s="26">
        <f t="shared" si="0"/>
        <v>74116</v>
      </c>
      <c r="H46" s="26">
        <f t="shared" si="3"/>
        <v>46386.666666666657</v>
      </c>
      <c r="I46" s="26">
        <f t="shared" si="1"/>
        <v>120502.66666666666</v>
      </c>
    </row>
    <row r="47" spans="5:9" ht="15.75" customHeight="1">
      <c r="E47" s="24" t="s">
        <v>46</v>
      </c>
      <c r="F47" s="25">
        <f t="shared" si="2"/>
        <v>128083.33333333339</v>
      </c>
      <c r="G47" s="26">
        <f t="shared" si="0"/>
        <v>74116</v>
      </c>
      <c r="H47" s="26">
        <f t="shared" si="3"/>
        <v>48043.333333333321</v>
      </c>
      <c r="I47" s="26">
        <f t="shared" si="1"/>
        <v>122159.33333333331</v>
      </c>
    </row>
    <row r="48" spans="5:9" ht="15.75" customHeight="1">
      <c r="E48" s="27" t="s">
        <v>47</v>
      </c>
      <c r="F48" s="28">
        <f t="shared" si="2"/>
        <v>132500.00000000006</v>
      </c>
      <c r="G48" s="29">
        <f t="shared" si="0"/>
        <v>74116</v>
      </c>
      <c r="H48" s="29">
        <f t="shared" si="3"/>
        <v>49699.999999999985</v>
      </c>
      <c r="I48" s="29">
        <f t="shared" si="1"/>
        <v>123815.99999999999</v>
      </c>
    </row>
    <row r="49" spans="3:6" ht="15.75" customHeight="1"/>
    <row r="50" spans="3:6" ht="15.75" customHeight="1"/>
    <row r="51" spans="3:6" ht="15.75" customHeight="1">
      <c r="C51" t="s">
        <v>114</v>
      </c>
      <c r="D51" s="46" t="s">
        <v>111</v>
      </c>
      <c r="F51" t="s">
        <v>112</v>
      </c>
    </row>
    <row r="52" spans="3:6" ht="15.75" customHeight="1">
      <c r="C52">
        <v>150</v>
      </c>
      <c r="D52" s="32">
        <f>12*397500</f>
        <v>4770000</v>
      </c>
      <c r="E52" t="s">
        <v>107</v>
      </c>
      <c r="F52">
        <v>150000</v>
      </c>
    </row>
    <row r="53" spans="3:6" ht="15.75" customHeight="1"/>
    <row r="54" spans="3:6" ht="15.75" customHeight="1">
      <c r="C54">
        <v>90</v>
      </c>
      <c r="D54" s="32">
        <f>12*238500</f>
        <v>2862000</v>
      </c>
      <c r="E54" t="s">
        <v>108</v>
      </c>
      <c r="F54">
        <v>90000</v>
      </c>
    </row>
    <row r="55" spans="3:6" ht="15.75" customHeight="1"/>
    <row r="56" spans="3:6" ht="15.75" customHeight="1">
      <c r="C56">
        <v>50</v>
      </c>
      <c r="D56" s="32">
        <f>12*132500</f>
        <v>1590000</v>
      </c>
      <c r="E56" t="s">
        <v>110</v>
      </c>
      <c r="F56">
        <v>50000</v>
      </c>
    </row>
    <row r="57" spans="3:6" ht="15.75" customHeight="1"/>
    <row r="58" spans="3:6" ht="15.75" customHeight="1"/>
    <row r="59" spans="3:6" ht="15.75" customHeight="1"/>
    <row r="60" spans="3:6" ht="15.75" customHeight="1"/>
    <row r="61" spans="3:6" ht="15.75" customHeight="1"/>
    <row r="62" spans="3:6" ht="15.75" customHeight="1"/>
    <row r="63" spans="3:6" ht="15.75" customHeight="1"/>
    <row r="64" spans="3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A17:B17"/>
  </mergeCells>
  <conditionalFormatting sqref="B10">
    <cfRule type="expression" dxfId="3" priority="1">
      <formula>$B$10&gt;=30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EB89-11EE-482E-99E1-2D0E994BC0AB}">
  <dimension ref="B2:S60"/>
  <sheetViews>
    <sheetView tabSelected="1" topLeftCell="B1" workbookViewId="0">
      <selection activeCell="K5" sqref="K5"/>
    </sheetView>
  </sheetViews>
  <sheetFormatPr baseColWidth="10" defaultRowHeight="15"/>
  <cols>
    <col min="2" max="2" width="31.140625" customWidth="1"/>
    <col min="3" max="3" width="29.42578125" customWidth="1"/>
    <col min="4" max="4" width="17.140625" customWidth="1"/>
    <col min="5" max="5" width="21.28515625" customWidth="1"/>
    <col min="8" max="8" width="16.5703125" customWidth="1"/>
  </cols>
  <sheetData>
    <row r="2" spans="2:19" ht="15.75" thickBot="1"/>
    <row r="3" spans="2:19" ht="19.5" thickBot="1">
      <c r="E3" s="30" t="s">
        <v>113</v>
      </c>
    </row>
    <row r="4" spans="2:19" ht="19.5" thickBot="1">
      <c r="B4" s="30" t="s">
        <v>48</v>
      </c>
      <c r="C4" s="30" t="s">
        <v>52</v>
      </c>
      <c r="D4" s="30" t="s">
        <v>49</v>
      </c>
      <c r="E4" s="30">
        <v>1000</v>
      </c>
      <c r="H4" s="30" t="s">
        <v>105</v>
      </c>
      <c r="I4" s="30">
        <v>1</v>
      </c>
      <c r="J4" s="30"/>
      <c r="K4" s="30">
        <v>2</v>
      </c>
      <c r="L4" s="30">
        <v>3</v>
      </c>
      <c r="M4" s="30">
        <v>4</v>
      </c>
      <c r="N4" s="30">
        <v>5</v>
      </c>
      <c r="O4" s="30">
        <v>6</v>
      </c>
      <c r="P4" s="30">
        <v>7</v>
      </c>
      <c r="Q4" s="30">
        <v>8</v>
      </c>
      <c r="R4" s="30">
        <v>9</v>
      </c>
      <c r="S4" s="30">
        <v>10</v>
      </c>
    </row>
    <row r="5" spans="2:19" ht="19.5" thickBot="1">
      <c r="B5" s="33" t="s">
        <v>50</v>
      </c>
      <c r="C5" s="33">
        <v>10</v>
      </c>
      <c r="D5" s="33">
        <v>15000</v>
      </c>
      <c r="E5" s="33">
        <f>D5/E$4</f>
        <v>15</v>
      </c>
      <c r="H5" s="30" t="s">
        <v>104</v>
      </c>
      <c r="I5">
        <f>12</f>
        <v>12</v>
      </c>
      <c r="K5">
        <f>$I$5*K4</f>
        <v>24</v>
      </c>
      <c r="L5">
        <f t="shared" ref="L5:N5" si="0">$I$5*L4</f>
        <v>36</v>
      </c>
      <c r="M5">
        <f t="shared" si="0"/>
        <v>48</v>
      </c>
      <c r="N5">
        <f t="shared" si="0"/>
        <v>60</v>
      </c>
      <c r="O5">
        <f t="shared" ref="O5" si="1">$I$5*O4</f>
        <v>72</v>
      </c>
      <c r="P5">
        <f t="shared" ref="P5" si="2">$I$5*P4</f>
        <v>84</v>
      </c>
      <c r="Q5">
        <f t="shared" ref="Q5" si="3">$I$5*Q4</f>
        <v>96</v>
      </c>
      <c r="R5">
        <f t="shared" ref="R5" si="4">$I$5*R4</f>
        <v>108</v>
      </c>
      <c r="S5">
        <f t="shared" ref="S5" si="5">$I$5*S4</f>
        <v>120</v>
      </c>
    </row>
    <row r="6" spans="2:19" ht="19.5" thickBot="1">
      <c r="B6" s="33" t="s">
        <v>51</v>
      </c>
      <c r="C6" s="33">
        <v>1</v>
      </c>
      <c r="D6" s="33">
        <v>550000</v>
      </c>
      <c r="E6" s="33">
        <f t="shared" ref="E6:E15" si="6">D6/E$4</f>
        <v>550</v>
      </c>
      <c r="H6" s="30">
        <f>D16</f>
        <v>889400</v>
      </c>
      <c r="I6">
        <f>$H6/I5</f>
        <v>74116.666666666672</v>
      </c>
      <c r="K6">
        <f t="shared" ref="K6:N6" si="7">$H6/K5</f>
        <v>37058.333333333336</v>
      </c>
      <c r="L6">
        <f t="shared" si="7"/>
        <v>24705.555555555555</v>
      </c>
      <c r="M6">
        <f t="shared" si="7"/>
        <v>18529.166666666668</v>
      </c>
      <c r="N6" s="44">
        <f t="shared" si="7"/>
        <v>14823.333333333334</v>
      </c>
      <c r="O6">
        <f t="shared" ref="O6" si="8">$H6/O5</f>
        <v>12352.777777777777</v>
      </c>
      <c r="P6">
        <f t="shared" ref="P6" si="9">$H6/P5</f>
        <v>10588.095238095239</v>
      </c>
      <c r="Q6">
        <f t="shared" ref="Q6" si="10">$H6/Q5</f>
        <v>9264.5833333333339</v>
      </c>
      <c r="R6">
        <f t="shared" ref="R6" si="11">$H6/R5</f>
        <v>8235.1851851851843</v>
      </c>
      <c r="S6" s="44">
        <f t="shared" ref="S6" si="12">$H6/S5</f>
        <v>7411.666666666667</v>
      </c>
    </row>
    <row r="7" spans="2:19">
      <c r="B7" s="33" t="s">
        <v>53</v>
      </c>
      <c r="C7" s="33">
        <v>1</v>
      </c>
      <c r="D7" s="33">
        <v>2000</v>
      </c>
      <c r="E7" s="33">
        <f t="shared" si="6"/>
        <v>2</v>
      </c>
    </row>
    <row r="8" spans="2:19">
      <c r="B8" s="33" t="s">
        <v>63</v>
      </c>
      <c r="C8" s="33">
        <v>1</v>
      </c>
      <c r="D8" s="33">
        <v>270000</v>
      </c>
      <c r="E8" s="33">
        <f t="shared" si="6"/>
        <v>270</v>
      </c>
    </row>
    <row r="9" spans="2:19">
      <c r="B9" s="33" t="s">
        <v>54</v>
      </c>
      <c r="C9" s="33">
        <v>3</v>
      </c>
      <c r="D9" s="33">
        <v>2500</v>
      </c>
      <c r="E9" s="33">
        <f t="shared" si="6"/>
        <v>2.5</v>
      </c>
    </row>
    <row r="10" spans="2:19">
      <c r="B10" s="33" t="s">
        <v>55</v>
      </c>
      <c r="C10" s="33">
        <v>10</v>
      </c>
      <c r="D10" s="33">
        <v>27000</v>
      </c>
      <c r="E10" s="33">
        <f t="shared" si="6"/>
        <v>27</v>
      </c>
    </row>
    <row r="11" spans="2:19">
      <c r="B11" s="33" t="s">
        <v>56</v>
      </c>
      <c r="C11" s="33">
        <v>1</v>
      </c>
      <c r="D11" s="33">
        <v>8000</v>
      </c>
      <c r="E11" s="33">
        <f t="shared" si="6"/>
        <v>8</v>
      </c>
    </row>
    <row r="12" spans="2:19">
      <c r="B12" s="33" t="s">
        <v>57</v>
      </c>
      <c r="C12" s="33">
        <v>1</v>
      </c>
      <c r="D12" s="33">
        <v>3300</v>
      </c>
      <c r="E12" s="33">
        <f t="shared" si="6"/>
        <v>3.3</v>
      </c>
    </row>
    <row r="13" spans="2:19">
      <c r="B13" s="33" t="s">
        <v>58</v>
      </c>
      <c r="C13" s="33" t="s">
        <v>60</v>
      </c>
      <c r="D13" s="33">
        <v>6000</v>
      </c>
      <c r="E13" s="33">
        <f t="shared" si="6"/>
        <v>6</v>
      </c>
    </row>
    <row r="14" spans="2:19">
      <c r="B14" s="33" t="s">
        <v>59</v>
      </c>
      <c r="C14" s="33">
        <v>1</v>
      </c>
      <c r="D14" s="33">
        <v>2600</v>
      </c>
      <c r="E14" s="33">
        <f t="shared" si="6"/>
        <v>2.6</v>
      </c>
    </row>
    <row r="15" spans="2:19" ht="15.75" thickBot="1">
      <c r="B15" s="33" t="s">
        <v>64</v>
      </c>
      <c r="C15" s="33">
        <v>1</v>
      </c>
      <c r="D15" s="33">
        <v>3000</v>
      </c>
      <c r="E15" s="33">
        <f t="shared" si="6"/>
        <v>3</v>
      </c>
    </row>
    <row r="16" spans="2:19" ht="19.5" thickBot="1">
      <c r="B16" s="30" t="s">
        <v>62</v>
      </c>
      <c r="C16" s="30"/>
      <c r="D16" s="30">
        <f>SUM(D5:D15)</f>
        <v>889400</v>
      </c>
      <c r="E16" s="30">
        <f>SUM(E5:E15)</f>
        <v>889.4</v>
      </c>
    </row>
    <row r="18" spans="2:13">
      <c r="B18" s="32" t="s">
        <v>65</v>
      </c>
      <c r="C18">
        <v>1</v>
      </c>
      <c r="D18">
        <f>1000-E16</f>
        <v>110.60000000000002</v>
      </c>
      <c r="E18">
        <f>E16+D18</f>
        <v>1000</v>
      </c>
    </row>
    <row r="22" spans="2:13" ht="15.75" thickBot="1">
      <c r="I22" s="31" t="s">
        <v>102</v>
      </c>
      <c r="J22" s="31"/>
      <c r="L22" s="31" t="s">
        <v>103</v>
      </c>
    </row>
    <row r="23" spans="2:13" ht="19.5" thickBot="1">
      <c r="H23" s="30" t="s">
        <v>97</v>
      </c>
      <c r="I23" s="30" t="s">
        <v>98</v>
      </c>
      <c r="J23" s="30" t="s">
        <v>106</v>
      </c>
      <c r="K23" s="30" t="s">
        <v>61</v>
      </c>
      <c r="L23" s="30" t="s">
        <v>98</v>
      </c>
      <c r="M23" s="30" t="s">
        <v>61</v>
      </c>
    </row>
    <row r="24" spans="2:13" ht="15.75" thickBot="1">
      <c r="B24" s="34" t="s">
        <v>86</v>
      </c>
      <c r="C24" s="35" t="s">
        <v>66</v>
      </c>
      <c r="D24" s="35" t="s">
        <v>67</v>
      </c>
      <c r="E24" s="35" t="s">
        <v>68</v>
      </c>
      <c r="F24" s="35" t="s">
        <v>69</v>
      </c>
      <c r="H24" s="33" t="s">
        <v>99</v>
      </c>
      <c r="I24" s="33">
        <f>E58</f>
        <v>2300</v>
      </c>
      <c r="J24" s="33">
        <f>D58</f>
        <v>949.35000000000014</v>
      </c>
      <c r="K24" s="33">
        <f>E59</f>
        <v>2.2999999999999998</v>
      </c>
      <c r="L24" s="33">
        <f>F58</f>
        <v>1350.6499999999999</v>
      </c>
      <c r="M24" s="33">
        <f>F59</f>
        <v>1.3506499999999999</v>
      </c>
    </row>
    <row r="25" spans="2:13" ht="15.75" thickBot="1">
      <c r="B25" s="36" t="s">
        <v>70</v>
      </c>
      <c r="C25" s="37">
        <v>910</v>
      </c>
      <c r="D25" s="38">
        <f>(300*C25)/1000</f>
        <v>273</v>
      </c>
      <c r="E25" s="38"/>
      <c r="F25" s="38"/>
      <c r="H25" s="33" t="s">
        <v>100</v>
      </c>
      <c r="I25" s="33">
        <f>E40</f>
        <v>3000</v>
      </c>
      <c r="J25" s="33">
        <f>D40</f>
        <v>1035.26</v>
      </c>
      <c r="K25" s="33">
        <f>E41</f>
        <v>3</v>
      </c>
      <c r="L25" s="33">
        <f>F40</f>
        <v>1964.74</v>
      </c>
      <c r="M25" s="33">
        <f>F41</f>
        <v>1.9647399999999999</v>
      </c>
    </row>
    <row r="26" spans="2:13" ht="19.5" thickBot="1">
      <c r="B26" s="36" t="s">
        <v>71</v>
      </c>
      <c r="C26" s="37">
        <v>250</v>
      </c>
      <c r="D26" s="38">
        <v>30</v>
      </c>
      <c r="E26" s="38"/>
      <c r="F26" s="38"/>
      <c r="H26" s="30" t="s">
        <v>62</v>
      </c>
      <c r="I26" s="30">
        <f>SUM(I24:I25)</f>
        <v>5300</v>
      </c>
      <c r="J26" s="30">
        <f>SUM(J24:J25)</f>
        <v>1984.6100000000001</v>
      </c>
      <c r="K26" s="30">
        <f t="shared" ref="K26:M26" si="13">SUM(K24:K25)</f>
        <v>5.3</v>
      </c>
      <c r="L26" s="30">
        <f t="shared" si="13"/>
        <v>3315.39</v>
      </c>
      <c r="M26" s="30">
        <f t="shared" si="13"/>
        <v>3.3153899999999998</v>
      </c>
    </row>
    <row r="27" spans="2:13" ht="19.5" thickBot="1">
      <c r="B27" s="36" t="s">
        <v>72</v>
      </c>
      <c r="C27" s="37">
        <v>690</v>
      </c>
      <c r="D27" s="38">
        <f>(120*C27)/1500</f>
        <v>55.2</v>
      </c>
      <c r="E27" s="38"/>
      <c r="F27" s="38"/>
      <c r="H27" s="30" t="s">
        <v>101</v>
      </c>
      <c r="I27" s="30">
        <f>I26/2</f>
        <v>2650</v>
      </c>
      <c r="J27" s="30">
        <f>J26/2</f>
        <v>992.30500000000006</v>
      </c>
      <c r="K27" s="30">
        <f t="shared" ref="K27:M27" si="14">K26/2</f>
        <v>2.65</v>
      </c>
      <c r="L27" s="30">
        <f t="shared" si="14"/>
        <v>1657.6949999999999</v>
      </c>
      <c r="M27" s="43">
        <f t="shared" si="14"/>
        <v>1.6576949999999999</v>
      </c>
    </row>
    <row r="28" spans="2:13" ht="15.75" thickBot="1">
      <c r="B28" s="36" t="s">
        <v>73</v>
      </c>
      <c r="C28" s="37">
        <v>311</v>
      </c>
      <c r="D28" s="38">
        <v>5</v>
      </c>
      <c r="E28" s="38"/>
      <c r="F28" s="38"/>
    </row>
    <row r="29" spans="2:13" ht="15.75" thickBot="1">
      <c r="B29" s="36" t="s">
        <v>74</v>
      </c>
      <c r="C29" s="37">
        <v>1050</v>
      </c>
      <c r="D29" s="38">
        <f>(100*900)/1000</f>
        <v>90</v>
      </c>
      <c r="E29" s="38"/>
      <c r="F29" s="38"/>
    </row>
    <row r="30" spans="2:13" ht="15.75" thickBot="1">
      <c r="B30" s="36" t="s">
        <v>75</v>
      </c>
      <c r="C30" s="37">
        <v>425</v>
      </c>
      <c r="D30" s="38">
        <f>(120*C30)/1000</f>
        <v>51</v>
      </c>
      <c r="E30" s="38"/>
      <c r="F30" s="38"/>
    </row>
    <row r="31" spans="2:13" ht="15.75" thickBot="1">
      <c r="B31" s="36" t="s">
        <v>76</v>
      </c>
      <c r="C31" s="37">
        <v>3000</v>
      </c>
      <c r="D31" s="38">
        <v>200</v>
      </c>
      <c r="E31" s="38"/>
      <c r="F31" s="38"/>
    </row>
    <row r="32" spans="2:13" ht="15.75" thickBot="1">
      <c r="B32" s="36" t="s">
        <v>77</v>
      </c>
      <c r="C32" s="37">
        <v>305</v>
      </c>
      <c r="D32" s="38">
        <f>305/4</f>
        <v>76.25</v>
      </c>
      <c r="E32" s="38"/>
      <c r="F32" s="38"/>
    </row>
    <row r="33" spans="2:6" ht="15.75" thickBot="1">
      <c r="B33" s="36" t="s">
        <v>78</v>
      </c>
      <c r="C33" s="37" t="s">
        <v>79</v>
      </c>
      <c r="D33" s="38">
        <v>0</v>
      </c>
      <c r="E33" s="38"/>
      <c r="F33" s="38"/>
    </row>
    <row r="34" spans="2:6" ht="15.75" thickBot="1">
      <c r="B34" s="39" t="s">
        <v>62</v>
      </c>
      <c r="C34" s="40"/>
      <c r="D34" s="41">
        <f>SUM(D25:D29)</f>
        <v>453.2</v>
      </c>
      <c r="E34" s="41"/>
      <c r="F34" s="41"/>
    </row>
    <row r="35" spans="2:6" ht="15.75" thickBot="1">
      <c r="B35" s="36" t="s">
        <v>80</v>
      </c>
      <c r="C35" s="37"/>
      <c r="D35" s="38">
        <v>15</v>
      </c>
      <c r="E35" s="38"/>
      <c r="F35" s="38"/>
    </row>
    <row r="36" spans="2:6" ht="15.75" thickBot="1">
      <c r="B36" s="36" t="s">
        <v>81</v>
      </c>
      <c r="C36" s="37"/>
      <c r="D36" s="38">
        <v>15</v>
      </c>
      <c r="E36" s="38"/>
      <c r="F36" s="38"/>
    </row>
    <row r="37" spans="2:6" ht="15.75" thickBot="1">
      <c r="B37" s="36" t="s">
        <v>82</v>
      </c>
      <c r="C37" s="37">
        <v>2130</v>
      </c>
      <c r="D37" s="38">
        <f>(31*C37)/500</f>
        <v>132.06</v>
      </c>
      <c r="E37" s="38"/>
      <c r="F37" s="38"/>
    </row>
    <row r="38" spans="2:6" ht="15.75" thickBot="1">
      <c r="B38" s="36" t="s">
        <v>83</v>
      </c>
      <c r="C38" s="37">
        <v>480</v>
      </c>
      <c r="D38" s="38">
        <f>(50*C38)/200</f>
        <v>120</v>
      </c>
      <c r="E38" s="38"/>
      <c r="F38" s="38"/>
    </row>
    <row r="39" spans="2:6" ht="15.75" thickBot="1">
      <c r="B39" s="36" t="s">
        <v>84</v>
      </c>
      <c r="C39" s="37">
        <v>1000</v>
      </c>
      <c r="D39" s="38">
        <f>(30*C39)/100</f>
        <v>300</v>
      </c>
      <c r="E39" s="38"/>
      <c r="F39" s="38"/>
    </row>
    <row r="40" spans="2:6" ht="15.75" thickBot="1">
      <c r="B40" s="39" t="s">
        <v>85</v>
      </c>
      <c r="C40" s="40"/>
      <c r="D40" s="41">
        <f>SUM(D34:D39)</f>
        <v>1035.26</v>
      </c>
      <c r="E40" s="41">
        <v>3000</v>
      </c>
      <c r="F40" s="41">
        <f>E40-D40</f>
        <v>1964.74</v>
      </c>
    </row>
    <row r="41" spans="2:6">
      <c r="D41" s="31" t="s">
        <v>61</v>
      </c>
      <c r="E41">
        <f>E40/D42</f>
        <v>3</v>
      </c>
      <c r="F41">
        <f>F40/D42</f>
        <v>1.9647399999999999</v>
      </c>
    </row>
    <row r="42" spans="2:6">
      <c r="D42">
        <v>1000</v>
      </c>
    </row>
    <row r="43" spans="2:6" ht="15.75" thickBot="1"/>
    <row r="44" spans="2:6" ht="15.75" thickBot="1">
      <c r="B44" s="36" t="s">
        <v>96</v>
      </c>
      <c r="C44" s="36" t="s">
        <v>66</v>
      </c>
      <c r="D44" s="36" t="s">
        <v>67</v>
      </c>
      <c r="E44" s="36" t="s">
        <v>68</v>
      </c>
      <c r="F44" s="36" t="s">
        <v>69</v>
      </c>
    </row>
    <row r="45" spans="2:6" ht="15.75" thickBot="1">
      <c r="B45" s="34" t="s">
        <v>87</v>
      </c>
      <c r="C45" s="38">
        <v>910</v>
      </c>
      <c r="D45" s="38">
        <f>C45/4</f>
        <v>227.5</v>
      </c>
      <c r="E45" s="38"/>
      <c r="F45" s="38"/>
    </row>
    <row r="46" spans="2:6" ht="15.75" thickBot="1">
      <c r="B46" s="34" t="s">
        <v>88</v>
      </c>
      <c r="C46" s="38">
        <v>535</v>
      </c>
      <c r="D46" s="38">
        <f>C46/4</f>
        <v>133.75</v>
      </c>
      <c r="E46" s="38"/>
      <c r="F46" s="38"/>
    </row>
    <row r="47" spans="2:6" ht="15.75" thickBot="1">
      <c r="B47" s="34" t="s">
        <v>89</v>
      </c>
      <c r="C47" s="38">
        <v>280</v>
      </c>
      <c r="D47" s="38">
        <v>140</v>
      </c>
      <c r="E47" s="38"/>
      <c r="F47" s="38"/>
    </row>
    <row r="48" spans="2:6" ht="15.75" thickBot="1">
      <c r="B48" s="34" t="s">
        <v>90</v>
      </c>
      <c r="C48" s="38">
        <v>690</v>
      </c>
      <c r="D48" s="38">
        <f>H45</f>
        <v>0</v>
      </c>
      <c r="E48" s="38"/>
      <c r="F48" s="38"/>
    </row>
    <row r="49" spans="2:6" ht="15.75" thickBot="1">
      <c r="B49" s="34" t="s">
        <v>91</v>
      </c>
      <c r="C49" s="38">
        <v>350</v>
      </c>
      <c r="D49" s="38">
        <v>50</v>
      </c>
      <c r="E49" s="38"/>
      <c r="F49" s="38"/>
    </row>
    <row r="50" spans="2:6" ht="15.75" thickBot="1">
      <c r="B50" s="34" t="s">
        <v>73</v>
      </c>
      <c r="C50" s="38">
        <v>311</v>
      </c>
      <c r="D50" s="38">
        <f>(C50*20)/500</f>
        <v>12.44</v>
      </c>
      <c r="E50" s="38"/>
      <c r="F50" s="38"/>
    </row>
    <row r="51" spans="2:6" ht="15.75" thickBot="1">
      <c r="B51" s="34" t="s">
        <v>92</v>
      </c>
      <c r="C51" s="38">
        <v>1050</v>
      </c>
      <c r="D51" s="38">
        <v>10</v>
      </c>
      <c r="E51" s="38"/>
      <c r="F51" s="38"/>
    </row>
    <row r="52" spans="2:6" ht="15.75" thickBot="1">
      <c r="B52" s="34" t="s">
        <v>93</v>
      </c>
      <c r="C52" s="38">
        <v>890</v>
      </c>
      <c r="D52" s="38">
        <f>(60*890)/250</f>
        <v>213.6</v>
      </c>
      <c r="E52" s="38" t="s">
        <v>94</v>
      </c>
      <c r="F52" s="38"/>
    </row>
    <row r="53" spans="2:6" ht="15.75" thickBot="1">
      <c r="B53" s="34" t="s">
        <v>78</v>
      </c>
      <c r="C53" s="38" t="s">
        <v>79</v>
      </c>
      <c r="D53" s="38"/>
      <c r="E53" s="38"/>
      <c r="F53" s="38"/>
    </row>
    <row r="54" spans="2:6" ht="15.75" thickBot="1">
      <c r="B54" s="42" t="s">
        <v>62</v>
      </c>
      <c r="C54" s="41">
        <f>SUM(C45:C52)</f>
        <v>5016</v>
      </c>
      <c r="D54" s="41">
        <f>SUM(D45:D52)</f>
        <v>787.29000000000008</v>
      </c>
      <c r="E54" s="41"/>
      <c r="F54" s="41"/>
    </row>
    <row r="55" spans="2:6" ht="15.75" thickBot="1">
      <c r="B55" s="34" t="s">
        <v>80</v>
      </c>
      <c r="C55" s="38"/>
      <c r="D55" s="38">
        <v>15</v>
      </c>
      <c r="E55" s="38"/>
      <c r="F55" s="38"/>
    </row>
    <row r="56" spans="2:6" ht="15.75" thickBot="1">
      <c r="B56" s="34" t="s">
        <v>81</v>
      </c>
      <c r="C56" s="38"/>
      <c r="D56" s="38">
        <v>15</v>
      </c>
      <c r="E56" s="38"/>
      <c r="F56" s="38"/>
    </row>
    <row r="57" spans="2:6" ht="15.75" thickBot="1">
      <c r="B57" s="34" t="s">
        <v>82</v>
      </c>
      <c r="C57" s="38">
        <v>2130</v>
      </c>
      <c r="D57" s="38">
        <f>(31*C57)/500</f>
        <v>132.06</v>
      </c>
      <c r="E57" s="38"/>
      <c r="F57" s="38"/>
    </row>
    <row r="58" spans="2:6" ht="15.75" thickBot="1">
      <c r="B58" s="42" t="s">
        <v>95</v>
      </c>
      <c r="C58" s="41"/>
      <c r="D58" s="41">
        <f>SUM(D54:D57)</f>
        <v>949.35000000000014</v>
      </c>
      <c r="E58" s="41">
        <v>2300</v>
      </c>
      <c r="F58" s="41">
        <f>E58-D58</f>
        <v>1350.6499999999999</v>
      </c>
    </row>
    <row r="59" spans="2:6">
      <c r="D59" s="31" t="s">
        <v>61</v>
      </c>
      <c r="E59">
        <f>E58/D60</f>
        <v>2.2999999999999998</v>
      </c>
      <c r="F59">
        <f>F58/D60</f>
        <v>1.3506499999999999</v>
      </c>
    </row>
    <row r="60" spans="2:6">
      <c r="D60">
        <v>1000</v>
      </c>
    </row>
  </sheetData>
  <conditionalFormatting sqref="F40">
    <cfRule type="cellIs" dxfId="2" priority="2" operator="greaterThan">
      <formula>0</formula>
    </cfRule>
  </conditionalFormatting>
  <conditionalFormatting sqref="F58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2A16-62AE-427F-9AAF-4EED27179F97}">
  <dimension ref="C2:S26"/>
  <sheetViews>
    <sheetView topLeftCell="E1" workbookViewId="0">
      <selection activeCell="J7" sqref="J7"/>
    </sheetView>
  </sheetViews>
  <sheetFormatPr baseColWidth="10" defaultRowHeight="15"/>
  <cols>
    <col min="3" max="3" width="31.7109375" customWidth="1"/>
    <col min="4" max="4" width="32.42578125" customWidth="1"/>
    <col min="5" max="5" width="13.42578125" customWidth="1"/>
    <col min="6" max="6" width="18.85546875" customWidth="1"/>
    <col min="9" max="9" width="19.5703125" customWidth="1"/>
  </cols>
  <sheetData>
    <row r="2" spans="3:19" ht="15.75" thickBot="1"/>
    <row r="3" spans="3:19" ht="19.5" thickBot="1">
      <c r="F3" s="30" t="s">
        <v>113</v>
      </c>
      <c r="I3" s="30" t="s">
        <v>105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</row>
    <row r="4" spans="3:19" ht="19.5" thickBot="1">
      <c r="C4" s="30" t="s">
        <v>48</v>
      </c>
      <c r="D4" s="30" t="s">
        <v>52</v>
      </c>
      <c r="E4" s="30" t="s">
        <v>49</v>
      </c>
      <c r="F4" s="30">
        <v>1000</v>
      </c>
      <c r="I4" s="30" t="s">
        <v>104</v>
      </c>
      <c r="J4">
        <f>12</f>
        <v>12</v>
      </c>
      <c r="K4">
        <f>$J4*K3</f>
        <v>24</v>
      </c>
      <c r="L4">
        <f t="shared" ref="L4:S4" si="0">$J4*L3</f>
        <v>36</v>
      </c>
      <c r="M4">
        <f t="shared" si="0"/>
        <v>48</v>
      </c>
      <c r="N4">
        <f t="shared" si="0"/>
        <v>60</v>
      </c>
      <c r="O4">
        <f t="shared" si="0"/>
        <v>72</v>
      </c>
      <c r="P4">
        <f t="shared" si="0"/>
        <v>84</v>
      </c>
      <c r="Q4">
        <f t="shared" si="0"/>
        <v>96</v>
      </c>
      <c r="R4">
        <f t="shared" si="0"/>
        <v>108</v>
      </c>
      <c r="S4">
        <f t="shared" si="0"/>
        <v>120</v>
      </c>
    </row>
    <row r="5" spans="3:19" ht="19.5" thickBot="1">
      <c r="C5" s="33" t="s">
        <v>50</v>
      </c>
      <c r="D5" s="33">
        <v>5</v>
      </c>
      <c r="E5" s="33">
        <v>7500</v>
      </c>
      <c r="F5" s="33">
        <f>E5/F$4</f>
        <v>7.5</v>
      </c>
      <c r="I5" s="30">
        <f>E16</f>
        <v>318400</v>
      </c>
      <c r="J5">
        <f>$I5/J4</f>
        <v>26533.333333333332</v>
      </c>
      <c r="K5">
        <f t="shared" ref="K5:S5" si="1">$I5/K4</f>
        <v>13266.666666666666</v>
      </c>
      <c r="L5">
        <f t="shared" si="1"/>
        <v>8844.4444444444453</v>
      </c>
      <c r="M5">
        <f t="shared" si="1"/>
        <v>6633.333333333333</v>
      </c>
      <c r="N5" s="44">
        <f t="shared" si="1"/>
        <v>5306.666666666667</v>
      </c>
      <c r="O5">
        <f t="shared" si="1"/>
        <v>4422.2222222222226</v>
      </c>
      <c r="P5">
        <f t="shared" si="1"/>
        <v>3790.4761904761904</v>
      </c>
      <c r="Q5">
        <f t="shared" si="1"/>
        <v>3316.6666666666665</v>
      </c>
      <c r="R5">
        <f t="shared" si="1"/>
        <v>2948.1481481481483</v>
      </c>
      <c r="S5">
        <f t="shared" si="1"/>
        <v>2653.3333333333335</v>
      </c>
    </row>
    <row r="6" spans="3:19">
      <c r="C6" s="33" t="s">
        <v>51</v>
      </c>
      <c r="D6" s="33">
        <v>1</v>
      </c>
      <c r="E6" s="33">
        <v>0</v>
      </c>
      <c r="F6" s="33">
        <f t="shared" ref="F6:F15" si="2">E6/F$4</f>
        <v>0</v>
      </c>
    </row>
    <row r="7" spans="3:19">
      <c r="C7" s="33" t="s">
        <v>53</v>
      </c>
      <c r="D7" s="33">
        <v>1</v>
      </c>
      <c r="E7" s="33">
        <v>2000</v>
      </c>
      <c r="F7" s="33">
        <f t="shared" si="2"/>
        <v>2</v>
      </c>
      <c r="J7">
        <v>26534</v>
      </c>
      <c r="N7">
        <v>5307</v>
      </c>
    </row>
    <row r="8" spans="3:19">
      <c r="C8" s="33" t="s">
        <v>63</v>
      </c>
      <c r="D8" s="33">
        <v>1</v>
      </c>
      <c r="E8" s="33">
        <v>270000</v>
      </c>
      <c r="F8" s="33">
        <f t="shared" si="2"/>
        <v>270</v>
      </c>
    </row>
    <row r="9" spans="3:19">
      <c r="C9" s="33" t="s">
        <v>54</v>
      </c>
      <c r="D9" s="33">
        <v>3</v>
      </c>
      <c r="E9" s="33">
        <v>2500</v>
      </c>
      <c r="F9" s="33">
        <f t="shared" si="2"/>
        <v>2.5</v>
      </c>
    </row>
    <row r="10" spans="3:19">
      <c r="C10" s="33" t="s">
        <v>55</v>
      </c>
      <c r="D10" s="33">
        <v>5</v>
      </c>
      <c r="E10" s="33">
        <v>13500</v>
      </c>
      <c r="F10" s="33">
        <f t="shared" si="2"/>
        <v>13.5</v>
      </c>
    </row>
    <row r="11" spans="3:19">
      <c r="C11" s="33" t="s">
        <v>56</v>
      </c>
      <c r="D11" s="33">
        <v>1</v>
      </c>
      <c r="E11" s="33">
        <v>8000</v>
      </c>
      <c r="F11" s="33">
        <f t="shared" si="2"/>
        <v>8</v>
      </c>
    </row>
    <row r="12" spans="3:19">
      <c r="C12" s="33" t="s">
        <v>57</v>
      </c>
      <c r="D12" s="33">
        <v>1</v>
      </c>
      <c r="E12" s="33">
        <v>3300</v>
      </c>
      <c r="F12" s="33">
        <f t="shared" si="2"/>
        <v>3.3</v>
      </c>
    </row>
    <row r="13" spans="3:19">
      <c r="C13" s="33" t="s">
        <v>58</v>
      </c>
      <c r="D13" s="33" t="s">
        <v>60</v>
      </c>
      <c r="E13" s="33">
        <v>6000</v>
      </c>
      <c r="F13" s="33">
        <f t="shared" si="2"/>
        <v>6</v>
      </c>
    </row>
    <row r="14" spans="3:19">
      <c r="C14" s="33" t="s">
        <v>59</v>
      </c>
      <c r="D14" s="33">
        <v>1</v>
      </c>
      <c r="E14" s="33">
        <v>2600</v>
      </c>
      <c r="F14" s="33">
        <f t="shared" si="2"/>
        <v>2.6</v>
      </c>
    </row>
    <row r="15" spans="3:19" ht="15.75" thickBot="1">
      <c r="C15" s="33" t="s">
        <v>64</v>
      </c>
      <c r="D15" s="33">
        <v>1</v>
      </c>
      <c r="E15" s="33">
        <v>3000</v>
      </c>
      <c r="F15" s="33">
        <f t="shared" si="2"/>
        <v>3</v>
      </c>
    </row>
    <row r="16" spans="3:19" ht="19.5" thickBot="1">
      <c r="C16" s="30" t="s">
        <v>62</v>
      </c>
      <c r="D16" s="30"/>
      <c r="E16" s="30">
        <f>SUM(E5:E15)</f>
        <v>318400</v>
      </c>
      <c r="F16" s="30">
        <f>SUM(F5:F15)</f>
        <v>318.40000000000003</v>
      </c>
    </row>
    <row r="18" spans="3:6" ht="15" customHeight="1">
      <c r="C18" s="50" t="s">
        <v>115</v>
      </c>
      <c r="D18" s="50"/>
      <c r="E18" s="50"/>
      <c r="F18" s="50"/>
    </row>
    <row r="19" spans="3:6">
      <c r="C19" s="50"/>
      <c r="D19" s="50"/>
      <c r="E19" s="50"/>
      <c r="F19" s="50"/>
    </row>
    <row r="20" spans="3:6">
      <c r="C20" s="50"/>
      <c r="D20" s="50"/>
      <c r="E20" s="50"/>
      <c r="F20" s="50"/>
    </row>
    <row r="21" spans="3:6">
      <c r="C21" s="50"/>
      <c r="D21" s="50"/>
      <c r="E21" s="50"/>
      <c r="F21" s="50"/>
    </row>
    <row r="22" spans="3:6">
      <c r="C22" s="50"/>
      <c r="D22" s="50"/>
      <c r="E22" s="50"/>
      <c r="F22" s="50"/>
    </row>
    <row r="23" spans="3:6">
      <c r="C23" s="50"/>
      <c r="D23" s="50"/>
      <c r="E23" s="50"/>
      <c r="F23" s="50"/>
    </row>
    <row r="24" spans="3:6">
      <c r="C24" s="50"/>
      <c r="D24" s="50"/>
      <c r="E24" s="50"/>
      <c r="F24" s="50"/>
    </row>
    <row r="25" spans="3:6">
      <c r="C25" s="50"/>
      <c r="D25" s="50"/>
      <c r="E25" s="50"/>
      <c r="F25" s="50"/>
    </row>
    <row r="26" spans="3:6">
      <c r="C26" s="50"/>
      <c r="D26" s="50"/>
      <c r="E26" s="50"/>
      <c r="F26" s="50"/>
    </row>
  </sheetData>
  <mergeCells count="1">
    <mergeCell ref="C18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772-22D8-4A78-83CF-A8FC3BF09CC1}">
  <dimension ref="A1:I1000"/>
  <sheetViews>
    <sheetView topLeftCell="A6" workbookViewId="0">
      <selection activeCell="B6" sqref="B6"/>
    </sheetView>
  </sheetViews>
  <sheetFormatPr baseColWidth="10" defaultColWidth="14.42578125" defaultRowHeight="15" customHeight="1"/>
  <cols>
    <col min="1" max="1" width="49.140625" customWidth="1"/>
    <col min="2" max="2" width="24.5703125" customWidth="1"/>
    <col min="3" max="4" width="10.7109375" customWidth="1"/>
    <col min="5" max="5" width="16.140625" customWidth="1"/>
    <col min="6" max="6" width="14" customWidth="1"/>
    <col min="7" max="7" width="15.85546875" customWidth="1"/>
    <col min="8" max="8" width="16.140625" customWidth="1"/>
    <col min="9" max="9" width="13" customWidth="1"/>
    <col min="10" max="26" width="10.7109375" customWidth="1"/>
  </cols>
  <sheetData>
    <row r="1" spans="1:2" ht="15" customHeight="1" thickBot="1"/>
    <row r="2" spans="1:2" ht="29.25" thickBot="1">
      <c r="A2" s="47" t="s">
        <v>0</v>
      </c>
      <c r="B2" s="48"/>
    </row>
    <row r="3" spans="1:2" ht="23.25">
      <c r="A3" s="1" t="s">
        <v>1</v>
      </c>
      <c r="B3" s="2">
        <v>26534</v>
      </c>
    </row>
    <row r="4" spans="1:2" ht="23.25">
      <c r="A4" s="3" t="s">
        <v>2</v>
      </c>
      <c r="B4" s="4">
        <v>994</v>
      </c>
    </row>
    <row r="5" spans="1:2" ht="23.25">
      <c r="A5" s="3" t="s">
        <v>3</v>
      </c>
      <c r="B5" s="5">
        <v>30</v>
      </c>
    </row>
    <row r="6" spans="1:2" ht="24" thickBot="1">
      <c r="A6" s="3" t="s">
        <v>4</v>
      </c>
      <c r="B6" s="6">
        <v>2650</v>
      </c>
    </row>
    <row r="7" spans="1:2" ht="24" thickBot="1">
      <c r="A7" s="7"/>
      <c r="B7" s="8"/>
    </row>
    <row r="8" spans="1:2" ht="23.25">
      <c r="A8" s="1" t="s">
        <v>5</v>
      </c>
      <c r="B8" s="9">
        <f>+B3/(B6-B4)</f>
        <v>16.022946859903382</v>
      </c>
    </row>
    <row r="9" spans="1:2" ht="24" thickBot="1">
      <c r="A9" s="10" t="s">
        <v>6</v>
      </c>
      <c r="B9" s="11">
        <f>+B3/(1-(B4/B6))</f>
        <v>42460.809178743963</v>
      </c>
    </row>
    <row r="10" spans="1:2" ht="24" thickBot="1">
      <c r="A10" s="12" t="s">
        <v>7</v>
      </c>
      <c r="B10" s="13">
        <f>+B9/B13</f>
        <v>16.022946859903382</v>
      </c>
    </row>
    <row r="12" spans="1:2" ht="24" thickBot="1">
      <c r="A12" s="14" t="s">
        <v>8</v>
      </c>
      <c r="B12" s="15">
        <f>+B5*B6</f>
        <v>79500</v>
      </c>
    </row>
    <row r="13" spans="1:2" ht="24" thickBot="1">
      <c r="A13" s="14" t="s">
        <v>9</v>
      </c>
      <c r="B13" s="16">
        <f>+B12/B14</f>
        <v>2650</v>
      </c>
    </row>
    <row r="14" spans="1:2" ht="24" thickBot="1">
      <c r="A14" s="14" t="s">
        <v>10</v>
      </c>
      <c r="B14" s="17">
        <v>30</v>
      </c>
    </row>
    <row r="15" spans="1:2" ht="24" thickBot="1">
      <c r="A15" s="12" t="s">
        <v>11</v>
      </c>
      <c r="B15" s="18">
        <f>+B5/30</f>
        <v>1</v>
      </c>
    </row>
    <row r="17" spans="1:9" ht="24" thickBot="1">
      <c r="A17" s="49" t="s">
        <v>12</v>
      </c>
      <c r="B17" s="48"/>
    </row>
    <row r="18" spans="1:9">
      <c r="E18" s="19" t="s">
        <v>13</v>
      </c>
      <c r="F18" s="20" t="s">
        <v>14</v>
      </c>
      <c r="G18" s="21" t="s">
        <v>15</v>
      </c>
      <c r="H18" s="22" t="s">
        <v>16</v>
      </c>
      <c r="I18" s="23" t="s">
        <v>17</v>
      </c>
    </row>
    <row r="19" spans="1:9">
      <c r="E19" s="24" t="s">
        <v>18</v>
      </c>
      <c r="F19" s="25">
        <f>+B13</f>
        <v>2650</v>
      </c>
      <c r="G19" s="26">
        <f t="shared" ref="G19:G48" si="0">+$B$3</f>
        <v>26534</v>
      </c>
      <c r="H19" s="26">
        <f>+B4*B15</f>
        <v>994</v>
      </c>
      <c r="I19" s="26">
        <f t="shared" ref="I19:I48" si="1">+H19+G19</f>
        <v>27528</v>
      </c>
    </row>
    <row r="20" spans="1:9">
      <c r="E20" s="24" t="s">
        <v>19</v>
      </c>
      <c r="F20" s="25">
        <f t="shared" ref="F20:F48" si="2">+F19+$B$13</f>
        <v>5300</v>
      </c>
      <c r="G20" s="26">
        <f t="shared" si="0"/>
        <v>26534</v>
      </c>
      <c r="H20" s="26">
        <f t="shared" ref="H20:H48" si="3">+$B$4*$B$15+H19</f>
        <v>1988</v>
      </c>
      <c r="I20" s="26">
        <f t="shared" si="1"/>
        <v>28522</v>
      </c>
    </row>
    <row r="21" spans="1:9" ht="15.75" customHeight="1">
      <c r="E21" s="24" t="s">
        <v>20</v>
      </c>
      <c r="F21" s="25">
        <f t="shared" si="2"/>
        <v>7950</v>
      </c>
      <c r="G21" s="26">
        <f t="shared" si="0"/>
        <v>26534</v>
      </c>
      <c r="H21" s="26">
        <f t="shared" si="3"/>
        <v>2982</v>
      </c>
      <c r="I21" s="26">
        <f t="shared" si="1"/>
        <v>29516</v>
      </c>
    </row>
    <row r="22" spans="1:9" ht="15.75" customHeight="1">
      <c r="E22" s="24" t="s">
        <v>21</v>
      </c>
      <c r="F22" s="25">
        <f t="shared" si="2"/>
        <v>10600</v>
      </c>
      <c r="G22" s="26">
        <f t="shared" si="0"/>
        <v>26534</v>
      </c>
      <c r="H22" s="26">
        <f t="shared" si="3"/>
        <v>3976</v>
      </c>
      <c r="I22" s="26">
        <f t="shared" si="1"/>
        <v>30510</v>
      </c>
    </row>
    <row r="23" spans="1:9" ht="15.75" customHeight="1">
      <c r="E23" s="24" t="s">
        <v>22</v>
      </c>
      <c r="F23" s="25">
        <f t="shared" si="2"/>
        <v>13250</v>
      </c>
      <c r="G23" s="26">
        <f t="shared" si="0"/>
        <v>26534</v>
      </c>
      <c r="H23" s="26">
        <f t="shared" si="3"/>
        <v>4970</v>
      </c>
      <c r="I23" s="26">
        <f t="shared" si="1"/>
        <v>31504</v>
      </c>
    </row>
    <row r="24" spans="1:9" ht="15.75" customHeight="1">
      <c r="E24" s="24" t="s">
        <v>23</v>
      </c>
      <c r="F24" s="25">
        <f t="shared" si="2"/>
        <v>15900</v>
      </c>
      <c r="G24" s="26">
        <f t="shared" si="0"/>
        <v>26534</v>
      </c>
      <c r="H24" s="26">
        <f t="shared" si="3"/>
        <v>5964</v>
      </c>
      <c r="I24" s="26">
        <f t="shared" si="1"/>
        <v>32498</v>
      </c>
    </row>
    <row r="25" spans="1:9" ht="15.75" customHeight="1" thickBot="1">
      <c r="A25" s="31" t="s">
        <v>109</v>
      </c>
      <c r="E25" s="24" t="s">
        <v>24</v>
      </c>
      <c r="F25" s="25">
        <f t="shared" si="2"/>
        <v>18550</v>
      </c>
      <c r="G25" s="26">
        <f t="shared" si="0"/>
        <v>26534</v>
      </c>
      <c r="H25" s="26">
        <f t="shared" si="3"/>
        <v>6958</v>
      </c>
      <c r="I25" s="26">
        <f t="shared" si="1"/>
        <v>33492</v>
      </c>
    </row>
    <row r="26" spans="1:9" ht="15.75" customHeight="1">
      <c r="A26" s="45"/>
      <c r="E26" s="24" t="s">
        <v>25</v>
      </c>
      <c r="F26" s="25">
        <f t="shared" si="2"/>
        <v>21200</v>
      </c>
      <c r="G26" s="26">
        <f t="shared" si="0"/>
        <v>26534</v>
      </c>
      <c r="H26" s="26">
        <f t="shared" si="3"/>
        <v>7952</v>
      </c>
      <c r="I26" s="26">
        <f t="shared" si="1"/>
        <v>34486</v>
      </c>
    </row>
    <row r="27" spans="1:9" ht="15.75" customHeight="1">
      <c r="E27" s="24" t="s">
        <v>26</v>
      </c>
      <c r="F27" s="25">
        <f t="shared" si="2"/>
        <v>23850</v>
      </c>
      <c r="G27" s="26">
        <f t="shared" si="0"/>
        <v>26534</v>
      </c>
      <c r="H27" s="26">
        <f t="shared" si="3"/>
        <v>8946</v>
      </c>
      <c r="I27" s="26">
        <f t="shared" si="1"/>
        <v>35480</v>
      </c>
    </row>
    <row r="28" spans="1:9" ht="15.75" customHeight="1">
      <c r="E28" s="24" t="s">
        <v>27</v>
      </c>
      <c r="F28" s="25">
        <f t="shared" si="2"/>
        <v>26500</v>
      </c>
      <c r="G28" s="26">
        <f t="shared" si="0"/>
        <v>26534</v>
      </c>
      <c r="H28" s="26">
        <f t="shared" si="3"/>
        <v>9940</v>
      </c>
      <c r="I28" s="26">
        <f t="shared" si="1"/>
        <v>36474</v>
      </c>
    </row>
    <row r="29" spans="1:9" ht="15.75" customHeight="1">
      <c r="E29" s="24" t="s">
        <v>28</v>
      </c>
      <c r="F29" s="25">
        <f t="shared" si="2"/>
        <v>29150</v>
      </c>
      <c r="G29" s="26">
        <f t="shared" si="0"/>
        <v>26534</v>
      </c>
      <c r="H29" s="26">
        <f t="shared" si="3"/>
        <v>10934</v>
      </c>
      <c r="I29" s="26">
        <f t="shared" si="1"/>
        <v>37468</v>
      </c>
    </row>
    <row r="30" spans="1:9" ht="15.75" customHeight="1">
      <c r="E30" s="24" t="s">
        <v>29</v>
      </c>
      <c r="F30" s="25">
        <f t="shared" si="2"/>
        <v>31800</v>
      </c>
      <c r="G30" s="26">
        <f t="shared" si="0"/>
        <v>26534</v>
      </c>
      <c r="H30" s="26">
        <f t="shared" si="3"/>
        <v>11928</v>
      </c>
      <c r="I30" s="26">
        <f t="shared" si="1"/>
        <v>38462</v>
      </c>
    </row>
    <row r="31" spans="1:9" ht="15.75" customHeight="1">
      <c r="E31" s="24" t="s">
        <v>30</v>
      </c>
      <c r="F31" s="25">
        <f t="shared" si="2"/>
        <v>34450</v>
      </c>
      <c r="G31" s="26">
        <f t="shared" si="0"/>
        <v>26534</v>
      </c>
      <c r="H31" s="26">
        <f t="shared" si="3"/>
        <v>12922</v>
      </c>
      <c r="I31" s="26">
        <f t="shared" si="1"/>
        <v>39456</v>
      </c>
    </row>
    <row r="32" spans="1:9" ht="15.75" customHeight="1">
      <c r="E32" s="24" t="s">
        <v>31</v>
      </c>
      <c r="F32" s="25">
        <f t="shared" si="2"/>
        <v>37100</v>
      </c>
      <c r="G32" s="26">
        <f t="shared" si="0"/>
        <v>26534</v>
      </c>
      <c r="H32" s="26">
        <f t="shared" si="3"/>
        <v>13916</v>
      </c>
      <c r="I32" s="26">
        <f t="shared" si="1"/>
        <v>40450</v>
      </c>
    </row>
    <row r="33" spans="5:9" ht="15.75" customHeight="1">
      <c r="E33" s="24" t="s">
        <v>32</v>
      </c>
      <c r="F33" s="25">
        <f t="shared" si="2"/>
        <v>39750</v>
      </c>
      <c r="G33" s="26">
        <f t="shared" si="0"/>
        <v>26534</v>
      </c>
      <c r="H33" s="26">
        <f t="shared" si="3"/>
        <v>14910</v>
      </c>
      <c r="I33" s="26">
        <f t="shared" si="1"/>
        <v>41444</v>
      </c>
    </row>
    <row r="34" spans="5:9" ht="15.75" customHeight="1">
      <c r="E34" s="24" t="s">
        <v>33</v>
      </c>
      <c r="F34" s="25">
        <f t="shared" si="2"/>
        <v>42400</v>
      </c>
      <c r="G34" s="26">
        <f t="shared" si="0"/>
        <v>26534</v>
      </c>
      <c r="H34" s="26">
        <f t="shared" si="3"/>
        <v>15904</v>
      </c>
      <c r="I34" s="26">
        <f t="shared" si="1"/>
        <v>42438</v>
      </c>
    </row>
    <row r="35" spans="5:9" ht="15.75" customHeight="1">
      <c r="E35" s="24" t="s">
        <v>34</v>
      </c>
      <c r="F35" s="25">
        <f t="shared" si="2"/>
        <v>45050</v>
      </c>
      <c r="G35" s="26">
        <f t="shared" si="0"/>
        <v>26534</v>
      </c>
      <c r="H35" s="26">
        <f t="shared" si="3"/>
        <v>16898</v>
      </c>
      <c r="I35" s="26">
        <f t="shared" si="1"/>
        <v>43432</v>
      </c>
    </row>
    <row r="36" spans="5:9" ht="15.75" customHeight="1">
      <c r="E36" s="24" t="s">
        <v>35</v>
      </c>
      <c r="F36" s="25">
        <f t="shared" si="2"/>
        <v>47700</v>
      </c>
      <c r="G36" s="26">
        <f t="shared" si="0"/>
        <v>26534</v>
      </c>
      <c r="H36" s="26">
        <f t="shared" si="3"/>
        <v>17892</v>
      </c>
      <c r="I36" s="26">
        <f t="shared" si="1"/>
        <v>44426</v>
      </c>
    </row>
    <row r="37" spans="5:9" ht="15.75" customHeight="1">
      <c r="E37" s="24" t="s">
        <v>36</v>
      </c>
      <c r="F37" s="25">
        <f t="shared" si="2"/>
        <v>50350</v>
      </c>
      <c r="G37" s="26">
        <f t="shared" si="0"/>
        <v>26534</v>
      </c>
      <c r="H37" s="26">
        <f t="shared" si="3"/>
        <v>18886</v>
      </c>
      <c r="I37" s="26">
        <f t="shared" si="1"/>
        <v>45420</v>
      </c>
    </row>
    <row r="38" spans="5:9" ht="15.75" customHeight="1">
      <c r="E38" s="24" t="s">
        <v>37</v>
      </c>
      <c r="F38" s="25">
        <f t="shared" si="2"/>
        <v>53000</v>
      </c>
      <c r="G38" s="26">
        <f t="shared" si="0"/>
        <v>26534</v>
      </c>
      <c r="H38" s="26">
        <f t="shared" si="3"/>
        <v>19880</v>
      </c>
      <c r="I38" s="26">
        <f t="shared" si="1"/>
        <v>46414</v>
      </c>
    </row>
    <row r="39" spans="5:9" ht="15.75" customHeight="1">
      <c r="E39" s="24" t="s">
        <v>38</v>
      </c>
      <c r="F39" s="25">
        <f t="shared" si="2"/>
        <v>55650</v>
      </c>
      <c r="G39" s="26">
        <f t="shared" si="0"/>
        <v>26534</v>
      </c>
      <c r="H39" s="26">
        <f t="shared" si="3"/>
        <v>20874</v>
      </c>
      <c r="I39" s="26">
        <f t="shared" si="1"/>
        <v>47408</v>
      </c>
    </row>
    <row r="40" spans="5:9" ht="15.75" customHeight="1">
      <c r="E40" s="24" t="s">
        <v>39</v>
      </c>
      <c r="F40" s="25">
        <f t="shared" si="2"/>
        <v>58300</v>
      </c>
      <c r="G40" s="26">
        <f t="shared" si="0"/>
        <v>26534</v>
      </c>
      <c r="H40" s="26">
        <f t="shared" si="3"/>
        <v>21868</v>
      </c>
      <c r="I40" s="26">
        <f t="shared" si="1"/>
        <v>48402</v>
      </c>
    </row>
    <row r="41" spans="5:9" ht="15.75" customHeight="1">
      <c r="E41" s="24" t="s">
        <v>40</v>
      </c>
      <c r="F41" s="25">
        <f t="shared" si="2"/>
        <v>60950</v>
      </c>
      <c r="G41" s="26">
        <f t="shared" si="0"/>
        <v>26534</v>
      </c>
      <c r="H41" s="26">
        <f t="shared" si="3"/>
        <v>22862</v>
      </c>
      <c r="I41" s="26">
        <f t="shared" si="1"/>
        <v>49396</v>
      </c>
    </row>
    <row r="42" spans="5:9" ht="15.75" customHeight="1">
      <c r="E42" s="24" t="s">
        <v>41</v>
      </c>
      <c r="F42" s="25">
        <f t="shared" si="2"/>
        <v>63600</v>
      </c>
      <c r="G42" s="26">
        <f t="shared" si="0"/>
        <v>26534</v>
      </c>
      <c r="H42" s="26">
        <f t="shared" si="3"/>
        <v>23856</v>
      </c>
      <c r="I42" s="26">
        <f t="shared" si="1"/>
        <v>50390</v>
      </c>
    </row>
    <row r="43" spans="5:9" ht="15.75" customHeight="1">
      <c r="E43" s="24" t="s">
        <v>42</v>
      </c>
      <c r="F43" s="25">
        <f t="shared" si="2"/>
        <v>66250</v>
      </c>
      <c r="G43" s="26">
        <f t="shared" si="0"/>
        <v>26534</v>
      </c>
      <c r="H43" s="26">
        <f t="shared" si="3"/>
        <v>24850</v>
      </c>
      <c r="I43" s="26">
        <f t="shared" si="1"/>
        <v>51384</v>
      </c>
    </row>
    <row r="44" spans="5:9" ht="15.75" customHeight="1">
      <c r="E44" s="24" t="s">
        <v>43</v>
      </c>
      <c r="F44" s="25">
        <f t="shared" si="2"/>
        <v>68900</v>
      </c>
      <c r="G44" s="26">
        <f t="shared" si="0"/>
        <v>26534</v>
      </c>
      <c r="H44" s="26">
        <f t="shared" si="3"/>
        <v>25844</v>
      </c>
      <c r="I44" s="26">
        <f t="shared" si="1"/>
        <v>52378</v>
      </c>
    </row>
    <row r="45" spans="5:9" ht="15.75" customHeight="1">
      <c r="E45" s="24" t="s">
        <v>44</v>
      </c>
      <c r="F45" s="25">
        <f t="shared" si="2"/>
        <v>71550</v>
      </c>
      <c r="G45" s="26">
        <f t="shared" si="0"/>
        <v>26534</v>
      </c>
      <c r="H45" s="26">
        <f t="shared" si="3"/>
        <v>26838</v>
      </c>
      <c r="I45" s="26">
        <f t="shared" si="1"/>
        <v>53372</v>
      </c>
    </row>
    <row r="46" spans="5:9" ht="15.75" customHeight="1">
      <c r="E46" s="24" t="s">
        <v>45</v>
      </c>
      <c r="F46" s="25">
        <f t="shared" si="2"/>
        <v>74200</v>
      </c>
      <c r="G46" s="26">
        <f t="shared" si="0"/>
        <v>26534</v>
      </c>
      <c r="H46" s="26">
        <f t="shared" si="3"/>
        <v>27832</v>
      </c>
      <c r="I46" s="26">
        <f t="shared" si="1"/>
        <v>54366</v>
      </c>
    </row>
    <row r="47" spans="5:9" ht="15.75" customHeight="1">
      <c r="E47" s="24" t="s">
        <v>46</v>
      </c>
      <c r="F47" s="25">
        <f t="shared" si="2"/>
        <v>76850</v>
      </c>
      <c r="G47" s="26">
        <f t="shared" si="0"/>
        <v>26534</v>
      </c>
      <c r="H47" s="26">
        <f t="shared" si="3"/>
        <v>28826</v>
      </c>
      <c r="I47" s="26">
        <f t="shared" si="1"/>
        <v>55360</v>
      </c>
    </row>
    <row r="48" spans="5:9" ht="15.75" customHeight="1" thickBot="1">
      <c r="E48" s="27" t="s">
        <v>47</v>
      </c>
      <c r="F48" s="28">
        <f t="shared" si="2"/>
        <v>79500</v>
      </c>
      <c r="G48" s="29">
        <f t="shared" si="0"/>
        <v>26534</v>
      </c>
      <c r="H48" s="29">
        <f t="shared" si="3"/>
        <v>29820</v>
      </c>
      <c r="I48" s="29">
        <f t="shared" si="1"/>
        <v>56354</v>
      </c>
    </row>
    <row r="49" spans="3:6" ht="15.75" customHeight="1"/>
    <row r="50" spans="3:6" ht="15.75" customHeight="1"/>
    <row r="51" spans="3:6" ht="15.75" customHeight="1">
      <c r="C51" t="s">
        <v>114</v>
      </c>
      <c r="D51" s="46" t="s">
        <v>111</v>
      </c>
      <c r="F51" t="s">
        <v>112</v>
      </c>
    </row>
    <row r="52" spans="3:6" ht="15.75" customHeight="1">
      <c r="C52">
        <v>150</v>
      </c>
      <c r="D52" s="32">
        <f>12*397500</f>
        <v>4770000</v>
      </c>
      <c r="E52" t="s">
        <v>107</v>
      </c>
      <c r="F52">
        <v>150000</v>
      </c>
    </row>
    <row r="53" spans="3:6" ht="15.75" customHeight="1"/>
    <row r="54" spans="3:6" ht="15.75" customHeight="1">
      <c r="C54">
        <v>90</v>
      </c>
      <c r="D54" s="32">
        <f>12*238500</f>
        <v>2862000</v>
      </c>
      <c r="E54" t="s">
        <v>108</v>
      </c>
      <c r="F54">
        <v>90000</v>
      </c>
    </row>
    <row r="55" spans="3:6" ht="15.75" customHeight="1"/>
    <row r="56" spans="3:6" ht="15.75" customHeight="1">
      <c r="C56">
        <v>50</v>
      </c>
      <c r="D56" s="32">
        <f>12*132500</f>
        <v>1590000</v>
      </c>
      <c r="E56" t="s">
        <v>110</v>
      </c>
      <c r="F56">
        <v>50000</v>
      </c>
    </row>
    <row r="57" spans="3:6" ht="15.75" customHeight="1"/>
    <row r="58" spans="3:6" ht="15.75" customHeight="1"/>
    <row r="59" spans="3:6" ht="15.75" customHeight="1"/>
    <row r="60" spans="3:6" ht="15.75" customHeight="1"/>
    <row r="61" spans="3:6" ht="15.75" customHeight="1"/>
    <row r="62" spans="3:6" ht="15.75" customHeight="1"/>
    <row r="63" spans="3:6" ht="15.75" customHeight="1"/>
    <row r="64" spans="3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A17:B17"/>
  </mergeCells>
  <conditionalFormatting sqref="B10">
    <cfRule type="expression" dxfId="0" priority="1">
      <formula>$B$10&gt;=30</formula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Gastos</vt:lpstr>
      <vt:lpstr>GastosAcotados</vt:lpstr>
      <vt:lpstr>Hoja2 Acotado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FERNANDEZ, FEDERICO NICOLAS</cp:lastModifiedBy>
  <dcterms:created xsi:type="dcterms:W3CDTF">2023-11-29T23:10:32Z</dcterms:created>
  <dcterms:modified xsi:type="dcterms:W3CDTF">2023-12-03T17:53:07Z</dcterms:modified>
</cp:coreProperties>
</file>