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mc:AlternateContent xmlns:mc="http://schemas.openxmlformats.org/markup-compatibility/2006">
    <mc:Choice Requires="x15">
      <x15ac:absPath xmlns:x15ac="http://schemas.microsoft.com/office/spreadsheetml/2010/11/ac" url="https://lsecloud-my.sharepoint.com/personal/f_kolchin_lse_ac_uk/Documents/BIOPHARMA LOCAL/"/>
    </mc:Choice>
  </mc:AlternateContent>
  <xr:revisionPtr revIDLastSave="7181" documentId="11_0B1D56BE9CDCCE836B02CE7A5FB0D4A9BBFD1C62" xr6:coauthVersionLast="47" xr6:coauthVersionMax="47" xr10:uidLastSave="{2BE8DF7C-8A9E-4862-94ED-D13871334846}"/>
  <bookViews>
    <workbookView xWindow="-25725" yWindow="345" windowWidth="24870" windowHeight="15270" activeTab="2" xr2:uid="{00000000-000D-0000-FFFF-FFFF00000000}"/>
  </bookViews>
  <sheets>
    <sheet name="cover" sheetId="1" r:id="rId1"/>
    <sheet name="clinical " sheetId="2" r:id="rId2"/>
    <sheet name="MODEL " sheetId="5" r:id="rId3"/>
    <sheet name="immunology notes " sheetId="3" r:id="rId4"/>
    <sheet name="Sheet1" sheetId="11" r:id="rId5"/>
    <sheet name="Note " sheetId="4" r:id="rId6"/>
    <sheet name="Income Statement" sheetId="7" r:id="rId7"/>
    <sheet name="Balance Sheet" sheetId="8" r:id="rId8"/>
    <sheet name="Cash Flow" sheetId="9" r:id="rId9"/>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75" i="5" l="1" a="1"/>
  <c r="AH75" i="5" s="1"/>
  <c r="E3" i="1" a="1"/>
  <c r="E3" i="1" s="1"/>
  <c r="E5" i="1" s="1"/>
  <c r="E8" i="1" s="1"/>
  <c r="AH72" i="5"/>
  <c r="AH71" i="5"/>
  <c r="AG47" i="5"/>
  <c r="AG48" i="5"/>
  <c r="AG49" i="5"/>
  <c r="AG46" i="5"/>
  <c r="AG41" i="5"/>
  <c r="AG42" i="5"/>
  <c r="AG43" i="5"/>
  <c r="AG44" i="5"/>
  <c r="AR12" i="5"/>
  <c r="AS12" i="5" s="1"/>
  <c r="AT12" i="5" s="1"/>
  <c r="AU12" i="5" s="1"/>
  <c r="AV12" i="5" s="1"/>
  <c r="AW12" i="5" s="1"/>
  <c r="AX12" i="5" s="1"/>
  <c r="AY12" i="5" s="1"/>
  <c r="AZ12" i="5" s="1"/>
  <c r="BA12" i="5" s="1"/>
  <c r="BB12" i="5" s="1"/>
  <c r="C87" i="1"/>
  <c r="AQ2" i="5"/>
  <c r="AQ4" i="5" s="1"/>
  <c r="AQ5" i="5" s="1"/>
  <c r="AQ6" i="5" s="1"/>
  <c r="AQ7" i="5" s="1"/>
  <c r="AR2" i="5"/>
  <c r="AS2" i="5"/>
  <c r="AT2" i="5"/>
  <c r="AU2" i="5"/>
  <c r="AV2" i="5"/>
  <c r="AW2" i="5"/>
  <c r="AX2" i="5"/>
  <c r="AY2" i="5"/>
  <c r="AZ2" i="5"/>
  <c r="BA2" i="5"/>
  <c r="BB2" i="5"/>
  <c r="AR3" i="5"/>
  <c r="AS3" i="5" s="1"/>
  <c r="AT3" i="5" s="1"/>
  <c r="AU3" i="5" s="1"/>
  <c r="AN52" i="5"/>
  <c r="AO52" i="5"/>
  <c r="AP52" i="5"/>
  <c r="AQ52" i="5"/>
  <c r="AR52" i="5"/>
  <c r="AS52" i="5"/>
  <c r="AT52" i="5"/>
  <c r="AU52" i="5"/>
  <c r="AV52" i="5"/>
  <c r="AW52" i="5"/>
  <c r="AX52" i="5"/>
  <c r="AY52" i="5"/>
  <c r="AZ52" i="5"/>
  <c r="BA52" i="5"/>
  <c r="BB52" i="5"/>
  <c r="AM52" i="5"/>
  <c r="AM48" i="5" a="1"/>
  <c r="AM48" i="5" s="1"/>
  <c r="AN48" i="5" s="1"/>
  <c r="AO48" i="5" s="1"/>
  <c r="AP48" i="5" s="1"/>
  <c r="AQ48" i="5" s="1"/>
  <c r="AR48" i="5" s="1"/>
  <c r="AS48" i="5" s="1"/>
  <c r="AT48" i="5" s="1"/>
  <c r="AU48" i="5" s="1"/>
  <c r="AV48" i="5" s="1"/>
  <c r="AW48" i="5" s="1"/>
  <c r="AX48" i="5" s="1"/>
  <c r="AY48" i="5" s="1"/>
  <c r="AZ48" i="5" s="1"/>
  <c r="BA48" i="5" s="1"/>
  <c r="BB48" i="5" s="1"/>
  <c r="AM49" i="5"/>
  <c r="AI44" i="5"/>
  <c r="AH44" i="5"/>
  <c r="AN18" i="5"/>
  <c r="AO18" i="5"/>
  <c r="AM18" i="5"/>
  <c r="AI22" i="5"/>
  <c r="AH22" i="5"/>
  <c r="AR43" i="5"/>
  <c r="AS43" i="5" s="1"/>
  <c r="AT43" i="5" s="1"/>
  <c r="AU43" i="5" s="1"/>
  <c r="AV43" i="5" s="1"/>
  <c r="AW43" i="5" s="1"/>
  <c r="AX43" i="5" s="1"/>
  <c r="AY43" i="5" s="1"/>
  <c r="AZ43" i="5" s="1"/>
  <c r="BA43" i="5" s="1"/>
  <c r="BB43" i="5" s="1"/>
  <c r="AM20" i="5"/>
  <c r="AM22" i="5" s="1"/>
  <c r="AG21" i="5"/>
  <c r="Q29" i="5"/>
  <c r="Q33" i="5" s="1"/>
  <c r="Q36" i="5" s="1"/>
  <c r="R29" i="5"/>
  <c r="R33" i="5" s="1"/>
  <c r="R36" i="5" s="1"/>
  <c r="P29" i="5"/>
  <c r="P33" i="5" s="1"/>
  <c r="P36" i="5" s="1"/>
  <c r="AQ198" i="5"/>
  <c r="AR198" i="5" s="1"/>
  <c r="AS198" i="5" s="1"/>
  <c r="AT198" i="5" s="1"/>
  <c r="AU198" i="5" s="1"/>
  <c r="AQ200" i="5"/>
  <c r="AR200" i="5" s="1"/>
  <c r="AI207" i="5"/>
  <c r="AJ207" i="5"/>
  <c r="AK207" i="5"/>
  <c r="AL207" i="5"/>
  <c r="AM207" i="5"/>
  <c r="AN207" i="5"/>
  <c r="AO207" i="5"/>
  <c r="AP207" i="5"/>
  <c r="AH207" i="5"/>
  <c r="F142" i="2"/>
  <c r="F133" i="2"/>
  <c r="F132" i="2"/>
  <c r="AQ186" i="5"/>
  <c r="AT186" i="5" s="1"/>
  <c r="P199" i="5"/>
  <c r="P202" i="5" s="1"/>
  <c r="Q199" i="5"/>
  <c r="Q202" i="5" s="1"/>
  <c r="R199" i="5"/>
  <c r="R202" i="5" s="1"/>
  <c r="O199" i="5"/>
  <c r="O202" i="5" s="1"/>
  <c r="AQ183" i="5"/>
  <c r="AR183" i="5" s="1"/>
  <c r="AS183" i="5" s="1"/>
  <c r="AT183" i="5" s="1"/>
  <c r="AU183" i="5" s="1"/>
  <c r="AV183" i="5" s="1"/>
  <c r="AW183" i="5" s="1"/>
  <c r="AX183" i="5" s="1"/>
  <c r="AY183" i="5" s="1"/>
  <c r="AZ183" i="5" s="1"/>
  <c r="BA183" i="5" s="1"/>
  <c r="BB183" i="5" s="1"/>
  <c r="BC183" i="5" s="1"/>
  <c r="BD183" i="5" s="1"/>
  <c r="BE183" i="5" s="1"/>
  <c r="BF183" i="5" s="1"/>
  <c r="AI41" i="5"/>
  <c r="AH41" i="5"/>
  <c r="AI206" i="5"/>
  <c r="AJ206" i="5"/>
  <c r="AK206" i="5"/>
  <c r="AH206" i="5"/>
  <c r="AM205" i="5"/>
  <c r="AM206" i="5" s="1"/>
  <c r="AN205" i="5"/>
  <c r="AN206" i="5" s="1"/>
  <c r="AO205" i="5"/>
  <c r="AO206" i="5" s="1"/>
  <c r="AP205" i="5"/>
  <c r="AP206" i="5" s="1"/>
  <c r="AL205" i="5"/>
  <c r="AL206" i="5" s="1"/>
  <c r="AM199" i="5"/>
  <c r="AM202" i="5" s="1"/>
  <c r="AN199" i="5"/>
  <c r="AN202" i="5" s="1"/>
  <c r="AO199" i="5"/>
  <c r="AO202" i="5" s="1"/>
  <c r="AP199" i="5"/>
  <c r="AP202" i="5" s="1"/>
  <c r="AI199" i="5"/>
  <c r="AI202" i="5" s="1"/>
  <c r="AJ199" i="5"/>
  <c r="AJ202" i="5" s="1"/>
  <c r="AK199" i="5"/>
  <c r="AK202" i="5" s="1"/>
  <c r="AL199" i="5"/>
  <c r="AL202" i="5" s="1"/>
  <c r="AH199" i="5"/>
  <c r="AH202" i="5" s="1"/>
  <c r="AG40" i="5"/>
  <c r="AJ80" i="5"/>
  <c r="AK80" i="5"/>
  <c r="AL80" i="5"/>
  <c r="AJ81" i="5"/>
  <c r="AK81" i="5"/>
  <c r="AL81" i="5"/>
  <c r="AJ82" i="5"/>
  <c r="AK82" i="5"/>
  <c r="AL82" i="5"/>
  <c r="AJ83" i="5"/>
  <c r="AK83" i="5"/>
  <c r="AL83" i="5"/>
  <c r="AJ84" i="5"/>
  <c r="AK84" i="5"/>
  <c r="AL84" i="5"/>
  <c r="AJ85" i="5"/>
  <c r="AK85" i="5"/>
  <c r="AL85" i="5"/>
  <c r="AJ86" i="5"/>
  <c r="AK86" i="5"/>
  <c r="AL86" i="5"/>
  <c r="AJ87" i="5"/>
  <c r="AK87" i="5"/>
  <c r="AL87" i="5"/>
  <c r="AJ88" i="5"/>
  <c r="AK88" i="5"/>
  <c r="AL88" i="5"/>
  <c r="AJ89" i="5"/>
  <c r="AK89" i="5"/>
  <c r="AL89" i="5"/>
  <c r="AJ90" i="5"/>
  <c r="AK90" i="5"/>
  <c r="AL90" i="5"/>
  <c r="AJ91" i="5"/>
  <c r="AK91" i="5"/>
  <c r="AL91" i="5"/>
  <c r="AJ92" i="5"/>
  <c r="AK92" i="5"/>
  <c r="AL92" i="5"/>
  <c r="AJ94" i="5"/>
  <c r="AK94" i="5"/>
  <c r="AL94" i="5"/>
  <c r="AJ95" i="5"/>
  <c r="AK95" i="5"/>
  <c r="AL95" i="5"/>
  <c r="AJ96" i="5"/>
  <c r="AK96" i="5"/>
  <c r="AL96" i="5"/>
  <c r="AJ97" i="5"/>
  <c r="AK97" i="5"/>
  <c r="AL97" i="5"/>
  <c r="AJ98" i="5"/>
  <c r="AK98" i="5"/>
  <c r="AL98" i="5"/>
  <c r="AJ99" i="5"/>
  <c r="AK99" i="5"/>
  <c r="AL99" i="5"/>
  <c r="AJ100" i="5"/>
  <c r="AK100" i="5"/>
  <c r="AL100" i="5"/>
  <c r="AJ101" i="5"/>
  <c r="AK101" i="5"/>
  <c r="AL101" i="5"/>
  <c r="AJ102" i="5"/>
  <c r="AK102" i="5"/>
  <c r="AL102" i="5"/>
  <c r="AJ103" i="5"/>
  <c r="AK103" i="5"/>
  <c r="AL103" i="5"/>
  <c r="AJ104" i="5"/>
  <c r="AK104" i="5"/>
  <c r="AL104" i="5"/>
  <c r="AJ105" i="5"/>
  <c r="AK105" i="5"/>
  <c r="AL105" i="5"/>
  <c r="AJ106" i="5"/>
  <c r="AK106" i="5"/>
  <c r="AL106" i="5"/>
  <c r="AJ107" i="5"/>
  <c r="AK107" i="5"/>
  <c r="AL107" i="5"/>
  <c r="AJ108" i="5"/>
  <c r="AK108" i="5"/>
  <c r="AL108" i="5"/>
  <c r="AJ109" i="5"/>
  <c r="AK109" i="5"/>
  <c r="AL109" i="5"/>
  <c r="AJ110" i="5"/>
  <c r="AK110" i="5"/>
  <c r="AL110" i="5"/>
  <c r="AJ111" i="5"/>
  <c r="AK111" i="5"/>
  <c r="AL111" i="5"/>
  <c r="AJ113" i="5"/>
  <c r="AK113" i="5"/>
  <c r="AL113" i="5"/>
  <c r="AJ115" i="5"/>
  <c r="AK115" i="5"/>
  <c r="AL115" i="5"/>
  <c r="AJ116" i="5"/>
  <c r="AK116" i="5"/>
  <c r="AL116" i="5"/>
  <c r="AJ117" i="5"/>
  <c r="AK117" i="5"/>
  <c r="AL117" i="5"/>
  <c r="AJ119" i="5"/>
  <c r="AK119" i="5"/>
  <c r="AL119" i="5"/>
  <c r="AJ120" i="5"/>
  <c r="AK120" i="5"/>
  <c r="AL120" i="5"/>
  <c r="AL79" i="5"/>
  <c r="AK79" i="5"/>
  <c r="AJ79" i="5"/>
  <c r="AL36" i="5"/>
  <c r="AL35" i="5"/>
  <c r="AJ32" i="5"/>
  <c r="AK32" i="5"/>
  <c r="AJ31" i="5"/>
  <c r="AK31" i="5"/>
  <c r="AL23" i="5"/>
  <c r="AL24" i="5"/>
  <c r="AL25" i="5"/>
  <c r="AL52" i="5" s="1"/>
  <c r="AL26" i="5"/>
  <c r="AL44" i="5" s="1"/>
  <c r="AM26" i="5" s="1"/>
  <c r="AM54" i="5" s="1"/>
  <c r="AL27" i="5"/>
  <c r="AL28" i="5"/>
  <c r="AL29" i="5"/>
  <c r="AL30" i="5"/>
  <c r="AL31" i="5"/>
  <c r="AL32" i="5"/>
  <c r="AL33" i="5"/>
  <c r="AL20" i="5"/>
  <c r="AL22" i="5" s="1"/>
  <c r="AL17" i="5"/>
  <c r="AL18" i="5"/>
  <c r="AL16" i="5"/>
  <c r="AK36" i="5"/>
  <c r="AK35" i="5"/>
  <c r="AK33" i="5"/>
  <c r="AK23" i="5"/>
  <c r="AK24" i="5"/>
  <c r="AK25" i="5"/>
  <c r="AK52" i="5" s="1"/>
  <c r="AK26" i="5"/>
  <c r="AK44" i="5" s="1"/>
  <c r="AK27" i="5"/>
  <c r="AK28" i="5"/>
  <c r="AK29" i="5"/>
  <c r="AK30" i="5"/>
  <c r="AK20" i="5"/>
  <c r="AK41" i="5" s="1"/>
  <c r="AK18" i="5"/>
  <c r="AK17" i="5"/>
  <c r="AK16" i="5"/>
  <c r="AJ17" i="5"/>
  <c r="AJ18" i="5"/>
  <c r="AJ20" i="5"/>
  <c r="AJ41" i="5" s="1"/>
  <c r="AJ23" i="5"/>
  <c r="AJ24" i="5"/>
  <c r="AJ25" i="5"/>
  <c r="AJ52" i="5" s="1"/>
  <c r="AJ26" i="5"/>
  <c r="AJ44" i="5" s="1"/>
  <c r="AJ27" i="5"/>
  <c r="AJ28" i="5"/>
  <c r="AJ29" i="5"/>
  <c r="AJ30" i="5"/>
  <c r="AJ33" i="5"/>
  <c r="AJ35" i="5"/>
  <c r="AJ36" i="5"/>
  <c r="AJ16" i="5"/>
  <c r="AG39" i="5"/>
  <c r="AG14" i="5"/>
  <c r="AG13" i="5"/>
  <c r="AG12" i="5"/>
  <c r="AG11" i="5"/>
  <c r="F70" i="1"/>
  <c r="G70" i="1"/>
  <c r="H70" i="1"/>
  <c r="E70" i="1"/>
  <c r="AG10" i="5"/>
  <c r="E50" i="1"/>
  <c r="E49" i="1"/>
  <c r="E48" i="1"/>
  <c r="E47" i="1"/>
  <c r="AG4" i="5"/>
  <c r="AG5" i="5"/>
  <c r="AG6" i="5"/>
  <c r="AG7" i="5"/>
  <c r="AG9" i="5"/>
  <c r="AG16" i="5"/>
  <c r="AG17" i="5"/>
  <c r="AG18" i="5"/>
  <c r="AG20" i="5"/>
  <c r="AG23" i="5"/>
  <c r="AG24" i="5"/>
  <c r="AG25" i="5"/>
  <c r="AG26" i="5"/>
  <c r="AG27" i="5"/>
  <c r="AG28" i="5"/>
  <c r="AG29" i="5"/>
  <c r="AG30" i="5"/>
  <c r="AG31" i="5"/>
  <c r="AG32" i="5"/>
  <c r="AG33" i="5"/>
  <c r="AG35" i="5"/>
  <c r="AG36" i="5"/>
  <c r="AG37" i="5"/>
  <c r="AG38" i="5"/>
  <c r="AG78" i="5"/>
  <c r="AG79" i="5"/>
  <c r="AG80" i="5"/>
  <c r="AG81" i="5"/>
  <c r="AG82" i="5"/>
  <c r="AG83" i="5"/>
  <c r="AG84" i="5"/>
  <c r="AG85" i="5"/>
  <c r="AG86" i="5"/>
  <c r="AG87" i="5"/>
  <c r="AG88" i="5"/>
  <c r="AG89" i="5"/>
  <c r="AG90" i="5"/>
  <c r="AG91" i="5"/>
  <c r="AG92" i="5"/>
  <c r="AG94" i="5"/>
  <c r="AG95" i="5"/>
  <c r="AG96" i="5"/>
  <c r="AG97" i="5"/>
  <c r="AG98" i="5"/>
  <c r="AG99" i="5"/>
  <c r="AG100" i="5"/>
  <c r="AG101" i="5"/>
  <c r="AG103" i="5"/>
  <c r="AG104" i="5"/>
  <c r="AG105" i="5"/>
  <c r="AG106" i="5"/>
  <c r="AG107" i="5"/>
  <c r="AG108" i="5"/>
  <c r="AG110" i="5"/>
  <c r="AG111" i="5"/>
  <c r="AG113" i="5"/>
  <c r="AG115" i="5"/>
  <c r="AG116" i="5"/>
  <c r="AG117" i="5"/>
  <c r="AG119" i="5"/>
  <c r="AG120" i="5"/>
  <c r="AG122" i="5"/>
  <c r="AG123" i="5"/>
  <c r="AG124" i="5"/>
  <c r="AG125" i="5"/>
  <c r="AG126" i="5"/>
  <c r="AG127" i="5"/>
  <c r="AG128" i="5"/>
  <c r="AG129" i="5"/>
  <c r="AG130" i="5"/>
  <c r="AG131" i="5"/>
  <c r="AG133" i="5"/>
  <c r="AG134" i="5"/>
  <c r="AG135" i="5"/>
  <c r="AG137" i="5"/>
  <c r="AG138" i="5"/>
  <c r="AG139" i="5"/>
  <c r="AG140" i="5"/>
  <c r="AG142" i="5"/>
  <c r="AG143" i="5"/>
  <c r="AG144" i="5"/>
  <c r="AG146" i="5"/>
  <c r="AG147" i="5"/>
  <c r="AG148" i="5"/>
  <c r="AG149" i="5"/>
  <c r="AG151" i="5"/>
  <c r="AG152" i="5"/>
  <c r="AG153" i="5"/>
  <c r="AG154" i="5"/>
  <c r="AG155" i="5"/>
  <c r="AG156" i="5"/>
  <c r="AG158" i="5"/>
  <c r="AG159" i="5"/>
  <c r="AG160" i="5"/>
  <c r="AG161" i="5"/>
  <c r="AG163" i="5"/>
  <c r="AG164" i="5"/>
  <c r="AG165" i="5"/>
  <c r="AG166" i="5"/>
  <c r="AG167" i="5"/>
  <c r="AG168" i="5"/>
  <c r="AG170" i="5"/>
  <c r="AG172" i="5"/>
  <c r="AG174" i="5"/>
  <c r="AG175" i="5"/>
  <c r="AG176" i="5"/>
  <c r="AG177" i="5"/>
  <c r="AG178" i="5"/>
  <c r="AG179" i="5"/>
  <c r="AG180" i="5"/>
  <c r="AG181" i="5"/>
  <c r="AG3" i="5"/>
  <c r="AG2" i="5"/>
  <c r="AQ1" i="5"/>
  <c r="AR1" i="5" s="1"/>
  <c r="AS1" i="5" s="1"/>
  <c r="AT1" i="5" s="1"/>
  <c r="AU1" i="5" s="1"/>
  <c r="AV1" i="5" s="1"/>
  <c r="AW1" i="5" s="1"/>
  <c r="AX1" i="5" s="1"/>
  <c r="AY1" i="5" s="1"/>
  <c r="AZ1" i="5" s="1"/>
  <c r="BA1" i="5" s="1"/>
  <c r="BB1" i="5" s="1"/>
  <c r="Q40" i="4"/>
  <c r="R40" i="4"/>
  <c r="S40" i="4"/>
  <c r="T40" i="4"/>
  <c r="U40" i="4"/>
  <c r="V40" i="4"/>
  <c r="W40" i="4"/>
  <c r="X40" i="4"/>
  <c r="Y40" i="4"/>
  <c r="Z40" i="4"/>
  <c r="AA40" i="4"/>
  <c r="AB40" i="4"/>
  <c r="AC40" i="4"/>
  <c r="P40" i="4"/>
  <c r="T37" i="4"/>
  <c r="U37" i="4"/>
  <c r="V37" i="4"/>
  <c r="W37" i="4"/>
  <c r="X37" i="4"/>
  <c r="Y37" i="4"/>
  <c r="Z37" i="4"/>
  <c r="AA37" i="4"/>
  <c r="AB37" i="4"/>
  <c r="AC37" i="4"/>
  <c r="S37" i="4"/>
  <c r="R37" i="4"/>
  <c r="Q37" i="4"/>
  <c r="P37" i="4"/>
  <c r="Q33" i="4"/>
  <c r="R33" i="4"/>
  <c r="S33" i="4"/>
  <c r="T33" i="4"/>
  <c r="U33" i="4"/>
  <c r="V33" i="4"/>
  <c r="W33" i="4"/>
  <c r="X33" i="4"/>
  <c r="Y33" i="4"/>
  <c r="Z33" i="4"/>
  <c r="AA33" i="4"/>
  <c r="AB33" i="4"/>
  <c r="AC33" i="4"/>
  <c r="P33" i="4"/>
  <c r="P34" i="4"/>
  <c r="P36" i="4" s="1"/>
  <c r="P47" i="4"/>
  <c r="P49" i="4" s="1"/>
  <c r="P50" i="4" s="1"/>
  <c r="Q39" i="4"/>
  <c r="R39" i="4"/>
  <c r="S39" i="4"/>
  <c r="T39" i="4"/>
  <c r="U39" i="4"/>
  <c r="V39" i="4"/>
  <c r="W39" i="4"/>
  <c r="X39" i="4"/>
  <c r="Y39" i="4"/>
  <c r="Z39" i="4"/>
  <c r="AA39" i="4"/>
  <c r="AB39" i="4"/>
  <c r="AC39" i="4"/>
  <c r="P39" i="4"/>
  <c r="Q30" i="4"/>
  <c r="R30" i="4" s="1"/>
  <c r="S30" i="4" s="1"/>
  <c r="T30" i="4" s="1"/>
  <c r="U30" i="4" s="1"/>
  <c r="V30" i="4" s="1"/>
  <c r="W30" i="4" s="1"/>
  <c r="X30" i="4" s="1"/>
  <c r="Y30" i="4" s="1"/>
  <c r="Z30" i="4" s="1"/>
  <c r="AA30" i="4" s="1"/>
  <c r="AB30" i="4" s="1"/>
  <c r="AC30" i="4" s="1"/>
  <c r="O20" i="4"/>
  <c r="O21" i="4" s="1"/>
  <c r="O22" i="4" s="1"/>
  <c r="L105" i="2"/>
  <c r="M105" i="2"/>
  <c r="N105" i="2"/>
  <c r="L106" i="2"/>
  <c r="M106" i="2"/>
  <c r="N106" i="2"/>
  <c r="K106" i="2"/>
  <c r="K105" i="2"/>
  <c r="G105" i="2"/>
  <c r="G106" i="2"/>
  <c r="F106" i="2"/>
  <c r="F105" i="2"/>
  <c r="K95" i="2"/>
  <c r="L95" i="2"/>
  <c r="M95" i="2"/>
  <c r="N95" i="2"/>
  <c r="O95" i="2"/>
  <c r="X95" i="2"/>
  <c r="K96" i="2"/>
  <c r="L96" i="2"/>
  <c r="M96" i="2"/>
  <c r="N96" i="2"/>
  <c r="O96" i="2"/>
  <c r="X96" i="2"/>
  <c r="J96" i="2"/>
  <c r="J95" i="2"/>
  <c r="G95" i="2"/>
  <c r="G96" i="2"/>
  <c r="F96" i="2"/>
  <c r="F95" i="2"/>
  <c r="X81" i="2"/>
  <c r="M81" i="2"/>
  <c r="N81" i="2"/>
  <c r="K81" i="2"/>
  <c r="X80" i="2"/>
  <c r="M80" i="2"/>
  <c r="N80" i="2"/>
  <c r="K80" i="2"/>
  <c r="G80" i="2"/>
  <c r="G81" i="2"/>
  <c r="F81" i="2"/>
  <c r="F80" i="2"/>
  <c r="X73" i="2"/>
  <c r="N73" i="2"/>
  <c r="K73" i="2"/>
  <c r="G73" i="2"/>
  <c r="F73" i="2"/>
  <c r="L57" i="2"/>
  <c r="M57" i="2"/>
  <c r="N57" i="2"/>
  <c r="O57" i="2"/>
  <c r="V57" i="2"/>
  <c r="X57" i="2"/>
  <c r="K57" i="2"/>
  <c r="G57" i="2"/>
  <c r="F57" i="2"/>
  <c r="X47" i="2"/>
  <c r="V47" i="2"/>
  <c r="U47" i="2"/>
  <c r="G47" i="2"/>
  <c r="F47" i="2"/>
  <c r="J47" i="2" s="1"/>
  <c r="X34" i="2"/>
  <c r="L34" i="2"/>
  <c r="M34" i="2"/>
  <c r="N34" i="2"/>
  <c r="O34" i="2"/>
  <c r="U34" i="2"/>
  <c r="V34" i="2"/>
  <c r="K34" i="2"/>
  <c r="G34" i="2"/>
  <c r="F34" i="2"/>
  <c r="P111" i="2"/>
  <c r="Q111" i="2"/>
  <c r="R111" i="2"/>
  <c r="S111" i="2"/>
  <c r="P112" i="2"/>
  <c r="Q112" i="2"/>
  <c r="R112" i="2"/>
  <c r="S112" i="2"/>
  <c r="W112" i="2"/>
  <c r="W111" i="2"/>
  <c r="W113" i="2"/>
  <c r="S107" i="2"/>
  <c r="S105" i="2" s="1"/>
  <c r="S108" i="2"/>
  <c r="Q107" i="2"/>
  <c r="Q105" i="2" s="1"/>
  <c r="R107" i="2"/>
  <c r="R105" i="2" s="1"/>
  <c r="Q108" i="2"/>
  <c r="Q106" i="2" s="1"/>
  <c r="R108" i="2"/>
  <c r="P107" i="2"/>
  <c r="P108" i="2"/>
  <c r="W108" i="2"/>
  <c r="W107" i="2"/>
  <c r="W109" i="2"/>
  <c r="P101" i="2"/>
  <c r="Q101" i="2"/>
  <c r="R101" i="2"/>
  <c r="S101" i="2"/>
  <c r="T101" i="2"/>
  <c r="P102" i="2"/>
  <c r="Q102" i="2"/>
  <c r="R102" i="2"/>
  <c r="S102" i="2"/>
  <c r="T102" i="2"/>
  <c r="W102" i="2"/>
  <c r="W101" i="2"/>
  <c r="W103" i="2"/>
  <c r="Q98" i="2"/>
  <c r="Q96" i="2" s="1"/>
  <c r="R98" i="2"/>
  <c r="R96" i="2" s="1"/>
  <c r="S98" i="2"/>
  <c r="S96" i="2" s="1"/>
  <c r="T98" i="2"/>
  <c r="T96" i="2" s="1"/>
  <c r="P98" i="2"/>
  <c r="P96" i="2" s="1"/>
  <c r="Q97" i="2"/>
  <c r="Q95" i="2" s="1"/>
  <c r="R97" i="2"/>
  <c r="R95" i="2" s="1"/>
  <c r="S97" i="2"/>
  <c r="S95" i="2" s="1"/>
  <c r="T97" i="2"/>
  <c r="T95" i="2" s="1"/>
  <c r="P97" i="2"/>
  <c r="W98" i="2"/>
  <c r="W97" i="2"/>
  <c r="W99" i="2"/>
  <c r="P91" i="2"/>
  <c r="R91" i="2"/>
  <c r="S91" i="2"/>
  <c r="P92" i="2"/>
  <c r="R92" i="2"/>
  <c r="S92" i="2"/>
  <c r="P88" i="2"/>
  <c r="W93" i="2"/>
  <c r="W92" i="2"/>
  <c r="W91" i="2"/>
  <c r="S88" i="2"/>
  <c r="S81" i="2" s="1"/>
  <c r="R88" i="2"/>
  <c r="S87" i="2"/>
  <c r="R87" i="2"/>
  <c r="R80" i="2" s="1"/>
  <c r="P87" i="2"/>
  <c r="W89" i="2"/>
  <c r="W88" i="2"/>
  <c r="W81" i="2" s="1"/>
  <c r="W87" i="2"/>
  <c r="W80" i="2" s="1"/>
  <c r="W84" i="2"/>
  <c r="W83" i="2"/>
  <c r="V82" i="2"/>
  <c r="U84" i="2"/>
  <c r="U83" i="2"/>
  <c r="U82" i="2"/>
  <c r="S84" i="2"/>
  <c r="Q84" i="2"/>
  <c r="P84" i="2"/>
  <c r="S83" i="2"/>
  <c r="Q83" i="2"/>
  <c r="P83" i="2"/>
  <c r="Q82" i="2"/>
  <c r="S82" i="2"/>
  <c r="P82" i="2"/>
  <c r="W82" i="2"/>
  <c r="W85" i="2"/>
  <c r="S77" i="2"/>
  <c r="P77" i="2"/>
  <c r="W77" i="2"/>
  <c r="W78" i="2"/>
  <c r="S74" i="2"/>
  <c r="P74" i="2"/>
  <c r="P73" i="2" s="1"/>
  <c r="W75" i="2"/>
  <c r="W74" i="2"/>
  <c r="W73" i="2" s="1"/>
  <c r="U70" i="2"/>
  <c r="P70" i="2"/>
  <c r="Q70" i="2"/>
  <c r="R70" i="2"/>
  <c r="S70" i="2"/>
  <c r="T70" i="2"/>
  <c r="W70" i="2"/>
  <c r="W71" i="2"/>
  <c r="S67" i="2"/>
  <c r="P67" i="2"/>
  <c r="S66" i="2"/>
  <c r="P66" i="2"/>
  <c r="U64" i="2"/>
  <c r="U65" i="2"/>
  <c r="Q64" i="2"/>
  <c r="R64" i="2"/>
  <c r="S64" i="2"/>
  <c r="T64" i="2"/>
  <c r="P64" i="2"/>
  <c r="W67" i="2"/>
  <c r="W66" i="2"/>
  <c r="W68" i="2"/>
  <c r="W64" i="2"/>
  <c r="W65" i="2"/>
  <c r="S61" i="2"/>
  <c r="P61" i="2"/>
  <c r="S60" i="2"/>
  <c r="P60" i="2"/>
  <c r="W61" i="2"/>
  <c r="W60" i="2"/>
  <c r="W62" i="2"/>
  <c r="W59" i="2"/>
  <c r="U58" i="2"/>
  <c r="U57" i="2" s="1"/>
  <c r="X29" i="2"/>
  <c r="U29" i="2"/>
  <c r="L29" i="2"/>
  <c r="M29" i="2"/>
  <c r="N29" i="2"/>
  <c r="O29" i="2"/>
  <c r="K29" i="2"/>
  <c r="Q58" i="2"/>
  <c r="Q57" i="2" s="1"/>
  <c r="R58" i="2"/>
  <c r="S58" i="2"/>
  <c r="T58" i="2"/>
  <c r="P58" i="2"/>
  <c r="W58" i="2"/>
  <c r="W57" i="2" s="1"/>
  <c r="S54" i="2"/>
  <c r="Q54" i="2"/>
  <c r="P54" i="2"/>
  <c r="M52" i="2"/>
  <c r="M51" i="2"/>
  <c r="M49" i="2"/>
  <c r="M48" i="2"/>
  <c r="M55" i="2"/>
  <c r="M54" i="2"/>
  <c r="W55" i="2"/>
  <c r="W54" i="2"/>
  <c r="S51" i="2"/>
  <c r="Q51" i="2"/>
  <c r="P51" i="2"/>
  <c r="W52" i="2"/>
  <c r="W51" i="2"/>
  <c r="Q48" i="2"/>
  <c r="S48" i="2"/>
  <c r="P48" i="2"/>
  <c r="P47" i="2" s="1"/>
  <c r="W49" i="2"/>
  <c r="W48" i="2"/>
  <c r="W32" i="2"/>
  <c r="W31" i="2"/>
  <c r="W30" i="2"/>
  <c r="Q30" i="2"/>
  <c r="R30" i="2"/>
  <c r="S30" i="2"/>
  <c r="T30" i="2"/>
  <c r="Q31" i="2"/>
  <c r="R31" i="2"/>
  <c r="S31" i="2"/>
  <c r="T31" i="2"/>
  <c r="P31" i="2"/>
  <c r="P30" i="2"/>
  <c r="F29" i="2"/>
  <c r="L23" i="2"/>
  <c r="M23" i="2"/>
  <c r="N23" i="2"/>
  <c r="O23" i="2"/>
  <c r="K23" i="2"/>
  <c r="F23" i="2"/>
  <c r="Q24" i="2"/>
  <c r="R24" i="2"/>
  <c r="S24" i="2"/>
  <c r="T24" i="2"/>
  <c r="Q25" i="2"/>
  <c r="R25" i="2"/>
  <c r="S25" i="2"/>
  <c r="T25" i="2"/>
  <c r="Q26" i="2"/>
  <c r="R26" i="2"/>
  <c r="S26" i="2"/>
  <c r="T26" i="2"/>
  <c r="P26" i="2"/>
  <c r="P25" i="2"/>
  <c r="P24" i="2"/>
  <c r="T44" i="2"/>
  <c r="S44" i="2"/>
  <c r="R44" i="2"/>
  <c r="P44" i="2"/>
  <c r="T43" i="2"/>
  <c r="S43" i="2"/>
  <c r="R43" i="2"/>
  <c r="P43" i="2"/>
  <c r="W45" i="2"/>
  <c r="W44" i="2"/>
  <c r="W43" i="2"/>
  <c r="W41" i="2"/>
  <c r="W40" i="2"/>
  <c r="W39" i="2"/>
  <c r="T40" i="2"/>
  <c r="S40" i="2"/>
  <c r="R40" i="2"/>
  <c r="Q40" i="2"/>
  <c r="P40" i="2"/>
  <c r="T39" i="2"/>
  <c r="S39" i="2"/>
  <c r="R39" i="2"/>
  <c r="Q39" i="2"/>
  <c r="P39" i="2"/>
  <c r="W36" i="2"/>
  <c r="W37" i="2"/>
  <c r="W35" i="2"/>
  <c r="Q35" i="2"/>
  <c r="R35" i="2"/>
  <c r="S35" i="2"/>
  <c r="T35" i="2"/>
  <c r="Q36" i="2"/>
  <c r="R36" i="2"/>
  <c r="S36" i="2"/>
  <c r="T36" i="2"/>
  <c r="P36" i="2"/>
  <c r="P35" i="2"/>
  <c r="D3" i="1" a="1"/>
  <c r="D3" i="1" s="1"/>
  <c r="D5" i="1" s="1"/>
  <c r="D8" i="1" s="1"/>
  <c r="C4" i="1"/>
  <c r="C6" i="1"/>
  <c r="C3" i="1" a="1"/>
  <c r="C3" i="1" s="1"/>
  <c r="XFC3" i="1" a="1"/>
  <c r="C5" i="1" l="1"/>
  <c r="C8" i="1" s="1"/>
  <c r="AR4" i="5"/>
  <c r="AR5" i="5" s="1"/>
  <c r="AR6" i="5" s="1"/>
  <c r="AR7" i="5"/>
  <c r="AR9" i="5" s="1"/>
  <c r="AS4" i="5"/>
  <c r="AS5" i="5" s="1"/>
  <c r="AS6" i="5" s="1"/>
  <c r="AS7" i="5" s="1"/>
  <c r="AS9" i="5" s="1"/>
  <c r="AQ9" i="5"/>
  <c r="AQ10" i="5" s="1"/>
  <c r="AQ11" i="5" s="1"/>
  <c r="AT4" i="5"/>
  <c r="AT5" i="5" s="1"/>
  <c r="AT6" i="5" s="1"/>
  <c r="AV3" i="5"/>
  <c r="AU4" i="5"/>
  <c r="AU5" i="5" s="1"/>
  <c r="AU6" i="5" s="1"/>
  <c r="AM44" i="5"/>
  <c r="AN44" i="5" s="1"/>
  <c r="AO44" i="5" s="1"/>
  <c r="AP44" i="5" s="1"/>
  <c r="AQ44" i="5" s="1"/>
  <c r="AR44" i="5" s="1"/>
  <c r="AS44" i="5" s="1"/>
  <c r="AT44" i="5" s="1"/>
  <c r="AU44" i="5" s="1"/>
  <c r="AV44" i="5" s="1"/>
  <c r="AW44" i="5" s="1"/>
  <c r="AX44" i="5" s="1"/>
  <c r="AY44" i="5" s="1"/>
  <c r="AZ44" i="5" s="1"/>
  <c r="BA44" i="5" s="1"/>
  <c r="BB44" i="5" s="1"/>
  <c r="AN49" i="5"/>
  <c r="AO49" i="5" s="1"/>
  <c r="AP49" i="5" s="1"/>
  <c r="AK22" i="5"/>
  <c r="AJ22" i="5"/>
  <c r="AN20" i="5"/>
  <c r="AQ201" i="5"/>
  <c r="AM57" i="5" s="1"/>
  <c r="AQ199" i="5"/>
  <c r="AS200" i="5"/>
  <c r="AR201" i="5"/>
  <c r="AN57" i="5" s="1"/>
  <c r="AV198" i="5"/>
  <c r="AU199" i="5"/>
  <c r="AL41" i="5"/>
  <c r="AR186" i="5"/>
  <c r="AS186" i="5" s="1"/>
  <c r="AS199" i="5" s="1"/>
  <c r="AT199" i="5"/>
  <c r="S34" i="2"/>
  <c r="R81" i="2"/>
  <c r="T57" i="2"/>
  <c r="P80" i="2"/>
  <c r="S80" i="2"/>
  <c r="W95" i="2"/>
  <c r="P106" i="2"/>
  <c r="P34" i="2"/>
  <c r="P105" i="2"/>
  <c r="S73" i="2"/>
  <c r="R34" i="2"/>
  <c r="S57" i="2"/>
  <c r="P57" i="2"/>
  <c r="W96" i="2"/>
  <c r="P81" i="2"/>
  <c r="W34" i="2"/>
  <c r="Q34" i="2"/>
  <c r="R57" i="2"/>
  <c r="P95" i="2"/>
  <c r="R106" i="2"/>
  <c r="S106" i="2"/>
  <c r="W47" i="2"/>
  <c r="AL39" i="5"/>
  <c r="AJ39" i="5"/>
  <c r="AK39" i="5"/>
  <c r="O23" i="4"/>
  <c r="O28" i="4" s="1"/>
  <c r="Q34" i="4"/>
  <c r="T34" i="2"/>
  <c r="M47" i="2"/>
  <c r="Q47" i="2"/>
  <c r="S47" i="2"/>
  <c r="N47" i="2"/>
  <c r="L47" i="2"/>
  <c r="K47" i="2"/>
  <c r="W29" i="2"/>
  <c r="P29" i="2"/>
  <c r="T29" i="2"/>
  <c r="S29" i="2"/>
  <c r="R54" i="2"/>
  <c r="R29" i="2"/>
  <c r="Q29" i="2"/>
  <c r="R51" i="2"/>
  <c r="R48" i="2"/>
  <c r="Q23" i="2"/>
  <c r="S23" i="2"/>
  <c r="T23" i="2"/>
  <c r="P23" i="2"/>
  <c r="R23" i="2"/>
  <c r="XFC3" i="1"/>
  <c r="AR10" i="5" l="1"/>
  <c r="AR11" i="5" s="1"/>
  <c r="AU7" i="5"/>
  <c r="AU9" i="5" s="1"/>
  <c r="AT7" i="5"/>
  <c r="AT9" i="5" s="1"/>
  <c r="AW3" i="5"/>
  <c r="AV4" i="5"/>
  <c r="AV5" i="5" s="1"/>
  <c r="AV6" i="5" s="1"/>
  <c r="AP16" i="5"/>
  <c r="AP21" i="5" s="1"/>
  <c r="AO20" i="5"/>
  <c r="AN22" i="5"/>
  <c r="AQ202" i="5"/>
  <c r="AM23" i="5" s="1"/>
  <c r="AM24" i="5" s="1"/>
  <c r="AM29" i="5" s="1"/>
  <c r="AM33" i="5" s="1"/>
  <c r="AR199" i="5"/>
  <c r="AR202" i="5" s="1"/>
  <c r="AN23" i="5" s="1"/>
  <c r="AW198" i="5"/>
  <c r="AV199" i="5"/>
  <c r="AT200" i="5"/>
  <c r="AS201" i="5"/>
  <c r="R34" i="4"/>
  <c r="S34" i="4" s="1"/>
  <c r="T34" i="4" s="1"/>
  <c r="U34" i="4" s="1"/>
  <c r="V34" i="4" s="1"/>
  <c r="W34" i="4" s="1"/>
  <c r="X34" i="4" s="1"/>
  <c r="Y34" i="4" s="1"/>
  <c r="Z34" i="4" s="1"/>
  <c r="AA34" i="4" s="1"/>
  <c r="AB34" i="4" s="1"/>
  <c r="AC34" i="4" s="1"/>
  <c r="AC36" i="4" s="1"/>
  <c r="Q36" i="4"/>
  <c r="V36" i="4"/>
  <c r="R47" i="2"/>
  <c r="AS10" i="5" l="1"/>
  <c r="AS11" i="5" s="1"/>
  <c r="AV7" i="5"/>
  <c r="AV9" i="5" s="1"/>
  <c r="AX3" i="5"/>
  <c r="AW4" i="5"/>
  <c r="AW5" i="5" s="1"/>
  <c r="AW6" i="5" s="1"/>
  <c r="AR16" i="5"/>
  <c r="AR21" i="5" s="1"/>
  <c r="AP17" i="5"/>
  <c r="AP18" i="5" s="1"/>
  <c r="AQ16" i="5"/>
  <c r="AQ21" i="5" s="1"/>
  <c r="AS202" i="5"/>
  <c r="AO23" i="5" s="1"/>
  <c r="AO57" i="5"/>
  <c r="AM35" i="5"/>
  <c r="AM36" i="5" s="1"/>
  <c r="AN24" i="5"/>
  <c r="AP20" i="5"/>
  <c r="AO22" i="5"/>
  <c r="AU200" i="5"/>
  <c r="AT201" i="5"/>
  <c r="AX198" i="5"/>
  <c r="AW199" i="5"/>
  <c r="AB36" i="4"/>
  <c r="U36" i="4"/>
  <c r="S36" i="4"/>
  <c r="Z36" i="4"/>
  <c r="W36" i="4"/>
  <c r="T36" i="4"/>
  <c r="AA36" i="4"/>
  <c r="Y36" i="4"/>
  <c r="X36" i="4"/>
  <c r="R36" i="4"/>
  <c r="AT10" i="5" l="1"/>
  <c r="AT11" i="5" s="1"/>
  <c r="AW7" i="5"/>
  <c r="AW9" i="5" s="1"/>
  <c r="AY3" i="5"/>
  <c r="AX4" i="5"/>
  <c r="AX5" i="5" s="1"/>
  <c r="AX6" i="5" s="1"/>
  <c r="AQ17" i="5"/>
  <c r="AQ18" i="5" s="1"/>
  <c r="AO24" i="5"/>
  <c r="AT202" i="5"/>
  <c r="AP23" i="5" s="1"/>
  <c r="AP57" i="5"/>
  <c r="AM46" i="5"/>
  <c r="AM51" i="5"/>
  <c r="AM58" i="5" s="1"/>
  <c r="AQ20" i="5"/>
  <c r="AP22" i="5"/>
  <c r="AY198" i="5"/>
  <c r="AX199" i="5"/>
  <c r="AV200" i="5"/>
  <c r="AU201" i="5"/>
  <c r="AR17" i="5"/>
  <c r="AR18" i="5" s="1"/>
  <c r="AU10" i="5" l="1"/>
  <c r="AU11" i="5" s="1"/>
  <c r="AX7" i="5"/>
  <c r="AX9" i="5" s="1"/>
  <c r="AZ3" i="5"/>
  <c r="AY4" i="5"/>
  <c r="AY5" i="5" s="1"/>
  <c r="AY6" i="5" s="1"/>
  <c r="AS16" i="5"/>
  <c r="AU202" i="5"/>
  <c r="AQ23" i="5" s="1"/>
  <c r="AQ57" i="5"/>
  <c r="AP24" i="5"/>
  <c r="AR20" i="5"/>
  <c r="AR22" i="5" s="1"/>
  <c r="AQ22" i="5"/>
  <c r="AZ198" i="5"/>
  <c r="AY199" i="5"/>
  <c r="AV201" i="5"/>
  <c r="AW200" i="5"/>
  <c r="AV10" i="5" l="1"/>
  <c r="AV11" i="5" s="1"/>
  <c r="AY7" i="5"/>
  <c r="AY9" i="5" s="1"/>
  <c r="AS17" i="5"/>
  <c r="AS18" i="5" s="1"/>
  <c r="AS21" i="5"/>
  <c r="BA3" i="5"/>
  <c r="AZ4" i="5"/>
  <c r="AZ5" i="5" s="1"/>
  <c r="AZ6" i="5" s="1"/>
  <c r="AT16" i="5"/>
  <c r="AT17" i="5" s="1"/>
  <c r="AT18" i="5" s="1"/>
  <c r="AS22" i="5"/>
  <c r="AQ24" i="5"/>
  <c r="AV202" i="5"/>
  <c r="AR23" i="5" s="1"/>
  <c r="AR24" i="5" s="1"/>
  <c r="AR57" i="5"/>
  <c r="AW201" i="5"/>
  <c r="AX200" i="5"/>
  <c r="BA198" i="5"/>
  <c r="AZ199" i="5"/>
  <c r="AW10" i="5" l="1"/>
  <c r="AW11" i="5" s="1"/>
  <c r="AZ7" i="5"/>
  <c r="AZ9" i="5" s="1"/>
  <c r="BB3" i="5"/>
  <c r="BA4" i="5"/>
  <c r="BA5" i="5" s="1"/>
  <c r="BA6" i="5" s="1"/>
  <c r="AT22" i="5"/>
  <c r="AU16" i="5"/>
  <c r="AU22" i="5" s="1"/>
  <c r="AW202" i="5"/>
  <c r="AS23" i="5" s="1"/>
  <c r="AS24" i="5" s="1"/>
  <c r="AS57" i="5"/>
  <c r="AY200" i="5"/>
  <c r="AX201" i="5"/>
  <c r="BB198" i="5"/>
  <c r="BA199" i="5"/>
  <c r="AX10" i="5" l="1"/>
  <c r="AX11" i="5" s="1"/>
  <c r="BA7" i="5"/>
  <c r="BA9" i="5" s="1"/>
  <c r="BB4" i="5"/>
  <c r="BB5" i="5" s="1"/>
  <c r="BB6" i="5" s="1"/>
  <c r="AU17" i="5"/>
  <c r="AU18" i="5" s="1"/>
  <c r="AV16" i="5"/>
  <c r="AV22" i="5" s="1"/>
  <c r="AX202" i="5"/>
  <c r="AT23" i="5" s="1"/>
  <c r="AT24" i="5" s="1"/>
  <c r="AT57" i="5"/>
  <c r="AY201" i="5"/>
  <c r="AZ200" i="5"/>
  <c r="BC198" i="5"/>
  <c r="BB199" i="5"/>
  <c r="AY10" i="5" l="1"/>
  <c r="AY11" i="5" s="1"/>
  <c r="BB7" i="5"/>
  <c r="BB9" i="5" s="1"/>
  <c r="AV17" i="5"/>
  <c r="AV18" i="5" s="1"/>
  <c r="AW16" i="5"/>
  <c r="AW17" i="5" s="1"/>
  <c r="AW18" i="5" s="1"/>
  <c r="AY202" i="5"/>
  <c r="AU23" i="5" s="1"/>
  <c r="AU24" i="5" s="1"/>
  <c r="AU57" i="5"/>
  <c r="AZ201" i="5"/>
  <c r="BA200" i="5"/>
  <c r="BD198" i="5"/>
  <c r="BC199" i="5"/>
  <c r="AZ10" i="5" l="1"/>
  <c r="AZ11" i="5" s="1"/>
  <c r="AW22" i="5"/>
  <c r="AX16" i="5"/>
  <c r="AX17" i="5" s="1"/>
  <c r="AX18" i="5" s="1"/>
  <c r="AZ202" i="5"/>
  <c r="AV23" i="5" s="1"/>
  <c r="AV24" i="5" s="1"/>
  <c r="AV57" i="5"/>
  <c r="BB200" i="5"/>
  <c r="BA201" i="5"/>
  <c r="BE198" i="5"/>
  <c r="BD199" i="5"/>
  <c r="BA10" i="5" l="1"/>
  <c r="BA11" i="5" s="1"/>
  <c r="AX22" i="5"/>
  <c r="AY16" i="5"/>
  <c r="AY17" i="5" s="1"/>
  <c r="AY18" i="5" s="1"/>
  <c r="BA202" i="5"/>
  <c r="AW23" i="5" s="1"/>
  <c r="AW24" i="5" s="1"/>
  <c r="AW57" i="5"/>
  <c r="BC200" i="5"/>
  <c r="BB201" i="5"/>
  <c r="BF198" i="5"/>
  <c r="BF199" i="5" s="1"/>
  <c r="BE199" i="5"/>
  <c r="BB10" i="5" l="1"/>
  <c r="BB11" i="5" s="1"/>
  <c r="AY22" i="5"/>
  <c r="AZ16" i="5"/>
  <c r="AZ22" i="5" s="1"/>
  <c r="BB202" i="5"/>
  <c r="AX23" i="5" s="1"/>
  <c r="AX24" i="5" s="1"/>
  <c r="AX57" i="5"/>
  <c r="BC201" i="5"/>
  <c r="BD200" i="5"/>
  <c r="AZ17" i="5" l="1"/>
  <c r="AZ18" i="5" s="1"/>
  <c r="BA16" i="5"/>
  <c r="BA22" i="5" s="1"/>
  <c r="BC202" i="5"/>
  <c r="AY23" i="5" s="1"/>
  <c r="AY24" i="5" s="1"/>
  <c r="AY57" i="5"/>
  <c r="BE200" i="5"/>
  <c r="BD201" i="5"/>
  <c r="BB16" i="5" l="1"/>
  <c r="BB17" i="5" s="1"/>
  <c r="BB18" i="5" s="1"/>
  <c r="BA17" i="5"/>
  <c r="BA18" i="5" s="1"/>
  <c r="BD202" i="5"/>
  <c r="AZ23" i="5" s="1"/>
  <c r="AZ24" i="5" s="1"/>
  <c r="AZ57" i="5"/>
  <c r="BE201" i="5"/>
  <c r="BF200" i="5"/>
  <c r="BB22" i="5" l="1"/>
  <c r="BE202" i="5"/>
  <c r="BA23" i="5" s="1"/>
  <c r="BA24" i="5" s="1"/>
  <c r="BA57" i="5"/>
  <c r="BF201" i="5"/>
  <c r="BB57" i="5" s="1"/>
  <c r="AN26" i="5"/>
  <c r="BF202" i="5" l="1"/>
  <c r="BB23" i="5" s="1"/>
  <c r="BB24" i="5" s="1"/>
  <c r="AN29" i="5"/>
  <c r="AN33" i="5" s="1"/>
  <c r="AN35" i="5" s="1"/>
  <c r="AN36" i="5" s="1"/>
  <c r="AN54" i="5"/>
  <c r="AN46" i="5" l="1"/>
  <c r="AO26" i="5" s="1"/>
  <c r="AN51" i="5"/>
  <c r="AN58" i="5" s="1"/>
  <c r="AO29" i="5" l="1"/>
  <c r="AO33" i="5" s="1"/>
  <c r="AO35" i="5" s="1"/>
  <c r="AO36" i="5" s="1"/>
  <c r="AO54" i="5"/>
  <c r="AO46" i="5" l="1"/>
  <c r="AP26" i="5" s="1"/>
  <c r="AO51" i="5"/>
  <c r="AO58" i="5" s="1"/>
  <c r="AP29" i="5" l="1"/>
  <c r="AP33" i="5" s="1"/>
  <c r="AP35" i="5" s="1"/>
  <c r="AP36" i="5" s="1"/>
  <c r="AP54" i="5"/>
  <c r="AP46" i="5" l="1"/>
  <c r="AQ26" i="5" s="1"/>
  <c r="AP51" i="5"/>
  <c r="AP58" i="5" s="1"/>
  <c r="AQ29" i="5" l="1"/>
  <c r="AQ33" i="5" s="1"/>
  <c r="AQ35" i="5" s="1"/>
  <c r="AQ36" i="5" s="1"/>
  <c r="AQ54" i="5"/>
  <c r="AQ46" i="5" l="1"/>
  <c r="AR26" i="5" s="1"/>
  <c r="AQ51" i="5"/>
  <c r="AQ58" i="5" s="1"/>
  <c r="AR29" i="5" l="1"/>
  <c r="AR33" i="5" s="1"/>
  <c r="AR35" i="5" s="1"/>
  <c r="AR36" i="5" s="1"/>
  <c r="AR54" i="5"/>
  <c r="AR46" i="5" l="1"/>
  <c r="AS26" i="5" s="1"/>
  <c r="AR51" i="5"/>
  <c r="AR58" i="5" s="1"/>
  <c r="AS29" i="5" l="1"/>
  <c r="AS33" i="5" s="1"/>
  <c r="AS35" i="5" s="1"/>
  <c r="AS36" i="5" s="1"/>
  <c r="AS54" i="5"/>
  <c r="AS46" i="5" l="1"/>
  <c r="AT26" i="5" s="1"/>
  <c r="AS51" i="5"/>
  <c r="AS58" i="5" s="1"/>
  <c r="AT29" i="5" l="1"/>
  <c r="AT33" i="5" s="1"/>
  <c r="AT35" i="5" s="1"/>
  <c r="AT36" i="5" s="1"/>
  <c r="AT54" i="5"/>
  <c r="AT46" i="5" l="1"/>
  <c r="AU26" i="5" s="1"/>
  <c r="AT51" i="5"/>
  <c r="AT58" i="5" s="1"/>
  <c r="AU29" i="5" l="1"/>
  <c r="AU33" i="5" s="1"/>
  <c r="AU35" i="5" s="1"/>
  <c r="AU36" i="5" s="1"/>
  <c r="AU54" i="5"/>
  <c r="AU46" i="5" l="1"/>
  <c r="AV26" i="5" s="1"/>
  <c r="AU51" i="5"/>
  <c r="AU58" i="5" s="1"/>
  <c r="AV29" i="5" l="1"/>
  <c r="AV33" i="5" s="1"/>
  <c r="AV54" i="5"/>
  <c r="AV35" i="5" l="1"/>
  <c r="AV36" i="5" s="1"/>
  <c r="AV46" i="5" l="1"/>
  <c r="AW26" i="5" s="1"/>
  <c r="AV51" i="5"/>
  <c r="AV58" i="5" s="1"/>
  <c r="AW29" i="5" l="1"/>
  <c r="AW33" i="5" s="1"/>
  <c r="AW35" i="5" s="1"/>
  <c r="AW36" i="5" s="1"/>
  <c r="AW54" i="5"/>
  <c r="AW46" i="5" l="1"/>
  <c r="AX26" i="5" s="1"/>
  <c r="AW51" i="5"/>
  <c r="AW58" i="5" s="1"/>
  <c r="AX29" i="5" l="1"/>
  <c r="AX33" i="5" s="1"/>
  <c r="AX54" i="5"/>
  <c r="AX35" i="5" l="1"/>
  <c r="AX36" i="5" s="1"/>
  <c r="AX46" i="5" l="1"/>
  <c r="AY26" i="5" s="1"/>
  <c r="AX51" i="5"/>
  <c r="AX58" i="5" s="1"/>
  <c r="AY29" i="5" l="1"/>
  <c r="AY33" i="5" s="1"/>
  <c r="AY54" i="5"/>
  <c r="AY35" i="5" l="1"/>
  <c r="AY36" i="5" s="1"/>
  <c r="AY46" i="5" l="1"/>
  <c r="AZ26" i="5" s="1"/>
  <c r="AY51" i="5"/>
  <c r="AY58" i="5" s="1"/>
  <c r="AZ29" i="5" l="1"/>
  <c r="AZ33" i="5" s="1"/>
  <c r="AZ35" i="5" s="1"/>
  <c r="AZ36" i="5" s="1"/>
  <c r="AZ54" i="5"/>
  <c r="AZ46" i="5" l="1"/>
  <c r="AZ51" i="5"/>
  <c r="AZ58" i="5" s="1"/>
  <c r="BA26" i="5" l="1"/>
  <c r="BA29" i="5" l="1"/>
  <c r="BA33" i="5" s="1"/>
  <c r="BA54" i="5"/>
  <c r="BA35" i="5" l="1"/>
  <c r="BA36" i="5" s="1"/>
  <c r="BA51" i="5" l="1"/>
  <c r="BA58" i="5" s="1"/>
  <c r="BA46" i="5"/>
  <c r="BB26" i="5" s="1"/>
  <c r="BB29" i="5" l="1"/>
  <c r="BB33" i="5" s="1"/>
  <c r="BB54" i="5"/>
  <c r="BB35" i="5" l="1"/>
  <c r="BB36" i="5" s="1"/>
  <c r="BB46" i="5" l="1"/>
  <c r="BB51" i="5"/>
  <c r="BB58" i="5" s="1"/>
  <c r="AH62" i="5" l="1"/>
  <c r="AH65" i="5" s="1"/>
  <c r="AH67" i="5" s="1"/>
  <c r="AH74" i="5" s="1"/>
  <c r="AH76"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Kolchin,F (ug)</author>
  </authors>
  <commentList>
    <comment ref="B14" authorId="0" shapeId="0" xr:uid="{1F1D2D77-1D44-447E-8E84-71EE78827DAC}">
      <text>
        <r>
          <rPr>
            <b/>
            <sz val="9"/>
            <color indexed="81"/>
            <rFont val="Tahoma"/>
            <family val="2"/>
          </rPr>
          <t>Kolchin,F (ug):</t>
        </r>
        <r>
          <rPr>
            <sz val="9"/>
            <color indexed="81"/>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68">
    <bk>
      <extLst>
        <ext uri="{3e2802c4-a4d2-4d8b-9148-e3be6c30e623}">
          <xlrd:rvb i="2"/>
        </ext>
      </extLst>
    </bk>
    <bk>
      <extLst>
        <ext uri="{3e2802c4-a4d2-4d8b-9148-e3be6c30e623}">
          <xlrd:rvb i="4"/>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futureMetadata>
  <cellMetadata count="1">
    <bk>
      <rc t="1" v="0"/>
    </bk>
  </cellMetadata>
  <valueMetadata count="66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valueMetadata>
</metadata>
</file>

<file path=xl/sharedStrings.xml><?xml version="1.0" encoding="utf-8"?>
<sst xmlns="http://schemas.openxmlformats.org/spreadsheetml/2006/main" count="2448" uniqueCount="660">
  <si>
    <t xml:space="preserve">Price </t>
  </si>
  <si>
    <t xml:space="preserve">Shares </t>
  </si>
  <si>
    <t xml:space="preserve">Market Cap </t>
  </si>
  <si>
    <t xml:space="preserve">Cash </t>
  </si>
  <si>
    <t xml:space="preserve">Debt </t>
  </si>
  <si>
    <t xml:space="preserve">EV </t>
  </si>
  <si>
    <t xml:space="preserve">[1] </t>
  </si>
  <si>
    <t xml:space="preserve">118 M raised from sale of 4.9M shares in July </t>
  </si>
  <si>
    <t>Pipeline &amp; Catalysts</t>
  </si>
  <si>
    <t>Drug</t>
  </si>
  <si>
    <t>Stage</t>
  </si>
  <si>
    <t>Status</t>
  </si>
  <si>
    <t>Next Catalyst</t>
  </si>
  <si>
    <t>Catalyst Date</t>
  </si>
  <si>
    <t>Rezpeg (IL2)
(LY3471851)
(REZOLVE-AD)
Atopic Dermatitis</t>
  </si>
  <si>
    <t>Phase 2b</t>
  </si>
  <si>
    <t>Data Released</t>
  </si>
  <si>
    <t>Full Results</t>
  </si>
  <si>
    <t>Q1 2026</t>
  </si>
  <si>
    <t xml:space="preserve">APG777 (IL4/13) 
Atopic Dermatitis </t>
  </si>
  <si>
    <t>2A</t>
  </si>
  <si>
    <t xml:space="preserve">Part B readout </t>
  </si>
  <si>
    <t xml:space="preserve">H2 2026 </t>
  </si>
  <si>
    <t>Phase 2b maintenance data due in 1Q 2026. Phase 2b trial achieved statistical significance on primary endpoint at week 16 for mean percent change in EASI score from baseline for all rezpegaldesleukin arms versus placebo, noted June 24, 2025. Phase 2b trial initiated, noted November 2023.</t>
  </si>
  <si>
    <t>Phase 2 trial data reported that Part A met all primary and key secondary endpoints, noted July 7, 2025.</t>
  </si>
  <si>
    <t>Rezpeg (IL2) 
Severe to very severe alopecia areata (AA)</t>
  </si>
  <si>
    <t>Enrollment Conclusion</t>
  </si>
  <si>
    <t>Topline Data</t>
  </si>
  <si>
    <t>Q4 2025</t>
  </si>
  <si>
    <t xml:space="preserve">APG333 (TSLP)
Asthma, COPD … </t>
  </si>
  <si>
    <t xml:space="preserve">Ongoing </t>
  </si>
  <si>
    <t>Intrim</t>
  </si>
  <si>
    <t xml:space="preserve">H2 2025 </t>
  </si>
  <si>
    <t>Phase 2b initiated, noted March 5, 2024. Phase 2b enrollment completed, noted February 26, 2025. Phase 2b topline data due in 4Q 2025.</t>
  </si>
  <si>
    <t>APG990 (OX40L) + APG777</t>
  </si>
  <si>
    <t>Ongoing</t>
  </si>
  <si>
    <t xml:space="preserve">Interim </t>
  </si>
  <si>
    <t>NKTR-255</t>
  </si>
  <si>
    <t xml:space="preserve">stat sig data in DLBCL shown </t>
  </si>
  <si>
    <t>https://www.nektar.com/wp-content/uploads/2025/02/2025_TANDEM-Meeting-_NKTR-255_Final.pdf</t>
  </si>
  <si>
    <t>Ranked on EASI75, Summary</t>
  </si>
  <si>
    <t xml:space="preserve">trial info </t>
  </si>
  <si>
    <t xml:space="preserve">topline </t>
  </si>
  <si>
    <t xml:space="preserve">delta </t>
  </si>
  <si>
    <t xml:space="preserve">Ranked  on IGA </t>
  </si>
  <si>
    <t xml:space="preserve">Note </t>
  </si>
  <si>
    <t xml:space="preserve">DRUG </t>
  </si>
  <si>
    <t>MOA</t>
  </si>
  <si>
    <t xml:space="preserve">TRIAL </t>
  </si>
  <si>
    <t>Arm/Dose</t>
  </si>
  <si>
    <t xml:space="preserve">n </t>
  </si>
  <si>
    <t>completd</t>
  </si>
  <si>
    <t xml:space="preserve">DOSING </t>
  </si>
  <si>
    <t xml:space="preserve">DURATION </t>
  </si>
  <si>
    <t>EASI BASE</t>
  </si>
  <si>
    <t>EASI-75</t>
  </si>
  <si>
    <t>EASI-90</t>
  </si>
  <si>
    <t xml:space="preserve">EASI </t>
  </si>
  <si>
    <t>IGA 0/1</t>
  </si>
  <si>
    <t xml:space="preserve">Peak NRS </t>
  </si>
  <si>
    <t xml:space="preserve">IGA </t>
  </si>
  <si>
    <t xml:space="preserve">NRS </t>
  </si>
  <si>
    <t xml:space="preserve">ISR </t>
  </si>
  <si>
    <t>conj.</t>
  </si>
  <si>
    <t xml:space="preserve">Dropout </t>
  </si>
  <si>
    <t>SAE</t>
  </si>
  <si>
    <t>p</t>
  </si>
  <si>
    <t>DESC</t>
  </si>
  <si>
    <t>UPA (RINVOQ)</t>
  </si>
  <si>
    <t>JAK1</t>
  </si>
  <si>
    <t xml:space="preserve">ALL </t>
  </si>
  <si>
    <t>30ng</t>
  </si>
  <si>
    <t>QD (oral)</t>
  </si>
  <si>
    <t>15mg</t>
  </si>
  <si>
    <t>ABRO (CIBINQO)</t>
  </si>
  <si>
    <t xml:space="preserve">200mg </t>
  </si>
  <si>
    <t>RUXO (OPZELURA)</t>
  </si>
  <si>
    <t>JAK1/2</t>
  </si>
  <si>
    <t>BID (cream)</t>
  </si>
  <si>
    <t>LEBRI (EBGLYSS)</t>
  </si>
  <si>
    <t>IL13</t>
  </si>
  <si>
    <t xml:space="preserve">250mg </t>
  </si>
  <si>
    <t>Q2W</t>
  </si>
  <si>
    <t xml:space="preserve">DUPIXENT </t>
  </si>
  <si>
    <t>IL4/13</t>
  </si>
  <si>
    <t>ALL</t>
  </si>
  <si>
    <t xml:space="preserve">300mg </t>
  </si>
  <si>
    <t>100mg</t>
  </si>
  <si>
    <t xml:space="preserve">Rezpeg </t>
  </si>
  <si>
    <t>IL2</t>
  </si>
  <si>
    <t>REZOLVE-AD (NCT06136741) PH2</t>
  </si>
  <si>
    <t>18ug</t>
  </si>
  <si>
    <t>?</t>
  </si>
  <si>
    <t>24ug</t>
  </si>
  <si>
    <t>&lt;0.001</t>
  </si>
  <si>
    <t>TRALO (ADBRY)</t>
  </si>
  <si>
    <t>NEMO (NEMLUVIO)</t>
  </si>
  <si>
    <t>IL-31Ra</t>
  </si>
  <si>
    <t>30mg</t>
  </si>
  <si>
    <t>Q4W</t>
  </si>
  <si>
    <t xml:space="preserve">Adverse Events </t>
  </si>
  <si>
    <t xml:space="preserve">POOLED </t>
  </si>
  <si>
    <t xml:space="preserve">not sig </t>
  </si>
  <si>
    <t xml:space="preserve">RED = NOT SIGNIFICANT </t>
  </si>
  <si>
    <t>good that there is much less conjunctivitis in rezpeg than IL4/13</t>
  </si>
  <si>
    <t xml:space="preserve">PBO </t>
  </si>
  <si>
    <t xml:space="preserve">NA </t>
  </si>
  <si>
    <t>NCT04081350</t>
  </si>
  <si>
    <t xml:space="preserve">not really sure about the exact duration of the trial tbf </t>
  </si>
  <si>
    <t xml:space="preserve">24 ug </t>
  </si>
  <si>
    <t xml:space="preserve">12 ug </t>
  </si>
  <si>
    <t>Dupilimab (Dupixent)</t>
  </si>
  <si>
    <t>SOLO 1 (NCT02277743) PH3</t>
  </si>
  <si>
    <t>&lt;0.0001</t>
  </si>
  <si>
    <t>300mg</t>
  </si>
  <si>
    <t>QW</t>
  </si>
  <si>
    <t>PBO</t>
  </si>
  <si>
    <t>SOLO 2 (NCT02277769) PH3</t>
  </si>
  <si>
    <t xml:space="preserve">less efficacy than SOLO 1 </t>
  </si>
  <si>
    <t xml:space="preserve">CHRONOS (NCT02260986) LT </t>
  </si>
  <si>
    <t>NR</t>
  </si>
  <si>
    <t xml:space="preserve">Tralokinumab-Idrm (Adbry) </t>
  </si>
  <si>
    <t>ECZTRA 1</t>
  </si>
  <si>
    <t>2.6!</t>
  </si>
  <si>
    <t>1.1X</t>
  </si>
  <si>
    <t xml:space="preserve">Seems like very bad efficacy </t>
  </si>
  <si>
    <t>1.7!</t>
  </si>
  <si>
    <t xml:space="preserve">52 WEEK ALSO AVAILABLE </t>
  </si>
  <si>
    <t>ECZTRA 2</t>
  </si>
  <si>
    <t>2.9!</t>
  </si>
  <si>
    <t>1.3X</t>
  </si>
  <si>
    <t>EASI 75 AT 52 IS ONLY 55%, OUT OF THOSE THAT ACHIEVED EASI75 AT 16 WEEK</t>
  </si>
  <si>
    <t>1.6!</t>
  </si>
  <si>
    <t>Tralokinumab-Idrm (Adbry)  + corticosteroids</t>
  </si>
  <si>
    <t>ECZTRA 3</t>
  </si>
  <si>
    <t>4.1X</t>
  </si>
  <si>
    <t>1.4X</t>
  </si>
  <si>
    <t>2.9X</t>
  </si>
  <si>
    <t xml:space="preserve">STEROIDS ARE PRETTY GOOD </t>
  </si>
  <si>
    <t xml:space="preserve">Lebrikizumab (Ebglyss) </t>
  </si>
  <si>
    <t>ADvocate1 (NCT04146363) PH3</t>
  </si>
  <si>
    <t>250mg</t>
  </si>
  <si>
    <t xml:space="preserve">52 WEEK DATA AVAILABLE </t>
  </si>
  <si>
    <t xml:space="preserve">very significant results </t>
  </si>
  <si>
    <t>Q2Wr/Q4W</t>
  </si>
  <si>
    <t xml:space="preserve">Lebri dose can be reduced after 16 weeks </t>
  </si>
  <si>
    <t>Q2Wr/Q2W</t>
  </si>
  <si>
    <t>LB r / PBO</t>
  </si>
  <si>
    <t>ADvocate2 (NCT04178967) PH3</t>
  </si>
  <si>
    <t xml:space="preserve">showed that q2w dosing is more efficacious, but the conjunctivitis incidence would probably make it smarter to stick to q4w </t>
  </si>
  <si>
    <t>ADhere</t>
  </si>
  <si>
    <t>250mg +TCS</t>
  </si>
  <si>
    <t>PBO+TCS</t>
  </si>
  <si>
    <t xml:space="preserve">Nemolizumab (Numluvio) </t>
  </si>
  <si>
    <t>ARCADIA 1</t>
  </si>
  <si>
    <t>ARCADIA 2</t>
  </si>
  <si>
    <t>Abrocitinib (Cibinqo)</t>
  </si>
  <si>
    <t>JADE COMPARE (NCT03720470)</t>
  </si>
  <si>
    <t>100mg+PBO</t>
  </si>
  <si>
    <t>200mg+PBO</t>
  </si>
  <si>
    <t>PBO+DUPI300mg</t>
  </si>
  <si>
    <t>JADE MONO-1</t>
  </si>
  <si>
    <t xml:space="preserve">100mg </t>
  </si>
  <si>
    <t>JADE MONO-2</t>
  </si>
  <si>
    <t>Upadacitinib (Rinvoq)</t>
  </si>
  <si>
    <t>Measure up 1</t>
  </si>
  <si>
    <t xml:space="preserve">amazing results </t>
  </si>
  <si>
    <t>Measure up 2</t>
  </si>
  <si>
    <t>Ruxolitinib (Opzelura)</t>
  </si>
  <si>
    <t>TRUE-AD1</t>
  </si>
  <si>
    <t xml:space="preserve">Vehicle </t>
  </si>
  <si>
    <t>TRUE-AD2</t>
  </si>
  <si>
    <t xml:space="preserve">Amlitelimab </t>
  </si>
  <si>
    <t>OX40L</t>
  </si>
  <si>
    <t>STREAM-AD (NCT05121793)</t>
  </si>
  <si>
    <t xml:space="preserve">Rocatinlimab </t>
  </si>
  <si>
    <t>OX40</t>
  </si>
  <si>
    <t>ROCKET-Ig</t>
  </si>
  <si>
    <t>ROCKET-ASTRA</t>
  </si>
  <si>
    <t>ROCKET-ORION</t>
  </si>
  <si>
    <t>APG777</t>
  </si>
  <si>
    <t>IL-4Rα/JAK</t>
  </si>
  <si>
    <t>APG333</t>
  </si>
  <si>
    <t>??</t>
  </si>
  <si>
    <t>Q1 2022</t>
  </si>
  <si>
    <t>Q2 2022</t>
  </si>
  <si>
    <t>Q3 2022</t>
  </si>
  <si>
    <t>Q4 2022</t>
  </si>
  <si>
    <t xml:space="preserve">Q1 2023 </t>
  </si>
  <si>
    <t>Q2 2023</t>
  </si>
  <si>
    <t>Q3 2023</t>
  </si>
  <si>
    <t>Q4 2023</t>
  </si>
  <si>
    <t xml:space="preserve">Q1 2024 </t>
  </si>
  <si>
    <t>Q2 2024</t>
  </si>
  <si>
    <t>Q3 2024</t>
  </si>
  <si>
    <t xml:space="preserve">Q1 2025 </t>
  </si>
  <si>
    <t xml:space="preserve"> </t>
  </si>
  <si>
    <t>Revenue</t>
  </si>
  <si>
    <t>Other Revenue</t>
  </si>
  <si>
    <t>-</t>
  </si>
  <si>
    <t xml:space="preserve">  Total Revenue</t>
  </si>
  <si>
    <t>Cost Of Goods Sold</t>
  </si>
  <si>
    <t xml:space="preserve">  Gross Profit</t>
  </si>
  <si>
    <t>Selling General &amp; Admin Exp.</t>
  </si>
  <si>
    <t>R &amp; D Exp.</t>
  </si>
  <si>
    <t xml:space="preserve">  Operating Income</t>
  </si>
  <si>
    <t>Interest Expense</t>
  </si>
  <si>
    <t>Interest and Invest. Income</t>
  </si>
  <si>
    <t>Income/(Loss) from Affiliates</t>
  </si>
  <si>
    <t>Other Non-Operating Inc. (Exp.)</t>
  </si>
  <si>
    <t xml:space="preserve">  EBT Excl. Unusual Items</t>
  </si>
  <si>
    <t>Restructuring Charges</t>
  </si>
  <si>
    <t>Impairment of Goodwill</t>
  </si>
  <si>
    <t>Gain (Loss) On Sale Of Assets</t>
  </si>
  <si>
    <t xml:space="preserve">  EBT Incl. Unusual Items</t>
  </si>
  <si>
    <t>Income Tax Expense</t>
  </si>
  <si>
    <t xml:space="preserve">  Net Income</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</si>
  <si>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</si>
  <si>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</si>
  <si>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</si>
  <si>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</si>
  <si>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</si>
  <si>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</si>
  <si>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</si>
  <si>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</si>
  <si>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</si>
  <si>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</si>
  <si>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NA</t>
  </si>
  <si>
    <t>Supplemental Items</t>
  </si>
  <si>
    <t>EBITDA</t>
  </si>
  <si>
    <t>EBITA</t>
  </si>
  <si>
    <t>EBIT</t>
  </si>
  <si>
    <t>As Reported Total Revenue*</t>
  </si>
  <si>
    <t>Effective Tax Rate %</t>
  </si>
  <si>
    <t>NM</t>
  </si>
  <si>
    <t>Current Domestic Taxes</t>
  </si>
  <si>
    <t>Current Foreign Taxes</t>
  </si>
  <si>
    <t>Total Current Taxes</t>
  </si>
  <si>
    <t>Deferred Foreign Taxes</t>
  </si>
  <si>
    <t>Total Deferred Taxes</t>
  </si>
  <si>
    <t>Normalized Net Income</t>
  </si>
  <si>
    <t>Filing Date</t>
  </si>
  <si>
    <t>Restatement Type</t>
  </si>
  <si>
    <t>NC</t>
  </si>
  <si>
    <t>O</t>
  </si>
  <si>
    <t>Calculation Type</t>
  </si>
  <si>
    <t>REP</t>
  </si>
  <si>
    <t>Q4</t>
  </si>
  <si>
    <t>Supplemental Operating Expense Items</t>
  </si>
  <si>
    <t>General and Administrative Exp.</t>
  </si>
  <si>
    <t>R&amp;D Exp.</t>
  </si>
  <si>
    <t>Stock-Based Comp., COGS</t>
  </si>
  <si>
    <t>Stock-Based Comp., R&amp;D Exp.</t>
  </si>
  <si>
    <t>Stock-Based Comp., G&amp;A Exp.</t>
  </si>
  <si>
    <t>Stock-Based Comp., Unallocated</t>
  </si>
  <si>
    <t xml:space="preserve">  Stock-Based Comp., Total</t>
  </si>
  <si>
    <t xml:space="preserve">CASH FLOW </t>
  </si>
  <si>
    <t>Net Income</t>
  </si>
  <si>
    <t>Depreciation &amp; Amort.</t>
  </si>
  <si>
    <t>Depreciation &amp; Amort., Total</t>
  </si>
  <si>
    <t>(Gain) Loss From Sale Of Assets</t>
  </si>
  <si>
    <t>Asset Writedown &amp; Restructuring Costs</t>
  </si>
  <si>
    <t>(Income) Loss on Equity Invest.</t>
  </si>
  <si>
    <t>Stock-Based Compensation</t>
  </si>
  <si>
    <t>Other Operating Activities</t>
  </si>
  <si>
    <t>Change in Acc. Receivable</t>
  </si>
  <si>
    <t>Change In Inventories</t>
  </si>
  <si>
    <t>Change in Acc. Payable</t>
  </si>
  <si>
    <t>Change in Other Net Operating Assets</t>
  </si>
  <si>
    <t xml:space="preserve">  Cash from Ops.</t>
  </si>
  <si>
    <t>Capital Expenditure</t>
  </si>
  <si>
    <t>Sale of Property, Plant, and Equipment</t>
  </si>
  <si>
    <t>Cash Acquisitions</t>
  </si>
  <si>
    <t>Divestitures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</si>
  <si>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</si>
  <si>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</si>
  <si>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</si>
  <si>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</si>
  <si>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</si>
  <si>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</si>
  <si>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</si>
  <si>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</si>
  <si>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</si>
  <si>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</si>
  <si>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Issuance of Common Stock</t>
  </si>
  <si>
    <t>Repurchase of Common Stock</t>
  </si>
  <si>
    <t>Total Dividends Paid</t>
  </si>
  <si>
    <t>Special Dividend Paid</t>
  </si>
  <si>
    <t>Other Financing Activities</t>
  </si>
  <si>
    <t xml:space="preserve">  Cash from Financing</t>
  </si>
  <si>
    <t>Foreign Exchange Rate Adj.</t>
  </si>
  <si>
    <t xml:space="preserve">  Net Change in Cash</t>
  </si>
  <si>
    <t>Cash Interest Paid</t>
  </si>
  <si>
    <t>Cash Taxes Paid</t>
  </si>
  <si>
    <t>Levered Free Cash Flow</t>
  </si>
  <si>
    <t>Unlevered Free Cash Flow</t>
  </si>
  <si>
    <t>Change in Net Working Capital</t>
  </si>
  <si>
    <t>Net Debt Issued</t>
  </si>
  <si>
    <t>CFQ</t>
  </si>
  <si>
    <t xml:space="preserve">Balance Sheet </t>
  </si>
  <si>
    <t>Cash And Equivalents</t>
  </si>
  <si>
    <t>Short Term Investments</t>
  </si>
  <si>
    <t xml:space="preserve">  Total Cash &amp; ST Investments</t>
  </si>
  <si>
    <t>Accounts Receivable</t>
  </si>
  <si>
    <t>Other Receivables</t>
  </si>
  <si>
    <t xml:space="preserve">  Total Receivables</t>
  </si>
  <si>
    <t>Inventory</t>
  </si>
  <si>
    <t>Prepaid Exp.</t>
  </si>
  <si>
    <t>Other Current Assets</t>
  </si>
  <si>
    <t xml:space="preserve">  Total Current Assets</t>
  </si>
  <si>
    <t>Gross Property, Plant &amp; Equipment</t>
  </si>
  <si>
    <t>Accumulated Depreciation</t>
  </si>
  <si>
    <t xml:space="preserve">  Net Property, Plant &amp; Equipment</t>
  </si>
  <si>
    <t>Long-term Investments</t>
  </si>
  <si>
    <t>Goodwill</t>
  </si>
  <si>
    <t>Other Long-Term Assets</t>
  </si>
  <si>
    <t>Total Assets</t>
  </si>
  <si>
    <t>LIABILITIES</t>
  </si>
  <si>
    <t>Accounts Payable</t>
  </si>
  <si>
    <t>Accrued Exp.</t>
  </si>
  <si>
    <t>Curr. Port. of Leases</t>
  </si>
  <si>
    <t>Other Current Liabilities</t>
  </si>
  <si>
    <t xml:space="preserve">  Total Current Liabilities</t>
  </si>
  <si>
    <t>Long-Term Debt</t>
  </si>
  <si>
    <t>Long-Term Leases</t>
  </si>
  <si>
    <t>Other Non-Current Liabilities</t>
  </si>
  <si>
    <t>Total Liabilities</t>
  </si>
  <si>
    <t>Common Stock</t>
  </si>
  <si>
    <t>Additional Paid In Capital</t>
  </si>
  <si>
    <t>Retained Earnings</t>
  </si>
  <si>
    <t>Treasury Stock</t>
  </si>
  <si>
    <t>Comprehensive Inc. and Other</t>
  </si>
  <si>
    <t xml:space="preserve">  Total Common Equity</t>
  </si>
  <si>
    <t>Total Equity</t>
  </si>
  <si>
    <t>Total Liabilities And Equity</t>
  </si>
  <si>
    <t>Total Shares Out. on Filing Date</t>
  </si>
  <si>
    <t>Total Shares Out. on Balance Sheet Date</t>
  </si>
  <si>
    <t>Book Value/Share</t>
  </si>
  <si>
    <t>Tangible Book Value</t>
  </si>
  <si>
    <t>Tangible Book Value/Share</t>
  </si>
  <si>
    <t>Total Debt</t>
  </si>
  <si>
    <t>Net Debt</t>
  </si>
  <si>
    <t>Equity Method Investments</t>
  </si>
  <si>
    <t>Raw Materials Inventory</t>
  </si>
  <si>
    <t>Work in Progress Inventory</t>
  </si>
  <si>
    <t>Finished Goods Inventory</t>
  </si>
  <si>
    <t>Buildings</t>
  </si>
  <si>
    <t>Machinery</t>
  </si>
  <si>
    <t>Construction in Progress</t>
  </si>
  <si>
    <t>Full Time Employees</t>
  </si>
  <si>
    <t>RUP</t>
  </si>
  <si>
    <t>https://lsecloud-my.sharepoint.com/personal/f_kolchin_lse_ac_uk/Documents/BIOPHARMA%20LOCAL/IMMUNOLOGY%20NOTES.xlsx</t>
  </si>
  <si>
    <t>Income Statement</t>
  </si>
  <si>
    <t xml:space="preserve">For the Fiscal Period Ending
</t>
  </si>
  <si>
    <t>3 months
Q1
Mar-31-2022</t>
  </si>
  <si>
    <t>3 months
Q2
Jun-30-2022</t>
  </si>
  <si>
    <t>3 months
Q3
Sep-30-2022</t>
  </si>
  <si>
    <t>3 months
Q4
Dec-31-2022</t>
  </si>
  <si>
    <t>3 months
Q1
Mar-31-2023</t>
  </si>
  <si>
    <t>3 months
Q2
Jun-30-2023</t>
  </si>
  <si>
    <t>3 months
Q3
Sep-30-2023</t>
  </si>
  <si>
    <t>3 months
Q4
Dec-31-2023</t>
  </si>
  <si>
    <t>3 months
Q1
Mar-31-2024</t>
  </si>
  <si>
    <t>3 months
Q2
Jun-30-2024</t>
  </si>
  <si>
    <t>3 months
Q3
Sep-30-2024</t>
  </si>
  <si>
    <t>3 months
Q4
Dec-31-2024</t>
  </si>
  <si>
    <t>3 months
Q1
Mar-31-2025</t>
  </si>
  <si>
    <t>Currency</t>
  </si>
  <si>
    <t>USD</t>
  </si>
  <si>
    <t>Other Operating Expense/(Income)</t>
  </si>
  <si>
    <t xml:space="preserve">  Other Operating Exp., Total</t>
  </si>
  <si>
    <t xml:space="preserve">  Net Interest Exp.</t>
  </si>
  <si>
    <t>Other Unusual Items</t>
  </si>
  <si>
    <t xml:space="preserve">  Earnings from Cont. Ops.</t>
  </si>
  <si>
    <t>Earnings of Discontinued Ops.</t>
  </si>
  <si>
    <t>Extraord. Item &amp; Account. Change</t>
  </si>
  <si>
    <t xml:space="preserve">  Net Income to Company</t>
  </si>
  <si>
    <t>Minority Int. in Earnings</t>
  </si>
  <si>
    <t>Pref. Dividends and Other Adj.</t>
  </si>
  <si>
    <t xml:space="preserve">  NI to Common Incl Extra Items</t>
  </si>
  <si>
    <t xml:space="preserve">  NI to Common Excl. Extra Items</t>
  </si>
  <si>
    <t>* Occasionally, certain items classified as Revenue by the company will be re-classified as other income if it is deemed to be non-recurring and unrelated to the core business of the firm. This field shows Total Revenue exactly as reported by the firm on its consolidated statement of income.</t>
  </si>
  <si>
    <t>Note: For multiple class companies, per share items are primary class equivalent, and for foreign companies listed as primary ADRs, per share items are ADR-equivalent.</t>
  </si>
  <si>
    <t xml:space="preserve">
               </t>
  </si>
  <si>
    <t>Balance Sheet</t>
  </si>
  <si>
    <t xml:space="preserve">Balance Sheet as of:
</t>
  </si>
  <si>
    <t>Q1
Mar-31-2022</t>
  </si>
  <si>
    <t>Q2
Jun-30-2022</t>
  </si>
  <si>
    <t>Q3
Sep-30-2022</t>
  </si>
  <si>
    <t>Q4
Dec-31-2022</t>
  </si>
  <si>
    <t>Q1
Mar-31-2023</t>
  </si>
  <si>
    <t>Q2
Jun-30-2023</t>
  </si>
  <si>
    <t>Q3
Sep-30-2023</t>
  </si>
  <si>
    <t>Q4
Dec-31-2023</t>
  </si>
  <si>
    <t>Q1
Mar-31-2024</t>
  </si>
  <si>
    <t>Q2
Jun-30-2024</t>
  </si>
  <si>
    <t>Q3
Sep-30-2024</t>
  </si>
  <si>
    <t>Q4
Dec-31-2024</t>
  </si>
  <si>
    <t>Q1
Mar-31-2025</t>
  </si>
  <si>
    <t>ASSETS</t>
  </si>
  <si>
    <t>Note: For multiple class companies, total share counts are primary class equivalent, and for foreign companies listed as primary ADRs, total share counts are ADR-equivalent.</t>
  </si>
  <si>
    <t>Cash Flow</t>
  </si>
  <si>
    <t xml:space="preserve">Dupixent </t>
  </si>
  <si>
    <t xml:space="preserve">compliance </t>
  </si>
  <si>
    <t xml:space="preserve">What sales has Ebglyss achieved? </t>
  </si>
  <si>
    <t>What is the gross to net ratio in the atopic dermatitis space/ I&amp;I more broadly</t>
  </si>
  <si>
    <t xml:space="preserve">What is the compliance rate for I&amp;I / atopic dermatitis medications </t>
  </si>
  <si>
    <t xml:space="preserve">What is the list price of Ebglyss? </t>
  </si>
  <si>
    <t xml:space="preserve">What is the list price of Dupixent? </t>
  </si>
  <si>
    <t xml:space="preserve">What are the sales forecasts for Ebglyss? </t>
  </si>
  <si>
    <t xml:space="preserve">How many Dupixent  patients are there currently? </t>
  </si>
  <si>
    <t>https://investor.regeneron.com/static-files/afdb2be9-eed0-4770-94a1-087a530ee32a</t>
  </si>
  <si>
    <t xml:space="preserve">What percentage of Dupixent sales are derived from Atopic Dermatitis </t>
  </si>
  <si>
    <t xml:space="preserve">6.6 M patients </t>
  </si>
  <si>
    <t xml:space="preserve">What is the prevalence of Moderate/Severe AD? </t>
  </si>
  <si>
    <t xml:space="preserve">What is the prevalence of Asthma </t>
  </si>
  <si>
    <t xml:space="preserve">What is the prevalence of Chronic Rhinosinusitis with Nasal Poliposis </t>
  </si>
  <si>
    <t xml:space="preserve">What is the prevalence of Eosinophilic Esophagitis </t>
  </si>
  <si>
    <t xml:space="preserve">What is the prevalence of Prurigo Nodularis? </t>
  </si>
  <si>
    <t xml:space="preserve">What is the prevalence of CSU </t>
  </si>
  <si>
    <t>What is the prevalence of COPD</t>
  </si>
  <si>
    <t>Total TAM for Dupixent</t>
  </si>
  <si>
    <t xml:space="preserve">Atopic Dermatitis % </t>
  </si>
  <si>
    <t xml:space="preserve">Source </t>
  </si>
  <si>
    <t xml:space="preserve">Q2 2025 </t>
  </si>
  <si>
    <t xml:space="preserve">Q4 2024 </t>
  </si>
  <si>
    <t xml:space="preserve">Q4 2023 </t>
  </si>
  <si>
    <t xml:space="preserve">Q4 2021 </t>
  </si>
  <si>
    <t xml:space="preserve">Q4 2020 </t>
  </si>
  <si>
    <t xml:space="preserve">Q3 2020 </t>
  </si>
  <si>
    <t xml:space="preserve">Q2 2020 </t>
  </si>
  <si>
    <t xml:space="preserve">Q1 2020 </t>
  </si>
  <si>
    <t xml:space="preserve">What is the incidence of Moderate-Severe Atopic Dermatitis? (How many new prescriptions/diagnoses are given for this indication every year)? </t>
  </si>
  <si>
    <t xml:space="preserve">What % of people get put on Dupixent? </t>
  </si>
  <si>
    <t xml:space="preserve">What % of people get put on TCS? </t>
  </si>
  <si>
    <t xml:space="preserve">NBRX for Dupixent </t>
  </si>
  <si>
    <t>, 000</t>
  </si>
  <si>
    <t>file://students.lse.ac.uk/kolchin/feb%202025%20regn.pdf</t>
  </si>
  <si>
    <t>More than 850,000 patients are currently on therapy worldwide and 3 Dupixent indications have achieved blockbuster status, atopic dermatitis, asthma and nasal polyps. Across all 3 of these indications, Dupixent is competitively differentiated based on its clinical profile, depth of clinical experience and potential to be prescribed to very young patients as young as 6 months in the case of atopic dermatitis.</t>
  </si>
  <si>
    <t xml:space="preserve">incidence </t>
  </si>
  <si>
    <t xml:space="preserve">systemic/biologic treatments </t>
  </si>
  <si>
    <t>https://pmc.ncbi.nlm.nih.gov/articles/PMC10779695/</t>
  </si>
  <si>
    <t xml:space="preserve">Dupi </t>
  </si>
  <si>
    <t xml:space="preserve">Dupi NR </t>
  </si>
  <si>
    <t xml:space="preserve">Ebglyss </t>
  </si>
  <si>
    <t xml:space="preserve">Nemo </t>
  </si>
  <si>
    <t xml:space="preserve">Abry </t>
  </si>
  <si>
    <t xml:space="preserve">25,000 patients / Y </t>
  </si>
  <si>
    <t xml:space="preserve">Incident patient Y </t>
  </si>
  <si>
    <t xml:space="preserve">Responder pop </t>
  </si>
  <si>
    <t xml:space="preserve">list price </t>
  </si>
  <si>
    <t xml:space="preserve">Patient Y </t>
  </si>
  <si>
    <t>GTN 50%</t>
  </si>
  <si>
    <t xml:space="preserve">net revenue </t>
  </si>
  <si>
    <t xml:space="preserve">JAK </t>
  </si>
  <si>
    <t xml:space="preserve">month </t>
  </si>
  <si>
    <t>month tr x</t>
  </si>
  <si>
    <t xml:space="preserve">month rev </t>
  </si>
  <si>
    <t xml:space="preserve">annual rev </t>
  </si>
  <si>
    <t xml:space="preserve">prevalent pop </t>
  </si>
  <si>
    <t>Responders</t>
  </si>
  <si>
    <t xml:space="preserve">mod pat y </t>
  </si>
  <si>
    <t>[1]</t>
  </si>
  <si>
    <t xml:space="preserve">Notes </t>
  </si>
  <si>
    <t xml:space="preserve">US Population </t>
  </si>
  <si>
    <t xml:space="preserve">[2] </t>
  </si>
  <si>
    <t xml:space="preserve">AD Incidence rate </t>
  </si>
  <si>
    <t xml:space="preserve">AD Incidence  </t>
  </si>
  <si>
    <t>Systemic/biologic treatment</t>
  </si>
  <si>
    <t xml:space="preserve">Dupixent treatment </t>
  </si>
  <si>
    <t xml:space="preserve">[3] </t>
  </si>
  <si>
    <t xml:space="preserve">[4] </t>
  </si>
  <si>
    <t>[0]</t>
  </si>
  <si>
    <t xml:space="preserve">Timeline: launch yeah in 2028, sales until 2040 (patent expiry). EOY 2025 ph3 enrollment, EOY 2026 ph3 end (52 week design), mid 2027 PDUFA, 2028 first year launch </t>
  </si>
  <si>
    <t>13.0% of incident patients are treated with systemic/biologic treatments : https://pmc.ncbi.nlm.nih.gov/articles/PMC10779695/</t>
  </si>
  <si>
    <t>US population expected to reach 362M by 2040 : https://www.coopercenter.org/research/national-50-state-population-projections-2030-2040-2050</t>
  </si>
  <si>
    <t>AD incidence was 5.6/1000 : https://pmc.ncbi.nlm.nih.gov/articles/PMC10779695/</t>
  </si>
  <si>
    <t>Most patients (88.8%) initiated treatment with AST, with dupilumab being the most common (86.5%).</t>
  </si>
  <si>
    <t xml:space="preserve">Dupixent non responders </t>
  </si>
  <si>
    <t xml:space="preserve">[5] </t>
  </si>
  <si>
    <t>Of the 419 patients, 145 (35%) were considered dupilumab nonresponders because they experienced at least 1 indicator of nonresponse. (https://www.annallergy.org/article/S1081-1206(22)00497-5/fulltext)</t>
  </si>
  <si>
    <t xml:space="preserve">Rezpeg % </t>
  </si>
  <si>
    <t>Rezpeg %</t>
  </si>
  <si>
    <t xml:space="preserve">Rezpeg responder population </t>
  </si>
  <si>
    <t xml:space="preserve">[6] </t>
  </si>
  <si>
    <t xml:space="preserve">[7] </t>
  </si>
  <si>
    <t xml:space="preserve">6th entrant in a 6 player market: Ebglyss, Rezpeg, Adbry, Nemluvio, OX40 will have 11.22% market share (inverse root rule) </t>
  </si>
  <si>
    <t xml:space="preserve">Pricing </t>
  </si>
  <si>
    <t xml:space="preserve">Nemluvio </t>
  </si>
  <si>
    <t xml:space="preserve">Adbry </t>
  </si>
  <si>
    <t>https://www.dupixent.com/support-savings/cost-insurance</t>
  </si>
  <si>
    <t xml:space="preserve">/pack </t>
  </si>
  <si>
    <t xml:space="preserve">packs/year </t>
  </si>
  <si>
    <t xml:space="preserve">annual cost </t>
  </si>
  <si>
    <t>https://pricinginfo.lilly.com/ebglyss</t>
  </si>
  <si>
    <t>first year. 16 weeks @q2w, 36@ q4w</t>
  </si>
  <si>
    <t xml:space="preserve">60mg loading dose, 30mg for the 11 mo. </t>
  </si>
  <si>
    <t>https://www.managedhealthcareexecutive.com/view/fda-approves-adbry-for-atopic-dermatitis-in-12-to-17-year-olds</t>
  </si>
  <si>
    <t>https://www.managedhealthcareexecutive.com/view/fda-approves-nemluvio-for-atopic-dermatitis</t>
  </si>
  <si>
    <t xml:space="preserve">12 packs with 2 doses </t>
  </si>
  <si>
    <t xml:space="preserve">one pack used q2w </t>
  </si>
  <si>
    <t>Country</t>
  </si>
  <si>
    <t>Reference</t>
  </si>
  <si>
    <t>Type of study (n)</t>
  </si>
  <si>
    <t>1 Year</t>
  </si>
  <si>
    <t>2 Year</t>
  </si>
  <si>
    <t>3 Year</t>
  </si>
  <si>
    <t>4 Year</t>
  </si>
  <si>
    <t>5 Year</t>
  </si>
  <si>
    <t>Canada</t>
  </si>
  <si>
    <t>Georgakopoulos et al. 2021 [54]</t>
  </si>
  <si>
    <t>Retrospective, multicenter (n=145)</t>
  </si>
  <si>
    <t>Czech Republic</t>
  </si>
  <si>
    <t>Kojanova et al. 2022 [52]</t>
  </si>
  <si>
    <t>Retrospective, multicenter (n=360)</t>
  </si>
  <si>
    <t>Germany</t>
  </si>
  <si>
    <t>Stölz et al. 2022 [63]</t>
  </si>
  <si>
    <t>Prospective (n=1211)</t>
  </si>
  <si>
    <t>Italy</t>
  </si>
  <si>
    <t>Dal Bello et al. 2020 [44]</t>
  </si>
  <si>
    <t>Retrospective, single-center (n=149)</t>
  </si>
  <si>
    <t>Fargnoli et al. 2022 [49]</t>
  </si>
  <si>
    <t>Retrospective, multicenter (n=109)</t>
  </si>
  <si>
    <t>Napolitano et al. 2022 [50]</t>
  </si>
  <si>
    <t>Retrospective, multicenter (n=247)</t>
  </si>
  <si>
    <t>Pezzolo et al. 2023 [51]</t>
  </si>
  <si>
    <t>Prospective (n=363)</t>
  </si>
  <si>
    <t>Netherlands</t>
  </si>
  <si>
    <t>Spekhorst et al. 2022 [47]</t>
  </si>
  <si>
    <t>Prospective data from National Registry (n=402)</t>
  </si>
  <si>
    <t>Portugal</t>
  </si>
  <si>
    <t>Torres et al. 2022 [53]</t>
  </si>
  <si>
    <t>Retrospective, multicenter (n=169)</t>
  </si>
  <si>
    <t>Spain</t>
  </si>
  <si>
    <t>Pereyra-Rodriguez et al. 2021 [46]</t>
  </si>
  <si>
    <t>Retrospective, multicenter (n=240)</t>
  </si>
  <si>
    <t>USA</t>
  </si>
  <si>
    <t>Khosravi et al. 2020 [59]</t>
  </si>
  <si>
    <t>Retrospective, single-center (n=112)</t>
  </si>
  <si>
    <t>Average</t>
  </si>
  <si>
    <t>List price</t>
  </si>
  <si>
    <t>[8]</t>
  </si>
  <si>
    <t>Adherence @80 %</t>
  </si>
  <si>
    <t xml:space="preserve">Patient Y, 000 </t>
  </si>
  <si>
    <t xml:space="preserve">Rezpeg patient inflow , 000 </t>
  </si>
  <si>
    <t>G2N @ 50%</t>
  </si>
  <si>
    <t xml:space="preserve">[8] </t>
  </si>
  <si>
    <t xml:space="preserve">[9] </t>
  </si>
  <si>
    <t>https://investors.galderma.com/news-releases/news-release-details/galderma-delivers-record-first-quarter-net-sales-1129-billion</t>
  </si>
  <si>
    <t>We base adherence on Dupixent which is around 80% , Dupilumab had the highest medication adherence (proportion of days covered [PDC] ≥ 80%; 60.74%)https://pmc.ncbi.nlm.nih.gov/articles/PMC9056466/</t>
  </si>
  <si>
    <t xml:space="preserve">Gross Margin </t>
  </si>
  <si>
    <t>Q4 2024</t>
  </si>
  <si>
    <t xml:space="preserve">Q3 2025 </t>
  </si>
  <si>
    <t xml:space="preserve">Q4 2025 </t>
  </si>
  <si>
    <t xml:space="preserve">Q1 2026 </t>
  </si>
  <si>
    <t xml:space="preserve">Q2 2026 </t>
  </si>
  <si>
    <t xml:space="preserve">Q3 2026 </t>
  </si>
  <si>
    <t xml:space="preserve">Q4 2027 </t>
  </si>
  <si>
    <t>Q4 2026</t>
  </si>
  <si>
    <t xml:space="preserve">Q1 2027 </t>
  </si>
  <si>
    <t xml:space="preserve">Q2 2027 </t>
  </si>
  <si>
    <t xml:space="preserve">Q3 2027 </t>
  </si>
  <si>
    <t xml:space="preserve">Research &amp; Development Expenses </t>
  </si>
  <si>
    <t xml:space="preserve">Employees </t>
  </si>
  <si>
    <t xml:space="preserve">Additional Items </t>
  </si>
  <si>
    <t xml:space="preserve">Research and Development Expenses </t>
  </si>
  <si>
    <t xml:space="preserve">Bempeg  </t>
  </si>
  <si>
    <t>NKTR-262</t>
  </si>
  <si>
    <t>ONZEALD</t>
  </si>
  <si>
    <t>NKTR-181</t>
  </si>
  <si>
    <t xml:space="preserve">Personnel, overhead and other </t>
  </si>
  <si>
    <t xml:space="preserve">Stock based compensation and depreciation </t>
  </si>
  <si>
    <t xml:space="preserve">Research and Development Expense </t>
  </si>
  <si>
    <t>NKTR-0165</t>
  </si>
  <si>
    <t xml:space="preserve">Other </t>
  </si>
  <si>
    <t xml:space="preserve">Total Clinical Development </t>
  </si>
  <si>
    <t xml:space="preserve">Headcount </t>
  </si>
  <si>
    <t xml:space="preserve">Phase </t>
  </si>
  <si>
    <t xml:space="preserve">1/2 </t>
  </si>
  <si>
    <t xml:space="preserve">preclin. </t>
  </si>
  <si>
    <t xml:space="preserve">1b </t>
  </si>
  <si>
    <t>1b</t>
  </si>
  <si>
    <t>terminated</t>
  </si>
  <si>
    <t>ph3</t>
  </si>
  <si>
    <t>ph2</t>
  </si>
  <si>
    <t>ph1</t>
  </si>
  <si>
    <t>ph1/2</t>
  </si>
  <si>
    <t xml:space="preserve">Personnel + stock based / head </t>
  </si>
  <si>
    <t xml:space="preserve">SG&amp;A / Head </t>
  </si>
  <si>
    <t xml:space="preserve">discontinued </t>
  </si>
  <si>
    <t>ph3 start</t>
  </si>
  <si>
    <t xml:space="preserve">ph3 end, NDA </t>
  </si>
  <si>
    <t>review</t>
  </si>
  <si>
    <t>launch</t>
  </si>
  <si>
    <t xml:space="preserve">Trial </t>
  </si>
  <si>
    <t xml:space="preserve">REZOLVE-AD (NCT06136741) PH2 pooled </t>
  </si>
  <si>
    <t>NCT04081350 pooled</t>
  </si>
  <si>
    <t xml:space="preserve">ph3 </t>
  </si>
  <si>
    <t xml:space="preserve">.. </t>
  </si>
  <si>
    <t xml:space="preserve">SBC as % </t>
  </si>
  <si>
    <t>Q2 2025</t>
  </si>
  <si>
    <t>Q3 2025</t>
  </si>
  <si>
    <t xml:space="preserve">General &amp; Admin </t>
  </si>
  <si>
    <t xml:space="preserve">Sales reps </t>
  </si>
  <si>
    <t xml:space="preserve">Selling &amp; Marketing </t>
  </si>
  <si>
    <t xml:space="preserve">Fully loaded cost per rep </t>
  </si>
  <si>
    <t xml:space="preserve">SG&amp;A  </t>
  </si>
  <si>
    <t>Effective Interest income %</t>
  </si>
  <si>
    <t>Cash &amp; ST Investments</t>
  </si>
  <si>
    <t xml:space="preserve">Equity Raise </t>
  </si>
  <si>
    <t xml:space="preserve">Share price </t>
  </si>
  <si>
    <t xml:space="preserve">TSO </t>
  </si>
  <si>
    <t xml:space="preserve">Net Income </t>
  </si>
  <si>
    <t xml:space="preserve">Capital Expenditure </t>
  </si>
  <si>
    <t>Interest Expense *(1-20%)</t>
  </si>
  <si>
    <t>less Interest Income * (1-20%)</t>
  </si>
  <si>
    <t xml:space="preserve">Depreciation </t>
  </si>
  <si>
    <t xml:space="preserve">Stock Based Compensation </t>
  </si>
  <si>
    <t xml:space="preserve">non cash royalty adj. </t>
  </si>
  <si>
    <t>Discount %</t>
  </si>
  <si>
    <t xml:space="preserve">Equity  Value </t>
  </si>
  <si>
    <t xml:space="preserve">Dulited final TSO </t>
  </si>
  <si>
    <t xml:space="preserve">EV, fair value </t>
  </si>
  <si>
    <t xml:space="preserve">66% of patients achieved EASI-50 in the rezpeg trial </t>
  </si>
  <si>
    <t xml:space="preserve">Average drug price increases </t>
  </si>
  <si>
    <t xml:space="preserve">Study </t>
  </si>
  <si>
    <t xml:space="preserve">CAGR </t>
  </si>
  <si>
    <t xml:space="preserve">Class </t>
  </si>
  <si>
    <t xml:space="preserve">Period </t>
  </si>
  <si>
    <t xml:space="preserve">DESC </t>
  </si>
  <si>
    <t>Hernandex et al (2020)</t>
  </si>
  <si>
    <t xml:space="preserve">branded </t>
  </si>
  <si>
    <t>2007-2018</t>
  </si>
  <si>
    <t>Dusetzina et al. (2022)</t>
  </si>
  <si>
    <t>branded</t>
  </si>
  <si>
    <t xml:space="preserve">San-Juan Rodriguez et al. (2019) </t>
  </si>
  <si>
    <t>specialty</t>
  </si>
  <si>
    <t xml:space="preserve">Measured price increases since launch </t>
  </si>
  <si>
    <t>Kesselheim et al. (2016)</t>
  </si>
  <si>
    <t>2008-2014</t>
  </si>
  <si>
    <t xml:space="preserve">Rome et al. </t>
  </si>
  <si>
    <t xml:space="preserve">Insulin </t>
  </si>
  <si>
    <t xml:space="preserve">Net Price was used </t>
  </si>
  <si>
    <t xml:space="preserve">Dupixent price increase </t>
  </si>
  <si>
    <t>I&amp;I</t>
  </si>
  <si>
    <t>2017-2025</t>
  </si>
  <si>
    <r>
      <t>From news in 2017: The drug, to be called Dupixent, will carry a list price of $</t>
    </r>
    <r>
      <rPr>
        <b/>
        <sz val="11"/>
        <color rgb="FF767676"/>
        <rFont val="Arial"/>
        <family val="2"/>
      </rPr>
      <t>37,000 a year</t>
    </r>
    <r>
      <rPr>
        <sz val="11"/>
        <color rgb="FF474747"/>
        <rFont val="Arial"/>
        <family val="2"/>
      </rPr>
      <t>, a hefty price tag</t>
    </r>
  </si>
  <si>
    <t>https://lsecloud-my.sharepoint.com/personal/f_kolchin_lse_ac_uk/Documents/BIOPHARMA%20LOCAL/Drug%20price%20increase.xlsx</t>
  </si>
  <si>
    <t xml:space="preserve">prob. Success : Phase 3 </t>
  </si>
  <si>
    <t xml:space="preserve">prob. Success : Regulatory </t>
  </si>
  <si>
    <t xml:space="preserve">prob. Failure </t>
  </si>
  <si>
    <t>Fair Value (approval case)</t>
  </si>
  <si>
    <t>Fair Value, Cash Basis  (fail case)</t>
  </si>
  <si>
    <t xml:space="preserve">Risk-weighted Fair Value </t>
  </si>
  <si>
    <t xml:space="preserve">current price </t>
  </si>
  <si>
    <t xml:space="preserve">upside/downside </t>
  </si>
  <si>
    <t>Model Unlevered FCF</t>
  </si>
  <si>
    <t xml:space="preserve">   </t>
  </si>
  <si>
    <t xml:space="preserve">Note&gt; </t>
  </si>
  <si>
    <t xml:space="preserve">Enrollment of Phase 3 anticipated in q1/q2 2026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</si>
</sst>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 #,##0_-;_-* &quot;-&quot;_-;_-@_-"/>
    <numFmt numFmtId="43" formatCode="_-* #,##0.00_-;\-* #,##0.00_-;_-* &quot;-&quot;??_-;_-@_-"/>
    <numFmt numFmtId="164" formatCode="_([$$-409]* #,##0.00_);_([$$-409]* \(#,##0.00\);_([$$-409]* &quot;-&quot;??_);_(@_)"/>
    <numFmt numFmtId="165" formatCode="_-[$$-409]* #,##0.00_ ;_-[$$-409]* \-#,##0.00\ ;_-[$$-409]* &quot;-&quot;??_ ;_-@_ "/>
    <numFmt numFmtId="166" formatCode="0.0000"/>
    <numFmt numFmtId="167" formatCode="_(* #,##0.0_);_(* \(#,##0.0\)_)\ ;_(* 0_)"/>
    <numFmt numFmtId="168" formatCode="_(&quot;$&quot;#,##0.0#_);_(\(&quot;$&quot;#,##0.0#\)_);_(&quot;$&quot;&quot; - &quot;_)"/>
    <numFmt numFmtId="169" formatCode="_(* #,##0.0#_);_(* \(#,##0.0#\)_)\ ;_(* 0_)"/>
    <numFmt numFmtId="170" formatCode="_(#,##0.0%_);_(\(#,##0.0%\)_);_(#,##0.0%_)"/>
    <numFmt numFmtId="171" formatCode="mmm\-dd\-yyyy"/>
    <numFmt numFmtId="172" formatCode="_(* #,##0_);_(* \(#,##0\)_)\ ;_(* 0_)"/>
    <numFmt numFmtId="173" formatCode="0.000%"/>
    <numFmt numFmtId="174" formatCode="_-* #,##0.0_-;\-* #,##0.0_-;_-* &quot;-&quot;?_-;_-@_-"/>
  </numFmts>
  <fonts count="28" x14ac:knownFonts="1">
    <font>
      <sz val="11"/>
      <color theme="1"/>
      <name val="Aptos Narrow"/>
      <family val="2"/>
      <scheme val="minor"/>
    </font>
    <font>
      <u/>
      <sz val="11"/>
      <color theme="10"/>
      <name val="Aptos Narrow"/>
      <family val="2"/>
      <scheme val="minor"/>
    </font>
    <font>
      <b/>
      <sz val="11"/>
      <color theme="1"/>
      <name val="Aptos Narrow"/>
      <family val="2"/>
      <scheme val="minor"/>
    </font>
    <font>
      <sz val="12"/>
      <color rgb="FF2E2E2E"/>
      <name val="Arial"/>
      <family val="2"/>
    </font>
    <font>
      <sz val="11"/>
      <color theme="1"/>
      <name val="Aptos Narrow"/>
      <family val="2"/>
      <scheme val="minor"/>
    </font>
    <font>
      <sz val="11"/>
      <color rgb="FFFF0000"/>
      <name val="Aptos Narrow"/>
      <family val="2"/>
      <scheme val="minor"/>
    </font>
    <font>
      <sz val="11"/>
      <color rgb="FF171716"/>
      <name val="Arial"/>
      <family val="2"/>
    </font>
    <font>
      <b/>
      <u/>
      <sz val="11"/>
      <color theme="1"/>
      <name val="Aptos Narrow"/>
      <family val="2"/>
      <scheme val="minor"/>
    </font>
    <font>
      <b/>
      <u/>
      <sz val="11"/>
      <color theme="10"/>
      <name val="Aptos Narrow"/>
      <family val="2"/>
      <scheme val="minor"/>
    </font>
    <font>
      <b/>
      <sz val="11"/>
      <color rgb="FFFF0000"/>
      <name val="Aptos Narrow"/>
      <family val="2"/>
      <scheme val="minor"/>
    </font>
    <font>
      <sz val="8"/>
      <name val="Arial"/>
      <family val="2"/>
    </font>
    <font>
      <sz val="8"/>
      <color indexed="8"/>
      <name val="Arial"/>
      <family val="2"/>
    </font>
    <font>
      <b/>
      <sz val="8"/>
      <color indexed="9"/>
      <name val="Verdana"/>
      <family val="2"/>
    </font>
    <font>
      <sz val="1"/>
      <color indexed="9"/>
      <name val="Symbol"/>
      <family val="1"/>
      <charset val="2"/>
    </font>
    <font>
      <b/>
      <sz val="8"/>
      <color indexed="8"/>
      <name val="Arial"/>
      <family val="2"/>
    </font>
    <font>
      <b/>
      <i/>
      <sz val="8"/>
      <color indexed="8"/>
      <name val="Arial"/>
      <family val="2"/>
    </font>
    <font>
      <b/>
      <u val="double"/>
      <sz val="8"/>
      <color indexed="8"/>
      <name val="Arial"/>
      <family val="2"/>
    </font>
    <font>
      <b/>
      <u/>
      <sz val="8"/>
      <color indexed="8"/>
      <name val="Arial"/>
      <family val="2"/>
    </font>
    <font>
      <sz val="9"/>
      <color indexed="81"/>
      <name val="Tahoma"/>
      <family val="2"/>
    </font>
    <font>
      <b/>
      <sz val="9"/>
      <color indexed="81"/>
      <name val="Tahoma"/>
      <family val="2"/>
    </font>
    <font>
      <b/>
      <sz val="8"/>
      <name val="Arial"/>
      <family val="2"/>
    </font>
    <font>
      <i/>
      <sz val="9"/>
      <color theme="1"/>
      <name val="Aptos Narrow"/>
      <family val="2"/>
      <scheme val="minor"/>
    </font>
    <font>
      <i/>
      <sz val="8"/>
      <color indexed="8"/>
      <name val="Arial"/>
      <family val="2"/>
    </font>
    <font>
      <i/>
      <sz val="8"/>
      <name val="Arial"/>
      <family val="2"/>
    </font>
    <font>
      <sz val="8"/>
      <color theme="9"/>
      <name val="Arial"/>
      <family val="2"/>
    </font>
    <font>
      <b/>
      <sz val="8"/>
      <color theme="9"/>
      <name val="Arial"/>
      <family val="2"/>
    </font>
    <font>
      <b/>
      <sz val="11"/>
      <color rgb="FF767676"/>
      <name val="Arial"/>
      <family val="2"/>
    </font>
    <font>
      <sz val="11"/>
      <color rgb="FF474747"/>
      <name val="Arial"/>
      <family val="2"/>
    </font>
  </fonts>
  <fills count="5">
    <fill>
      <patternFill patternType="none"/>
    </fill>
    <fill>
      <patternFill patternType="gray125"/>
    </fill>
    <fill>
      <patternFill patternType="solid">
        <fgColor rgb="FFFFFF00"/>
        <bgColor indexed="64"/>
      </patternFill>
    </fill>
    <fill>
      <patternFill patternType="solid">
        <fgColor indexed="56"/>
        <bgColor indexed="64"/>
      </patternFill>
    </fill>
    <fill>
      <patternFill patternType="solid">
        <fgColor indexed="60"/>
        <bgColor indexed="64"/>
      </patternFill>
    </fill>
  </fills>
  <borders count="10">
    <border>
      <left/>
      <right/>
      <top/>
      <bottom/>
      <diagonal/>
    </border>
    <border>
      <left/>
      <right/>
      <top/>
      <bottom style="thin">
        <color rgb="FF000000"/>
      </bottom>
      <diagonal/>
    </border>
    <border>
      <left/>
      <right style="dotted">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dotted">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8"/>
      </top>
      <bottom/>
      <diagonal/>
    </border>
    <border>
      <left/>
      <right/>
      <top style="thin">
        <color indexed="64"/>
      </top>
      <bottom/>
      <diagonal/>
    </border>
  </borders>
  <cellStyleXfs count="5">
    <xf numFmtId="0" fontId="0" fillId="0" borderId="0"/>
    <xf numFmtId="0" fontId="1" fillId="0" borderId="0" applyNumberFormat="0" applyFill="0" applyBorder="0" applyAlignment="0" applyProtection="0"/>
    <xf numFmtId="9" fontId="4" fillId="0" borderId="0" applyFont="0" applyFill="0" applyBorder="0" applyAlignment="0" applyProtection="0"/>
    <xf numFmtId="0" fontId="13" fillId="0" borderId="0" applyAlignment="0"/>
    <xf numFmtId="41" fontId="4" fillId="0" borderId="0" applyFont="0" applyFill="0" applyBorder="0" applyAlignment="0" applyProtection="0"/>
  </cellStyleXfs>
  <cellXfs count="122">
    <xf numFmtId="0" fontId="0" fillId="0" borderId="0" xfId="0"/>
    <xf numFmtId="164" fontId="0" fillId="0" borderId="0" xfId="0" applyNumberFormat="1"/>
    <xf numFmtId="4" fontId="0" fillId="0" borderId="0" xfId="0" applyNumberFormat="1"/>
    <xf numFmtId="0" fontId="0" fillId="0" borderId="0" xfId="0" applyAlignment="1">
      <alignment wrapText="1"/>
    </xf>
    <xf numFmtId="0" fontId="2" fillId="0" borderId="0" xfId="0" applyFont="1"/>
    <xf numFmtId="0" fontId="2" fillId="0" borderId="1" xfId="0" applyFont="1" applyBorder="1"/>
    <xf numFmtId="164" fontId="2" fillId="0" borderId="1" xfId="0" applyNumberFormat="1" applyFont="1" applyBorder="1"/>
    <xf numFmtId="16" fontId="0" fillId="0" borderId="0" xfId="0" applyNumberFormat="1"/>
    <xf numFmtId="0" fontId="2" fillId="0" borderId="0" xfId="0" applyFont="1" applyAlignment="1">
      <alignment wrapText="1"/>
    </xf>
    <xf numFmtId="0" fontId="1" fillId="0" borderId="0" xfId="1"/>
    <xf numFmtId="165" fontId="0" fillId="0" borderId="0" xfId="0" applyNumberFormat="1"/>
    <xf numFmtId="165" fontId="2" fillId="0" borderId="0" xfId="0" applyNumberFormat="1" applyFont="1"/>
    <xf numFmtId="0" fontId="3" fillId="0" borderId="0" xfId="0" applyFont="1"/>
    <xf numFmtId="0" fontId="6" fillId="0" borderId="0" xfId="0" applyFont="1"/>
    <xf numFmtId="9" fontId="0" fillId="0" borderId="0" xfId="2" applyFont="1"/>
    <xf numFmtId="0" fontId="0" fillId="0" borderId="2" xfId="0" applyBorder="1"/>
    <xf numFmtId="9" fontId="0" fillId="0" borderId="2" xfId="2" applyFont="1" applyBorder="1"/>
    <xf numFmtId="9" fontId="2" fillId="0" borderId="0" xfId="2" applyFont="1"/>
    <xf numFmtId="9" fontId="5" fillId="0" borderId="0" xfId="2" applyFont="1"/>
    <xf numFmtId="9" fontId="5" fillId="0" borderId="2" xfId="2" applyFont="1" applyBorder="1"/>
    <xf numFmtId="9" fontId="0" fillId="0" borderId="0" xfId="0" applyNumberFormat="1"/>
    <xf numFmtId="10" fontId="0" fillId="0" borderId="0" xfId="0" applyNumberFormat="1"/>
    <xf numFmtId="0" fontId="0" fillId="0" borderId="0" xfId="0" applyAlignment="1">
      <alignment horizontal="right"/>
    </xf>
    <xf numFmtId="0" fontId="0" fillId="0" borderId="2" xfId="0" applyBorder="1" applyAlignment="1">
      <alignment horizontal="right"/>
    </xf>
    <xf numFmtId="9" fontId="0" fillId="0" borderId="0" xfId="2" applyFont="1" applyAlignment="1">
      <alignment horizontal="right"/>
    </xf>
    <xf numFmtId="0" fontId="5" fillId="0" borderId="0" xfId="0" applyFont="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9" fontId="0" fillId="0" borderId="2" xfId="2" applyFont="1" applyBorder="1" applyAlignment="1">
      <alignment horizontal="right"/>
    </xf>
    <xf numFmtId="166" fontId="0" fillId="0" borderId="0" xfId="2" applyNumberFormat="1" applyFont="1" applyFill="1" applyBorder="1"/>
    <xf numFmtId="9" fontId="1" fillId="0" borderId="0" xfId="1" applyNumberFormat="1"/>
    <xf numFmtId="0" fontId="0" fillId="2" borderId="0" xfId="0" applyFill="1"/>
    <xf numFmtId="0" fontId="0" fillId="2" borderId="2" xfId="0" applyFill="1" applyBorder="1" applyAlignment="1">
      <alignment horizontal="right"/>
    </xf>
    <xf numFmtId="9" fontId="0" fillId="0" borderId="2" xfId="2" applyFont="1" applyFill="1" applyBorder="1" applyAlignment="1">
      <alignment horizontal="right"/>
    </xf>
    <xf numFmtId="2" fontId="0" fillId="0" borderId="0" xfId="2" applyNumberFormat="1" applyFont="1" applyFill="1" applyBorder="1" applyAlignment="1">
      <alignment horizontal="right"/>
    </xf>
    <xf numFmtId="9" fontId="0" fillId="0" borderId="0" xfId="2" applyFont="1" applyBorder="1"/>
    <xf numFmtId="10" fontId="0" fillId="0" borderId="0" xfId="0" applyNumberFormat="1" applyAlignment="1">
      <alignment horizontal="left"/>
    </xf>
    <xf numFmtId="0" fontId="7" fillId="0" borderId="0" xfId="0" applyFont="1"/>
    <xf numFmtId="0" fontId="2" fillId="0" borderId="2" xfId="0" applyFont="1" applyBorder="1"/>
    <xf numFmtId="0" fontId="8" fillId="0" borderId="0" xfId="1" applyFont="1"/>
    <xf numFmtId="0" fontId="2" fillId="0" borderId="0" xfId="0" applyFont="1" applyAlignment="1">
      <alignment horizontal="right"/>
    </xf>
    <xf numFmtId="0" fontId="2" fillId="0" borderId="2" xfId="0" applyFont="1" applyBorder="1" applyAlignment="1">
      <alignment horizontal="right"/>
    </xf>
    <xf numFmtId="9" fontId="2" fillId="0" borderId="0" xfId="0" applyNumberFormat="1" applyFont="1"/>
    <xf numFmtId="9" fontId="2" fillId="0" borderId="2" xfId="2" applyFont="1" applyBorder="1"/>
    <xf numFmtId="9" fontId="9" fillId="0" borderId="0" xfId="2" applyFont="1"/>
    <xf numFmtId="0" fontId="2" fillId="2" borderId="2" xfId="0" applyFont="1" applyFill="1" applyBorder="1" applyAlignment="1">
      <alignment horizontal="right"/>
    </xf>
    <xf numFmtId="10" fontId="2" fillId="0" borderId="0" xfId="0" applyNumberFormat="1" applyFont="1"/>
    <xf numFmtId="9" fontId="2" fillId="0" borderId="0" xfId="2" applyFont="1" applyAlignment="1">
      <alignment horizontal="right"/>
    </xf>
    <xf numFmtId="10" fontId="2" fillId="0" borderId="0" xfId="0" applyNumberFormat="1" applyFont="1" applyAlignment="1">
      <alignment horizontal="left"/>
    </xf>
    <xf numFmtId="9" fontId="2" fillId="0" borderId="0" xfId="2" applyFont="1" applyBorder="1"/>
    <xf numFmtId="0" fontId="10" fillId="0" borderId="0" xfId="0" applyFont="1"/>
    <xf numFmtId="0" fontId="11" fillId="0" borderId="0" xfId="0" applyFont="1" applyAlignment="1">
      <alignment horizontal="left" vertical="top"/>
    </xf>
    <xf numFmtId="0" fontId="12" fillId="3" borderId="0" xfId="0" applyFont="1" applyFill="1"/>
    <xf numFmtId="0" fontId="13" fillId="0" borderId="0" xfId="3" applyAlignment="1"/>
    <xf numFmtId="0" fontId="14" fillId="4" borderId="0" xfId="0" applyFont="1" applyFill="1" applyAlignment="1">
      <alignment wrapText="1"/>
    </xf>
    <xf numFmtId="0" fontId="14" fillId="4" borderId="0" xfId="0" applyFont="1" applyFill="1" applyAlignment="1">
      <alignment horizontal="right" wrapText="1"/>
    </xf>
    <xf numFmtId="0" fontId="15" fillId="4" borderId="0" xfId="0" applyFont="1" applyFill="1" applyAlignment="1">
      <alignment wrapText="1"/>
    </xf>
    <xf numFmtId="0" fontId="15" fillId="4" borderId="0" xfId="0" applyFont="1" applyFill="1" applyAlignment="1">
      <alignment horizontal="right" wrapText="1"/>
    </xf>
    <xf numFmtId="0" fontId="14" fillId="0" borderId="0" xfId="0" applyFont="1" applyAlignment="1">
      <alignment horizontal="left" vertical="top"/>
    </xf>
    <xf numFmtId="167" fontId="11" fillId="0" borderId="0" xfId="0" applyNumberFormat="1" applyFont="1" applyAlignment="1">
      <alignment horizontal="right" vertical="top" wrapText="1"/>
    </xf>
    <xf numFmtId="167" fontId="14" fillId="0" borderId="8" xfId="0" applyNumberFormat="1" applyFont="1" applyBorder="1" applyAlignment="1">
      <alignment horizontal="right" vertical="top" wrapText="1"/>
    </xf>
    <xf numFmtId="167" fontId="14" fillId="0" borderId="0" xfId="0" applyNumberFormat="1" applyFont="1" applyAlignment="1">
      <alignment horizontal="right" vertical="top" wrapText="1"/>
    </xf>
    <xf numFmtId="167" fontId="16" fillId="0" borderId="8" xfId="0" applyNumberFormat="1" applyFont="1" applyBorder="1" applyAlignment="1">
      <alignment horizontal="right" vertical="top" wrapText="1"/>
    </xf>
    <xf numFmtId="168" fontId="11" fillId="0" borderId="0" xfId="0" applyNumberFormat="1" applyFont="1" applyAlignment="1">
      <alignment horizontal="right" vertical="top" wrapText="1"/>
    </xf>
    <xf numFmtId="169" fontId="11" fillId="0" borderId="0" xfId="0" applyNumberFormat="1" applyFont="1" applyAlignment="1">
      <alignment horizontal="right" vertical="top" wrapText="1"/>
    </xf>
    <xf numFmtId="170" fontId="11" fillId="0" borderId="0" xfId="0" applyNumberFormat="1" applyFont="1" applyAlignment="1">
      <alignment horizontal="right" vertical="top" wrapText="1"/>
    </xf>
    <xf numFmtId="171" fontId="11" fillId="0" borderId="0" xfId="0" applyNumberFormat="1" applyFont="1" applyAlignment="1">
      <alignment horizontal="right" vertical="top" wrapText="1"/>
    </xf>
    <xf numFmtId="49" fontId="11" fillId="0" borderId="0" xfId="0" applyNumberFormat="1" applyFont="1" applyAlignment="1">
      <alignment horizontal="right" vertical="top" wrapText="1"/>
    </xf>
    <xf numFmtId="0" fontId="10" fillId="0" borderId="0" xfId="0" applyFont="1" applyAlignment="1">
      <alignment vertical="top"/>
    </xf>
    <xf numFmtId="0" fontId="10" fillId="0" borderId="0" xfId="0" applyFont="1" applyAlignment="1">
      <alignment vertical="top" wrapText="1"/>
    </xf>
    <xf numFmtId="0" fontId="11" fillId="0" borderId="0" xfId="0" applyFont="1" applyAlignment="1">
      <alignment horizontal="center" vertical="center"/>
    </xf>
    <xf numFmtId="167" fontId="17" fillId="0" borderId="0" xfId="0" applyNumberFormat="1" applyFont="1" applyAlignment="1">
      <alignment horizontal="right" vertical="top" wrapText="1"/>
    </xf>
    <xf numFmtId="167" fontId="16" fillId="0" borderId="0" xfId="0" applyNumberFormat="1" applyFont="1" applyAlignment="1">
      <alignment horizontal="right" vertical="top" wrapText="1"/>
    </xf>
    <xf numFmtId="172" fontId="11" fillId="0" borderId="0" xfId="0" applyNumberFormat="1" applyFont="1" applyAlignment="1">
      <alignment horizontal="right" vertical="top" wrapText="1"/>
    </xf>
    <xf numFmtId="0" fontId="11" fillId="0" borderId="0" xfId="0" applyFont="1" applyAlignment="1">
      <alignment horizontal="center" vertical="center" wrapText="1"/>
    </xf>
    <xf numFmtId="0" fontId="0" fillId="0" borderId="0" xfId="0" applyAlignment="1">
      <alignment vertical="center" wrapText="1"/>
    </xf>
    <xf numFmtId="10" fontId="0" fillId="0" borderId="0" xfId="0" applyNumberFormat="1" applyAlignment="1">
      <alignment vertical="center" wrapText="1"/>
    </xf>
    <xf numFmtId="2" fontId="10" fillId="0" borderId="0" xfId="0" applyNumberFormat="1" applyFont="1"/>
    <xf numFmtId="9" fontId="10" fillId="0" borderId="0" xfId="0" applyNumberFormat="1" applyFont="1"/>
    <xf numFmtId="2" fontId="0" fillId="0" borderId="0" xfId="0" applyNumberFormat="1"/>
    <xf numFmtId="1" fontId="0" fillId="0" borderId="0" xfId="0" applyNumberFormat="1"/>
    <xf numFmtId="167" fontId="10" fillId="0" borderId="0" xfId="0" applyNumberFormat="1" applyFont="1"/>
    <xf numFmtId="9" fontId="10" fillId="0" borderId="0" xfId="2" applyFont="1"/>
    <xf numFmtId="173" fontId="0" fillId="0" borderId="0" xfId="2" applyNumberFormat="1" applyFont="1"/>
    <xf numFmtId="0" fontId="17" fillId="0" borderId="0" xfId="0" applyFont="1" applyAlignment="1">
      <alignment horizontal="left" vertical="top"/>
    </xf>
    <xf numFmtId="167" fontId="20" fillId="0" borderId="9" xfId="0" applyNumberFormat="1" applyFont="1" applyBorder="1"/>
    <xf numFmtId="167" fontId="20" fillId="0" borderId="4" xfId="0" applyNumberFormat="1" applyFont="1" applyBorder="1"/>
    <xf numFmtId="167" fontId="10" fillId="0" borderId="9" xfId="0" applyNumberFormat="1" applyFont="1" applyBorder="1"/>
    <xf numFmtId="0" fontId="2" fillId="0" borderId="7" xfId="0" applyFont="1" applyBorder="1"/>
    <xf numFmtId="0" fontId="2" fillId="0" borderId="9" xfId="0" applyFont="1" applyBorder="1"/>
    <xf numFmtId="2" fontId="10" fillId="0" borderId="0" xfId="2" applyNumberFormat="1" applyFont="1"/>
    <xf numFmtId="41" fontId="10" fillId="0" borderId="0" xfId="4" applyFont="1"/>
    <xf numFmtId="0" fontId="21" fillId="0" borderId="0" xfId="0" applyFont="1"/>
    <xf numFmtId="0" fontId="21" fillId="0" borderId="0" xfId="0" applyFont="1" applyAlignment="1">
      <alignment horizontal="right"/>
    </xf>
    <xf numFmtId="16" fontId="21" fillId="0" borderId="0" xfId="0" applyNumberFormat="1" applyFont="1" applyAlignment="1">
      <alignment horizontal="right"/>
    </xf>
    <xf numFmtId="49" fontId="21" fillId="0" borderId="0" xfId="0" applyNumberFormat="1" applyFont="1" applyAlignment="1">
      <alignment horizontal="right"/>
    </xf>
    <xf numFmtId="49" fontId="21" fillId="0" borderId="0" xfId="0" applyNumberFormat="1" applyFont="1"/>
    <xf numFmtId="43" fontId="10" fillId="0" borderId="0" xfId="0" applyNumberFormat="1" applyFont="1"/>
    <xf numFmtId="167" fontId="0" fillId="0" borderId="0" xfId="0" applyNumberFormat="1"/>
    <xf numFmtId="174" fontId="0" fillId="0" borderId="0" xfId="0" applyNumberFormat="1"/>
    <xf numFmtId="1" fontId="2" fillId="0" borderId="9" xfId="0" applyNumberFormat="1" applyFont="1" applyBorder="1"/>
    <xf numFmtId="167" fontId="14" fillId="0" borderId="9" xfId="0" applyNumberFormat="1" applyFont="1" applyBorder="1" applyAlignment="1">
      <alignment horizontal="right" vertical="top" wrapText="1"/>
    </xf>
    <xf numFmtId="1" fontId="10" fillId="0" borderId="0" xfId="0" applyNumberFormat="1" applyFont="1"/>
    <xf numFmtId="2" fontId="0" fillId="0" borderId="0" xfId="2" applyNumberFormat="1" applyFont="1"/>
    <xf numFmtId="2" fontId="10" fillId="0" borderId="0" xfId="0" applyNumberFormat="1" applyFont="1" applyAlignment="1">
      <alignment horizontal="right"/>
    </xf>
    <xf numFmtId="167" fontId="22" fillId="0" borderId="0" xfId="0" applyNumberFormat="1" applyFont="1" applyAlignment="1">
      <alignment horizontal="right" vertical="top" wrapText="1"/>
    </xf>
    <xf numFmtId="43" fontId="23" fillId="0" borderId="0" xfId="0" applyNumberFormat="1" applyFont="1"/>
    <xf numFmtId="10" fontId="10" fillId="0" borderId="0" xfId="2" applyNumberFormat="1" applyFont="1"/>
    <xf numFmtId="2" fontId="10" fillId="0" borderId="0" xfId="4" applyNumberFormat="1" applyFont="1"/>
    <xf numFmtId="9" fontId="24" fillId="0" borderId="0" xfId="2" applyFont="1"/>
    <xf numFmtId="9" fontId="25" fillId="0" borderId="0" xfId="2" applyFont="1"/>
    <xf numFmtId="0" fontId="0" fillId="0" borderId="0" xfId="0" applyAlignment="1">
      <alignment horizontal="left"/>
    </xf>
    <xf numFmtId="0" fontId="20" fillId="0" borderId="0" xfId="0" applyFont="1"/>
    <xf numFmtId="2" fontId="20" fillId="0" borderId="0" xfId="0" applyNumberFormat="1" applyFont="1"/>
    <xf numFmtId="2" fontId="20" fillId="0" borderId="4" xfId="0" applyNumberFormat="1" applyFont="1" applyBorder="1"/>
    <xf numFmtId="2" fontId="20" fillId="0" borderId="0" xfId="2" applyNumberFormat="1" applyFont="1"/>
    <xf numFmtId="0" fontId="0" fillId="0" borderId="0" xfId="0"/>
    <xf numFmtId="0" fontId="0" fillId="0" borderId="0" xfId="0" applyAlignment="1">
      <alignment horizontal="center"/>
    </xf>
    <xf numFmtId="0" fontId="2" fillId="0" borderId="0" xfId="0" applyFont="1" applyAlignment="1">
      <alignment horizontal="center"/>
    </xf>
    <xf numFmtId="0" fontId="0" fillId="0" borderId="7" xfId="0" applyBorder="1" applyAlignment="1">
      <alignment horizontal="center"/>
    </xf>
  </cellXfs>
  <cellStyles count="5">
    <cellStyle name="Comma [0]" xfId="4" builtinId="6"/>
    <cellStyle name="Hyperlink" xfId="1" builtinId="8"/>
    <cellStyle name="Invisible" xfId="3" xr:uid="{B4569854-6EE4-4048-B866-D9C5A9932BFE}"/>
    <cellStyle name="Normal" xfId="0" builtinId="0"/>
    <cellStyle name="Percent" xfId="2"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Array" Target="richData/rdarray.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Nektar Therapeutics </a:t>
            </a:r>
          </a:p>
        </c:rich>
      </c:tx>
      <c:layout>
        <c:manualLayout>
          <c:xMode val="edge"/>
          <c:yMode val="edge"/>
          <c:x val="0.44061973529058074"/>
          <c:y val="2.94717152913411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cover!$XFD$3</c:f>
              <c:strCache>
                <c:ptCount val="1"/>
                <c:pt idx="0">
                  <c:v>Close</c:v>
                </c:pt>
              </c:strCache>
            </c:strRef>
          </c:tx>
          <c:spPr>
            <a:ln w="28575" cap="rnd">
              <a:solidFill>
                <a:schemeClr val="accent1"/>
              </a:solidFill>
              <a:round/>
            </a:ln>
            <a:effectLst/>
          </c:spPr>
          <c:marker>
            <c:symbol val="none"/>
          </c:marker>
          <c:cat>
            <c:numRef>
              <c:f>cover!$XFC$4:$XFC$411</c:f>
              <c:numCache>
                <c:formatCode>m/d/yyyy</c:formatCode>
                <c:ptCount val="408"/>
                <c:pt idx="0">
                  <c:v>45293</c:v>
                </c:pt>
                <c:pt idx="1">
                  <c:v>45294</c:v>
                </c:pt>
                <c:pt idx="2">
                  <c:v>45295</c:v>
                </c:pt>
                <c:pt idx="3">
                  <c:v>45296</c:v>
                </c:pt>
                <c:pt idx="4">
                  <c:v>45299</c:v>
                </c:pt>
                <c:pt idx="5">
                  <c:v>45300</c:v>
                </c:pt>
                <c:pt idx="6">
                  <c:v>45301</c:v>
                </c:pt>
                <c:pt idx="7">
                  <c:v>45302</c:v>
                </c:pt>
                <c:pt idx="8">
                  <c:v>45303</c:v>
                </c:pt>
                <c:pt idx="9">
                  <c:v>45307</c:v>
                </c:pt>
                <c:pt idx="10">
                  <c:v>45308</c:v>
                </c:pt>
                <c:pt idx="11">
                  <c:v>45309</c:v>
                </c:pt>
                <c:pt idx="12">
                  <c:v>45310</c:v>
                </c:pt>
                <c:pt idx="13">
                  <c:v>45313</c:v>
                </c:pt>
                <c:pt idx="14">
                  <c:v>45314</c:v>
                </c:pt>
                <c:pt idx="15">
                  <c:v>45315</c:v>
                </c:pt>
                <c:pt idx="16">
                  <c:v>45316</c:v>
                </c:pt>
                <c:pt idx="17">
                  <c:v>45317</c:v>
                </c:pt>
                <c:pt idx="18">
                  <c:v>45320</c:v>
                </c:pt>
                <c:pt idx="19">
                  <c:v>45321</c:v>
                </c:pt>
                <c:pt idx="20">
                  <c:v>45322</c:v>
                </c:pt>
                <c:pt idx="21">
                  <c:v>45323</c:v>
                </c:pt>
                <c:pt idx="22">
                  <c:v>45324</c:v>
                </c:pt>
                <c:pt idx="23">
                  <c:v>45327</c:v>
                </c:pt>
                <c:pt idx="24">
                  <c:v>45328</c:v>
                </c:pt>
                <c:pt idx="25">
                  <c:v>45329</c:v>
                </c:pt>
                <c:pt idx="26">
                  <c:v>45330</c:v>
                </c:pt>
                <c:pt idx="27">
                  <c:v>45331</c:v>
                </c:pt>
                <c:pt idx="28">
                  <c:v>45334</c:v>
                </c:pt>
                <c:pt idx="29">
                  <c:v>45335</c:v>
                </c:pt>
                <c:pt idx="30">
                  <c:v>45336</c:v>
                </c:pt>
                <c:pt idx="31">
                  <c:v>45337</c:v>
                </c:pt>
                <c:pt idx="32">
                  <c:v>45338</c:v>
                </c:pt>
                <c:pt idx="33">
                  <c:v>45342</c:v>
                </c:pt>
                <c:pt idx="34">
                  <c:v>45343</c:v>
                </c:pt>
                <c:pt idx="35">
                  <c:v>45344</c:v>
                </c:pt>
                <c:pt idx="36">
                  <c:v>45345</c:v>
                </c:pt>
                <c:pt idx="37">
                  <c:v>45348</c:v>
                </c:pt>
                <c:pt idx="38">
                  <c:v>45349</c:v>
                </c:pt>
                <c:pt idx="39">
                  <c:v>45350</c:v>
                </c:pt>
                <c:pt idx="40">
                  <c:v>45351</c:v>
                </c:pt>
                <c:pt idx="41">
                  <c:v>45352</c:v>
                </c:pt>
                <c:pt idx="42">
                  <c:v>45355</c:v>
                </c:pt>
                <c:pt idx="43">
                  <c:v>45356</c:v>
                </c:pt>
                <c:pt idx="44">
                  <c:v>45357</c:v>
                </c:pt>
                <c:pt idx="45">
                  <c:v>45358</c:v>
                </c:pt>
                <c:pt idx="46">
                  <c:v>45359</c:v>
                </c:pt>
                <c:pt idx="47">
                  <c:v>45362</c:v>
                </c:pt>
                <c:pt idx="48">
                  <c:v>45363</c:v>
                </c:pt>
                <c:pt idx="49">
                  <c:v>45364</c:v>
                </c:pt>
                <c:pt idx="50">
                  <c:v>45365</c:v>
                </c:pt>
                <c:pt idx="51">
                  <c:v>45366</c:v>
                </c:pt>
                <c:pt idx="52">
                  <c:v>45369</c:v>
                </c:pt>
                <c:pt idx="53">
                  <c:v>45370</c:v>
                </c:pt>
                <c:pt idx="54">
                  <c:v>45371</c:v>
                </c:pt>
                <c:pt idx="55">
                  <c:v>45372</c:v>
                </c:pt>
                <c:pt idx="56">
                  <c:v>45373</c:v>
                </c:pt>
                <c:pt idx="57">
                  <c:v>45376</c:v>
                </c:pt>
                <c:pt idx="58">
                  <c:v>45377</c:v>
                </c:pt>
                <c:pt idx="59">
                  <c:v>45378</c:v>
                </c:pt>
                <c:pt idx="60">
                  <c:v>45379</c:v>
                </c:pt>
                <c:pt idx="61">
                  <c:v>45383</c:v>
                </c:pt>
                <c:pt idx="62">
                  <c:v>45384</c:v>
                </c:pt>
                <c:pt idx="63">
                  <c:v>45385</c:v>
                </c:pt>
                <c:pt idx="64">
                  <c:v>45386</c:v>
                </c:pt>
                <c:pt idx="65">
                  <c:v>45387</c:v>
                </c:pt>
                <c:pt idx="66">
                  <c:v>45390</c:v>
                </c:pt>
                <c:pt idx="67">
                  <c:v>45391</c:v>
                </c:pt>
                <c:pt idx="68">
                  <c:v>45392</c:v>
                </c:pt>
                <c:pt idx="69">
                  <c:v>45393</c:v>
                </c:pt>
                <c:pt idx="70">
                  <c:v>45394</c:v>
                </c:pt>
                <c:pt idx="71">
                  <c:v>45397</c:v>
                </c:pt>
                <c:pt idx="72">
                  <c:v>45398</c:v>
                </c:pt>
                <c:pt idx="73">
                  <c:v>45399</c:v>
                </c:pt>
                <c:pt idx="74">
                  <c:v>45400</c:v>
                </c:pt>
                <c:pt idx="75">
                  <c:v>45401</c:v>
                </c:pt>
                <c:pt idx="76">
                  <c:v>45404</c:v>
                </c:pt>
                <c:pt idx="77">
                  <c:v>45405</c:v>
                </c:pt>
                <c:pt idx="78">
                  <c:v>45406</c:v>
                </c:pt>
                <c:pt idx="79">
                  <c:v>45407</c:v>
                </c:pt>
                <c:pt idx="80">
                  <c:v>45408</c:v>
                </c:pt>
                <c:pt idx="81">
                  <c:v>45411</c:v>
                </c:pt>
                <c:pt idx="82">
                  <c:v>45412</c:v>
                </c:pt>
                <c:pt idx="83">
                  <c:v>45413</c:v>
                </c:pt>
                <c:pt idx="84">
                  <c:v>45414</c:v>
                </c:pt>
                <c:pt idx="85">
                  <c:v>45415</c:v>
                </c:pt>
                <c:pt idx="86">
                  <c:v>45418</c:v>
                </c:pt>
                <c:pt idx="87">
                  <c:v>45419</c:v>
                </c:pt>
                <c:pt idx="88">
                  <c:v>45420</c:v>
                </c:pt>
                <c:pt idx="89">
                  <c:v>45421</c:v>
                </c:pt>
                <c:pt idx="90">
                  <c:v>45422</c:v>
                </c:pt>
                <c:pt idx="91">
                  <c:v>45425</c:v>
                </c:pt>
                <c:pt idx="92">
                  <c:v>45426</c:v>
                </c:pt>
                <c:pt idx="93">
                  <c:v>45427</c:v>
                </c:pt>
                <c:pt idx="94">
                  <c:v>45428</c:v>
                </c:pt>
                <c:pt idx="95">
                  <c:v>45429</c:v>
                </c:pt>
                <c:pt idx="96">
                  <c:v>45432</c:v>
                </c:pt>
                <c:pt idx="97">
                  <c:v>45433</c:v>
                </c:pt>
                <c:pt idx="98">
                  <c:v>45434</c:v>
                </c:pt>
                <c:pt idx="99">
                  <c:v>45435</c:v>
                </c:pt>
                <c:pt idx="100">
                  <c:v>45436</c:v>
                </c:pt>
                <c:pt idx="101">
                  <c:v>45440</c:v>
                </c:pt>
                <c:pt idx="102">
                  <c:v>45441</c:v>
                </c:pt>
                <c:pt idx="103">
                  <c:v>45442</c:v>
                </c:pt>
                <c:pt idx="104">
                  <c:v>45443</c:v>
                </c:pt>
                <c:pt idx="105">
                  <c:v>45446</c:v>
                </c:pt>
                <c:pt idx="106">
                  <c:v>45447</c:v>
                </c:pt>
                <c:pt idx="107">
                  <c:v>45448</c:v>
                </c:pt>
                <c:pt idx="108">
                  <c:v>45449</c:v>
                </c:pt>
                <c:pt idx="109">
                  <c:v>45450</c:v>
                </c:pt>
                <c:pt idx="110">
                  <c:v>45453</c:v>
                </c:pt>
                <c:pt idx="111">
                  <c:v>45454</c:v>
                </c:pt>
                <c:pt idx="112">
                  <c:v>45455</c:v>
                </c:pt>
                <c:pt idx="113">
                  <c:v>45456</c:v>
                </c:pt>
                <c:pt idx="114">
                  <c:v>45457</c:v>
                </c:pt>
                <c:pt idx="115">
                  <c:v>45460</c:v>
                </c:pt>
                <c:pt idx="116">
                  <c:v>45461</c:v>
                </c:pt>
                <c:pt idx="117">
                  <c:v>45463</c:v>
                </c:pt>
                <c:pt idx="118">
                  <c:v>45464</c:v>
                </c:pt>
                <c:pt idx="119">
                  <c:v>45467</c:v>
                </c:pt>
                <c:pt idx="120">
                  <c:v>45468</c:v>
                </c:pt>
                <c:pt idx="121">
                  <c:v>45469</c:v>
                </c:pt>
                <c:pt idx="122">
                  <c:v>45470</c:v>
                </c:pt>
                <c:pt idx="123">
                  <c:v>45471</c:v>
                </c:pt>
                <c:pt idx="124">
                  <c:v>45474</c:v>
                </c:pt>
                <c:pt idx="125">
                  <c:v>45475</c:v>
                </c:pt>
                <c:pt idx="126">
                  <c:v>45476</c:v>
                </c:pt>
                <c:pt idx="127">
                  <c:v>45478</c:v>
                </c:pt>
                <c:pt idx="128">
                  <c:v>45481</c:v>
                </c:pt>
                <c:pt idx="129">
                  <c:v>45482</c:v>
                </c:pt>
                <c:pt idx="130">
                  <c:v>45483</c:v>
                </c:pt>
                <c:pt idx="131">
                  <c:v>45484</c:v>
                </c:pt>
                <c:pt idx="132">
                  <c:v>45485</c:v>
                </c:pt>
                <c:pt idx="133">
                  <c:v>45488</c:v>
                </c:pt>
                <c:pt idx="134">
                  <c:v>45489</c:v>
                </c:pt>
                <c:pt idx="135">
                  <c:v>45490</c:v>
                </c:pt>
                <c:pt idx="136">
                  <c:v>45491</c:v>
                </c:pt>
                <c:pt idx="137">
                  <c:v>45492</c:v>
                </c:pt>
                <c:pt idx="138">
                  <c:v>45495</c:v>
                </c:pt>
                <c:pt idx="139">
                  <c:v>45496</c:v>
                </c:pt>
                <c:pt idx="140">
                  <c:v>45497</c:v>
                </c:pt>
                <c:pt idx="141">
                  <c:v>45498</c:v>
                </c:pt>
                <c:pt idx="142">
                  <c:v>45499</c:v>
                </c:pt>
                <c:pt idx="143">
                  <c:v>45502</c:v>
                </c:pt>
                <c:pt idx="144">
                  <c:v>45503</c:v>
                </c:pt>
                <c:pt idx="145">
                  <c:v>45504</c:v>
                </c:pt>
                <c:pt idx="146">
                  <c:v>45505</c:v>
                </c:pt>
                <c:pt idx="147">
                  <c:v>45506</c:v>
                </c:pt>
                <c:pt idx="148">
                  <c:v>45509</c:v>
                </c:pt>
                <c:pt idx="149">
                  <c:v>45510</c:v>
                </c:pt>
                <c:pt idx="150">
                  <c:v>45511</c:v>
                </c:pt>
                <c:pt idx="151">
                  <c:v>45512</c:v>
                </c:pt>
                <c:pt idx="152">
                  <c:v>45513</c:v>
                </c:pt>
                <c:pt idx="153">
                  <c:v>45516</c:v>
                </c:pt>
                <c:pt idx="154">
                  <c:v>45517</c:v>
                </c:pt>
                <c:pt idx="155">
                  <c:v>45518</c:v>
                </c:pt>
                <c:pt idx="156">
                  <c:v>45519</c:v>
                </c:pt>
                <c:pt idx="157">
                  <c:v>45520</c:v>
                </c:pt>
                <c:pt idx="158">
                  <c:v>45523</c:v>
                </c:pt>
                <c:pt idx="159">
                  <c:v>45524</c:v>
                </c:pt>
                <c:pt idx="160">
                  <c:v>45525</c:v>
                </c:pt>
                <c:pt idx="161">
                  <c:v>45526</c:v>
                </c:pt>
                <c:pt idx="162">
                  <c:v>45527</c:v>
                </c:pt>
                <c:pt idx="163">
                  <c:v>45530</c:v>
                </c:pt>
                <c:pt idx="164">
                  <c:v>45531</c:v>
                </c:pt>
                <c:pt idx="165">
                  <c:v>45532</c:v>
                </c:pt>
                <c:pt idx="166">
                  <c:v>45533</c:v>
                </c:pt>
                <c:pt idx="167">
                  <c:v>45534</c:v>
                </c:pt>
                <c:pt idx="168">
                  <c:v>45538</c:v>
                </c:pt>
                <c:pt idx="169">
                  <c:v>45539</c:v>
                </c:pt>
                <c:pt idx="170">
                  <c:v>45540</c:v>
                </c:pt>
                <c:pt idx="171">
                  <c:v>45541</c:v>
                </c:pt>
                <c:pt idx="172">
                  <c:v>45544</c:v>
                </c:pt>
                <c:pt idx="173">
                  <c:v>45545</c:v>
                </c:pt>
                <c:pt idx="174">
                  <c:v>45546</c:v>
                </c:pt>
                <c:pt idx="175">
                  <c:v>45547</c:v>
                </c:pt>
                <c:pt idx="176">
                  <c:v>45548</c:v>
                </c:pt>
                <c:pt idx="177">
                  <c:v>45551</c:v>
                </c:pt>
                <c:pt idx="178">
                  <c:v>45552</c:v>
                </c:pt>
                <c:pt idx="179">
                  <c:v>45553</c:v>
                </c:pt>
                <c:pt idx="180">
                  <c:v>45554</c:v>
                </c:pt>
                <c:pt idx="181">
                  <c:v>45555</c:v>
                </c:pt>
                <c:pt idx="182">
                  <c:v>45558</c:v>
                </c:pt>
                <c:pt idx="183">
                  <c:v>45559</c:v>
                </c:pt>
                <c:pt idx="184">
                  <c:v>45560</c:v>
                </c:pt>
                <c:pt idx="185">
                  <c:v>45561</c:v>
                </c:pt>
                <c:pt idx="186">
                  <c:v>45562</c:v>
                </c:pt>
                <c:pt idx="187">
                  <c:v>45565</c:v>
                </c:pt>
                <c:pt idx="188">
                  <c:v>45566</c:v>
                </c:pt>
                <c:pt idx="189">
                  <c:v>45567</c:v>
                </c:pt>
                <c:pt idx="190">
                  <c:v>45568</c:v>
                </c:pt>
                <c:pt idx="191">
                  <c:v>45569</c:v>
                </c:pt>
                <c:pt idx="192">
                  <c:v>45572</c:v>
                </c:pt>
                <c:pt idx="193">
                  <c:v>45573</c:v>
                </c:pt>
                <c:pt idx="194">
                  <c:v>45574</c:v>
                </c:pt>
                <c:pt idx="195">
                  <c:v>45575</c:v>
                </c:pt>
                <c:pt idx="196">
                  <c:v>45576</c:v>
                </c:pt>
                <c:pt idx="197">
                  <c:v>45579</c:v>
                </c:pt>
                <c:pt idx="198">
                  <c:v>45580</c:v>
                </c:pt>
                <c:pt idx="199">
                  <c:v>45581</c:v>
                </c:pt>
                <c:pt idx="200">
                  <c:v>45582</c:v>
                </c:pt>
                <c:pt idx="201">
                  <c:v>45583</c:v>
                </c:pt>
                <c:pt idx="202">
                  <c:v>45586</c:v>
                </c:pt>
                <c:pt idx="203">
                  <c:v>45587</c:v>
                </c:pt>
                <c:pt idx="204">
                  <c:v>45588</c:v>
                </c:pt>
                <c:pt idx="205">
                  <c:v>45589</c:v>
                </c:pt>
                <c:pt idx="206">
                  <c:v>45590</c:v>
                </c:pt>
                <c:pt idx="207">
                  <c:v>45593</c:v>
                </c:pt>
                <c:pt idx="208">
                  <c:v>45594</c:v>
                </c:pt>
                <c:pt idx="209">
                  <c:v>45595</c:v>
                </c:pt>
                <c:pt idx="210">
                  <c:v>45596</c:v>
                </c:pt>
                <c:pt idx="211">
                  <c:v>45597</c:v>
                </c:pt>
                <c:pt idx="212">
                  <c:v>45600</c:v>
                </c:pt>
                <c:pt idx="213">
                  <c:v>45601</c:v>
                </c:pt>
                <c:pt idx="214">
                  <c:v>45602</c:v>
                </c:pt>
                <c:pt idx="215">
                  <c:v>45603</c:v>
                </c:pt>
                <c:pt idx="216">
                  <c:v>45604</c:v>
                </c:pt>
                <c:pt idx="217">
                  <c:v>45607</c:v>
                </c:pt>
                <c:pt idx="218">
                  <c:v>45608</c:v>
                </c:pt>
                <c:pt idx="219">
                  <c:v>45609</c:v>
                </c:pt>
                <c:pt idx="220">
                  <c:v>45610</c:v>
                </c:pt>
                <c:pt idx="221">
                  <c:v>45611</c:v>
                </c:pt>
                <c:pt idx="222">
                  <c:v>45614</c:v>
                </c:pt>
                <c:pt idx="223">
                  <c:v>45615</c:v>
                </c:pt>
                <c:pt idx="224">
                  <c:v>45616</c:v>
                </c:pt>
                <c:pt idx="225">
                  <c:v>45617</c:v>
                </c:pt>
                <c:pt idx="226">
                  <c:v>45618</c:v>
                </c:pt>
                <c:pt idx="227">
                  <c:v>45621</c:v>
                </c:pt>
                <c:pt idx="228">
                  <c:v>45622</c:v>
                </c:pt>
                <c:pt idx="229">
                  <c:v>45623</c:v>
                </c:pt>
                <c:pt idx="230">
                  <c:v>45625</c:v>
                </c:pt>
                <c:pt idx="231">
                  <c:v>45628</c:v>
                </c:pt>
                <c:pt idx="232">
                  <c:v>45629</c:v>
                </c:pt>
                <c:pt idx="233">
                  <c:v>45630</c:v>
                </c:pt>
                <c:pt idx="234">
                  <c:v>45631</c:v>
                </c:pt>
                <c:pt idx="235">
                  <c:v>45632</c:v>
                </c:pt>
                <c:pt idx="236">
                  <c:v>45635</c:v>
                </c:pt>
                <c:pt idx="237">
                  <c:v>45636</c:v>
                </c:pt>
                <c:pt idx="238">
                  <c:v>45637</c:v>
                </c:pt>
                <c:pt idx="239">
                  <c:v>45638</c:v>
                </c:pt>
                <c:pt idx="240">
                  <c:v>45639</c:v>
                </c:pt>
                <c:pt idx="241">
                  <c:v>45642</c:v>
                </c:pt>
                <c:pt idx="242">
                  <c:v>45643</c:v>
                </c:pt>
                <c:pt idx="243">
                  <c:v>45644</c:v>
                </c:pt>
                <c:pt idx="244">
                  <c:v>45645</c:v>
                </c:pt>
                <c:pt idx="245">
                  <c:v>45646</c:v>
                </c:pt>
                <c:pt idx="246">
                  <c:v>45649</c:v>
                </c:pt>
                <c:pt idx="247">
                  <c:v>45650</c:v>
                </c:pt>
                <c:pt idx="248">
                  <c:v>45652</c:v>
                </c:pt>
                <c:pt idx="249">
                  <c:v>45653</c:v>
                </c:pt>
                <c:pt idx="250">
                  <c:v>45656</c:v>
                </c:pt>
                <c:pt idx="251">
                  <c:v>45657</c:v>
                </c:pt>
                <c:pt idx="252">
                  <c:v>45659</c:v>
                </c:pt>
                <c:pt idx="253">
                  <c:v>45660</c:v>
                </c:pt>
                <c:pt idx="254">
                  <c:v>45663</c:v>
                </c:pt>
                <c:pt idx="255">
                  <c:v>45664</c:v>
                </c:pt>
                <c:pt idx="256">
                  <c:v>45665</c:v>
                </c:pt>
                <c:pt idx="257">
                  <c:v>45667</c:v>
                </c:pt>
                <c:pt idx="258">
                  <c:v>45670</c:v>
                </c:pt>
                <c:pt idx="259">
                  <c:v>45671</c:v>
                </c:pt>
                <c:pt idx="260">
                  <c:v>45672</c:v>
                </c:pt>
                <c:pt idx="261">
                  <c:v>45673</c:v>
                </c:pt>
                <c:pt idx="262">
                  <c:v>45674</c:v>
                </c:pt>
                <c:pt idx="263">
                  <c:v>45678</c:v>
                </c:pt>
                <c:pt idx="264">
                  <c:v>45679</c:v>
                </c:pt>
                <c:pt idx="265">
                  <c:v>45680</c:v>
                </c:pt>
                <c:pt idx="266">
                  <c:v>45681</c:v>
                </c:pt>
                <c:pt idx="267">
                  <c:v>45684</c:v>
                </c:pt>
                <c:pt idx="268">
                  <c:v>45685</c:v>
                </c:pt>
                <c:pt idx="269">
                  <c:v>45686</c:v>
                </c:pt>
                <c:pt idx="270">
                  <c:v>45687</c:v>
                </c:pt>
                <c:pt idx="271">
                  <c:v>45688</c:v>
                </c:pt>
                <c:pt idx="272">
                  <c:v>45691</c:v>
                </c:pt>
                <c:pt idx="273">
                  <c:v>45692</c:v>
                </c:pt>
                <c:pt idx="274">
                  <c:v>45693</c:v>
                </c:pt>
                <c:pt idx="275">
                  <c:v>45694</c:v>
                </c:pt>
                <c:pt idx="276">
                  <c:v>45695</c:v>
                </c:pt>
                <c:pt idx="277">
                  <c:v>45698</c:v>
                </c:pt>
                <c:pt idx="278">
                  <c:v>45699</c:v>
                </c:pt>
                <c:pt idx="279">
                  <c:v>45700</c:v>
                </c:pt>
                <c:pt idx="280">
                  <c:v>45701</c:v>
                </c:pt>
                <c:pt idx="281">
                  <c:v>45702</c:v>
                </c:pt>
                <c:pt idx="282">
                  <c:v>45706</c:v>
                </c:pt>
                <c:pt idx="283">
                  <c:v>45707</c:v>
                </c:pt>
                <c:pt idx="284">
                  <c:v>45708</c:v>
                </c:pt>
                <c:pt idx="285">
                  <c:v>45709</c:v>
                </c:pt>
                <c:pt idx="286">
                  <c:v>45712</c:v>
                </c:pt>
                <c:pt idx="287">
                  <c:v>45713</c:v>
                </c:pt>
                <c:pt idx="288">
                  <c:v>45714</c:v>
                </c:pt>
                <c:pt idx="289">
                  <c:v>45715</c:v>
                </c:pt>
                <c:pt idx="290">
                  <c:v>45716</c:v>
                </c:pt>
                <c:pt idx="291">
                  <c:v>45719</c:v>
                </c:pt>
                <c:pt idx="292">
                  <c:v>45720</c:v>
                </c:pt>
                <c:pt idx="293">
                  <c:v>45721</c:v>
                </c:pt>
                <c:pt idx="294">
                  <c:v>45722</c:v>
                </c:pt>
                <c:pt idx="295">
                  <c:v>45723</c:v>
                </c:pt>
                <c:pt idx="296">
                  <c:v>45726</c:v>
                </c:pt>
                <c:pt idx="297">
                  <c:v>45727</c:v>
                </c:pt>
                <c:pt idx="298">
                  <c:v>45728</c:v>
                </c:pt>
                <c:pt idx="299">
                  <c:v>45729</c:v>
                </c:pt>
                <c:pt idx="300">
                  <c:v>45730</c:v>
                </c:pt>
                <c:pt idx="301">
                  <c:v>45733</c:v>
                </c:pt>
                <c:pt idx="302">
                  <c:v>45734</c:v>
                </c:pt>
                <c:pt idx="303">
                  <c:v>45735</c:v>
                </c:pt>
                <c:pt idx="304">
                  <c:v>45736</c:v>
                </c:pt>
                <c:pt idx="305">
                  <c:v>45737</c:v>
                </c:pt>
                <c:pt idx="306">
                  <c:v>45740</c:v>
                </c:pt>
                <c:pt idx="307">
                  <c:v>45741</c:v>
                </c:pt>
                <c:pt idx="308">
                  <c:v>45742</c:v>
                </c:pt>
                <c:pt idx="309">
                  <c:v>45743</c:v>
                </c:pt>
                <c:pt idx="310">
                  <c:v>45744</c:v>
                </c:pt>
                <c:pt idx="311">
                  <c:v>45747</c:v>
                </c:pt>
                <c:pt idx="312">
                  <c:v>45748</c:v>
                </c:pt>
                <c:pt idx="313">
                  <c:v>45749</c:v>
                </c:pt>
                <c:pt idx="314">
                  <c:v>45750</c:v>
                </c:pt>
                <c:pt idx="315">
                  <c:v>45751</c:v>
                </c:pt>
                <c:pt idx="316">
                  <c:v>45754</c:v>
                </c:pt>
                <c:pt idx="317">
                  <c:v>45755</c:v>
                </c:pt>
                <c:pt idx="318">
                  <c:v>45756</c:v>
                </c:pt>
                <c:pt idx="319">
                  <c:v>45757</c:v>
                </c:pt>
                <c:pt idx="320">
                  <c:v>45758</c:v>
                </c:pt>
                <c:pt idx="321">
                  <c:v>45761</c:v>
                </c:pt>
                <c:pt idx="322">
                  <c:v>45762</c:v>
                </c:pt>
                <c:pt idx="323">
                  <c:v>45763</c:v>
                </c:pt>
                <c:pt idx="324">
                  <c:v>45764</c:v>
                </c:pt>
                <c:pt idx="325">
                  <c:v>45768</c:v>
                </c:pt>
                <c:pt idx="326">
                  <c:v>45769</c:v>
                </c:pt>
                <c:pt idx="327">
                  <c:v>45770</c:v>
                </c:pt>
                <c:pt idx="328">
                  <c:v>45771</c:v>
                </c:pt>
                <c:pt idx="329">
                  <c:v>45772</c:v>
                </c:pt>
                <c:pt idx="330">
                  <c:v>45775</c:v>
                </c:pt>
                <c:pt idx="331">
                  <c:v>45776</c:v>
                </c:pt>
                <c:pt idx="332">
                  <c:v>45777</c:v>
                </c:pt>
                <c:pt idx="333">
                  <c:v>45778</c:v>
                </c:pt>
                <c:pt idx="334">
                  <c:v>45779</c:v>
                </c:pt>
                <c:pt idx="335">
                  <c:v>45782</c:v>
                </c:pt>
                <c:pt idx="336">
                  <c:v>45783</c:v>
                </c:pt>
                <c:pt idx="337">
                  <c:v>45784</c:v>
                </c:pt>
                <c:pt idx="338">
                  <c:v>45785</c:v>
                </c:pt>
                <c:pt idx="339">
                  <c:v>45786</c:v>
                </c:pt>
                <c:pt idx="340">
                  <c:v>45789</c:v>
                </c:pt>
                <c:pt idx="341">
                  <c:v>45790</c:v>
                </c:pt>
                <c:pt idx="342">
                  <c:v>45791</c:v>
                </c:pt>
                <c:pt idx="343">
                  <c:v>45792</c:v>
                </c:pt>
                <c:pt idx="344">
                  <c:v>45793</c:v>
                </c:pt>
                <c:pt idx="345">
                  <c:v>45796</c:v>
                </c:pt>
                <c:pt idx="346">
                  <c:v>45797</c:v>
                </c:pt>
                <c:pt idx="347">
                  <c:v>45798</c:v>
                </c:pt>
                <c:pt idx="348">
                  <c:v>45799</c:v>
                </c:pt>
                <c:pt idx="349">
                  <c:v>45800</c:v>
                </c:pt>
                <c:pt idx="350">
                  <c:v>45804</c:v>
                </c:pt>
                <c:pt idx="351">
                  <c:v>45805</c:v>
                </c:pt>
                <c:pt idx="352">
                  <c:v>45806</c:v>
                </c:pt>
                <c:pt idx="353">
                  <c:v>45807</c:v>
                </c:pt>
                <c:pt idx="354">
                  <c:v>45810</c:v>
                </c:pt>
                <c:pt idx="355">
                  <c:v>45811</c:v>
                </c:pt>
                <c:pt idx="356">
                  <c:v>45812</c:v>
                </c:pt>
                <c:pt idx="357">
                  <c:v>45813</c:v>
                </c:pt>
                <c:pt idx="358">
                  <c:v>45814</c:v>
                </c:pt>
                <c:pt idx="359">
                  <c:v>45817</c:v>
                </c:pt>
                <c:pt idx="360">
                  <c:v>45818</c:v>
                </c:pt>
                <c:pt idx="361">
                  <c:v>45819</c:v>
                </c:pt>
                <c:pt idx="362">
                  <c:v>45820</c:v>
                </c:pt>
                <c:pt idx="363">
                  <c:v>45821</c:v>
                </c:pt>
                <c:pt idx="364">
                  <c:v>45824</c:v>
                </c:pt>
                <c:pt idx="365">
                  <c:v>45825</c:v>
                </c:pt>
                <c:pt idx="366">
                  <c:v>45826</c:v>
                </c:pt>
                <c:pt idx="367">
                  <c:v>45828</c:v>
                </c:pt>
                <c:pt idx="368">
                  <c:v>45831</c:v>
                </c:pt>
                <c:pt idx="369">
                  <c:v>45832</c:v>
                </c:pt>
                <c:pt idx="370">
                  <c:v>45833</c:v>
                </c:pt>
                <c:pt idx="371">
                  <c:v>45834</c:v>
                </c:pt>
                <c:pt idx="372">
                  <c:v>45835</c:v>
                </c:pt>
                <c:pt idx="373">
                  <c:v>45838</c:v>
                </c:pt>
                <c:pt idx="374">
                  <c:v>45839</c:v>
                </c:pt>
                <c:pt idx="375">
                  <c:v>45840</c:v>
                </c:pt>
                <c:pt idx="376">
                  <c:v>45841</c:v>
                </c:pt>
                <c:pt idx="377">
                  <c:v>45845</c:v>
                </c:pt>
                <c:pt idx="378">
                  <c:v>45846</c:v>
                </c:pt>
                <c:pt idx="379">
                  <c:v>45847</c:v>
                </c:pt>
                <c:pt idx="380">
                  <c:v>45848</c:v>
                </c:pt>
                <c:pt idx="381">
                  <c:v>45849</c:v>
                </c:pt>
                <c:pt idx="382">
                  <c:v>45852</c:v>
                </c:pt>
                <c:pt idx="383">
                  <c:v>45853</c:v>
                </c:pt>
                <c:pt idx="384">
                  <c:v>45854</c:v>
                </c:pt>
                <c:pt idx="385">
                  <c:v>45855</c:v>
                </c:pt>
                <c:pt idx="386">
                  <c:v>45856</c:v>
                </c:pt>
                <c:pt idx="387">
                  <c:v>45859</c:v>
                </c:pt>
                <c:pt idx="388">
                  <c:v>45860</c:v>
                </c:pt>
                <c:pt idx="389">
                  <c:v>45861</c:v>
                </c:pt>
                <c:pt idx="390">
                  <c:v>45862</c:v>
                </c:pt>
                <c:pt idx="391">
                  <c:v>45863</c:v>
                </c:pt>
                <c:pt idx="392">
                  <c:v>45866</c:v>
                </c:pt>
                <c:pt idx="393">
                  <c:v>45867</c:v>
                </c:pt>
                <c:pt idx="394">
                  <c:v>45868</c:v>
                </c:pt>
                <c:pt idx="395">
                  <c:v>45869</c:v>
                </c:pt>
                <c:pt idx="396">
                  <c:v>45870</c:v>
                </c:pt>
                <c:pt idx="397">
                  <c:v>45873</c:v>
                </c:pt>
                <c:pt idx="398">
                  <c:v>45874</c:v>
                </c:pt>
                <c:pt idx="399">
                  <c:v>45875</c:v>
                </c:pt>
                <c:pt idx="400">
                  <c:v>45876</c:v>
                </c:pt>
                <c:pt idx="401">
                  <c:v>45877</c:v>
                </c:pt>
                <c:pt idx="402">
                  <c:v>45880</c:v>
                </c:pt>
              </c:numCache>
            </c:numRef>
          </c:cat>
          <c:val>
            <c:numRef>
              <c:f>cover!$XFD$4:$XFD$411</c:f>
              <c:numCache>
                <c:formatCode>_([$$-409]* #,##0.00_);_([$$-409]* \(#,##0.00\);_([$$-409]* "-"??_);_(@_)</c:formatCode>
                <c:ptCount val="408"/>
                <c:pt idx="0">
                  <c:v>8.9220000000000006</c:v>
                </c:pt>
                <c:pt idx="1">
                  <c:v>8.3550000000000004</c:v>
                </c:pt>
                <c:pt idx="2">
                  <c:v>8.4749999999999996</c:v>
                </c:pt>
                <c:pt idx="3">
                  <c:v>8.0295000000000005</c:v>
                </c:pt>
                <c:pt idx="4">
                  <c:v>8.8049999999999997</c:v>
                </c:pt>
                <c:pt idx="5">
                  <c:v>8.4179999999999993</c:v>
                </c:pt>
                <c:pt idx="6">
                  <c:v>8.2754999999999992</c:v>
                </c:pt>
                <c:pt idx="7">
                  <c:v>8.1</c:v>
                </c:pt>
                <c:pt idx="8">
                  <c:v>8.0129999999999999</c:v>
                </c:pt>
                <c:pt idx="9">
                  <c:v>7.74</c:v>
                </c:pt>
                <c:pt idx="10">
                  <c:v>7.4039999999999999</c:v>
                </c:pt>
                <c:pt idx="11">
                  <c:v>8.25</c:v>
                </c:pt>
                <c:pt idx="12">
                  <c:v>8.0220000000000002</c:v>
                </c:pt>
                <c:pt idx="13">
                  <c:v>7.6515000000000004</c:v>
                </c:pt>
                <c:pt idx="14">
                  <c:v>7.65</c:v>
                </c:pt>
                <c:pt idx="15">
                  <c:v>7.5795000000000003</c:v>
                </c:pt>
                <c:pt idx="16">
                  <c:v>7.65</c:v>
                </c:pt>
                <c:pt idx="17">
                  <c:v>7.6349999999999998</c:v>
                </c:pt>
                <c:pt idx="18">
                  <c:v>8.4</c:v>
                </c:pt>
                <c:pt idx="19">
                  <c:v>8.4</c:v>
                </c:pt>
                <c:pt idx="20">
                  <c:v>8.1344999999999992</c:v>
                </c:pt>
                <c:pt idx="21">
                  <c:v>8.6999999999999993</c:v>
                </c:pt>
                <c:pt idx="22">
                  <c:v>8.3249999999999993</c:v>
                </c:pt>
                <c:pt idx="23">
                  <c:v>8.4</c:v>
                </c:pt>
                <c:pt idx="24">
                  <c:v>10.199999999999999</c:v>
                </c:pt>
                <c:pt idx="25">
                  <c:v>10.050000000000001</c:v>
                </c:pt>
                <c:pt idx="26">
                  <c:v>10.275</c:v>
                </c:pt>
                <c:pt idx="27">
                  <c:v>10.65</c:v>
                </c:pt>
                <c:pt idx="28">
                  <c:v>10.68</c:v>
                </c:pt>
                <c:pt idx="29">
                  <c:v>9.8249999999999993</c:v>
                </c:pt>
                <c:pt idx="30">
                  <c:v>11.55</c:v>
                </c:pt>
                <c:pt idx="31">
                  <c:v>11.1</c:v>
                </c:pt>
                <c:pt idx="32">
                  <c:v>10.6785</c:v>
                </c:pt>
                <c:pt idx="33">
                  <c:v>9.9540000000000006</c:v>
                </c:pt>
                <c:pt idx="34">
                  <c:v>10.35</c:v>
                </c:pt>
                <c:pt idx="35">
                  <c:v>9.9149999999999991</c:v>
                </c:pt>
                <c:pt idx="36">
                  <c:v>10.236000000000001</c:v>
                </c:pt>
                <c:pt idx="37">
                  <c:v>10.050000000000001</c:v>
                </c:pt>
                <c:pt idx="38">
                  <c:v>11.25</c:v>
                </c:pt>
                <c:pt idx="39">
                  <c:v>10.8</c:v>
                </c:pt>
                <c:pt idx="40">
                  <c:v>10.65</c:v>
                </c:pt>
                <c:pt idx="41">
                  <c:v>11.7</c:v>
                </c:pt>
                <c:pt idx="42">
                  <c:v>13.5</c:v>
                </c:pt>
                <c:pt idx="43">
                  <c:v>13.2615</c:v>
                </c:pt>
                <c:pt idx="44">
                  <c:v>13.6485</c:v>
                </c:pt>
                <c:pt idx="45">
                  <c:v>14.334</c:v>
                </c:pt>
                <c:pt idx="46">
                  <c:v>13.6365</c:v>
                </c:pt>
                <c:pt idx="47">
                  <c:v>12.4755</c:v>
                </c:pt>
                <c:pt idx="48">
                  <c:v>13.35</c:v>
                </c:pt>
                <c:pt idx="49">
                  <c:v>12.75</c:v>
                </c:pt>
                <c:pt idx="50">
                  <c:v>12.9</c:v>
                </c:pt>
                <c:pt idx="51">
                  <c:v>12.903</c:v>
                </c:pt>
                <c:pt idx="52">
                  <c:v>12.75</c:v>
                </c:pt>
                <c:pt idx="53">
                  <c:v>13.023</c:v>
                </c:pt>
                <c:pt idx="54">
                  <c:v>13.5</c:v>
                </c:pt>
                <c:pt idx="55">
                  <c:v>13.4595</c:v>
                </c:pt>
                <c:pt idx="56">
                  <c:v>13.702500000000001</c:v>
                </c:pt>
                <c:pt idx="57">
                  <c:v>13.3215</c:v>
                </c:pt>
                <c:pt idx="58">
                  <c:v>13.5</c:v>
                </c:pt>
                <c:pt idx="59">
                  <c:v>13.2765</c:v>
                </c:pt>
                <c:pt idx="60">
                  <c:v>14.013</c:v>
                </c:pt>
                <c:pt idx="61">
                  <c:v>13.561500000000001</c:v>
                </c:pt>
                <c:pt idx="62">
                  <c:v>14.25</c:v>
                </c:pt>
                <c:pt idx="63">
                  <c:v>15.6</c:v>
                </c:pt>
                <c:pt idx="64">
                  <c:v>19.8</c:v>
                </c:pt>
                <c:pt idx="65">
                  <c:v>19.8</c:v>
                </c:pt>
                <c:pt idx="66">
                  <c:v>19.649999999999999</c:v>
                </c:pt>
                <c:pt idx="67">
                  <c:v>18.75</c:v>
                </c:pt>
                <c:pt idx="68">
                  <c:v>19.350000000000001</c:v>
                </c:pt>
                <c:pt idx="69">
                  <c:v>23.7</c:v>
                </c:pt>
                <c:pt idx="70">
                  <c:v>25.05</c:v>
                </c:pt>
                <c:pt idx="71">
                  <c:v>23.55</c:v>
                </c:pt>
                <c:pt idx="72">
                  <c:v>22.35</c:v>
                </c:pt>
                <c:pt idx="73">
                  <c:v>20.25</c:v>
                </c:pt>
                <c:pt idx="74">
                  <c:v>19.8</c:v>
                </c:pt>
                <c:pt idx="75">
                  <c:v>18.600000000000001</c:v>
                </c:pt>
                <c:pt idx="76">
                  <c:v>20.399999999999999</c:v>
                </c:pt>
                <c:pt idx="77">
                  <c:v>21.3</c:v>
                </c:pt>
                <c:pt idx="78">
                  <c:v>20.7</c:v>
                </c:pt>
                <c:pt idx="79">
                  <c:v>19.8</c:v>
                </c:pt>
                <c:pt idx="80">
                  <c:v>19.8</c:v>
                </c:pt>
                <c:pt idx="81">
                  <c:v>21.9</c:v>
                </c:pt>
                <c:pt idx="82">
                  <c:v>21.9</c:v>
                </c:pt>
                <c:pt idx="83">
                  <c:v>24.75</c:v>
                </c:pt>
                <c:pt idx="84">
                  <c:v>25.05</c:v>
                </c:pt>
                <c:pt idx="85">
                  <c:v>23.55</c:v>
                </c:pt>
                <c:pt idx="86">
                  <c:v>24.75</c:v>
                </c:pt>
                <c:pt idx="87">
                  <c:v>22.5</c:v>
                </c:pt>
                <c:pt idx="88">
                  <c:v>24.6</c:v>
                </c:pt>
                <c:pt idx="89">
                  <c:v>24</c:v>
                </c:pt>
                <c:pt idx="90">
                  <c:v>26.4</c:v>
                </c:pt>
                <c:pt idx="91">
                  <c:v>26.25</c:v>
                </c:pt>
                <c:pt idx="92">
                  <c:v>26.55</c:v>
                </c:pt>
                <c:pt idx="93">
                  <c:v>27.45</c:v>
                </c:pt>
                <c:pt idx="94">
                  <c:v>27</c:v>
                </c:pt>
                <c:pt idx="95">
                  <c:v>26.324999999999999</c:v>
                </c:pt>
                <c:pt idx="96">
                  <c:v>26.25</c:v>
                </c:pt>
                <c:pt idx="97">
                  <c:v>25.5</c:v>
                </c:pt>
                <c:pt idx="98">
                  <c:v>26.25</c:v>
                </c:pt>
                <c:pt idx="99">
                  <c:v>24.9</c:v>
                </c:pt>
                <c:pt idx="100">
                  <c:v>24.6</c:v>
                </c:pt>
                <c:pt idx="101">
                  <c:v>22.5</c:v>
                </c:pt>
                <c:pt idx="102">
                  <c:v>20.7</c:v>
                </c:pt>
                <c:pt idx="103">
                  <c:v>18.899999999999999</c:v>
                </c:pt>
                <c:pt idx="104">
                  <c:v>19.05</c:v>
                </c:pt>
                <c:pt idx="105">
                  <c:v>21.15</c:v>
                </c:pt>
                <c:pt idx="106">
                  <c:v>21</c:v>
                </c:pt>
                <c:pt idx="107">
                  <c:v>21.3</c:v>
                </c:pt>
                <c:pt idx="108">
                  <c:v>20.85</c:v>
                </c:pt>
                <c:pt idx="109">
                  <c:v>18.899999999999999</c:v>
                </c:pt>
                <c:pt idx="110">
                  <c:v>18.074999999999999</c:v>
                </c:pt>
                <c:pt idx="111">
                  <c:v>18.899999999999999</c:v>
                </c:pt>
                <c:pt idx="112">
                  <c:v>19.350000000000001</c:v>
                </c:pt>
                <c:pt idx="113">
                  <c:v>18.75</c:v>
                </c:pt>
                <c:pt idx="114">
                  <c:v>17.55</c:v>
                </c:pt>
                <c:pt idx="115">
                  <c:v>17.55</c:v>
                </c:pt>
                <c:pt idx="116">
                  <c:v>17.100000000000001</c:v>
                </c:pt>
                <c:pt idx="117">
                  <c:v>16.350000000000001</c:v>
                </c:pt>
                <c:pt idx="118">
                  <c:v>17.399999999999999</c:v>
                </c:pt>
                <c:pt idx="119">
                  <c:v>17.55</c:v>
                </c:pt>
                <c:pt idx="120">
                  <c:v>16.05</c:v>
                </c:pt>
                <c:pt idx="121">
                  <c:v>16.274999999999999</c:v>
                </c:pt>
                <c:pt idx="122">
                  <c:v>17.100000000000001</c:v>
                </c:pt>
                <c:pt idx="123">
                  <c:v>18.600000000000001</c:v>
                </c:pt>
                <c:pt idx="124">
                  <c:v>18.3</c:v>
                </c:pt>
                <c:pt idx="125">
                  <c:v>17.55</c:v>
                </c:pt>
                <c:pt idx="126">
                  <c:v>19.5</c:v>
                </c:pt>
                <c:pt idx="127">
                  <c:v>19.350000000000001</c:v>
                </c:pt>
                <c:pt idx="128">
                  <c:v>18.600000000000001</c:v>
                </c:pt>
                <c:pt idx="129">
                  <c:v>18.45</c:v>
                </c:pt>
                <c:pt idx="130">
                  <c:v>19.95</c:v>
                </c:pt>
                <c:pt idx="131">
                  <c:v>20.399999999999999</c:v>
                </c:pt>
                <c:pt idx="132">
                  <c:v>21.3</c:v>
                </c:pt>
                <c:pt idx="133">
                  <c:v>21</c:v>
                </c:pt>
                <c:pt idx="134">
                  <c:v>22.05</c:v>
                </c:pt>
                <c:pt idx="135">
                  <c:v>21.75</c:v>
                </c:pt>
                <c:pt idx="136">
                  <c:v>20.25</c:v>
                </c:pt>
                <c:pt idx="137">
                  <c:v>20.85</c:v>
                </c:pt>
                <c:pt idx="138">
                  <c:v>21.9</c:v>
                </c:pt>
                <c:pt idx="139">
                  <c:v>22.2</c:v>
                </c:pt>
                <c:pt idx="140">
                  <c:v>21.15</c:v>
                </c:pt>
                <c:pt idx="141">
                  <c:v>20.55</c:v>
                </c:pt>
                <c:pt idx="142">
                  <c:v>20.7</c:v>
                </c:pt>
                <c:pt idx="143">
                  <c:v>20.399999999999999</c:v>
                </c:pt>
                <c:pt idx="144">
                  <c:v>20.85</c:v>
                </c:pt>
                <c:pt idx="145">
                  <c:v>20.100000000000001</c:v>
                </c:pt>
                <c:pt idx="146">
                  <c:v>19.05</c:v>
                </c:pt>
                <c:pt idx="147">
                  <c:v>18</c:v>
                </c:pt>
                <c:pt idx="148">
                  <c:v>17.55</c:v>
                </c:pt>
                <c:pt idx="149">
                  <c:v>17.55</c:v>
                </c:pt>
                <c:pt idx="150">
                  <c:v>17.7</c:v>
                </c:pt>
                <c:pt idx="151">
                  <c:v>18.149999999999999</c:v>
                </c:pt>
                <c:pt idx="152">
                  <c:v>16.649999999999999</c:v>
                </c:pt>
                <c:pt idx="153">
                  <c:v>16.649999999999999</c:v>
                </c:pt>
                <c:pt idx="154">
                  <c:v>17.25</c:v>
                </c:pt>
                <c:pt idx="155">
                  <c:v>17.100000000000001</c:v>
                </c:pt>
                <c:pt idx="156">
                  <c:v>17.850000000000001</c:v>
                </c:pt>
                <c:pt idx="157">
                  <c:v>18.75</c:v>
                </c:pt>
                <c:pt idx="158">
                  <c:v>19.95</c:v>
                </c:pt>
                <c:pt idx="159">
                  <c:v>19.2</c:v>
                </c:pt>
                <c:pt idx="160">
                  <c:v>19.05</c:v>
                </c:pt>
                <c:pt idx="161">
                  <c:v>18.074999999999999</c:v>
                </c:pt>
                <c:pt idx="162">
                  <c:v>20.25</c:v>
                </c:pt>
                <c:pt idx="163">
                  <c:v>20.399999999999999</c:v>
                </c:pt>
                <c:pt idx="164">
                  <c:v>18.75</c:v>
                </c:pt>
                <c:pt idx="165">
                  <c:v>18.899999999999999</c:v>
                </c:pt>
                <c:pt idx="166">
                  <c:v>19.05</c:v>
                </c:pt>
                <c:pt idx="167">
                  <c:v>19.2</c:v>
                </c:pt>
                <c:pt idx="168">
                  <c:v>18.600000000000001</c:v>
                </c:pt>
                <c:pt idx="169">
                  <c:v>18.600000000000001</c:v>
                </c:pt>
                <c:pt idx="170">
                  <c:v>16.95</c:v>
                </c:pt>
                <c:pt idx="171">
                  <c:v>16.8</c:v>
                </c:pt>
                <c:pt idx="172">
                  <c:v>17.7</c:v>
                </c:pt>
                <c:pt idx="173">
                  <c:v>18.600000000000001</c:v>
                </c:pt>
                <c:pt idx="174">
                  <c:v>18.75</c:v>
                </c:pt>
                <c:pt idx="175">
                  <c:v>18.75</c:v>
                </c:pt>
                <c:pt idx="176">
                  <c:v>19.649999999999999</c:v>
                </c:pt>
                <c:pt idx="177">
                  <c:v>19.05</c:v>
                </c:pt>
                <c:pt idx="178">
                  <c:v>19.5</c:v>
                </c:pt>
                <c:pt idx="179">
                  <c:v>18.899999999999999</c:v>
                </c:pt>
                <c:pt idx="180">
                  <c:v>19.05</c:v>
                </c:pt>
                <c:pt idx="181">
                  <c:v>19.5</c:v>
                </c:pt>
                <c:pt idx="182">
                  <c:v>18</c:v>
                </c:pt>
                <c:pt idx="183">
                  <c:v>18.149999999999999</c:v>
                </c:pt>
                <c:pt idx="184">
                  <c:v>17.399999999999999</c:v>
                </c:pt>
                <c:pt idx="185">
                  <c:v>16.649999999999999</c:v>
                </c:pt>
                <c:pt idx="186">
                  <c:v>17.55</c:v>
                </c:pt>
                <c:pt idx="187">
                  <c:v>19.5</c:v>
                </c:pt>
                <c:pt idx="188">
                  <c:v>19.5</c:v>
                </c:pt>
                <c:pt idx="189">
                  <c:v>19.95</c:v>
                </c:pt>
                <c:pt idx="190">
                  <c:v>19.5</c:v>
                </c:pt>
                <c:pt idx="191">
                  <c:v>19.8</c:v>
                </c:pt>
                <c:pt idx="192">
                  <c:v>19.2</c:v>
                </c:pt>
                <c:pt idx="193">
                  <c:v>19.5</c:v>
                </c:pt>
                <c:pt idx="194">
                  <c:v>19.5</c:v>
                </c:pt>
                <c:pt idx="195">
                  <c:v>19.350000000000001</c:v>
                </c:pt>
                <c:pt idx="196">
                  <c:v>20.399999999999999</c:v>
                </c:pt>
                <c:pt idx="197">
                  <c:v>19.8</c:v>
                </c:pt>
                <c:pt idx="198">
                  <c:v>19.350000000000001</c:v>
                </c:pt>
                <c:pt idx="199">
                  <c:v>20.7</c:v>
                </c:pt>
                <c:pt idx="200">
                  <c:v>21.75</c:v>
                </c:pt>
                <c:pt idx="201">
                  <c:v>21.15</c:v>
                </c:pt>
                <c:pt idx="202">
                  <c:v>20.85</c:v>
                </c:pt>
                <c:pt idx="203">
                  <c:v>21.6</c:v>
                </c:pt>
                <c:pt idx="204">
                  <c:v>21.15</c:v>
                </c:pt>
                <c:pt idx="205">
                  <c:v>20.25</c:v>
                </c:pt>
                <c:pt idx="206">
                  <c:v>19.8</c:v>
                </c:pt>
                <c:pt idx="207">
                  <c:v>20.399999999999999</c:v>
                </c:pt>
                <c:pt idx="208">
                  <c:v>19.05</c:v>
                </c:pt>
                <c:pt idx="209">
                  <c:v>18.75</c:v>
                </c:pt>
                <c:pt idx="210">
                  <c:v>17.850000000000001</c:v>
                </c:pt>
                <c:pt idx="211">
                  <c:v>18.45</c:v>
                </c:pt>
                <c:pt idx="212">
                  <c:v>19.95</c:v>
                </c:pt>
                <c:pt idx="213">
                  <c:v>21</c:v>
                </c:pt>
                <c:pt idx="214">
                  <c:v>20.85</c:v>
                </c:pt>
                <c:pt idx="215">
                  <c:v>20.55</c:v>
                </c:pt>
                <c:pt idx="216">
                  <c:v>21</c:v>
                </c:pt>
                <c:pt idx="217">
                  <c:v>20.55</c:v>
                </c:pt>
                <c:pt idx="218">
                  <c:v>19.649999999999999</c:v>
                </c:pt>
                <c:pt idx="219">
                  <c:v>19.2</c:v>
                </c:pt>
                <c:pt idx="220">
                  <c:v>17.55</c:v>
                </c:pt>
                <c:pt idx="221">
                  <c:v>16.05</c:v>
                </c:pt>
                <c:pt idx="222">
                  <c:v>15.45</c:v>
                </c:pt>
                <c:pt idx="223">
                  <c:v>15.45</c:v>
                </c:pt>
                <c:pt idx="224">
                  <c:v>15</c:v>
                </c:pt>
                <c:pt idx="225">
                  <c:v>15.15</c:v>
                </c:pt>
                <c:pt idx="226">
                  <c:v>15.75</c:v>
                </c:pt>
                <c:pt idx="227">
                  <c:v>16.350000000000001</c:v>
                </c:pt>
                <c:pt idx="228">
                  <c:v>16.05</c:v>
                </c:pt>
                <c:pt idx="229">
                  <c:v>16.95</c:v>
                </c:pt>
                <c:pt idx="230">
                  <c:v>17.100000000000001</c:v>
                </c:pt>
                <c:pt idx="231">
                  <c:v>17.7</c:v>
                </c:pt>
                <c:pt idx="232">
                  <c:v>16.05</c:v>
                </c:pt>
                <c:pt idx="233">
                  <c:v>15.3</c:v>
                </c:pt>
                <c:pt idx="234">
                  <c:v>15.3</c:v>
                </c:pt>
                <c:pt idx="235">
                  <c:v>15.3</c:v>
                </c:pt>
                <c:pt idx="236">
                  <c:v>15.15</c:v>
                </c:pt>
                <c:pt idx="237">
                  <c:v>15.3</c:v>
                </c:pt>
                <c:pt idx="238">
                  <c:v>15.3</c:v>
                </c:pt>
                <c:pt idx="239">
                  <c:v>15</c:v>
                </c:pt>
                <c:pt idx="240">
                  <c:v>15.15</c:v>
                </c:pt>
                <c:pt idx="241">
                  <c:v>15</c:v>
                </c:pt>
                <c:pt idx="242">
                  <c:v>15.3</c:v>
                </c:pt>
                <c:pt idx="243">
                  <c:v>13.8765</c:v>
                </c:pt>
                <c:pt idx="244">
                  <c:v>14.115</c:v>
                </c:pt>
                <c:pt idx="245">
                  <c:v>13.9245</c:v>
                </c:pt>
                <c:pt idx="246">
                  <c:v>13.5075</c:v>
                </c:pt>
                <c:pt idx="247">
                  <c:v>13.617000000000001</c:v>
                </c:pt>
                <c:pt idx="248">
                  <c:v>14.268000000000001</c:v>
                </c:pt>
                <c:pt idx="249">
                  <c:v>14.238</c:v>
                </c:pt>
                <c:pt idx="250">
                  <c:v>14.16</c:v>
                </c:pt>
                <c:pt idx="251">
                  <c:v>13.95</c:v>
                </c:pt>
                <c:pt idx="252">
                  <c:v>14.414999999999999</c:v>
                </c:pt>
                <c:pt idx="253">
                  <c:v>16.5</c:v>
                </c:pt>
                <c:pt idx="254">
                  <c:v>17.55</c:v>
                </c:pt>
                <c:pt idx="255">
                  <c:v>17.850000000000001</c:v>
                </c:pt>
                <c:pt idx="256">
                  <c:v>17.100000000000001</c:v>
                </c:pt>
                <c:pt idx="257">
                  <c:v>15.45</c:v>
                </c:pt>
                <c:pt idx="258">
                  <c:v>14.419499999999999</c:v>
                </c:pt>
                <c:pt idx="259">
                  <c:v>13.5</c:v>
                </c:pt>
                <c:pt idx="260">
                  <c:v>13.579499999999999</c:v>
                </c:pt>
                <c:pt idx="261">
                  <c:v>13.375500000000001</c:v>
                </c:pt>
                <c:pt idx="262">
                  <c:v>13.38</c:v>
                </c:pt>
                <c:pt idx="263">
                  <c:v>13.56</c:v>
                </c:pt>
                <c:pt idx="264">
                  <c:v>13.77</c:v>
                </c:pt>
                <c:pt idx="265">
                  <c:v>13.419</c:v>
                </c:pt>
                <c:pt idx="266">
                  <c:v>13.2735</c:v>
                </c:pt>
                <c:pt idx="267">
                  <c:v>13.131</c:v>
                </c:pt>
                <c:pt idx="268">
                  <c:v>12.6</c:v>
                </c:pt>
                <c:pt idx="269">
                  <c:v>12.5565</c:v>
                </c:pt>
                <c:pt idx="270">
                  <c:v>12.759</c:v>
                </c:pt>
                <c:pt idx="271">
                  <c:v>12.4095</c:v>
                </c:pt>
                <c:pt idx="272">
                  <c:v>12.1335</c:v>
                </c:pt>
                <c:pt idx="273">
                  <c:v>11.682</c:v>
                </c:pt>
                <c:pt idx="274">
                  <c:v>11.4</c:v>
                </c:pt>
                <c:pt idx="275">
                  <c:v>10.515000000000001</c:v>
                </c:pt>
                <c:pt idx="276">
                  <c:v>10.14</c:v>
                </c:pt>
                <c:pt idx="277">
                  <c:v>10.5</c:v>
                </c:pt>
                <c:pt idx="278">
                  <c:v>9.9480000000000004</c:v>
                </c:pt>
                <c:pt idx="279">
                  <c:v>10.965</c:v>
                </c:pt>
                <c:pt idx="280">
                  <c:v>13.377000000000001</c:v>
                </c:pt>
                <c:pt idx="281">
                  <c:v>14.739000000000001</c:v>
                </c:pt>
                <c:pt idx="282">
                  <c:v>15.9</c:v>
                </c:pt>
                <c:pt idx="283">
                  <c:v>15</c:v>
                </c:pt>
                <c:pt idx="284">
                  <c:v>14.3535</c:v>
                </c:pt>
                <c:pt idx="285">
                  <c:v>13.983000000000001</c:v>
                </c:pt>
                <c:pt idx="286">
                  <c:v>12.675000000000001</c:v>
                </c:pt>
                <c:pt idx="287">
                  <c:v>13.057499999999999</c:v>
                </c:pt>
                <c:pt idx="288">
                  <c:v>11.701499999999999</c:v>
                </c:pt>
                <c:pt idx="289">
                  <c:v>11.943</c:v>
                </c:pt>
                <c:pt idx="290">
                  <c:v>12.6</c:v>
                </c:pt>
                <c:pt idx="291">
                  <c:v>12.028499999999999</c:v>
                </c:pt>
                <c:pt idx="292">
                  <c:v>12.657</c:v>
                </c:pt>
                <c:pt idx="293">
                  <c:v>12.868499999999999</c:v>
                </c:pt>
                <c:pt idx="294">
                  <c:v>12.917999999999999</c:v>
                </c:pt>
                <c:pt idx="295">
                  <c:v>13.17</c:v>
                </c:pt>
                <c:pt idx="296">
                  <c:v>12.3</c:v>
                </c:pt>
                <c:pt idx="297">
                  <c:v>12.288</c:v>
                </c:pt>
                <c:pt idx="298">
                  <c:v>12.3</c:v>
                </c:pt>
                <c:pt idx="299">
                  <c:v>12.231</c:v>
                </c:pt>
                <c:pt idx="300">
                  <c:v>13.452</c:v>
                </c:pt>
                <c:pt idx="301">
                  <c:v>13.6395</c:v>
                </c:pt>
                <c:pt idx="302">
                  <c:v>13.202999999999999</c:v>
                </c:pt>
                <c:pt idx="303">
                  <c:v>13.458</c:v>
                </c:pt>
                <c:pt idx="304">
                  <c:v>13.099500000000001</c:v>
                </c:pt>
                <c:pt idx="305">
                  <c:v>12.955500000000001</c:v>
                </c:pt>
                <c:pt idx="306">
                  <c:v>12.909000000000001</c:v>
                </c:pt>
                <c:pt idx="307">
                  <c:v>12.5595</c:v>
                </c:pt>
                <c:pt idx="308">
                  <c:v>12.023999999999999</c:v>
                </c:pt>
                <c:pt idx="309">
                  <c:v>11.367000000000001</c:v>
                </c:pt>
                <c:pt idx="310">
                  <c:v>11.0745</c:v>
                </c:pt>
                <c:pt idx="311">
                  <c:v>10.199999999999999</c:v>
                </c:pt>
                <c:pt idx="312">
                  <c:v>9.5594999999999999</c:v>
                </c:pt>
                <c:pt idx="313">
                  <c:v>9.8849999999999998</c:v>
                </c:pt>
                <c:pt idx="314">
                  <c:v>9.0075000000000003</c:v>
                </c:pt>
                <c:pt idx="315">
                  <c:v>8.2784999999999993</c:v>
                </c:pt>
                <c:pt idx="316">
                  <c:v>7.3559999999999999</c:v>
                </c:pt>
                <c:pt idx="317">
                  <c:v>7.3845000000000001</c:v>
                </c:pt>
                <c:pt idx="318">
                  <c:v>7.6589999999999998</c:v>
                </c:pt>
                <c:pt idx="319">
                  <c:v>7.4865000000000004</c:v>
                </c:pt>
                <c:pt idx="320">
                  <c:v>9.2654999999999994</c:v>
                </c:pt>
                <c:pt idx="321">
                  <c:v>9.0585000000000004</c:v>
                </c:pt>
                <c:pt idx="322">
                  <c:v>9.5655000000000001</c:v>
                </c:pt>
                <c:pt idx="323">
                  <c:v>9.1020000000000003</c:v>
                </c:pt>
                <c:pt idx="324">
                  <c:v>9.5459999999999994</c:v>
                </c:pt>
                <c:pt idx="325">
                  <c:v>9.3885000000000005</c:v>
                </c:pt>
                <c:pt idx="326">
                  <c:v>9.9600000000000009</c:v>
                </c:pt>
                <c:pt idx="327">
                  <c:v>10.287000000000001</c:v>
                </c:pt>
                <c:pt idx="328">
                  <c:v>11.0745</c:v>
                </c:pt>
                <c:pt idx="329">
                  <c:v>11.6265</c:v>
                </c:pt>
                <c:pt idx="330">
                  <c:v>11.337</c:v>
                </c:pt>
                <c:pt idx="331">
                  <c:v>11.1105</c:v>
                </c:pt>
                <c:pt idx="332">
                  <c:v>11.932499999999999</c:v>
                </c:pt>
                <c:pt idx="333">
                  <c:v>11.701499999999999</c:v>
                </c:pt>
                <c:pt idx="334">
                  <c:v>11.28</c:v>
                </c:pt>
                <c:pt idx="335">
                  <c:v>10.308</c:v>
                </c:pt>
                <c:pt idx="336">
                  <c:v>9.6300000000000008</c:v>
                </c:pt>
                <c:pt idx="337">
                  <c:v>9.0839999999999996</c:v>
                </c:pt>
                <c:pt idx="338">
                  <c:v>9.2835000000000001</c:v>
                </c:pt>
                <c:pt idx="339">
                  <c:v>8.8305000000000007</c:v>
                </c:pt>
                <c:pt idx="340">
                  <c:v>10.722</c:v>
                </c:pt>
                <c:pt idx="341">
                  <c:v>10.65</c:v>
                </c:pt>
                <c:pt idx="342">
                  <c:v>10.725</c:v>
                </c:pt>
                <c:pt idx="343">
                  <c:v>10.199999999999999</c:v>
                </c:pt>
                <c:pt idx="344">
                  <c:v>10.275</c:v>
                </c:pt>
                <c:pt idx="345">
                  <c:v>10.425000000000001</c:v>
                </c:pt>
                <c:pt idx="346">
                  <c:v>10.3065</c:v>
                </c:pt>
                <c:pt idx="347">
                  <c:v>9.4875000000000007</c:v>
                </c:pt>
                <c:pt idx="348">
                  <c:v>9.9</c:v>
                </c:pt>
                <c:pt idx="349">
                  <c:v>9.8115000000000006</c:v>
                </c:pt>
                <c:pt idx="350">
                  <c:v>10.1175</c:v>
                </c:pt>
                <c:pt idx="351">
                  <c:v>10.4895</c:v>
                </c:pt>
                <c:pt idx="352">
                  <c:v>11.090999999999999</c:v>
                </c:pt>
                <c:pt idx="353">
                  <c:v>10.8675</c:v>
                </c:pt>
                <c:pt idx="354">
                  <c:v>11.946</c:v>
                </c:pt>
                <c:pt idx="355">
                  <c:v>11.2425</c:v>
                </c:pt>
                <c:pt idx="356">
                  <c:v>11.1945</c:v>
                </c:pt>
                <c:pt idx="357">
                  <c:v>10.122</c:v>
                </c:pt>
                <c:pt idx="358">
                  <c:v>9.99</c:v>
                </c:pt>
                <c:pt idx="359">
                  <c:v>8.7899999999999991</c:v>
                </c:pt>
                <c:pt idx="360">
                  <c:v>11.35</c:v>
                </c:pt>
                <c:pt idx="361">
                  <c:v>9.5500000000000007</c:v>
                </c:pt>
                <c:pt idx="362">
                  <c:v>8.76</c:v>
                </c:pt>
                <c:pt idx="363">
                  <c:v>8.59</c:v>
                </c:pt>
                <c:pt idx="364">
                  <c:v>9.25</c:v>
                </c:pt>
                <c:pt idx="365">
                  <c:v>8.73</c:v>
                </c:pt>
                <c:pt idx="366">
                  <c:v>8.61</c:v>
                </c:pt>
                <c:pt idx="367">
                  <c:v>8.51</c:v>
                </c:pt>
                <c:pt idx="368">
                  <c:v>9.5399999999999991</c:v>
                </c:pt>
                <c:pt idx="369">
                  <c:v>24.45</c:v>
                </c:pt>
                <c:pt idx="370">
                  <c:v>29.12</c:v>
                </c:pt>
                <c:pt idx="371">
                  <c:v>29.68</c:v>
                </c:pt>
                <c:pt idx="372">
                  <c:v>25.76</c:v>
                </c:pt>
                <c:pt idx="373">
                  <c:v>25.84</c:v>
                </c:pt>
                <c:pt idx="374">
                  <c:v>24.59</c:v>
                </c:pt>
                <c:pt idx="375">
                  <c:v>25.53</c:v>
                </c:pt>
                <c:pt idx="376">
                  <c:v>24.76</c:v>
                </c:pt>
                <c:pt idx="377">
                  <c:v>23.47</c:v>
                </c:pt>
                <c:pt idx="378">
                  <c:v>22.73</c:v>
                </c:pt>
                <c:pt idx="379">
                  <c:v>23.36</c:v>
                </c:pt>
                <c:pt idx="380">
                  <c:v>25.1</c:v>
                </c:pt>
                <c:pt idx="381">
                  <c:v>25.01</c:v>
                </c:pt>
                <c:pt idx="382">
                  <c:v>24.41</c:v>
                </c:pt>
                <c:pt idx="383">
                  <c:v>23.8</c:v>
                </c:pt>
                <c:pt idx="384">
                  <c:v>24.14</c:v>
                </c:pt>
                <c:pt idx="385">
                  <c:v>26.67</c:v>
                </c:pt>
                <c:pt idx="386">
                  <c:v>24.94</c:v>
                </c:pt>
                <c:pt idx="387">
                  <c:v>24.79</c:v>
                </c:pt>
                <c:pt idx="388">
                  <c:v>24.48</c:v>
                </c:pt>
                <c:pt idx="389">
                  <c:v>25</c:v>
                </c:pt>
                <c:pt idx="390">
                  <c:v>24.58</c:v>
                </c:pt>
                <c:pt idx="391">
                  <c:v>25</c:v>
                </c:pt>
                <c:pt idx="392">
                  <c:v>23.65</c:v>
                </c:pt>
                <c:pt idx="393">
                  <c:v>22.91</c:v>
                </c:pt>
                <c:pt idx="394">
                  <c:v>22.07</c:v>
                </c:pt>
                <c:pt idx="395">
                  <c:v>21.68</c:v>
                </c:pt>
                <c:pt idx="396">
                  <c:v>22.96</c:v>
                </c:pt>
                <c:pt idx="397">
                  <c:v>23.27</c:v>
                </c:pt>
                <c:pt idx="398">
                  <c:v>22.56</c:v>
                </c:pt>
                <c:pt idx="399">
                  <c:v>22.45</c:v>
                </c:pt>
                <c:pt idx="400">
                  <c:v>21.75</c:v>
                </c:pt>
                <c:pt idx="401">
                  <c:v>23.06</c:v>
                </c:pt>
                <c:pt idx="402">
                  <c:v>22.47</c:v>
                </c:pt>
              </c:numCache>
            </c:numRef>
          </c:val>
          <c:smooth val="0"/>
          <c:extLst>
            <c:ext xmlns:c16="http://schemas.microsoft.com/office/drawing/2014/chart" uri="{C3380CC4-5D6E-409C-BE32-E72D297353CC}">
              <c16:uniqueId val="{B2FBF124-6E9E-4BA6-BBA6-25EF011E0712}"/>
            </c:ext>
          </c:extLst>
        </c:ser>
        <c:dLbls>
          <c:showLegendKey val="0"/>
          <c:showVal val="0"/>
          <c:showCatName val="0"/>
          <c:showSerName val="0"/>
          <c:showPercent val="0"/>
          <c:showBubbleSize val="0"/>
        </c:dLbls>
        <c:smooth val="0"/>
        <c:axId val="2037592072"/>
        <c:axId val="2037644808"/>
      </c:lineChart>
      <c:dateAx>
        <c:axId val="2037592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644808"/>
        <c:crosses val="autoZero"/>
        <c:auto val="1"/>
        <c:lblOffset val="100"/>
        <c:baseTimeUnit val="days"/>
      </c:dateAx>
      <c:valAx>
        <c:axId val="2037644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Close</a:t>
                </a:r>
              </a:p>
            </c:rich>
          </c:tx>
          <c:layout>
            <c:manualLayout>
              <c:xMode val="edge"/>
              <c:yMode val="edge"/>
              <c:x val="5.8956916099773243E-2"/>
              <c:y val="0.3751776388776145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5920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476250</xdr:colOff>
      <xdr:row>5</xdr:row>
      <xdr:rowOff>0</xdr:rowOff>
    </xdr:from>
    <xdr:to>
      <xdr:col>12</xdr:col>
      <xdr:colOff>85725</xdr:colOff>
      <xdr:row>29</xdr:row>
      <xdr:rowOff>47624</xdr:rowOff>
    </xdr:to>
    <xdr:graphicFrame macro="">
      <xdr:nvGraphicFramePr>
        <xdr:cNvPr id="2" name="Chart 1" descr="Chart type: Line. 'Close'&#10;&#10;Description automatically generated">
          <a:extLst>
            <a:ext uri="{FF2B5EF4-FFF2-40B4-BE49-F238E27FC236}">
              <a16:creationId xmlns:a16="http://schemas.microsoft.com/office/drawing/2014/main" id="{CE4E5E69-7AF9-85AC-3800-C1330C97C6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
  <a r="1" c="403">
    <v t="i">1</v>
    <v t="i">2</v>
    <v t="i">3</v>
    <v t="i">4</v>
    <v t="i">7</v>
    <v t="i">8</v>
    <v t="i">9</v>
    <v t="i">10</v>
    <v t="i">11</v>
    <v t="i">15</v>
    <v t="i">16</v>
    <v t="i">17</v>
    <v t="i">18</v>
    <v t="i">21</v>
    <v t="i">22</v>
    <v t="i">23</v>
    <v t="i">24</v>
    <v t="i">25</v>
    <v t="i">28</v>
    <v t="i">29</v>
    <v t="i">30</v>
    <v t="i">31</v>
    <v t="i">32</v>
    <v t="i">35</v>
    <v t="i">36</v>
    <v t="i">37</v>
    <v t="i">38</v>
    <v t="i">39</v>
    <v t="i">42</v>
    <v t="i">43</v>
    <v t="i">44</v>
    <v t="i">45</v>
    <v t="i">46</v>
    <v t="i">50</v>
    <v t="i">51</v>
    <v t="i">52</v>
    <v t="i">53</v>
    <v t="i">56</v>
    <v t="i">57</v>
    <v t="i">58</v>
    <v t="i">59</v>
    <v t="i">60</v>
    <v t="i">63</v>
    <v t="i">64</v>
    <v t="i">65</v>
    <v t="i">66</v>
    <v t="i">67</v>
    <v t="i">70</v>
    <v t="i">71</v>
    <v t="i">72</v>
    <v t="i">73</v>
    <v t="i">74</v>
    <v t="i">77</v>
    <v t="i">78</v>
    <v t="i">79</v>
    <v t="i">80</v>
    <v t="i">81</v>
    <v t="i">84</v>
    <v t="i">85</v>
    <v t="i">86</v>
    <v t="i">87</v>
    <v t="i">91</v>
    <v t="i">92</v>
    <v t="i">93</v>
    <v t="i">94</v>
    <v t="i">95</v>
    <v t="i">98</v>
    <v t="i">99</v>
    <v t="i">100</v>
    <v t="i">101</v>
    <v t="i">102</v>
    <v t="i">105</v>
    <v t="i">106</v>
    <v t="i">107</v>
    <v t="i">108</v>
    <v t="i">109</v>
    <v t="i">112</v>
    <v t="i">113</v>
    <v t="i">114</v>
    <v t="i">115</v>
    <v t="i">116</v>
    <v t="i">119</v>
    <v t="i">120</v>
    <v t="i">121</v>
    <v t="i">122</v>
    <v t="i">123</v>
    <v t="i">126</v>
    <v t="i">127</v>
    <v t="i">128</v>
    <v t="i">129</v>
    <v t="i">130</v>
    <v t="i">133</v>
    <v t="i">134</v>
    <v t="i">135</v>
    <v t="i">136</v>
    <v t="i">137</v>
    <v t="i">140</v>
    <v t="i">141</v>
    <v t="i">142</v>
    <v t="i">143</v>
    <v t="i">144</v>
    <v t="i">148</v>
    <v t="i">149</v>
    <v t="i">150</v>
    <v t="i">151</v>
    <v t="i">154</v>
    <v t="i">155</v>
    <v t="i">156</v>
    <v t="i">157</v>
    <v t="i">158</v>
    <v t="i">161</v>
    <v t="i">162</v>
    <v t="i">163</v>
    <v t="i">164</v>
    <v t="i">165</v>
    <v t="i">168</v>
    <v t="i">169</v>
    <v t="i">171</v>
    <v t="i">172</v>
    <v t="i">175</v>
    <v t="i">176</v>
    <v t="i">177</v>
    <v t="i">178</v>
    <v t="i">179</v>
    <v t="i">182</v>
    <v t="i">183</v>
    <v t="i">184</v>
    <v t="i">186</v>
    <v t="i">189</v>
    <v t="i">190</v>
    <v t="i">191</v>
    <v t="i">192</v>
    <v t="i">193</v>
    <v t="i">196</v>
    <v t="i">197</v>
    <v t="i">198</v>
    <v t="i">199</v>
    <v t="i">200</v>
    <v t="i">203</v>
    <v t="i">204</v>
    <v t="i">205</v>
    <v t="i">206</v>
    <v t="i">207</v>
    <v t="i">210</v>
    <v t="i">211</v>
    <v t="i">212</v>
    <v t="i">213</v>
    <v t="i">214</v>
    <v t="i">217</v>
    <v t="i">218</v>
    <v t="i">219</v>
    <v t="i">220</v>
    <v t="i">221</v>
    <v t="i">224</v>
    <v t="i">225</v>
    <v t="i">226</v>
    <v t="i">227</v>
    <v t="i">228</v>
    <v t="i">231</v>
    <v t="i">232</v>
    <v t="i">233</v>
    <v t="i">234</v>
    <v t="i">235</v>
    <v t="i">238</v>
    <v t="i">239</v>
    <v t="i">240</v>
    <v t="i">241</v>
    <v t="i">242</v>
    <v t="i">246</v>
    <v t="i">247</v>
    <v t="i">248</v>
    <v t="i">249</v>
    <v t="i">252</v>
    <v t="i">253</v>
    <v t="i">254</v>
    <v t="i">255</v>
    <v t="i">256</v>
    <v t="i">259</v>
    <v t="i">260</v>
    <v t="i">261</v>
    <v t="i">262</v>
    <v t="i">263</v>
    <v t="i">266</v>
    <v t="i">267</v>
    <v t="i">268</v>
    <v t="i">269</v>
    <v t="i">270</v>
    <v t="i">273</v>
    <v t="i">274</v>
    <v t="i">275</v>
    <v t="i">276</v>
    <v t="i">277</v>
    <v t="i">280</v>
    <v t="i">281</v>
    <v t="i">282</v>
    <v t="i">283</v>
    <v t="i">284</v>
    <v t="i">287</v>
    <v t="i">288</v>
    <v t="i">289</v>
    <v t="i">290</v>
    <v t="i">291</v>
    <v t="i">294</v>
    <v t="i">295</v>
    <v t="i">296</v>
    <v t="i">297</v>
    <v t="i">298</v>
    <v t="i">301</v>
    <v t="i">302</v>
    <v t="i">303</v>
    <v t="i">304</v>
    <v t="i">305</v>
    <v t="i">308</v>
    <v t="i">309</v>
    <v t="i">310</v>
    <v t="i">311</v>
    <v t="i">312</v>
    <v t="i">315</v>
    <v t="i">316</v>
    <v t="i">317</v>
    <v t="i">318</v>
    <v t="i">319</v>
    <v t="i">322</v>
    <v t="i">323</v>
    <v t="i">324</v>
    <v t="i">325</v>
    <v t="i">326</v>
    <v t="i">329</v>
    <v t="i">330</v>
    <v t="i">331</v>
    <v t="i">333</v>
    <v t="i">336</v>
    <v t="i">337</v>
    <v t="i">338</v>
    <v t="i">339</v>
    <v t="i">340</v>
    <v t="i">343</v>
    <v t="i">344</v>
    <v t="i">345</v>
    <v t="i">346</v>
    <v t="i">347</v>
    <v t="i">350</v>
    <v t="i">351</v>
    <v t="i">352</v>
    <v t="i">353</v>
    <v t="i">354</v>
    <v t="i">357</v>
    <v t="i">358</v>
    <v t="i">360</v>
    <v t="i">361</v>
    <v t="i">364</v>
    <v t="i">365</v>
    <v t="i">367</v>
    <v t="i">368</v>
    <v t="i">371</v>
    <v t="i">372</v>
    <v t="i">373</v>
    <v t="i">375</v>
    <v t="i">378</v>
    <v t="i">379</v>
    <v t="i">380</v>
    <v t="i">381</v>
    <v t="i">382</v>
    <v t="i">386</v>
    <v t="i">387</v>
    <v t="i">388</v>
    <v t="i">389</v>
    <v t="i">392</v>
    <v t="i">393</v>
    <v t="i">394</v>
    <v t="i">395</v>
    <v t="i">396</v>
    <v t="i">399</v>
    <v t="i">400</v>
    <v t="i">401</v>
    <v t="i">402</v>
    <v t="i">403</v>
    <v t="i">406</v>
    <v t="i">407</v>
    <v t="i">408</v>
    <v t="i">409</v>
    <v t="i">410</v>
    <v t="i">414</v>
    <v t="i">415</v>
    <v t="i">416</v>
    <v t="i">417</v>
    <v t="i">420</v>
    <v t="i">421</v>
    <v t="i">422</v>
    <v t="i">423</v>
    <v t="i">424</v>
    <v t="i">427</v>
    <v t="i">428</v>
    <v t="i">429</v>
    <v t="i">430</v>
    <v t="i">431</v>
    <v t="i">434</v>
    <v t="i">435</v>
    <v t="i">436</v>
    <v t="i">437</v>
    <v t="i">438</v>
    <v t="i">441</v>
    <v t="i">442</v>
    <v t="i">443</v>
    <v t="i">444</v>
    <v t="i">445</v>
    <v t="i">448</v>
    <v t="i">449</v>
    <v t="i">450</v>
    <v t="i">451</v>
    <v t="i">452</v>
    <v t="i">455</v>
    <v t="i">456</v>
    <v t="i">457</v>
    <v t="i">458</v>
    <v t="i">459</v>
    <v t="i">462</v>
    <v t="i">463</v>
    <v t="i">464</v>
    <v t="i">465</v>
    <v t="i">466</v>
    <v t="i">469</v>
    <v t="i">470</v>
    <v t="i">471</v>
    <v t="i">472</v>
    <v t="i">476</v>
    <v t="i">477</v>
    <v t="i">478</v>
    <v t="i">479</v>
    <v t="i">480</v>
    <v t="i">483</v>
    <v t="i">484</v>
    <v t="i">485</v>
    <v t="i">486</v>
    <v t="i">487</v>
    <v t="i">490</v>
    <v t="i">491</v>
    <v t="i">492</v>
    <v t="i">493</v>
    <v t="i">494</v>
    <v t="i">497</v>
    <v t="i">498</v>
    <v t="i">499</v>
    <v t="i">500</v>
    <v t="i">501</v>
    <v t="i">504</v>
    <v t="i">505</v>
    <v t="i">506</v>
    <v t="i">507</v>
    <v t="i">508</v>
    <v t="i">512</v>
    <v t="i">513</v>
    <v t="i">514</v>
    <v t="i">515</v>
    <v t="i">518</v>
    <v t="i">519</v>
    <v t="i">520</v>
    <v t="i">521</v>
    <v t="i">522</v>
    <v t="i">525</v>
    <v t="i">526</v>
    <v t="i">527</v>
    <v t="i">528</v>
    <v t="i">529</v>
    <v t="i">532</v>
    <v t="i">533</v>
    <v t="i">534</v>
    <v t="i">536</v>
    <v t="i">539</v>
    <v t="i">540</v>
    <v t="i">541</v>
    <v t="i">542</v>
    <v t="i">543</v>
    <v t="i">546</v>
    <v t="i">547</v>
    <v t="i">548</v>
    <v t="i">549</v>
    <v t="i">553</v>
    <v t="i">554</v>
    <v t="i">555</v>
    <v t="i">556</v>
    <v t="i">557</v>
    <v t="i">560</v>
    <v t="i">561</v>
    <v t="i">562</v>
    <v t="i">563</v>
    <v t="i">564</v>
    <v t="i">567</v>
    <v t="i">568</v>
    <v t="i">569</v>
    <v t="i">570</v>
    <v t="i">571</v>
    <v t="i">574</v>
    <v t="i">575</v>
    <v t="i">576</v>
    <v t="i">577</v>
    <v t="i">578</v>
    <v t="i">581</v>
    <v t="i">582</v>
    <v t="i">583</v>
    <v t="i">584</v>
    <v t="i">585</v>
    <v t="i">588</v>
  </a>
  <a r="1" c="403">
    <v>8.9220000000000006</v>
    <v>8.3550000000000004</v>
    <v>8.4749999999999996</v>
    <v>8.0295000000000005</v>
    <v>8.8049999999999997</v>
    <v>8.4179999999999993</v>
    <v>8.2754999999999992</v>
    <v>8.1</v>
    <v>8.0129999999999999</v>
    <v>7.74</v>
    <v>7.4039999999999999</v>
    <v>8.25</v>
    <v>8.0220000000000002</v>
    <v>7.6515000000000004</v>
    <v>7.65</v>
    <v>7.5795000000000003</v>
    <v>7.65</v>
    <v>7.6349999999999998</v>
    <v>8.4</v>
    <v>8.4</v>
    <v>8.1344999999999992</v>
    <v>8.6999999999999993</v>
    <v>8.3249999999999993</v>
    <v>8.4</v>
    <v>10.199999999999999</v>
    <v>10.050000000000001</v>
    <v>10.275</v>
    <v>10.65</v>
    <v>10.68</v>
    <v>9.8249999999999993</v>
    <v>11.55</v>
    <v>11.1</v>
    <v>10.6785</v>
    <v>9.9540000000000006</v>
    <v>10.35</v>
    <v>9.9149999999999991</v>
    <v>10.236000000000001</v>
    <v>10.050000000000001</v>
    <v>11.25</v>
    <v>10.8</v>
    <v>10.65</v>
    <v>11.7</v>
    <v>13.5</v>
    <v>13.2615</v>
    <v>13.6485</v>
    <v>14.334</v>
    <v>13.6365</v>
    <v>12.4755</v>
    <v>13.35</v>
    <v>12.75</v>
    <v>12.9</v>
    <v>12.903</v>
    <v>12.75</v>
    <v>13.023</v>
    <v>13.5</v>
    <v>13.4595</v>
    <v>13.702500000000001</v>
    <v>13.3215</v>
    <v>13.5</v>
    <v>13.2765</v>
    <v>14.013</v>
    <v>13.561500000000001</v>
    <v>14.25</v>
    <v>15.6</v>
    <v>19.8</v>
    <v>19.8</v>
    <v>19.649999999999999</v>
    <v>18.75</v>
    <v>19.350000000000001</v>
    <v>23.7</v>
    <v>25.05</v>
    <v>23.55</v>
    <v>22.35</v>
    <v>20.25</v>
    <v>19.8</v>
    <v>18.600000000000001</v>
    <v>20.399999999999999</v>
    <v>21.3</v>
    <v>20.7</v>
    <v>19.8</v>
    <v>19.8</v>
    <v>21.9</v>
    <v>21.9</v>
    <v>24.75</v>
    <v>25.05</v>
    <v>23.55</v>
    <v>24.75</v>
    <v>22.5</v>
    <v>24.6</v>
    <v>24</v>
    <v>26.4</v>
    <v>26.25</v>
    <v>26.55</v>
    <v>27.45</v>
    <v>27</v>
    <v>26.324999999999999</v>
    <v>26.25</v>
    <v>25.5</v>
    <v>26.25</v>
    <v>24.9</v>
    <v>24.6</v>
    <v>22.5</v>
    <v>20.7</v>
    <v>18.899999999999999</v>
    <v>19.05</v>
    <v>21.15</v>
    <v>21</v>
    <v>21.3</v>
    <v>20.85</v>
    <v>18.899999999999999</v>
    <v>18.074999999999999</v>
    <v>18.899999999999999</v>
    <v>19.350000000000001</v>
    <v>18.75</v>
    <v>17.55</v>
    <v>17.55</v>
    <v>17.100000000000001</v>
    <v>16.350000000000001</v>
    <v>17.399999999999999</v>
    <v>17.55</v>
    <v>16.05</v>
    <v>16.274999999999999</v>
    <v>17.100000000000001</v>
    <v>18.600000000000001</v>
    <v>18.3</v>
    <v>17.55</v>
    <v>19.5</v>
    <v>19.350000000000001</v>
    <v>18.600000000000001</v>
    <v>18.45</v>
    <v>19.95</v>
    <v>20.399999999999999</v>
    <v>21.3</v>
    <v>21</v>
    <v>22.05</v>
    <v>21.75</v>
    <v>20.25</v>
    <v>20.85</v>
    <v>21.9</v>
    <v>22.2</v>
    <v>21.15</v>
    <v>20.55</v>
    <v>20.7</v>
    <v>20.399999999999999</v>
    <v>20.85</v>
    <v>20.100000000000001</v>
    <v>19.05</v>
    <v>18</v>
    <v>17.55</v>
    <v>17.55</v>
    <v>17.7</v>
    <v>18.149999999999999</v>
    <v>16.649999999999999</v>
    <v>16.649999999999999</v>
    <v>17.25</v>
    <v>17.100000000000001</v>
    <v>17.850000000000001</v>
    <v>18.75</v>
    <v>19.95</v>
    <v>19.2</v>
    <v>19.05</v>
    <v>18.074999999999999</v>
    <v>20.25</v>
    <v>20.399999999999999</v>
    <v>18.75</v>
    <v>18.899999999999999</v>
    <v>19.05</v>
    <v>19.2</v>
    <v>18.600000000000001</v>
    <v>18.600000000000001</v>
    <v>16.95</v>
    <v>16.8</v>
    <v>17.7</v>
    <v>18.600000000000001</v>
    <v>18.75</v>
    <v>18.75</v>
    <v>19.649999999999999</v>
    <v>19.05</v>
    <v>19.5</v>
    <v>18.899999999999999</v>
    <v>19.05</v>
    <v>19.5</v>
    <v>18</v>
    <v>18.149999999999999</v>
    <v>17.399999999999999</v>
    <v>16.649999999999999</v>
    <v>17.55</v>
    <v>19.5</v>
    <v>19.5</v>
    <v>19.95</v>
    <v>19.5</v>
    <v>19.8</v>
    <v>19.2</v>
    <v>19.5</v>
    <v>19.5</v>
    <v>19.350000000000001</v>
    <v>20.399999999999999</v>
    <v>19.8</v>
    <v>19.350000000000001</v>
    <v>20.7</v>
    <v>21.75</v>
    <v>21.15</v>
    <v>20.85</v>
    <v>21.6</v>
    <v>21.15</v>
    <v>20.25</v>
    <v>19.8</v>
    <v>20.399999999999999</v>
    <v>19.05</v>
    <v>18.75</v>
    <v>17.850000000000001</v>
    <v>18.45</v>
    <v>19.95</v>
    <v>21</v>
    <v>20.85</v>
    <v>20.55</v>
    <v>21</v>
    <v>20.55</v>
    <v>19.649999999999999</v>
    <v>19.2</v>
    <v>17.55</v>
    <v>16.05</v>
    <v>15.45</v>
    <v>15.45</v>
    <v>15</v>
    <v>15.15</v>
    <v>15.75</v>
    <v>16.350000000000001</v>
    <v>16.05</v>
    <v>16.95</v>
    <v>17.100000000000001</v>
    <v>17.7</v>
    <v>16.05</v>
    <v>15.3</v>
    <v>15.3</v>
    <v>15.3</v>
    <v>15.15</v>
    <v>15.3</v>
    <v>15.3</v>
    <v>15</v>
    <v>15.15</v>
    <v>15</v>
    <v>15.3</v>
    <v>13.8765</v>
    <v>14.115</v>
    <v>13.9245</v>
    <v>13.5075</v>
    <v>13.617000000000001</v>
    <v>14.268000000000001</v>
    <v>14.238</v>
    <v>14.16</v>
    <v>13.95</v>
    <v>14.414999999999999</v>
    <v>16.5</v>
    <v>17.55</v>
    <v>17.850000000000001</v>
    <v>17.100000000000001</v>
    <v>15.45</v>
    <v>14.419499999999999</v>
    <v>13.5</v>
    <v>13.579499999999999</v>
    <v>13.375500000000001</v>
    <v>13.38</v>
    <v>13.56</v>
    <v>13.77</v>
    <v>13.419</v>
    <v>13.2735</v>
    <v>13.131</v>
    <v>12.6</v>
    <v>12.5565</v>
    <v>12.759</v>
    <v>12.4095</v>
    <v>12.1335</v>
    <v>11.682</v>
    <v>11.4</v>
    <v>10.515000000000001</v>
    <v>10.14</v>
    <v>10.5</v>
    <v>9.9480000000000004</v>
    <v>10.965</v>
    <v>13.377000000000001</v>
    <v>14.739000000000001</v>
    <v>15.9</v>
    <v>15</v>
    <v>14.3535</v>
    <v>13.983000000000001</v>
    <v>12.675000000000001</v>
    <v>13.057499999999999</v>
    <v>11.701499999999999</v>
    <v>11.943</v>
    <v>12.6</v>
    <v>12.028499999999999</v>
    <v>12.657</v>
    <v>12.868499999999999</v>
    <v>12.917999999999999</v>
    <v>13.17</v>
    <v>12.3</v>
    <v>12.288</v>
    <v>12.3</v>
    <v>12.231</v>
    <v>13.452</v>
    <v>13.6395</v>
    <v>13.202999999999999</v>
    <v>13.458</v>
    <v>13.099500000000001</v>
    <v>12.955500000000001</v>
    <v>12.909000000000001</v>
    <v>12.5595</v>
    <v>12.023999999999999</v>
    <v>11.367000000000001</v>
    <v>11.0745</v>
    <v>10.199999999999999</v>
    <v>9.5594999999999999</v>
    <v>9.8849999999999998</v>
    <v>9.0075000000000003</v>
    <v>8.2784999999999993</v>
    <v>7.3559999999999999</v>
    <v>7.3845000000000001</v>
    <v>7.6589999999999998</v>
    <v>7.4865000000000004</v>
    <v>9.2654999999999994</v>
    <v>9.0585000000000004</v>
    <v>9.5655000000000001</v>
    <v>9.1020000000000003</v>
    <v>9.5459999999999994</v>
    <v>9.3885000000000005</v>
    <v>9.9600000000000009</v>
    <v>10.287000000000001</v>
    <v>11.0745</v>
    <v>11.6265</v>
    <v>11.337</v>
    <v>11.1105</v>
    <v>11.932499999999999</v>
    <v>11.701499999999999</v>
    <v>11.28</v>
    <v>10.308</v>
    <v>9.6300000000000008</v>
    <v>9.0839999999999996</v>
    <v>9.2835000000000001</v>
    <v>8.8305000000000007</v>
    <v>10.722</v>
    <v>10.65</v>
    <v>10.725</v>
    <v>10.199999999999999</v>
    <v>10.275</v>
    <v>10.425000000000001</v>
    <v>10.3065</v>
    <v>9.4875000000000007</v>
    <v>9.9</v>
    <v>9.8115000000000006</v>
    <v>10.1175</v>
    <v>10.4895</v>
    <v>11.090999999999999</v>
    <v>10.8675</v>
    <v>11.946</v>
    <v>11.2425</v>
    <v>11.1945</v>
    <v>10.122</v>
    <v>9.99</v>
    <v>8.7899999999999991</v>
    <v>11.35</v>
    <v>9.5500000000000007</v>
    <v>8.76</v>
    <v>8.59</v>
    <v>9.25</v>
    <v>8.73</v>
    <v>8.61</v>
    <v>8.51</v>
    <v>9.5399999999999991</v>
    <v>24.45</v>
    <v>29.12</v>
    <v>29.68</v>
    <v>25.76</v>
    <v>25.84</v>
    <v>24.59</v>
    <v>25.53</v>
    <v>24.76</v>
    <v>23.47</v>
    <v>22.73</v>
    <v>23.36</v>
    <v>25.1</v>
    <v>25.01</v>
    <v>24.41</v>
    <v>23.8</v>
    <v>24.14</v>
    <v>26.67</v>
    <v>24.94</v>
    <v>24.79</v>
    <v>24.48</v>
    <v>25</v>
    <v>24.58</v>
    <v>25</v>
    <v>23.65</v>
    <v>22.91</v>
    <v>22.07</v>
    <v>21.68</v>
    <v>22.96</v>
    <v>23.27</v>
    <v>22.56</v>
    <v>22.45</v>
    <v>21.75</v>
    <v>23.06</v>
    <v>22.47</v>
  </a>
</arrayData>
</file>

<file path=xl/richData/rdrichvalue.xml><?xml version="1.0" encoding="utf-8"?>
<rvData xmlns="http://schemas.microsoft.com/office/spreadsheetml/2017/richdata" count="674">
  <rv s="0">
    <v>https://www.bing.com/financeapi/forcetrigger?t=a1yk77&amp;q=XNAS%3aNKTR&amp;form=skydnc</v>
    <v>Learn more on Bing</v>
  </rv>
  <rv s="1">
    <v>en-GB</v>
    <v>a1yk77</v>
    <v>268435456</v>
    <v>1</v>
    <v>Powered by Refinitiv</v>
    <v>0</v>
    <v>NEKTAR THERAPEUTICS (XNAS:NKTR)</v>
    <v>2</v>
    <v>3</v>
    <v>Finance</v>
    <v>4</v>
    <v>37.380000000000003</v>
    <v>6.48</v>
    <v>1.04</v>
    <v>-0.59</v>
    <v>-1.2905999999999999E-2</v>
    <v>-2.5585E-2</v>
    <v>-0.28999999999999998</v>
    <v>USD</v>
    <v>Nektar Therapeutics is a clinical-stage biotechnology company. It is focused on developing treatments that address the underlying immunological dysfunction in autoimmune and chronic inflammatory diseases. In oncology, it is focused on developing medicines based on targeting biological pathways that stimulate and sustain the body’s immune response to fight cancer. Its lead product candidate, rezpegaldesleukin (REZPEG, or NKTR-358), is a novel regulatory T cell stimulator being evaluated in two Phase IIb clinical trials, one in atopic dermatitis and one in alopecia areata. Its pipeline also includes a preclinical bivalent tumor necrosis factor receptor type II (TNFR2) antibody and bispecific programs, NKTR-0165 and NKTR-0166, and a modified hematopoietic colony stimulating factor (CSF) protein, NKTR-422. It is also evaluating NKTR-255, an investigational IL-15 receptor agonist designed to boost the immune system's natural ability to fight cancer, in several ongoing clinical trials.</v>
    <v>61</v>
    <v>Nasdaq Stock Market</v>
    <v>XNAS</v>
    <v>XNAS</v>
    <v>455 Mission Bay Boulevard South, SAN FRANCISCO, CA, 94158 US</v>
    <v>23.499099999999999</v>
    <v>Biotechnology &amp; Medical Research</v>
    <v>Stock</v>
    <v>45880.967831631249</v>
    <v>0</v>
    <v>22.281099999999999</v>
    <v>374412217</v>
    <v>NEKTAR THERAPEUTICS</v>
    <v>NEKTAR THERAPEUTICS</v>
    <v>23.19</v>
    <v>0</v>
    <v>23.06</v>
    <v>22.47</v>
    <v>22.18</v>
    <v>16662760</v>
    <v>NKTR</v>
    <v>NEKTAR THERAPEUTICS (XNAS:NKTR)</v>
    <v>583224</v>
    <v>850739</v>
    <v>1998</v>
  </rv>
  <rv s="2">
    <v>1</v>
  </rv>
  <rv s="3">
    <v>en-GB</v>
    <v>cacc9c</v>
    <v>268435456</v>
    <v>1</v>
    <v>Powered by Refinitiv</v>
    <v>5</v>
    <v>APOGEE THERAPEUTICS, INC. (XNAS:APGE)</v>
    <v>6</v>
    <v>3</v>
    <v>Finance</v>
    <v>4</v>
    <v>63.5</v>
    <v>26.2</v>
    <v>1.6970000000000001</v>
    <v>-0.74</v>
    <v>2.5969999999999999E-3</v>
    <v>-2.0910000000000002E-2</v>
    <v>0.09</v>
    <v>USD</v>
    <v>Apogee Therapeutics, Inc. is a clinical-stage biotechnology company. The Company is advancing novel biologics with the potential for differentiated efficacy and dosing in the inflammatory and immunology (I&amp;I) markets, including for the treatment of atopic dermatitis (AD), asthma, eosinophilic esophagitis (EoE), chronic obstructive pulmonary disease (COPD), and other I&amp;I indications. APG777, the Company’s most advanced program, is being initially developed for the treatment of AD. With four validated targets in its portfolio, it is seeking to achieve efficacy and dosing through monotherapies and combinations of its novel antibodies. Its most advanced programs are APG777, APG990, APG333, and APG808. APG990 is an SQ extended half-life mAb that utilizes advanced antibody engineering to target OX40L. APG333 is a fully human mAb against thymic stromal lymphopoietin (TSLP). APG808 is an SQ extended half-life mAb targeting IL-4Rα. APG279 is for the dual inhibition of OX40L and IL-13.</v>
    <v>196</v>
    <v>Nasdaq Stock Market</v>
    <v>XNAS</v>
    <v>XNAS</v>
    <v>221 Crescent St., Building 17, Suite 102b, WALTHAM, MA, 02453 US</v>
    <v>35.74</v>
    <v>Biotechnology &amp; Medical Research</v>
    <v>Stock</v>
    <v>45880.871913760937</v>
    <v>34.395000000000003</v>
    <v>2062855179</v>
    <v>APOGEE THERAPEUTICS, INC.</v>
    <v>APOGEE THERAPEUTICS, INC.</v>
    <v>35.39</v>
    <v>0</v>
    <v>35.39</v>
    <v>34.65</v>
    <v>34.74</v>
    <v>59534060</v>
    <v>APGE</v>
    <v>APOGEE THERAPEUTICS, INC. (XNAS:APGE)</v>
    <v>467821</v>
    <v>1086037</v>
    <v>2023</v>
  </rv>
  <rv s="2">
    <v>3</v>
  </rv>
  <rv s="0">
    <v>https://www.bing.com/financeapi/forcetrigger?t=a1mtw7&amp;q=XNAS%3aACRS&amp;form=skydnc</v>
    <v>Learn more on Bing</v>
  </rv>
  <rv s="1">
    <v>en-GB</v>
    <v>a1mtw7</v>
    <v>268435456</v>
    <v>1</v>
    <v>Powered by Refinitiv</v>
    <v>0</v>
    <v>ACLARIS THERAPEUTICS, INC. (XNAS:ACRS)</v>
    <v>2</v>
    <v>3</v>
    <v>Finance</v>
    <v>4</v>
    <v>5.17</v>
    <v>1.05</v>
    <v>0.27589999999999998</v>
    <v>0.01</v>
    <v>-1.2200000000000001E-4</v>
    <v>6.1350000000000007E-3</v>
    <v>-2.0000000000000001E-4</v>
    <v>USD</v>
    <v>Aclaris Therapeutics, Inc. is a clinical-stage biopharmaceutical company. The Company is engaged in developing a pipeline of drug candidates to address the needs of patients with immuno-inflammatory diseases. It has a multi-stage portfolio of drug candidates powered by a robust research and development engine. Its KINect drug discovery platform, combined with its preclinical development capabilities, allows it to identify and advance potential product candidates that it may develop independently or in collaboration with third parties. It has two segments: therapeutics and contract research. The therapeutics segment is focused on identifying and developing therapies to address unmet needs for immuno-inflammatory diseases. The contract research segment is engaged in the provision of laboratory services. Its drug candidates include Bosakitug (ATI-045), ATI-2138 and ATI-052. Its other investigational product candidates include Lepzacitinib (ATI-1777) and Zunsemetinib (ATI-450).</v>
    <v>64</v>
    <v>Nasdaq Stock Market</v>
    <v>XNAS</v>
    <v>XNAS</v>
    <v>701 Lee Road, Suite 103, WAYNE, PA, 19087 US</v>
    <v>1.6698999999999999</v>
    <v>Biotechnology &amp; Medical Research</v>
    <v>Stock</v>
    <v>45880.992742071096</v>
    <v>5</v>
    <v>1.595</v>
    <v>177664808</v>
    <v>ACLARIS THERAPEUTICS, INC.</v>
    <v>ACLARIS THERAPEUTICS, INC.</v>
    <v>1.62</v>
    <v>0</v>
    <v>1.63</v>
    <v>1.64</v>
    <v>1.6397999999999999</v>
    <v>108332200</v>
    <v>ACRS</v>
    <v>ACLARIS THERAPEUTICS, INC. (XNAS:ACRS)</v>
    <v>1105182</v>
    <v>1234964</v>
    <v>2012</v>
  </rv>
  <rv s="2">
    <v>6</v>
  </rv>
  <rv s="4">
    <fb>45293</fb>
    <v>7</v>
  </rv>
  <rv s="4">
    <fb>8.9220000000000006</fb>
    <v>8</v>
  </rv>
  <rv s="4">
    <fb>45294</fb>
    <v>7</v>
  </rv>
  <rv s="4">
    <fb>8.3550000000000004</fb>
    <v>8</v>
  </rv>
  <rv s="4">
    <fb>45295</fb>
    <v>7</v>
  </rv>
  <rv s="4">
    <fb>8.4749999999999996</fb>
    <v>8</v>
  </rv>
  <rv s="4">
    <fb>45296</fb>
    <v>7</v>
  </rv>
  <rv s="4">
    <fb>8.0295000000000005</fb>
    <v>8</v>
  </rv>
  <rv s="4">
    <fb>45299</fb>
    <v>7</v>
  </rv>
  <rv s="4">
    <fb>8.8049999999999997</fb>
    <v>8</v>
  </rv>
  <rv s="4">
    <fb>45300</fb>
    <v>7</v>
  </rv>
  <rv s="4">
    <fb>8.4179999999999993</fb>
    <v>8</v>
  </rv>
  <rv s="4">
    <fb>45301</fb>
    <v>7</v>
  </rv>
  <rv s="4">
    <fb>8.2754999999999992</fb>
    <v>8</v>
  </rv>
  <rv s="4">
    <fb>45302</fb>
    <v>7</v>
  </rv>
  <rv s="4">
    <fb>8.1</fb>
    <v>8</v>
  </rv>
  <rv s="4">
    <fb>45303</fb>
    <v>7</v>
  </rv>
  <rv s="4">
    <fb>8.0129999999999999</fb>
    <v>8</v>
  </rv>
  <rv s="4">
    <fb>45307</fb>
    <v>7</v>
  </rv>
  <rv s="4">
    <fb>7.74</fb>
    <v>8</v>
  </rv>
  <rv s="4">
    <fb>45308</fb>
    <v>7</v>
  </rv>
  <rv s="4">
    <fb>7.4039999999999999</fb>
    <v>8</v>
  </rv>
  <rv s="4">
    <fb>45309</fb>
    <v>7</v>
  </rv>
  <rv s="4">
    <fb>8.25</fb>
    <v>8</v>
  </rv>
  <rv s="4">
    <fb>45310</fb>
    <v>7</v>
  </rv>
  <rv s="4">
    <fb>8.0220000000000002</fb>
    <v>8</v>
  </rv>
  <rv s="4">
    <fb>45313</fb>
    <v>7</v>
  </rv>
  <rv s="4">
    <fb>7.6515000000000004</fb>
    <v>8</v>
  </rv>
  <rv s="4">
    <fb>45314</fb>
    <v>7</v>
  </rv>
  <rv s="4">
    <fb>7.65</fb>
    <v>8</v>
  </rv>
  <rv s="4">
    <fb>45315</fb>
    <v>7</v>
  </rv>
  <rv s="4">
    <fb>7.5795000000000003</fb>
    <v>8</v>
  </rv>
  <rv s="4">
    <fb>45316</fb>
    <v>7</v>
  </rv>
  <rv s="4">
    <fb>45317</fb>
    <v>7</v>
  </rv>
  <rv s="4">
    <fb>7.6349999999999998</fb>
    <v>8</v>
  </rv>
  <rv s="4">
    <fb>45320</fb>
    <v>7</v>
  </rv>
  <rv s="4">
    <fb>8.4</fb>
    <v>8</v>
  </rv>
  <rv s="4">
    <fb>45321</fb>
    <v>7</v>
  </rv>
  <rv s="4">
    <fb>45322</fb>
    <v>7</v>
  </rv>
  <rv s="4">
    <fb>8.1344999999999992</fb>
    <v>8</v>
  </rv>
  <rv s="4">
    <fb>45323</fb>
    <v>7</v>
  </rv>
  <rv s="4">
    <fb>8.6999999999999993</fb>
    <v>8</v>
  </rv>
  <rv s="4">
    <fb>45324</fb>
    <v>7</v>
  </rv>
  <rv s="4">
    <fb>8.3249999999999993</fb>
    <v>8</v>
  </rv>
  <rv s="4">
    <fb>45327</fb>
    <v>7</v>
  </rv>
  <rv s="4">
    <fb>45328</fb>
    <v>7</v>
  </rv>
  <rv s="4">
    <fb>10.199999999999999</fb>
    <v>8</v>
  </rv>
  <rv s="4">
    <fb>45329</fb>
    <v>7</v>
  </rv>
  <rv s="4">
    <fb>10.050000000000001</fb>
    <v>8</v>
  </rv>
  <rv s="4">
    <fb>45330</fb>
    <v>7</v>
  </rv>
  <rv s="4">
    <fb>10.275</fb>
    <v>8</v>
  </rv>
  <rv s="4">
    <fb>45331</fb>
    <v>7</v>
  </rv>
  <rv s="4">
    <fb>10.65</fb>
    <v>8</v>
  </rv>
  <rv s="4">
    <fb>45334</fb>
    <v>7</v>
  </rv>
  <rv s="4">
    <fb>10.68</fb>
    <v>8</v>
  </rv>
  <rv s="4">
    <fb>45335</fb>
    <v>7</v>
  </rv>
  <rv s="4">
    <fb>9.8249999999999993</fb>
    <v>8</v>
  </rv>
  <rv s="4">
    <fb>45336</fb>
    <v>7</v>
  </rv>
  <rv s="4">
    <fb>11.55</fb>
    <v>8</v>
  </rv>
  <rv s="4">
    <fb>45337</fb>
    <v>7</v>
  </rv>
  <rv s="4">
    <fb>11.1</fb>
    <v>8</v>
  </rv>
  <rv s="4">
    <fb>45338</fb>
    <v>7</v>
  </rv>
  <rv s="4">
    <fb>10.6785</fb>
    <v>8</v>
  </rv>
  <rv s="4">
    <fb>45342</fb>
    <v>7</v>
  </rv>
  <rv s="4">
    <fb>9.9540000000000006</fb>
    <v>8</v>
  </rv>
  <rv s="4">
    <fb>45343</fb>
    <v>7</v>
  </rv>
  <rv s="4">
    <fb>10.35</fb>
    <v>8</v>
  </rv>
  <rv s="4">
    <fb>45344</fb>
    <v>7</v>
  </rv>
  <rv s="4">
    <fb>9.9149999999999991</fb>
    <v>8</v>
  </rv>
  <rv s="4">
    <fb>45345</fb>
    <v>7</v>
  </rv>
  <rv s="4">
    <fb>10.236000000000001</fb>
    <v>8</v>
  </rv>
  <rv s="4">
    <fb>45348</fb>
    <v>7</v>
  </rv>
  <rv s="4">
    <fb>45349</fb>
    <v>7</v>
  </rv>
  <rv s="4">
    <fb>11.25</fb>
    <v>8</v>
  </rv>
  <rv s="4">
    <fb>45350</fb>
    <v>7</v>
  </rv>
  <rv s="4">
    <fb>10.8</fb>
    <v>8</v>
  </rv>
  <rv s="4">
    <fb>45351</fb>
    <v>7</v>
  </rv>
  <rv s="4">
    <fb>45352</fb>
    <v>7</v>
  </rv>
  <rv s="4">
    <fb>11.7</fb>
    <v>8</v>
  </rv>
  <rv s="4">
    <fb>45355</fb>
    <v>7</v>
  </rv>
  <rv s="4">
    <fb>13.5</fb>
    <v>8</v>
  </rv>
  <rv s="4">
    <fb>45356</fb>
    <v>7</v>
  </rv>
  <rv s="4">
    <fb>13.2615</fb>
    <v>8</v>
  </rv>
  <rv s="4">
    <fb>45357</fb>
    <v>7</v>
  </rv>
  <rv s="4">
    <fb>13.6485</fb>
    <v>8</v>
  </rv>
  <rv s="4">
    <fb>45358</fb>
    <v>7</v>
  </rv>
  <rv s="4">
    <fb>14.334</fb>
    <v>8</v>
  </rv>
  <rv s="4">
    <fb>45359</fb>
    <v>7</v>
  </rv>
  <rv s="4">
    <fb>13.6365</fb>
    <v>8</v>
  </rv>
  <rv s="4">
    <fb>45362</fb>
    <v>7</v>
  </rv>
  <rv s="4">
    <fb>12.4755</fb>
    <v>8</v>
  </rv>
  <rv s="4">
    <fb>45363</fb>
    <v>7</v>
  </rv>
  <rv s="4">
    <fb>13.35</fb>
    <v>8</v>
  </rv>
  <rv s="4">
    <fb>45364</fb>
    <v>7</v>
  </rv>
  <rv s="4">
    <fb>12.75</fb>
    <v>8</v>
  </rv>
  <rv s="4">
    <fb>45365</fb>
    <v>7</v>
  </rv>
  <rv s="4">
    <fb>12.9</fb>
    <v>8</v>
  </rv>
  <rv s="4">
    <fb>45366</fb>
    <v>7</v>
  </rv>
  <rv s="4">
    <fb>12.903</fb>
    <v>8</v>
  </rv>
  <rv s="4">
    <fb>45369</fb>
    <v>7</v>
  </rv>
  <rv s="4">
    <fb>45370</fb>
    <v>7</v>
  </rv>
  <rv s="4">
    <fb>13.023</fb>
    <v>8</v>
  </rv>
  <rv s="4">
    <fb>45371</fb>
    <v>7</v>
  </rv>
  <rv s="4">
    <fb>45372</fb>
    <v>7</v>
  </rv>
  <rv s="4">
    <fb>13.4595</fb>
    <v>8</v>
  </rv>
  <rv s="4">
    <fb>45373</fb>
    <v>7</v>
  </rv>
  <rv s="4">
    <fb>13.702500000000001</fb>
    <v>8</v>
  </rv>
  <rv s="4">
    <fb>45376</fb>
    <v>7</v>
  </rv>
  <rv s="4">
    <fb>13.3215</fb>
    <v>8</v>
  </rv>
  <rv s="4">
    <fb>45377</fb>
    <v>7</v>
  </rv>
  <rv s="4">
    <fb>45378</fb>
    <v>7</v>
  </rv>
  <rv s="4">
    <fb>13.2765</fb>
    <v>8</v>
  </rv>
  <rv s="4">
    <fb>45379</fb>
    <v>7</v>
  </rv>
  <rv s="4">
    <fb>14.013</fb>
    <v>8</v>
  </rv>
  <rv s="4">
    <fb>45383</fb>
    <v>7</v>
  </rv>
  <rv s="4">
    <fb>13.561500000000001</fb>
    <v>8</v>
  </rv>
  <rv s="4">
    <fb>45384</fb>
    <v>7</v>
  </rv>
  <rv s="4">
    <fb>14.25</fb>
    <v>8</v>
  </rv>
  <rv s="4">
    <fb>45385</fb>
    <v>7</v>
  </rv>
  <rv s="4">
    <fb>15.6</fb>
    <v>8</v>
  </rv>
  <rv s="4">
    <fb>45386</fb>
    <v>7</v>
  </rv>
  <rv s="4">
    <fb>19.8</fb>
    <v>8</v>
  </rv>
  <rv s="4">
    <fb>45387</fb>
    <v>7</v>
  </rv>
  <rv s="4">
    <fb>45390</fb>
    <v>7</v>
  </rv>
  <rv s="4">
    <fb>19.649999999999999</fb>
    <v>8</v>
  </rv>
  <rv s="4">
    <fb>45391</fb>
    <v>7</v>
  </rv>
  <rv s="4">
    <fb>18.75</fb>
    <v>8</v>
  </rv>
  <rv s="4">
    <fb>45392</fb>
    <v>7</v>
  </rv>
  <rv s="4">
    <fb>19.350000000000001</fb>
    <v>8</v>
  </rv>
  <rv s="4">
    <fb>45393</fb>
    <v>7</v>
  </rv>
  <rv s="4">
    <fb>23.7</fb>
    <v>8</v>
  </rv>
  <rv s="4">
    <fb>45394</fb>
    <v>7</v>
  </rv>
  <rv s="4">
    <fb>25.05</fb>
    <v>8</v>
  </rv>
  <rv s="4">
    <fb>45397</fb>
    <v>7</v>
  </rv>
  <rv s="4">
    <fb>23.55</fb>
    <v>8</v>
  </rv>
  <rv s="4">
    <fb>45398</fb>
    <v>7</v>
  </rv>
  <rv s="4">
    <fb>22.35</fb>
    <v>8</v>
  </rv>
  <rv s="4">
    <fb>45399</fb>
    <v>7</v>
  </rv>
  <rv s="4">
    <fb>20.25</fb>
    <v>8</v>
  </rv>
  <rv s="4">
    <fb>45400</fb>
    <v>7</v>
  </rv>
  <rv s="4">
    <fb>45401</fb>
    <v>7</v>
  </rv>
  <rv s="4">
    <fb>18.600000000000001</fb>
    <v>8</v>
  </rv>
  <rv s="4">
    <fb>45404</fb>
    <v>7</v>
  </rv>
  <rv s="4">
    <fb>20.399999999999999</fb>
    <v>8</v>
  </rv>
  <rv s="4">
    <fb>45405</fb>
    <v>7</v>
  </rv>
  <rv s="4">
    <fb>21.3</fb>
    <v>8</v>
  </rv>
  <rv s="4">
    <fb>45406</fb>
    <v>7</v>
  </rv>
  <rv s="4">
    <fb>20.7</fb>
    <v>8</v>
  </rv>
  <rv s="4">
    <fb>45407</fb>
    <v>7</v>
  </rv>
  <rv s="4">
    <fb>45408</fb>
    <v>7</v>
  </rv>
  <rv s="4">
    <fb>45411</fb>
    <v>7</v>
  </rv>
  <rv s="4">
    <fb>21.9</fb>
    <v>8</v>
  </rv>
  <rv s="4">
    <fb>45412</fb>
    <v>7</v>
  </rv>
  <rv s="4">
    <fb>45413</fb>
    <v>7</v>
  </rv>
  <rv s="4">
    <fb>24.75</fb>
    <v>8</v>
  </rv>
  <rv s="4">
    <fb>45414</fb>
    <v>7</v>
  </rv>
  <rv s="4">
    <fb>45415</fb>
    <v>7</v>
  </rv>
  <rv s="4">
    <fb>45418</fb>
    <v>7</v>
  </rv>
  <rv s="4">
    <fb>45419</fb>
    <v>7</v>
  </rv>
  <rv s="4">
    <fb>22.5</fb>
    <v>8</v>
  </rv>
  <rv s="4">
    <fb>45420</fb>
    <v>7</v>
  </rv>
  <rv s="4">
    <fb>24.6</fb>
    <v>8</v>
  </rv>
  <rv s="4">
    <fb>45421</fb>
    <v>7</v>
  </rv>
  <rv s="4">
    <fb>24</fb>
    <v>8</v>
  </rv>
  <rv s="4">
    <fb>45422</fb>
    <v>7</v>
  </rv>
  <rv s="4">
    <fb>26.4</fb>
    <v>8</v>
  </rv>
  <rv s="4">
    <fb>45425</fb>
    <v>7</v>
  </rv>
  <rv s="4">
    <fb>26.25</fb>
    <v>8</v>
  </rv>
  <rv s="4">
    <fb>45426</fb>
    <v>7</v>
  </rv>
  <rv s="4">
    <fb>26.55</fb>
    <v>8</v>
  </rv>
  <rv s="4">
    <fb>45427</fb>
    <v>7</v>
  </rv>
  <rv s="4">
    <fb>27.45</fb>
    <v>8</v>
  </rv>
  <rv s="4">
    <fb>45428</fb>
    <v>7</v>
  </rv>
  <rv s="4">
    <fb>27</fb>
    <v>8</v>
  </rv>
  <rv s="4">
    <fb>45429</fb>
    <v>7</v>
  </rv>
  <rv s="4">
    <fb>26.324999999999999</fb>
    <v>8</v>
  </rv>
  <rv s="4">
    <fb>45432</fb>
    <v>7</v>
  </rv>
  <rv s="4">
    <fb>45433</fb>
    <v>7</v>
  </rv>
  <rv s="4">
    <fb>25.5</fb>
    <v>8</v>
  </rv>
  <rv s="4">
    <fb>45434</fb>
    <v>7</v>
  </rv>
  <rv s="4">
    <fb>45435</fb>
    <v>7</v>
  </rv>
  <rv s="4">
    <fb>24.9</fb>
    <v>8</v>
  </rv>
  <rv s="4">
    <fb>45436</fb>
    <v>7</v>
  </rv>
  <rv s="4">
    <fb>45440</fb>
    <v>7</v>
  </rv>
  <rv s="4">
    <fb>45441</fb>
    <v>7</v>
  </rv>
  <rv s="4">
    <fb>45442</fb>
    <v>7</v>
  </rv>
  <rv s="4">
    <fb>18.899999999999999</fb>
    <v>8</v>
  </rv>
  <rv s="4">
    <fb>45443</fb>
    <v>7</v>
  </rv>
  <rv s="4">
    <fb>19.05</fb>
    <v>8</v>
  </rv>
  <rv s="4">
    <fb>45446</fb>
    <v>7</v>
  </rv>
  <rv s="4">
    <fb>21.15</fb>
    <v>8</v>
  </rv>
  <rv s="4">
    <fb>45447</fb>
    <v>7</v>
  </rv>
  <rv s="4">
    <fb>21</fb>
    <v>8</v>
  </rv>
  <rv s="4">
    <fb>45448</fb>
    <v>7</v>
  </rv>
  <rv s="4">
    <fb>45449</fb>
    <v>7</v>
  </rv>
  <rv s="4">
    <fb>20.85</fb>
    <v>8</v>
  </rv>
  <rv s="4">
    <fb>45450</fb>
    <v>7</v>
  </rv>
  <rv s="4">
    <fb>45453</fb>
    <v>7</v>
  </rv>
  <rv s="4">
    <fb>18.074999999999999</fb>
    <v>8</v>
  </rv>
  <rv s="4">
    <fb>45454</fb>
    <v>7</v>
  </rv>
  <rv s="4">
    <fb>45455</fb>
    <v>7</v>
  </rv>
  <rv s="4">
    <fb>45456</fb>
    <v>7</v>
  </rv>
  <rv s="4">
    <fb>45457</fb>
    <v>7</v>
  </rv>
  <rv s="4">
    <fb>17.55</fb>
    <v>8</v>
  </rv>
  <rv s="4">
    <fb>45460</fb>
    <v>7</v>
  </rv>
  <rv s="4">
    <fb>45461</fb>
    <v>7</v>
  </rv>
  <rv s="4">
    <fb>17.100000000000001</fb>
    <v>8</v>
  </rv>
  <rv s="4">
    <fb>45463</fb>
    <v>7</v>
  </rv>
  <rv s="4">
    <fb>16.350000000000001</fb>
    <v>8</v>
  </rv>
  <rv s="4">
    <fb>45464</fb>
    <v>7</v>
  </rv>
  <rv s="4">
    <fb>17.399999999999999</fb>
    <v>8</v>
  </rv>
  <rv s="4">
    <fb>45467</fb>
    <v>7</v>
  </rv>
  <rv s="4">
    <fb>45468</fb>
    <v>7</v>
  </rv>
  <rv s="4">
    <fb>16.05</fb>
    <v>8</v>
  </rv>
  <rv s="4">
    <fb>45469</fb>
    <v>7</v>
  </rv>
  <rv s="4">
    <fb>16.274999999999999</fb>
    <v>8</v>
  </rv>
  <rv s="4">
    <fb>45470</fb>
    <v>7</v>
  </rv>
  <rv s="4">
    <fb>45471</fb>
    <v>7</v>
  </rv>
  <rv s="4">
    <fb>45474</fb>
    <v>7</v>
  </rv>
  <rv s="4">
    <fb>18.3</fb>
    <v>8</v>
  </rv>
  <rv s="4">
    <fb>45475</fb>
    <v>7</v>
  </rv>
  <rv s="4">
    <fb>45476</fb>
    <v>7</v>
  </rv>
  <rv s="4">
    <fb>19.5</fb>
    <v>8</v>
  </rv>
  <rv s="4">
    <fb>45478</fb>
    <v>7</v>
  </rv>
  <rv s="4">
    <fb>45481</fb>
    <v>7</v>
  </rv>
  <rv s="4">
    <fb>45482</fb>
    <v>7</v>
  </rv>
  <rv s="4">
    <fb>18.45</fb>
    <v>8</v>
  </rv>
  <rv s="4">
    <fb>45483</fb>
    <v>7</v>
  </rv>
  <rv s="4">
    <fb>19.95</fb>
    <v>8</v>
  </rv>
  <rv s="4">
    <fb>45484</fb>
    <v>7</v>
  </rv>
  <rv s="4">
    <fb>45485</fb>
    <v>7</v>
  </rv>
  <rv s="4">
    <fb>45488</fb>
    <v>7</v>
  </rv>
  <rv s="4">
    <fb>45489</fb>
    <v>7</v>
  </rv>
  <rv s="4">
    <fb>22.05</fb>
    <v>8</v>
  </rv>
  <rv s="4">
    <fb>45490</fb>
    <v>7</v>
  </rv>
  <rv s="4">
    <fb>21.75</fb>
    <v>8</v>
  </rv>
  <rv s="4">
    <fb>45491</fb>
    <v>7</v>
  </rv>
  <rv s="4">
    <fb>45492</fb>
    <v>7</v>
  </rv>
  <rv s="4">
    <fb>45495</fb>
    <v>7</v>
  </rv>
  <rv s="4">
    <fb>45496</fb>
    <v>7</v>
  </rv>
  <rv s="4">
    <fb>22.2</fb>
    <v>8</v>
  </rv>
  <rv s="4">
    <fb>45497</fb>
    <v>7</v>
  </rv>
  <rv s="4">
    <fb>45498</fb>
    <v>7</v>
  </rv>
  <rv s="4">
    <fb>20.55</fb>
    <v>8</v>
  </rv>
  <rv s="4">
    <fb>45499</fb>
    <v>7</v>
  </rv>
  <rv s="4">
    <fb>45502</fb>
    <v>7</v>
  </rv>
  <rv s="4">
    <fb>45503</fb>
    <v>7</v>
  </rv>
  <rv s="4">
    <fb>45504</fb>
    <v>7</v>
  </rv>
  <rv s="4">
    <fb>20.100000000000001</fb>
    <v>8</v>
  </rv>
  <rv s="4">
    <fb>45505</fb>
    <v>7</v>
  </rv>
  <rv s="4">
    <fb>45506</fb>
    <v>7</v>
  </rv>
  <rv s="4">
    <fb>18</fb>
    <v>8</v>
  </rv>
  <rv s="4">
    <fb>45509</fb>
    <v>7</v>
  </rv>
  <rv s="4">
    <fb>45510</fb>
    <v>7</v>
  </rv>
  <rv s="4">
    <fb>45511</fb>
    <v>7</v>
  </rv>
  <rv s="4">
    <fb>17.7</fb>
    <v>8</v>
  </rv>
  <rv s="4">
    <fb>45512</fb>
    <v>7</v>
  </rv>
  <rv s="4">
    <fb>18.149999999999999</fb>
    <v>8</v>
  </rv>
  <rv s="4">
    <fb>45513</fb>
    <v>7</v>
  </rv>
  <rv s="4">
    <fb>16.649999999999999</fb>
    <v>8</v>
  </rv>
  <rv s="4">
    <fb>45516</fb>
    <v>7</v>
  </rv>
  <rv s="4">
    <fb>45517</fb>
    <v>7</v>
  </rv>
  <rv s="4">
    <fb>17.25</fb>
    <v>8</v>
  </rv>
  <rv s="4">
    <fb>45518</fb>
    <v>7</v>
  </rv>
  <rv s="4">
    <fb>45519</fb>
    <v>7</v>
  </rv>
  <rv s="4">
    <fb>17.850000000000001</fb>
    <v>8</v>
  </rv>
  <rv s="4">
    <fb>45520</fb>
    <v>7</v>
  </rv>
  <rv s="4">
    <fb>45523</fb>
    <v>7</v>
  </rv>
  <rv s="4">
    <fb>45524</fb>
    <v>7</v>
  </rv>
  <rv s="4">
    <fb>19.2</fb>
    <v>8</v>
  </rv>
  <rv s="4">
    <fb>45525</fb>
    <v>7</v>
  </rv>
  <rv s="4">
    <fb>45526</fb>
    <v>7</v>
  </rv>
  <rv s="4">
    <fb>45527</fb>
    <v>7</v>
  </rv>
  <rv s="4">
    <fb>45530</fb>
    <v>7</v>
  </rv>
  <rv s="4">
    <fb>45531</fb>
    <v>7</v>
  </rv>
  <rv s="4">
    <fb>45532</fb>
    <v>7</v>
  </rv>
  <rv s="4">
    <fb>45533</fb>
    <v>7</v>
  </rv>
  <rv s="4">
    <fb>45534</fb>
    <v>7</v>
  </rv>
  <rv s="4">
    <fb>45538</fb>
    <v>7</v>
  </rv>
  <rv s="4">
    <fb>45539</fb>
    <v>7</v>
  </rv>
  <rv s="4">
    <fb>45540</fb>
    <v>7</v>
  </rv>
  <rv s="4">
    <fb>16.95</fb>
    <v>8</v>
  </rv>
  <rv s="4">
    <fb>45541</fb>
    <v>7</v>
  </rv>
  <rv s="4">
    <fb>16.8</fb>
    <v>8</v>
  </rv>
  <rv s="4">
    <fb>45544</fb>
    <v>7</v>
  </rv>
  <rv s="4">
    <fb>45545</fb>
    <v>7</v>
  </rv>
  <rv s="4">
    <fb>45546</fb>
    <v>7</v>
  </rv>
  <rv s="4">
    <fb>45547</fb>
    <v>7</v>
  </rv>
  <rv s="4">
    <fb>45548</fb>
    <v>7</v>
  </rv>
  <rv s="4">
    <fb>45551</fb>
    <v>7</v>
  </rv>
  <rv s="4">
    <fb>45552</fb>
    <v>7</v>
  </rv>
  <rv s="4">
    <fb>45553</fb>
    <v>7</v>
  </rv>
  <rv s="4">
    <fb>45554</fb>
    <v>7</v>
  </rv>
  <rv s="4">
    <fb>45555</fb>
    <v>7</v>
  </rv>
  <rv s="4">
    <fb>45558</fb>
    <v>7</v>
  </rv>
  <rv s="4">
    <fb>45559</fb>
    <v>7</v>
  </rv>
  <rv s="4">
    <fb>45560</fb>
    <v>7</v>
  </rv>
  <rv s="4">
    <fb>45561</fb>
    <v>7</v>
  </rv>
  <rv s="4">
    <fb>45562</fb>
    <v>7</v>
  </rv>
  <rv s="4">
    <fb>45565</fb>
    <v>7</v>
  </rv>
  <rv s="4">
    <fb>45566</fb>
    <v>7</v>
  </rv>
  <rv s="4">
    <fb>45567</fb>
    <v>7</v>
  </rv>
  <rv s="4">
    <fb>45568</fb>
    <v>7</v>
  </rv>
  <rv s="4">
    <fb>45569</fb>
    <v>7</v>
  </rv>
  <rv s="4">
    <fb>45572</fb>
    <v>7</v>
  </rv>
  <rv s="4">
    <fb>45573</fb>
    <v>7</v>
  </rv>
  <rv s="4">
    <fb>45574</fb>
    <v>7</v>
  </rv>
  <rv s="4">
    <fb>45575</fb>
    <v>7</v>
  </rv>
  <rv s="4">
    <fb>45576</fb>
    <v>7</v>
  </rv>
  <rv s="4">
    <fb>45579</fb>
    <v>7</v>
  </rv>
  <rv s="4">
    <fb>45580</fb>
    <v>7</v>
  </rv>
  <rv s="4">
    <fb>45581</fb>
    <v>7</v>
  </rv>
  <rv s="4">
    <fb>45582</fb>
    <v>7</v>
  </rv>
  <rv s="4">
    <fb>45583</fb>
    <v>7</v>
  </rv>
  <rv s="4">
    <fb>45586</fb>
    <v>7</v>
  </rv>
  <rv s="4">
    <fb>45587</fb>
    <v>7</v>
  </rv>
  <rv s="4">
    <fb>21.6</fb>
    <v>8</v>
  </rv>
  <rv s="4">
    <fb>45588</fb>
    <v>7</v>
  </rv>
  <rv s="4">
    <fb>45589</fb>
    <v>7</v>
  </rv>
  <rv s="4">
    <fb>45590</fb>
    <v>7</v>
  </rv>
  <rv s="4">
    <fb>45593</fb>
    <v>7</v>
  </rv>
  <rv s="4">
    <fb>45594</fb>
    <v>7</v>
  </rv>
  <rv s="4">
    <fb>45595</fb>
    <v>7</v>
  </rv>
  <rv s="4">
    <fb>45596</fb>
    <v>7</v>
  </rv>
  <rv s="4">
    <fb>45597</fb>
    <v>7</v>
  </rv>
  <rv s="4">
    <fb>45600</fb>
    <v>7</v>
  </rv>
  <rv s="4">
    <fb>45601</fb>
    <v>7</v>
  </rv>
  <rv s="4">
    <fb>45602</fb>
    <v>7</v>
  </rv>
  <rv s="4">
    <fb>45603</fb>
    <v>7</v>
  </rv>
  <rv s="4">
    <fb>45604</fb>
    <v>7</v>
  </rv>
  <rv s="4">
    <fb>45607</fb>
    <v>7</v>
  </rv>
  <rv s="4">
    <fb>45608</fb>
    <v>7</v>
  </rv>
  <rv s="4">
    <fb>45609</fb>
    <v>7</v>
  </rv>
  <rv s="4">
    <fb>45610</fb>
    <v>7</v>
  </rv>
  <rv s="4">
    <fb>45611</fb>
    <v>7</v>
  </rv>
  <rv s="4">
    <fb>45614</fb>
    <v>7</v>
  </rv>
  <rv s="4">
    <fb>15.45</fb>
    <v>8</v>
  </rv>
  <rv s="4">
    <fb>45615</fb>
    <v>7</v>
  </rv>
  <rv s="4">
    <fb>45616</fb>
    <v>7</v>
  </rv>
  <rv s="4">
    <fb>15</fb>
    <v>8</v>
  </rv>
  <rv s="4">
    <fb>45617</fb>
    <v>7</v>
  </rv>
  <rv s="4">
    <fb>15.15</fb>
    <v>8</v>
  </rv>
  <rv s="4">
    <fb>45618</fb>
    <v>7</v>
  </rv>
  <rv s="4">
    <fb>15.75</fb>
    <v>8</v>
  </rv>
  <rv s="4">
    <fb>45621</fb>
    <v>7</v>
  </rv>
  <rv s="4">
    <fb>45622</fb>
    <v>7</v>
  </rv>
  <rv s="4">
    <fb>45623</fb>
    <v>7</v>
  </rv>
  <rv s="4">
    <fb>45625</fb>
    <v>7</v>
  </rv>
  <rv s="4">
    <fb>45628</fb>
    <v>7</v>
  </rv>
  <rv s="4">
    <fb>45629</fb>
    <v>7</v>
  </rv>
  <rv s="4">
    <fb>45630</fb>
    <v>7</v>
  </rv>
  <rv s="4">
    <fb>15.3</fb>
    <v>8</v>
  </rv>
  <rv s="4">
    <fb>45631</fb>
    <v>7</v>
  </rv>
  <rv s="4">
    <fb>45632</fb>
    <v>7</v>
  </rv>
  <rv s="4">
    <fb>45635</fb>
    <v>7</v>
  </rv>
  <rv s="4">
    <fb>45636</fb>
    <v>7</v>
  </rv>
  <rv s="4">
    <fb>45637</fb>
    <v>7</v>
  </rv>
  <rv s="4">
    <fb>45638</fb>
    <v>7</v>
  </rv>
  <rv s="4">
    <fb>45639</fb>
    <v>7</v>
  </rv>
  <rv s="4">
    <fb>45642</fb>
    <v>7</v>
  </rv>
  <rv s="4">
    <fb>45643</fb>
    <v>7</v>
  </rv>
  <rv s="4">
    <fb>45644</fb>
    <v>7</v>
  </rv>
  <rv s="4">
    <fb>13.8765</fb>
    <v>8</v>
  </rv>
  <rv s="4">
    <fb>45645</fb>
    <v>7</v>
  </rv>
  <rv s="4">
    <fb>14.115</fb>
    <v>8</v>
  </rv>
  <rv s="4">
    <fb>45646</fb>
    <v>7</v>
  </rv>
  <rv s="4">
    <fb>13.9245</fb>
    <v>8</v>
  </rv>
  <rv s="4">
    <fb>45649</fb>
    <v>7</v>
  </rv>
  <rv s="4">
    <fb>13.5075</fb>
    <v>8</v>
  </rv>
  <rv s="4">
    <fb>45650</fb>
    <v>7</v>
  </rv>
  <rv s="4">
    <fb>13.617000000000001</fb>
    <v>8</v>
  </rv>
  <rv s="4">
    <fb>45652</fb>
    <v>7</v>
  </rv>
  <rv s="4">
    <fb>14.268000000000001</fb>
    <v>8</v>
  </rv>
  <rv s="4">
    <fb>45653</fb>
    <v>7</v>
  </rv>
  <rv s="4">
    <fb>14.238</fb>
    <v>8</v>
  </rv>
  <rv s="4">
    <fb>45656</fb>
    <v>7</v>
  </rv>
  <rv s="4">
    <fb>14.16</fb>
    <v>8</v>
  </rv>
  <rv s="4">
    <fb>45657</fb>
    <v>7</v>
  </rv>
  <rv s="4">
    <fb>13.95</fb>
    <v>8</v>
  </rv>
  <rv s="4">
    <fb>45659</fb>
    <v>7</v>
  </rv>
  <rv s="4">
    <fb>14.414999999999999</fb>
    <v>8</v>
  </rv>
  <rv s="4">
    <fb>45660</fb>
    <v>7</v>
  </rv>
  <rv s="4">
    <fb>16.5</fb>
    <v>8</v>
  </rv>
  <rv s="4">
    <fb>45663</fb>
    <v>7</v>
  </rv>
  <rv s="4">
    <fb>45664</fb>
    <v>7</v>
  </rv>
  <rv s="4">
    <fb>45665</fb>
    <v>7</v>
  </rv>
  <rv s="4">
    <fb>45667</fb>
    <v>7</v>
  </rv>
  <rv s="4">
    <fb>45670</fb>
    <v>7</v>
  </rv>
  <rv s="4">
    <fb>14.419499999999999</fb>
    <v>8</v>
  </rv>
  <rv s="4">
    <fb>45671</fb>
    <v>7</v>
  </rv>
  <rv s="4">
    <fb>45672</fb>
    <v>7</v>
  </rv>
  <rv s="4">
    <fb>13.579499999999999</fb>
    <v>8</v>
  </rv>
  <rv s="4">
    <fb>45673</fb>
    <v>7</v>
  </rv>
  <rv s="4">
    <fb>13.375500000000001</fb>
    <v>8</v>
  </rv>
  <rv s="4">
    <fb>45674</fb>
    <v>7</v>
  </rv>
  <rv s="4">
    <fb>13.38</fb>
    <v>8</v>
  </rv>
  <rv s="4">
    <fb>45678</fb>
    <v>7</v>
  </rv>
  <rv s="4">
    <fb>13.56</fb>
    <v>8</v>
  </rv>
  <rv s="4">
    <fb>45679</fb>
    <v>7</v>
  </rv>
  <rv s="4">
    <fb>13.77</fb>
    <v>8</v>
  </rv>
  <rv s="4">
    <fb>45680</fb>
    <v>7</v>
  </rv>
  <rv s="4">
    <fb>13.419</fb>
    <v>8</v>
  </rv>
  <rv s="4">
    <fb>45681</fb>
    <v>7</v>
  </rv>
  <rv s="4">
    <fb>13.2735</fb>
    <v>8</v>
  </rv>
  <rv s="4">
    <fb>45684</fb>
    <v>7</v>
  </rv>
  <rv s="4">
    <fb>13.131</fb>
    <v>8</v>
  </rv>
  <rv s="4">
    <fb>45685</fb>
    <v>7</v>
  </rv>
  <rv s="4">
    <fb>12.6</fb>
    <v>8</v>
  </rv>
  <rv s="4">
    <fb>45686</fb>
    <v>7</v>
  </rv>
  <rv s="4">
    <fb>12.5565</fb>
    <v>8</v>
  </rv>
  <rv s="4">
    <fb>45687</fb>
    <v>7</v>
  </rv>
  <rv s="4">
    <fb>12.759</fb>
    <v>8</v>
  </rv>
  <rv s="4">
    <fb>45688</fb>
    <v>7</v>
  </rv>
  <rv s="4">
    <fb>12.4095</fb>
    <v>8</v>
  </rv>
  <rv s="4">
    <fb>45691</fb>
    <v>7</v>
  </rv>
  <rv s="4">
    <fb>12.1335</fb>
    <v>8</v>
  </rv>
  <rv s="4">
    <fb>45692</fb>
    <v>7</v>
  </rv>
  <rv s="4">
    <fb>11.682</fb>
    <v>8</v>
  </rv>
  <rv s="4">
    <fb>45693</fb>
    <v>7</v>
  </rv>
  <rv s="4">
    <fb>11.4</fb>
    <v>8</v>
  </rv>
  <rv s="4">
    <fb>45694</fb>
    <v>7</v>
  </rv>
  <rv s="4">
    <fb>10.515000000000001</fb>
    <v>8</v>
  </rv>
  <rv s="4">
    <fb>45695</fb>
    <v>7</v>
  </rv>
  <rv s="4">
    <fb>10.14</fb>
    <v>8</v>
  </rv>
  <rv s="4">
    <fb>45698</fb>
    <v>7</v>
  </rv>
  <rv s="4">
    <fb>10.5</fb>
    <v>8</v>
  </rv>
  <rv s="4">
    <fb>45699</fb>
    <v>7</v>
  </rv>
  <rv s="4">
    <fb>9.9480000000000004</fb>
    <v>8</v>
  </rv>
  <rv s="4">
    <fb>45700</fb>
    <v>7</v>
  </rv>
  <rv s="4">
    <fb>10.965</fb>
    <v>8</v>
  </rv>
  <rv s="4">
    <fb>45701</fb>
    <v>7</v>
  </rv>
  <rv s="4">
    <fb>13.377000000000001</fb>
    <v>8</v>
  </rv>
  <rv s="4">
    <fb>45702</fb>
    <v>7</v>
  </rv>
  <rv s="4">
    <fb>14.739000000000001</fb>
    <v>8</v>
  </rv>
  <rv s="4">
    <fb>45706</fb>
    <v>7</v>
  </rv>
  <rv s="4">
    <fb>15.9</fb>
    <v>8</v>
  </rv>
  <rv s="4">
    <fb>45707</fb>
    <v>7</v>
  </rv>
  <rv s="4">
    <fb>45708</fb>
    <v>7</v>
  </rv>
  <rv s="4">
    <fb>14.3535</fb>
    <v>8</v>
  </rv>
  <rv s="4">
    <fb>45709</fb>
    <v>7</v>
  </rv>
  <rv s="4">
    <fb>13.983000000000001</fb>
    <v>8</v>
  </rv>
  <rv s="4">
    <fb>45712</fb>
    <v>7</v>
  </rv>
  <rv s="4">
    <fb>12.675000000000001</fb>
    <v>8</v>
  </rv>
  <rv s="4">
    <fb>45713</fb>
    <v>7</v>
  </rv>
  <rv s="4">
    <fb>13.057499999999999</fb>
    <v>8</v>
  </rv>
  <rv s="4">
    <fb>45714</fb>
    <v>7</v>
  </rv>
  <rv s="4">
    <fb>11.701499999999999</fb>
    <v>8</v>
  </rv>
  <rv s="4">
    <fb>45715</fb>
    <v>7</v>
  </rv>
  <rv s="4">
    <fb>11.943</fb>
    <v>8</v>
  </rv>
  <rv s="4">
    <fb>45716</fb>
    <v>7</v>
  </rv>
  <rv s="4">
    <fb>45719</fb>
    <v>7</v>
  </rv>
  <rv s="4">
    <fb>12.028499999999999</fb>
    <v>8</v>
  </rv>
  <rv s="4">
    <fb>45720</fb>
    <v>7</v>
  </rv>
  <rv s="4">
    <fb>12.657</fb>
    <v>8</v>
  </rv>
  <rv s="4">
    <fb>45721</fb>
    <v>7</v>
  </rv>
  <rv s="4">
    <fb>12.868499999999999</fb>
    <v>8</v>
  </rv>
  <rv s="4">
    <fb>45722</fb>
    <v>7</v>
  </rv>
  <rv s="4">
    <fb>12.917999999999999</fb>
    <v>8</v>
  </rv>
  <rv s="4">
    <fb>45723</fb>
    <v>7</v>
  </rv>
  <rv s="4">
    <fb>13.17</fb>
    <v>8</v>
  </rv>
  <rv s="4">
    <fb>45726</fb>
    <v>7</v>
  </rv>
  <rv s="4">
    <fb>12.3</fb>
    <v>8</v>
  </rv>
  <rv s="4">
    <fb>45727</fb>
    <v>7</v>
  </rv>
  <rv s="4">
    <fb>12.288</fb>
    <v>8</v>
  </rv>
  <rv s="4">
    <fb>45728</fb>
    <v>7</v>
  </rv>
  <rv s="4">
    <fb>45729</fb>
    <v>7</v>
  </rv>
  <rv s="4">
    <fb>12.231</fb>
    <v>8</v>
  </rv>
  <rv s="4">
    <fb>45730</fb>
    <v>7</v>
  </rv>
  <rv s="4">
    <fb>13.452</fb>
    <v>8</v>
  </rv>
  <rv s="4">
    <fb>45733</fb>
    <v>7</v>
  </rv>
  <rv s="4">
    <fb>13.6395</fb>
    <v>8</v>
  </rv>
  <rv s="4">
    <fb>45734</fb>
    <v>7</v>
  </rv>
  <rv s="4">
    <fb>13.202999999999999</fb>
    <v>8</v>
  </rv>
  <rv s="4">
    <fb>45735</fb>
    <v>7</v>
  </rv>
  <rv s="4">
    <fb>13.458</fb>
    <v>8</v>
  </rv>
  <rv s="4">
    <fb>45736</fb>
    <v>7</v>
  </rv>
  <rv s="4">
    <fb>13.099500000000001</fb>
    <v>8</v>
  </rv>
  <rv s="4">
    <fb>45737</fb>
    <v>7</v>
  </rv>
  <rv s="4">
    <fb>12.955500000000001</fb>
    <v>8</v>
  </rv>
  <rv s="4">
    <fb>45740</fb>
    <v>7</v>
  </rv>
  <rv s="4">
    <fb>12.909000000000001</fb>
    <v>8</v>
  </rv>
  <rv s="4">
    <fb>45741</fb>
    <v>7</v>
  </rv>
  <rv s="4">
    <fb>12.5595</fb>
    <v>8</v>
  </rv>
  <rv s="4">
    <fb>45742</fb>
    <v>7</v>
  </rv>
  <rv s="4">
    <fb>12.023999999999999</fb>
    <v>8</v>
  </rv>
  <rv s="4">
    <fb>45743</fb>
    <v>7</v>
  </rv>
  <rv s="4">
    <fb>11.367000000000001</fb>
    <v>8</v>
  </rv>
  <rv s="4">
    <fb>45744</fb>
    <v>7</v>
  </rv>
  <rv s="4">
    <fb>11.0745</fb>
    <v>8</v>
  </rv>
  <rv s="4">
    <fb>45747</fb>
    <v>7</v>
  </rv>
  <rv s="4">
    <fb>45748</fb>
    <v>7</v>
  </rv>
  <rv s="4">
    <fb>9.5594999999999999</fb>
    <v>8</v>
  </rv>
  <rv s="4">
    <fb>45749</fb>
    <v>7</v>
  </rv>
  <rv s="4">
    <fb>9.8849999999999998</fb>
    <v>8</v>
  </rv>
  <rv s="4">
    <fb>45750</fb>
    <v>7</v>
  </rv>
  <rv s="4">
    <fb>9.0075000000000003</fb>
    <v>8</v>
  </rv>
  <rv s="4">
    <fb>45751</fb>
    <v>7</v>
  </rv>
  <rv s="4">
    <fb>8.2784999999999993</fb>
    <v>8</v>
  </rv>
  <rv s="4">
    <fb>45754</fb>
    <v>7</v>
  </rv>
  <rv s="4">
    <fb>7.3559999999999999</fb>
    <v>8</v>
  </rv>
  <rv s="4">
    <fb>45755</fb>
    <v>7</v>
  </rv>
  <rv s="4">
    <fb>7.3845000000000001</fb>
    <v>8</v>
  </rv>
  <rv s="4">
    <fb>45756</fb>
    <v>7</v>
  </rv>
  <rv s="4">
    <fb>7.6589999999999998</fb>
    <v>8</v>
  </rv>
  <rv s="4">
    <fb>45757</fb>
    <v>7</v>
  </rv>
  <rv s="4">
    <fb>7.4865000000000004</fb>
    <v>8</v>
  </rv>
  <rv s="4">
    <fb>45758</fb>
    <v>7</v>
  </rv>
  <rv s="4">
    <fb>9.2654999999999994</fb>
    <v>8</v>
  </rv>
  <rv s="4">
    <fb>45761</fb>
    <v>7</v>
  </rv>
  <rv s="4">
    <fb>9.0585000000000004</fb>
    <v>8</v>
  </rv>
  <rv s="4">
    <fb>45762</fb>
    <v>7</v>
  </rv>
  <rv s="4">
    <fb>9.5655000000000001</fb>
    <v>8</v>
  </rv>
  <rv s="4">
    <fb>45763</fb>
    <v>7</v>
  </rv>
  <rv s="4">
    <fb>9.1020000000000003</fb>
    <v>8</v>
  </rv>
  <rv s="4">
    <fb>45764</fb>
    <v>7</v>
  </rv>
  <rv s="4">
    <fb>9.5459999999999994</fb>
    <v>8</v>
  </rv>
  <rv s="4">
    <fb>45768</fb>
    <v>7</v>
  </rv>
  <rv s="4">
    <fb>9.3885000000000005</fb>
    <v>8</v>
  </rv>
  <rv s="4">
    <fb>45769</fb>
    <v>7</v>
  </rv>
  <rv s="4">
    <fb>9.9600000000000009</fb>
    <v>8</v>
  </rv>
  <rv s="4">
    <fb>45770</fb>
    <v>7</v>
  </rv>
  <rv s="4">
    <fb>10.287000000000001</fb>
    <v>8</v>
  </rv>
  <rv s="4">
    <fb>45771</fb>
    <v>7</v>
  </rv>
  <rv s="4">
    <fb>45772</fb>
    <v>7</v>
  </rv>
  <rv s="4">
    <fb>11.6265</fb>
    <v>8</v>
  </rv>
  <rv s="4">
    <fb>45775</fb>
    <v>7</v>
  </rv>
  <rv s="4">
    <fb>11.337</fb>
    <v>8</v>
  </rv>
  <rv s="4">
    <fb>45776</fb>
    <v>7</v>
  </rv>
  <rv s="4">
    <fb>11.1105</fb>
    <v>8</v>
  </rv>
  <rv s="4">
    <fb>45777</fb>
    <v>7</v>
  </rv>
  <rv s="4">
    <fb>11.932499999999999</fb>
    <v>8</v>
  </rv>
  <rv s="4">
    <fb>45778</fb>
    <v>7</v>
  </rv>
  <rv s="4">
    <fb>45779</fb>
    <v>7</v>
  </rv>
  <rv s="4">
    <fb>11.28</fb>
    <v>8</v>
  </rv>
  <rv s="4">
    <fb>45782</fb>
    <v>7</v>
  </rv>
  <rv s="4">
    <fb>10.308</fb>
    <v>8</v>
  </rv>
  <rv s="4">
    <fb>45783</fb>
    <v>7</v>
  </rv>
  <rv s="4">
    <fb>9.6300000000000008</fb>
    <v>8</v>
  </rv>
  <rv s="4">
    <fb>45784</fb>
    <v>7</v>
  </rv>
  <rv s="4">
    <fb>9.0839999999999996</fb>
    <v>8</v>
  </rv>
  <rv s="4">
    <fb>45785</fb>
    <v>7</v>
  </rv>
  <rv s="4">
    <fb>9.2835000000000001</fb>
    <v>8</v>
  </rv>
  <rv s="4">
    <fb>45786</fb>
    <v>7</v>
  </rv>
  <rv s="4">
    <fb>8.8305000000000007</fb>
    <v>8</v>
  </rv>
  <rv s="4">
    <fb>45789</fb>
    <v>7</v>
  </rv>
  <rv s="4">
    <fb>10.722</fb>
    <v>8</v>
  </rv>
  <rv s="4">
    <fb>45790</fb>
    <v>7</v>
  </rv>
  <rv s="4">
    <fb>45791</fb>
    <v>7</v>
  </rv>
  <rv s="4">
    <fb>10.725</fb>
    <v>8</v>
  </rv>
  <rv s="4">
    <fb>45792</fb>
    <v>7</v>
  </rv>
  <rv s="4">
    <fb>45793</fb>
    <v>7</v>
  </rv>
  <rv s="4">
    <fb>45796</fb>
    <v>7</v>
  </rv>
  <rv s="4">
    <fb>10.425000000000001</fb>
    <v>8</v>
  </rv>
  <rv s="4">
    <fb>45797</fb>
    <v>7</v>
  </rv>
  <rv s="4">
    <fb>10.3065</fb>
    <v>8</v>
  </rv>
  <rv s="4">
    <fb>45798</fb>
    <v>7</v>
  </rv>
  <rv s="4">
    <fb>9.4875000000000007</fb>
    <v>8</v>
  </rv>
  <rv s="4">
    <fb>45799</fb>
    <v>7</v>
  </rv>
  <rv s="4">
    <fb>9.9</fb>
    <v>8</v>
  </rv>
  <rv s="4">
    <fb>45800</fb>
    <v>7</v>
  </rv>
  <rv s="4">
    <fb>9.8115000000000006</fb>
    <v>8</v>
  </rv>
  <rv s="4">
    <fb>45804</fb>
    <v>7</v>
  </rv>
  <rv s="4">
    <fb>10.1175</fb>
    <v>8</v>
  </rv>
  <rv s="4">
    <fb>45805</fb>
    <v>7</v>
  </rv>
  <rv s="4">
    <fb>10.4895</fb>
    <v>8</v>
  </rv>
  <rv s="4">
    <fb>45806</fb>
    <v>7</v>
  </rv>
  <rv s="4">
    <fb>11.090999999999999</fb>
    <v>8</v>
  </rv>
  <rv s="4">
    <fb>45807</fb>
    <v>7</v>
  </rv>
  <rv s="4">
    <fb>10.8675</fb>
    <v>8</v>
  </rv>
  <rv s="4">
    <fb>45810</fb>
    <v>7</v>
  </rv>
  <rv s="4">
    <fb>11.946</fb>
    <v>8</v>
  </rv>
  <rv s="4">
    <fb>45811</fb>
    <v>7</v>
  </rv>
  <rv s="4">
    <fb>11.2425</fb>
    <v>8</v>
  </rv>
  <rv s="4">
    <fb>45812</fb>
    <v>7</v>
  </rv>
  <rv s="4">
    <fb>11.1945</fb>
    <v>8</v>
  </rv>
  <rv s="4">
    <fb>45813</fb>
    <v>7</v>
  </rv>
  <rv s="4">
    <fb>10.122</fb>
    <v>8</v>
  </rv>
  <rv s="4">
    <fb>45814</fb>
    <v>7</v>
  </rv>
  <rv s="4">
    <fb>9.99</fb>
    <v>8</v>
  </rv>
  <rv s="4">
    <fb>45817</fb>
    <v>7</v>
  </rv>
  <rv s="4">
    <fb>8.7899999999999991</fb>
    <v>8</v>
  </rv>
  <rv s="4">
    <fb>45818</fb>
    <v>7</v>
  </rv>
  <rv s="4">
    <fb>11.35</fb>
    <v>8</v>
  </rv>
  <rv s="4">
    <fb>45819</fb>
    <v>7</v>
  </rv>
  <rv s="4">
    <fb>9.5500000000000007</fb>
    <v>8</v>
  </rv>
  <rv s="4">
    <fb>45820</fb>
    <v>7</v>
  </rv>
  <rv s="4">
    <fb>8.76</fb>
    <v>8</v>
  </rv>
  <rv s="4">
    <fb>45821</fb>
    <v>7</v>
  </rv>
  <rv s="4">
    <fb>8.59</fb>
    <v>8</v>
  </rv>
  <rv s="4">
    <fb>45824</fb>
    <v>7</v>
  </rv>
  <rv s="4">
    <fb>9.25</fb>
    <v>8</v>
  </rv>
  <rv s="4">
    <fb>45825</fb>
    <v>7</v>
  </rv>
  <rv s="4">
    <fb>8.73</fb>
    <v>8</v>
  </rv>
  <rv s="4">
    <fb>45826</fb>
    <v>7</v>
  </rv>
  <rv s="4">
    <fb>8.61</fb>
    <v>8</v>
  </rv>
  <rv s="4">
    <fb>45828</fb>
    <v>7</v>
  </rv>
  <rv s="4">
    <fb>8.51</fb>
    <v>8</v>
  </rv>
  <rv s="4">
    <fb>45831</fb>
    <v>7</v>
  </rv>
  <rv s="4">
    <fb>9.5399999999999991</fb>
    <v>8</v>
  </rv>
  <rv s="4">
    <fb>45832</fb>
    <v>7</v>
  </rv>
  <rv s="4">
    <fb>24.45</fb>
    <v>8</v>
  </rv>
  <rv s="4">
    <fb>45833</fb>
    <v>7</v>
  </rv>
  <rv s="4">
    <fb>29.12</fb>
    <v>8</v>
  </rv>
  <rv s="4">
    <fb>45834</fb>
    <v>7</v>
  </rv>
  <rv s="4">
    <fb>29.68</fb>
    <v>8</v>
  </rv>
  <rv s="4">
    <fb>45835</fb>
    <v>7</v>
  </rv>
  <rv s="4">
    <fb>25.76</fb>
    <v>8</v>
  </rv>
  <rv s="4">
    <fb>45838</fb>
    <v>7</v>
  </rv>
  <rv s="4">
    <fb>25.84</fb>
    <v>8</v>
  </rv>
  <rv s="4">
    <fb>45839</fb>
    <v>7</v>
  </rv>
  <rv s="4">
    <fb>24.59</fb>
    <v>8</v>
  </rv>
  <rv s="4">
    <fb>45840</fb>
    <v>7</v>
  </rv>
  <rv s="4">
    <fb>25.53</fb>
    <v>8</v>
  </rv>
  <rv s="4">
    <fb>45841</fb>
    <v>7</v>
  </rv>
  <rv s="4">
    <fb>24.76</fb>
    <v>8</v>
  </rv>
  <rv s="4">
    <fb>45845</fb>
    <v>7</v>
  </rv>
  <rv s="4">
    <fb>23.47</fb>
    <v>8</v>
  </rv>
  <rv s="4">
    <fb>45846</fb>
    <v>7</v>
  </rv>
  <rv s="4">
    <fb>22.73</fb>
    <v>8</v>
  </rv>
  <rv s="4">
    <fb>45847</fb>
    <v>7</v>
  </rv>
  <rv s="4">
    <fb>23.36</fb>
    <v>8</v>
  </rv>
  <rv s="4">
    <fb>45848</fb>
    <v>7</v>
  </rv>
  <rv s="4">
    <fb>25.1</fb>
    <v>8</v>
  </rv>
  <rv s="4">
    <fb>45849</fb>
    <v>7</v>
  </rv>
  <rv s="4">
    <fb>25.01</fb>
    <v>8</v>
  </rv>
  <rv s="4">
    <fb>45852</fb>
    <v>7</v>
  </rv>
  <rv s="4">
    <fb>24.41</fb>
    <v>8</v>
  </rv>
  <rv s="4">
    <fb>45853</fb>
    <v>7</v>
  </rv>
  <rv s="4">
    <fb>23.8</fb>
    <v>8</v>
  </rv>
  <rv s="4">
    <fb>45854</fb>
    <v>7</v>
  </rv>
  <rv s="4">
    <fb>24.14</fb>
    <v>8</v>
  </rv>
  <rv s="4">
    <fb>45855</fb>
    <v>7</v>
  </rv>
  <rv s="4">
    <fb>26.67</fb>
    <v>8</v>
  </rv>
  <rv s="4">
    <fb>45856</fb>
    <v>7</v>
  </rv>
  <rv s="4">
    <fb>24.94</fb>
    <v>8</v>
  </rv>
  <rv s="4">
    <fb>45859</fb>
    <v>7</v>
  </rv>
  <rv s="4">
    <fb>24.79</fb>
    <v>8</v>
  </rv>
  <rv s="4">
    <fb>45860</fb>
    <v>7</v>
  </rv>
  <rv s="4">
    <fb>24.48</fb>
    <v>8</v>
  </rv>
  <rv s="4">
    <fb>45861</fb>
    <v>7</v>
  </rv>
  <rv s="4">
    <fb>25</fb>
    <v>8</v>
  </rv>
  <rv s="4">
    <fb>45862</fb>
    <v>7</v>
  </rv>
  <rv s="4">
    <fb>24.58</fb>
    <v>8</v>
  </rv>
  <rv s="4">
    <fb>45863</fb>
    <v>7</v>
  </rv>
  <rv s="4">
    <fb>45866</fb>
    <v>7</v>
  </rv>
  <rv s="4">
    <fb>23.65</fb>
    <v>8</v>
  </rv>
  <rv s="4">
    <fb>45867</fb>
    <v>7</v>
  </rv>
  <rv s="4">
    <fb>22.91</fb>
    <v>8</v>
  </rv>
  <rv s="4">
    <fb>45868</fb>
    <v>7</v>
  </rv>
  <rv s="4">
    <fb>22.07</fb>
    <v>8</v>
  </rv>
  <rv s="4">
    <fb>45869</fb>
    <v>7</v>
  </rv>
  <rv s="4">
    <fb>21.68</fb>
    <v>8</v>
  </rv>
  <rv s="4">
    <fb>45870</fb>
    <v>7</v>
  </rv>
  <rv s="4">
    <fb>22.96</fb>
    <v>8</v>
  </rv>
  <rv s="4">
    <fb>45873</fb>
    <v>7</v>
  </rv>
  <rv s="4">
    <fb>23.27</fb>
    <v>8</v>
  </rv>
  <rv s="4">
    <fb>45874</fb>
    <v>7</v>
  </rv>
  <rv s="4">
    <fb>22.56</fb>
    <v>8</v>
  </rv>
  <rv s="4">
    <fb>45875</fb>
    <v>7</v>
  </rv>
  <rv s="4">
    <fb>22.45</fb>
    <v>8</v>
  </rv>
  <rv s="4">
    <fb>45876</fb>
    <v>7</v>
  </rv>
  <rv s="4">
    <fb>45877</fb>
    <v>7</v>
  </rv>
  <rv s="4">
    <fb>23.06</fb>
    <v>8</v>
  </rv>
  <rv s="4">
    <fb>45880</fb>
    <v>7</v>
  </rv>
  <rv s="4">
    <fb>22.47</fb>
    <v>8</v>
  </rv>
  <rv s="5">
    <v>9</v>
    <v>a1yk77</v>
    <v>Daily</v>
    <v>45292</v>
    <v>45881</v>
    <v>0</v>
    <v>1</v>
    <v>638904672000000000,638905700991792955,0</v>
    <v>0</v>
    <v>a1yk77</v>
    <v>XNAS:NKTR</v>
    <v>1</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10">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5">
      <v>1</v>
      <v>Name</v>
    </spb>
    <spb s="6">
      <v>1</v>
      <v>1</v>
      <v>1</v>
    </spb>
    <spb s="7">
      <v>10</v>
    </spb>
    <spb s="7">
      <v>1</v>
    </spb>
    <spb s="8">
      <v>10</v>
      <v>1</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ExchangeID" t="spb"/>
    <k n="UniqueName" t="spb"/>
    <k n="`%ProviderInfo" t="spb"/>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ektar.com/wp-content/uploads/2025/02/2025_TANDEM-Meeting-_NKTR-255_Final.pdf" TargetMode="External"/><Relationship Id="rId2" Type="http://schemas.openxmlformats.org/officeDocument/2006/relationships/hyperlink" Target="https://www.biopharmcatalyst.com/company/NKTR/news/281043" TargetMode="External"/><Relationship Id="rId1" Type="http://schemas.openxmlformats.org/officeDocument/2006/relationships/hyperlink" Target="https://www.biopharmcatalyst.com/company/NKTR/news/281043" TargetMode="External"/><Relationship Id="rId6" Type="http://schemas.openxmlformats.org/officeDocument/2006/relationships/drawing" Target="../drawings/drawing1.xml"/><Relationship Id="rId5" Type="http://schemas.openxmlformats.org/officeDocument/2006/relationships/hyperlink" Target="Drug%20price%20increase.xlsx" TargetMode="External"/><Relationship Id="rId4" Type="http://schemas.openxmlformats.org/officeDocument/2006/relationships/hyperlink" Target="https://www.nytimes.com/2017/03/28/health/drug-prices-fda-eczema-skin-disease.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clinicaltrials.gov/study/NCT03363854?tab=results" TargetMode="External"/><Relationship Id="rId18" Type="http://schemas.openxmlformats.org/officeDocument/2006/relationships/hyperlink" Target="https://www.clinicaltrials.gov/study/NCT04250337?tab=results" TargetMode="External"/><Relationship Id="rId26" Type="http://schemas.openxmlformats.org/officeDocument/2006/relationships/hyperlink" Target="https://clinicaltrials.gov/study/NCT03349060?tab=results" TargetMode="External"/><Relationship Id="rId3" Type="http://schemas.openxmlformats.org/officeDocument/2006/relationships/hyperlink" Target="https://clinicaltrials.gov/study/NCT06136741" TargetMode="External"/><Relationship Id="rId21" Type="http://schemas.openxmlformats.org/officeDocument/2006/relationships/hyperlink" Target="https://clinicaltrials.gov/study/NCT03985943?intr=nemolizumab&amp;rank=8&amp;tab=results" TargetMode="External"/><Relationship Id="rId34" Type="http://schemas.openxmlformats.org/officeDocument/2006/relationships/printerSettings" Target="../printerSettings/printerSettings1.bin"/><Relationship Id="rId7" Type="http://schemas.openxmlformats.org/officeDocument/2006/relationships/hyperlink" Target="mailto:33.@%25" TargetMode="External"/><Relationship Id="rId12" Type="http://schemas.openxmlformats.org/officeDocument/2006/relationships/hyperlink" Target="https://www.clinicaltrials.gov/study/NCT03363854?tab=results" TargetMode="External"/><Relationship Id="rId17" Type="http://schemas.openxmlformats.org/officeDocument/2006/relationships/hyperlink" Target="https://www.clinicaltrials.gov/study/NCT04178967" TargetMode="External"/><Relationship Id="rId25" Type="http://schemas.openxmlformats.org/officeDocument/2006/relationships/hyperlink" Target="https://clinicaltrials.gov/study/NCT03720470" TargetMode="External"/><Relationship Id="rId33" Type="http://schemas.openxmlformats.org/officeDocument/2006/relationships/hyperlink" Target="https://www.clinicaltrials.gov/study/NCT03745651?tab=results" TargetMode="External"/><Relationship Id="rId2" Type="http://schemas.openxmlformats.org/officeDocument/2006/relationships/hyperlink" Target="https://clinicaltrials.gov/study/NCT02277743" TargetMode="External"/><Relationship Id="rId16" Type="http://schemas.openxmlformats.org/officeDocument/2006/relationships/hyperlink" Target="https://www.clinicaltrials.gov/study/NCT04178967" TargetMode="External"/><Relationship Id="rId20" Type="http://schemas.openxmlformats.org/officeDocument/2006/relationships/hyperlink" Target="https://clinicaltrials.gov/study/NCT03989349" TargetMode="External"/><Relationship Id="rId29" Type="http://schemas.openxmlformats.org/officeDocument/2006/relationships/hyperlink" Target="https://clinicaltrials.gov/study/NCT03575871" TargetMode="External"/><Relationship Id="rId1" Type="http://schemas.openxmlformats.org/officeDocument/2006/relationships/hyperlink" Target="https://clinicaltrials.gov/study/NCT02277743" TargetMode="External"/><Relationship Id="rId6" Type="http://schemas.openxmlformats.org/officeDocument/2006/relationships/hyperlink" Target="https://pmc.ncbi.nlm.nih.gov/articles/PMC11511931/" TargetMode="External"/><Relationship Id="rId11" Type="http://schemas.openxmlformats.org/officeDocument/2006/relationships/hyperlink" Target="https://www.clinicaltrials.gov/study/NCT03160885?tab=results" TargetMode="External"/><Relationship Id="rId24" Type="http://schemas.openxmlformats.org/officeDocument/2006/relationships/hyperlink" Target="https://clinicaltrials.gov/study/NCT03720470" TargetMode="External"/><Relationship Id="rId32" Type="http://schemas.openxmlformats.org/officeDocument/2006/relationships/hyperlink" Target="https://clinicaltrials.gov/study/NCT03745638?tab=results" TargetMode="External"/><Relationship Id="rId5" Type="http://schemas.openxmlformats.org/officeDocument/2006/relationships/hyperlink" Target="https://clinicaltrials.gov/study/NCT06136741" TargetMode="External"/><Relationship Id="rId15" Type="http://schemas.openxmlformats.org/officeDocument/2006/relationships/hyperlink" Target="https://clinicaltrials.gov/study/NCT04146363?tab=results" TargetMode="External"/><Relationship Id="rId23" Type="http://schemas.openxmlformats.org/officeDocument/2006/relationships/hyperlink" Target="https://clinicaltrials.gov/study/NCT03720470" TargetMode="External"/><Relationship Id="rId28" Type="http://schemas.openxmlformats.org/officeDocument/2006/relationships/hyperlink" Target="https://clinicaltrials.gov/study/NCT03349060?tab=results" TargetMode="External"/><Relationship Id="rId10" Type="http://schemas.openxmlformats.org/officeDocument/2006/relationships/hyperlink" Target="https://www.clinicaltrials.gov/study/NCT03160885?tab=results" TargetMode="External"/><Relationship Id="rId19" Type="http://schemas.openxmlformats.org/officeDocument/2006/relationships/hyperlink" Target="https://clinicaltrials.gov/study/NCT03989349" TargetMode="External"/><Relationship Id="rId31" Type="http://schemas.openxmlformats.org/officeDocument/2006/relationships/hyperlink" Target="https://clinicaltrials.gov/study/NCT03607422?tab=results" TargetMode="External"/><Relationship Id="rId4" Type="http://schemas.openxmlformats.org/officeDocument/2006/relationships/hyperlink" Target="https://clinicaltrials.gov/study/NCT06136741" TargetMode="External"/><Relationship Id="rId9" Type="http://schemas.openxmlformats.org/officeDocument/2006/relationships/hyperlink" Target="https://clinicaltrials.gov/study/NCT03131648?term=NCT03131648&amp;rank=1&amp;tab=results" TargetMode="External"/><Relationship Id="rId14" Type="http://schemas.openxmlformats.org/officeDocument/2006/relationships/hyperlink" Target="https://clinicaltrials.gov/study/NCT04146363?tab=results" TargetMode="External"/><Relationship Id="rId22" Type="http://schemas.openxmlformats.org/officeDocument/2006/relationships/hyperlink" Target="https://clinicaltrials.gov/study/NCT03985943?intr=nemolizumab&amp;rank=8&amp;tab=results" TargetMode="External"/><Relationship Id="rId27" Type="http://schemas.openxmlformats.org/officeDocument/2006/relationships/hyperlink" Target="https://clinicaltrials.gov/study/NCT03349060?tab=results" TargetMode="External"/><Relationship Id="rId30" Type="http://schemas.openxmlformats.org/officeDocument/2006/relationships/hyperlink" Target="https://clinicaltrials.gov/study/NCT03569293" TargetMode="External"/><Relationship Id="rId8" Type="http://schemas.openxmlformats.org/officeDocument/2006/relationships/hyperlink" Target="https://clinicaltrials.gov/study/NCT03131648?term=NCT03131648&amp;rank=1&amp;tab=results"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BIOPHARMA%20LOCAL/IMMUNOLOGY%20NOTES.xlsx"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file:///\\students.lse.ac.uk\kolchin\feb%202025%20regn.pdf" TargetMode="External"/><Relationship Id="rId1" Type="http://schemas.openxmlformats.org/officeDocument/2006/relationships/hyperlink" Target="file:///\\students.lse.ac.uk\kolchin\Regeneron%20Pharmaceuticals,%20Inc.,%20Q1%202024%20Earnings%20Call,%20May%2002,%2020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19"/>
  <sheetViews>
    <sheetView workbookViewId="0">
      <selection activeCell="C25" sqref="C25:C26"/>
    </sheetView>
  </sheetViews>
  <sheetFormatPr defaultColWidth="8.85546875" defaultRowHeight="15" x14ac:dyDescent="0.25"/>
  <cols>
    <col min="2" max="2" width="14.140625" customWidth="1"/>
    <col min="3" max="3" width="12.140625" customWidth="1"/>
    <col min="4" max="4" width="11.42578125" customWidth="1"/>
    <col min="5" max="5" width="12.140625" bestFit="1" customWidth="1"/>
    <col min="6" max="6" width="36.7109375" bestFit="1" customWidth="1"/>
    <col min="9" max="9" width="11.7109375" customWidth="1"/>
    <col min="12" max="12" width="13.85546875" customWidth="1"/>
    <col min="15" max="15" width="10.7109375" customWidth="1"/>
  </cols>
  <sheetData>
    <row r="1" spans="1:16 16383:16384" x14ac:dyDescent="0.25">
      <c r="C1" t="e" vm="1">
        <v>#VALUE!</v>
      </c>
      <c r="D1" t="e" vm="2">
        <v>#VALUE!</v>
      </c>
      <c r="E1" t="e" vm="3">
        <v>#VALUE!</v>
      </c>
      <c r="F1" t="s">
        <v>657</v>
      </c>
    </row>
    <row r="2" spans="1:16 16383:16384" x14ac:dyDescent="0.25">
      <c r="C2" s="7">
        <v>45865</v>
      </c>
    </row>
    <row r="3" spans="1:16 16383:16384" x14ac:dyDescent="0.25">
      <c r="B3" t="s">
        <v>0</v>
      </c>
      <c r="C3" s="1" cm="1">
        <f t="array" aca="1" ref="C3" ca="1">_FV(C1,"price")</f>
        <v>22.47</v>
      </c>
      <c r="D3" s="1" cm="1">
        <f t="array" aca="1" ref="D3" ca="1">_FV(D1,"Price")</f>
        <v>34.65</v>
      </c>
      <c r="E3" s="1" cm="1">
        <f t="array" aca="1" ref="E3" ca="1">_FV(E1,"Price")</f>
        <v>1.64</v>
      </c>
      <c r="O3" s="1"/>
      <c r="XFC3" t="str" cm="1">
        <f t="array" aca="1" ref="XFC3:XFD406" ca="1">_xlfn.STOCKHISTORY(C1,"2024-01-01",TODAY())</f>
        <v>Date</v>
      </c>
      <c r="XFD3" t="str">
        <f ca="1"/>
        <v>Close</v>
      </c>
    </row>
    <row r="4" spans="1:16 16383:16384" x14ac:dyDescent="0.25">
      <c r="B4" t="s">
        <v>1</v>
      </c>
      <c r="C4" s="2">
        <f>186/15 + 4.9</f>
        <v>17.3</v>
      </c>
      <c r="D4">
        <v>58.4</v>
      </c>
      <c r="E4">
        <v>108.28</v>
      </c>
      <c r="XFC4" vm="4">
        <f ca="1"/>
        <v>45293</v>
      </c>
      <c r="XFD4" vm="5">
        <f ca="1"/>
        <v>8.9220000000000006</v>
      </c>
    </row>
    <row r="5" spans="1:16 16383:16384" x14ac:dyDescent="0.25">
      <c r="B5" t="s">
        <v>2</v>
      </c>
      <c r="C5" s="1">
        <f ca="1">C3*C4</f>
        <v>388.73099999999999</v>
      </c>
      <c r="D5" s="10">
        <f ca="1">D3*D4</f>
        <v>2023.56</v>
      </c>
      <c r="E5" s="10">
        <f ca="1">E3*E4</f>
        <v>177.57919999999999</v>
      </c>
      <c r="O5" s="10"/>
      <c r="XFC5" vm="6">
        <f ca="1"/>
        <v>45294</v>
      </c>
      <c r="XFD5" vm="7">
        <f ca="1"/>
        <v>8.3550000000000004</v>
      </c>
    </row>
    <row r="6" spans="1:16 16383:16384" x14ac:dyDescent="0.25">
      <c r="A6" t="s">
        <v>658</v>
      </c>
      <c r="B6" t="s">
        <v>3</v>
      </c>
      <c r="C6">
        <f>218-40+118</f>
        <v>296</v>
      </c>
      <c r="D6">
        <v>513.32899999999995</v>
      </c>
      <c r="E6">
        <v>86.74</v>
      </c>
      <c r="XFC6" vm="8">
        <f ca="1"/>
        <v>45295</v>
      </c>
      <c r="XFD6" vm="9">
        <f ca="1"/>
        <v>8.4749999999999996</v>
      </c>
    </row>
    <row r="7" spans="1:16 16383:16384" x14ac:dyDescent="0.25">
      <c r="B7" t="s">
        <v>4</v>
      </c>
      <c r="C7">
        <v>0</v>
      </c>
      <c r="D7">
        <v>0</v>
      </c>
      <c r="XFC7" vm="10">
        <f ca="1"/>
        <v>45296</v>
      </c>
      <c r="XFD7" vm="11">
        <f ca="1"/>
        <v>8.0295000000000005</v>
      </c>
    </row>
    <row r="8" spans="1:16 16383:16384" x14ac:dyDescent="0.25">
      <c r="B8" s="5" t="s">
        <v>5</v>
      </c>
      <c r="C8" s="6">
        <f ca="1">C5+C7-C6</f>
        <v>92.730999999999995</v>
      </c>
      <c r="D8" s="5">
        <f ca="1">D5-D6</f>
        <v>1510.231</v>
      </c>
      <c r="E8" s="5">
        <f ca="1">E5-E6</f>
        <v>90.839199999999991</v>
      </c>
      <c r="H8" s="4"/>
      <c r="N8" s="4"/>
      <c r="O8" s="11"/>
      <c r="P8" s="4"/>
      <c r="XFC8" vm="12">
        <f ca="1"/>
        <v>45299</v>
      </c>
      <c r="XFD8" vm="13">
        <f ca="1"/>
        <v>8.8049999999999997</v>
      </c>
    </row>
    <row r="9" spans="1:16 16383:16384" x14ac:dyDescent="0.25">
      <c r="XFC9" vm="14">
        <f ca="1"/>
        <v>45300</v>
      </c>
      <c r="XFD9" vm="15">
        <f ca="1"/>
        <v>8.4179999999999993</v>
      </c>
    </row>
    <row r="10" spans="1:16 16383:16384" x14ac:dyDescent="0.25">
      <c r="A10" t="s">
        <v>45</v>
      </c>
      <c r="B10" t="s">
        <v>7</v>
      </c>
      <c r="XFC10" vm="16">
        <f ca="1"/>
        <v>45301</v>
      </c>
      <c r="XFD10" vm="17">
        <f ca="1"/>
        <v>8.2754999999999992</v>
      </c>
    </row>
    <row r="11" spans="1:16 16383:16384" x14ac:dyDescent="0.25">
      <c r="XFC11" vm="18">
        <f ca="1"/>
        <v>45302</v>
      </c>
      <c r="XFD11" vm="19">
        <f ca="1"/>
        <v>8.1</v>
      </c>
    </row>
    <row r="12" spans="1:16 16383:16384" x14ac:dyDescent="0.25">
      <c r="B12" t="s">
        <v>619</v>
      </c>
      <c r="C12" s="84">
        <v>0.2</v>
      </c>
      <c r="XFC12" vm="20">
        <f ca="1"/>
        <v>45303</v>
      </c>
      <c r="XFD12" vm="21">
        <f ca="1"/>
        <v>8.0129999999999999</v>
      </c>
    </row>
    <row r="13" spans="1:16 16383:16384" x14ac:dyDescent="0.25">
      <c r="B13" t="s">
        <v>622</v>
      </c>
      <c r="C13" s="79">
        <v>1335.0522046492824</v>
      </c>
      <c r="XFC13" vm="22">
        <f ca="1"/>
        <v>45307</v>
      </c>
      <c r="XFD13" vm="23">
        <f ca="1"/>
        <v>7.74</v>
      </c>
    </row>
    <row r="14" spans="1:16 16383:16384" x14ac:dyDescent="0.25">
      <c r="B14" t="s">
        <v>3</v>
      </c>
      <c r="C14" s="79">
        <v>296</v>
      </c>
      <c r="XFC14" vm="24">
        <f ca="1"/>
        <v>45308</v>
      </c>
      <c r="XFD14" vm="25">
        <f ca="1"/>
        <v>7.4039999999999999</v>
      </c>
    </row>
    <row r="15" spans="1:16 16383:16384" x14ac:dyDescent="0.25">
      <c r="B15" t="s">
        <v>4</v>
      </c>
      <c r="C15" s="52">
        <v>0</v>
      </c>
      <c r="XFC15" vm="26">
        <f ca="1"/>
        <v>45309</v>
      </c>
      <c r="XFD15" vm="27">
        <f ca="1"/>
        <v>8.25</v>
      </c>
    </row>
    <row r="16" spans="1:16 16383:16384" x14ac:dyDescent="0.25">
      <c r="B16" t="s">
        <v>620</v>
      </c>
      <c r="C16" s="79">
        <v>1631.0522046492824</v>
      </c>
      <c r="XFC16" vm="28">
        <f ca="1"/>
        <v>45310</v>
      </c>
      <c r="XFD16" vm="29">
        <f ca="1"/>
        <v>8.0220000000000002</v>
      </c>
    </row>
    <row r="17" spans="2:3 16383:16384" x14ac:dyDescent="0.25">
      <c r="B17" t="s">
        <v>621</v>
      </c>
      <c r="C17" s="52">
        <v>56</v>
      </c>
      <c r="XFC17" vm="30">
        <f ca="1"/>
        <v>45313</v>
      </c>
      <c r="XFD17" vm="31">
        <f ca="1"/>
        <v>7.6515000000000004</v>
      </c>
    </row>
    <row r="18" spans="2:3 16383:16384" x14ac:dyDescent="0.25">
      <c r="B18" s="4" t="s">
        <v>651</v>
      </c>
      <c r="C18" s="115">
        <v>29.125932225880042</v>
      </c>
      <c r="XFC18" vm="32">
        <f ca="1"/>
        <v>45314</v>
      </c>
      <c r="XFD18" vm="33">
        <f ca="1"/>
        <v>7.65</v>
      </c>
    </row>
    <row r="19" spans="2:3 16383:16384" x14ac:dyDescent="0.25">
      <c r="B19" t="s">
        <v>648</v>
      </c>
      <c r="C19" s="80">
        <v>0.8</v>
      </c>
      <c r="XFC19" vm="34">
        <f ca="1"/>
        <v>45315</v>
      </c>
      <c r="XFD19" vm="35">
        <f ca="1"/>
        <v>7.5795000000000003</v>
      </c>
    </row>
    <row r="20" spans="2:3 16383:16384" x14ac:dyDescent="0.25">
      <c r="B20" t="s">
        <v>649</v>
      </c>
      <c r="C20" s="80">
        <v>0.8</v>
      </c>
      <c r="XFC20" vm="36">
        <f ca="1"/>
        <v>45316</v>
      </c>
      <c r="XFD20" vm="33">
        <f ca="1"/>
        <v>7.65</v>
      </c>
    </row>
    <row r="21" spans="2:3 16383:16384" x14ac:dyDescent="0.25">
      <c r="XFC21" vm="37">
        <f ca="1"/>
        <v>45317</v>
      </c>
      <c r="XFD21" vm="38">
        <f ca="1"/>
        <v>7.6349999999999998</v>
      </c>
    </row>
    <row r="22" spans="2:3 16383:16384" x14ac:dyDescent="0.25">
      <c r="B22" t="s">
        <v>650</v>
      </c>
      <c r="C22" s="84">
        <v>0.35999999999999988</v>
      </c>
      <c r="XFC22" vm="39">
        <f ca="1"/>
        <v>45320</v>
      </c>
      <c r="XFD22" vm="40">
        <f ca="1"/>
        <v>8.4</v>
      </c>
    </row>
    <row r="23" spans="2:3 16383:16384" x14ac:dyDescent="0.25">
      <c r="B23" t="s">
        <v>652</v>
      </c>
      <c r="C23" s="92">
        <v>17.109826589595375</v>
      </c>
      <c r="XFC23" vm="41">
        <f ca="1"/>
        <v>45321</v>
      </c>
      <c r="XFD23" vm="40">
        <f ca="1"/>
        <v>8.4</v>
      </c>
    </row>
    <row r="24" spans="2:3 16383:16384" x14ac:dyDescent="0.25">
      <c r="C24" s="92"/>
      <c r="XFC24" vm="42">
        <f ca="1"/>
        <v>45322</v>
      </c>
      <c r="XFD24" vm="43">
        <f ca="1"/>
        <v>8.1344999999999992</v>
      </c>
    </row>
    <row r="25" spans="2:3 16383:16384" x14ac:dyDescent="0.25">
      <c r="B25" s="4" t="s">
        <v>653</v>
      </c>
      <c r="C25" s="117">
        <v>24.800134196817559</v>
      </c>
      <c r="XFC25" vm="44">
        <f ca="1"/>
        <v>45323</v>
      </c>
      <c r="XFD25" vm="45">
        <f ca="1"/>
        <v>8.6999999999999993</v>
      </c>
    </row>
    <row r="26" spans="2:3 16383:16384" x14ac:dyDescent="0.25">
      <c r="B26" s="4" t="s">
        <v>654</v>
      </c>
      <c r="C26" s="117">
        <v>22.23</v>
      </c>
      <c r="XFC26" vm="46">
        <f ca="1"/>
        <v>45324</v>
      </c>
      <c r="XFD26" vm="47">
        <f ca="1"/>
        <v>8.3249999999999993</v>
      </c>
    </row>
    <row r="27" spans="2:3 16383:16384" x14ac:dyDescent="0.25">
      <c r="B27" t="s">
        <v>655</v>
      </c>
      <c r="C27" s="111">
        <v>0.11561557340609796</v>
      </c>
      <c r="XFC27" vm="48">
        <f ca="1"/>
        <v>45327</v>
      </c>
      <c r="XFD27" vm="40">
        <f ca="1"/>
        <v>8.4</v>
      </c>
    </row>
    <row r="28" spans="2:3 16383:16384" x14ac:dyDescent="0.25">
      <c r="XFC28" vm="49">
        <f ca="1"/>
        <v>45328</v>
      </c>
      <c r="XFD28" vm="50">
        <f ca="1"/>
        <v>10.199999999999999</v>
      </c>
    </row>
    <row r="29" spans="2:3 16383:16384" x14ac:dyDescent="0.25">
      <c r="XFC29" vm="51">
        <f ca="1"/>
        <v>45329</v>
      </c>
      <c r="XFD29" vm="52">
        <f ca="1"/>
        <v>10.050000000000001</v>
      </c>
    </row>
    <row r="30" spans="2:3 16383:16384" x14ac:dyDescent="0.25">
      <c r="XFC30" vm="53">
        <f ca="1"/>
        <v>45330</v>
      </c>
      <c r="XFD30" vm="54">
        <f ca="1"/>
        <v>10.275</v>
      </c>
    </row>
    <row r="31" spans="2:3 16383:16384" x14ac:dyDescent="0.25">
      <c r="XFC31" vm="55">
        <f ca="1"/>
        <v>45331</v>
      </c>
      <c r="XFD31" vm="56">
        <f ca="1"/>
        <v>10.65</v>
      </c>
    </row>
    <row r="32" spans="2:3 16383:16384" x14ac:dyDescent="0.25">
      <c r="XFC32" vm="57">
        <f ca="1"/>
        <v>45334</v>
      </c>
      <c r="XFD32" vm="58">
        <f ca="1"/>
        <v>10.68</v>
      </c>
    </row>
    <row r="33" spans="2:12 16383:16384" ht="30" x14ac:dyDescent="0.25">
      <c r="B33" s="8" t="s">
        <v>8</v>
      </c>
      <c r="XFC33" vm="59">
        <f ca="1"/>
        <v>45335</v>
      </c>
      <c r="XFD33" vm="60">
        <f ca="1"/>
        <v>9.8249999999999993</v>
      </c>
    </row>
    <row r="34" spans="2:12 16383:16384" x14ac:dyDescent="0.25">
      <c r="B34" s="5" t="s">
        <v>9</v>
      </c>
      <c r="C34" s="5" t="s">
        <v>10</v>
      </c>
      <c r="D34" s="5" t="s">
        <v>11</v>
      </c>
      <c r="E34" s="5" t="s">
        <v>12</v>
      </c>
      <c r="F34" s="5" t="s">
        <v>13</v>
      </c>
      <c r="H34" s="5" t="s">
        <v>9</v>
      </c>
      <c r="I34" s="5" t="s">
        <v>10</v>
      </c>
      <c r="J34" s="5" t="s">
        <v>11</v>
      </c>
      <c r="K34" s="5" t="s">
        <v>12</v>
      </c>
      <c r="L34" s="5" t="s">
        <v>13</v>
      </c>
      <c r="XFC34" vm="61">
        <f ca="1"/>
        <v>45336</v>
      </c>
      <c r="XFD34" vm="62">
        <f ca="1"/>
        <v>11.55</v>
      </c>
    </row>
    <row r="35" spans="2:12 16383:16384" ht="75" x14ac:dyDescent="0.25">
      <c r="B35" s="8" t="s">
        <v>14</v>
      </c>
      <c r="C35" t="s">
        <v>15</v>
      </c>
      <c r="D35" t="s">
        <v>16</v>
      </c>
      <c r="E35" t="s">
        <v>17</v>
      </c>
      <c r="F35" t="s">
        <v>18</v>
      </c>
      <c r="H35" s="3" t="s">
        <v>19</v>
      </c>
      <c r="I35" t="s">
        <v>20</v>
      </c>
      <c r="J35" s="3" t="s">
        <v>16</v>
      </c>
      <c r="K35" s="3" t="s">
        <v>21</v>
      </c>
      <c r="L35" s="3" t="s">
        <v>22</v>
      </c>
      <c r="XFC35" vm="63">
        <f ca="1"/>
        <v>45337</v>
      </c>
      <c r="XFD35" vm="64">
        <f ca="1"/>
        <v>11.1</v>
      </c>
    </row>
    <row r="36" spans="2:12 16383:16384" x14ac:dyDescent="0.25">
      <c r="B36" s="118" t="s">
        <v>23</v>
      </c>
      <c r="C36" s="118"/>
      <c r="D36" s="118"/>
      <c r="E36" s="118"/>
      <c r="F36" s="118"/>
      <c r="H36" s="118" t="s">
        <v>24</v>
      </c>
      <c r="I36" s="118"/>
      <c r="J36" s="118"/>
      <c r="K36" s="118"/>
      <c r="L36" s="118"/>
      <c r="XFC36" vm="65">
        <f ca="1"/>
        <v>45338</v>
      </c>
      <c r="XFD36" vm="66">
        <f ca="1"/>
        <v>10.6785</v>
      </c>
    </row>
    <row r="37" spans="2:12 16383:16384" x14ac:dyDescent="0.25">
      <c r="B37" t="s">
        <v>659</v>
      </c>
      <c r="XFC37" vm="67">
        <f ca="1"/>
        <v>45342</v>
      </c>
      <c r="XFD37" vm="68">
        <f ca="1"/>
        <v>9.9540000000000006</v>
      </c>
    </row>
    <row r="38" spans="2:12 16383:16384" ht="75" x14ac:dyDescent="0.25">
      <c r="B38" s="8" t="s">
        <v>25</v>
      </c>
      <c r="C38" t="s">
        <v>15</v>
      </c>
      <c r="D38" t="s">
        <v>26</v>
      </c>
      <c r="E38" t="s">
        <v>27</v>
      </c>
      <c r="F38" t="s">
        <v>28</v>
      </c>
      <c r="H38" s="3" t="s">
        <v>29</v>
      </c>
      <c r="I38">
        <v>1</v>
      </c>
      <c r="J38" t="s">
        <v>30</v>
      </c>
      <c r="K38" t="s">
        <v>31</v>
      </c>
      <c r="L38" t="s">
        <v>32</v>
      </c>
      <c r="XFC38" vm="69">
        <f ca="1"/>
        <v>45343</v>
      </c>
      <c r="XFD38" vm="70">
        <f ca="1"/>
        <v>10.35</v>
      </c>
    </row>
    <row r="39" spans="2:12 16383:16384" x14ac:dyDescent="0.25">
      <c r="B39" s="118" t="s">
        <v>33</v>
      </c>
      <c r="C39" s="118"/>
      <c r="D39" s="118"/>
      <c r="E39" s="118"/>
      <c r="F39" s="118"/>
      <c r="XFC39" vm="71">
        <f ca="1"/>
        <v>45344</v>
      </c>
      <c r="XFD39" vm="72">
        <f ca="1"/>
        <v>9.9149999999999991</v>
      </c>
    </row>
    <row r="40" spans="2:12 16383:16384" ht="60" x14ac:dyDescent="0.25">
      <c r="B40" s="3"/>
      <c r="F40" s="3"/>
      <c r="H40" s="3" t="s">
        <v>34</v>
      </c>
      <c r="I40">
        <v>1</v>
      </c>
      <c r="J40" t="s">
        <v>35</v>
      </c>
      <c r="K40" t="s">
        <v>36</v>
      </c>
      <c r="L40" t="s">
        <v>22</v>
      </c>
      <c r="XFC40" vm="73">
        <f ca="1"/>
        <v>45345</v>
      </c>
      <c r="XFD40" vm="74">
        <f ca="1"/>
        <v>10.236000000000001</v>
      </c>
    </row>
    <row r="41" spans="2:12 16383:16384" x14ac:dyDescent="0.25">
      <c r="B41" s="4" t="s">
        <v>37</v>
      </c>
      <c r="F41" t="s">
        <v>38</v>
      </c>
      <c r="XFC41" vm="75">
        <f ca="1"/>
        <v>45348</v>
      </c>
      <c r="XFD41" vm="52">
        <f ca="1"/>
        <v>10.050000000000001</v>
      </c>
    </row>
    <row r="42" spans="2:12 16383:16384" x14ac:dyDescent="0.25">
      <c r="B42" s="9" t="s">
        <v>39</v>
      </c>
      <c r="XFC42" vm="76">
        <f ca="1"/>
        <v>45349</v>
      </c>
      <c r="XFD42" vm="77">
        <f ca="1"/>
        <v>11.25</v>
      </c>
    </row>
    <row r="43" spans="2:12 16383:16384" x14ac:dyDescent="0.25">
      <c r="XFC43" vm="78">
        <f ca="1"/>
        <v>45350</v>
      </c>
      <c r="XFD43" vm="79">
        <f ca="1"/>
        <v>10.8</v>
      </c>
    </row>
    <row r="44" spans="2:12 16383:16384" x14ac:dyDescent="0.25">
      <c r="XFC44" vm="80">
        <f ca="1"/>
        <v>45351</v>
      </c>
      <c r="XFD44" vm="56">
        <f ca="1"/>
        <v>10.65</v>
      </c>
    </row>
    <row r="45" spans="2:12 16383:16384" x14ac:dyDescent="0.25">
      <c r="B45" t="s">
        <v>487</v>
      </c>
      <c r="XFC45" vm="81">
        <f ca="1"/>
        <v>45352</v>
      </c>
      <c r="XFD45" vm="82">
        <f ca="1"/>
        <v>11.7</v>
      </c>
    </row>
    <row r="46" spans="2:12 16383:16384" x14ac:dyDescent="0.25">
      <c r="B46" s="4"/>
      <c r="C46" s="4" t="s">
        <v>491</v>
      </c>
      <c r="D46" s="4" t="s">
        <v>492</v>
      </c>
      <c r="E46" s="4" t="s">
        <v>493</v>
      </c>
      <c r="F46" s="4" t="s">
        <v>45</v>
      </c>
      <c r="XFC46" vm="83">
        <f ca="1"/>
        <v>45355</v>
      </c>
      <c r="XFD46" vm="84">
        <f ca="1"/>
        <v>13.5</v>
      </c>
    </row>
    <row r="47" spans="2:12 16383:16384" x14ac:dyDescent="0.25">
      <c r="B47" t="s">
        <v>402</v>
      </c>
      <c r="C47">
        <v>3993.36</v>
      </c>
      <c r="D47">
        <v>12</v>
      </c>
      <c r="E47">
        <f>C47*D47</f>
        <v>47920.32</v>
      </c>
      <c r="F47" t="s">
        <v>499</v>
      </c>
      <c r="G47" t="s">
        <v>490</v>
      </c>
      <c r="XFC47" vm="85">
        <f ca="1"/>
        <v>45356</v>
      </c>
      <c r="XFD47" vm="86">
        <f ca="1"/>
        <v>13.2615</v>
      </c>
    </row>
    <row r="48" spans="2:12 16383:16384" x14ac:dyDescent="0.25">
      <c r="B48" t="s">
        <v>444</v>
      </c>
      <c r="C48">
        <v>3500</v>
      </c>
      <c r="D48">
        <v>21</v>
      </c>
      <c r="E48">
        <f>D48*C48</f>
        <v>73500</v>
      </c>
      <c r="F48" t="s">
        <v>495</v>
      </c>
      <c r="G48" t="s">
        <v>494</v>
      </c>
      <c r="XFC48" vm="87">
        <f ca="1"/>
        <v>45357</v>
      </c>
      <c r="XFD48" vm="88">
        <f ca="1"/>
        <v>13.6485</v>
      </c>
    </row>
    <row r="49" spans="2:9 16383:16384" x14ac:dyDescent="0.25">
      <c r="B49" t="s">
        <v>488</v>
      </c>
      <c r="C49">
        <v>4240</v>
      </c>
      <c r="D49">
        <v>14</v>
      </c>
      <c r="E49">
        <f>C49*D49</f>
        <v>59360</v>
      </c>
      <c r="F49" t="s">
        <v>496</v>
      </c>
      <c r="G49" t="s">
        <v>498</v>
      </c>
      <c r="XFC49" vm="89">
        <f ca="1"/>
        <v>45358</v>
      </c>
      <c r="XFD49" vm="90">
        <f ca="1"/>
        <v>14.334</v>
      </c>
    </row>
    <row r="50" spans="2:9 16383:16384" x14ac:dyDescent="0.25">
      <c r="B50" t="s">
        <v>489</v>
      </c>
      <c r="C50">
        <v>1810.87</v>
      </c>
      <c r="D50">
        <v>26</v>
      </c>
      <c r="E50">
        <f>C50*D50</f>
        <v>47082.619999999995</v>
      </c>
      <c r="F50" t="s">
        <v>500</v>
      </c>
      <c r="G50" t="s">
        <v>497</v>
      </c>
      <c r="XFC50" vm="91">
        <f ca="1"/>
        <v>45359</v>
      </c>
      <c r="XFD50" vm="92">
        <f ca="1"/>
        <v>13.6365</v>
      </c>
    </row>
    <row r="51" spans="2:9 16383:16384" x14ac:dyDescent="0.25">
      <c r="B51" t="s">
        <v>88</v>
      </c>
      <c r="E51">
        <v>48000</v>
      </c>
      <c r="XFC51" vm="93">
        <f ca="1"/>
        <v>45362</v>
      </c>
      <c r="XFD51" vm="94">
        <f ca="1"/>
        <v>12.4755</v>
      </c>
    </row>
    <row r="52" spans="2:9 16383:16384" x14ac:dyDescent="0.25">
      <c r="XFC52" vm="95">
        <f ca="1"/>
        <v>45363</v>
      </c>
      <c r="XFD52" vm="96">
        <f ca="1"/>
        <v>13.35</v>
      </c>
    </row>
    <row r="53" spans="2:9 16383:16384" x14ac:dyDescent="0.25">
      <c r="XFC53" vm="97">
        <f ca="1"/>
        <v>45364</v>
      </c>
      <c r="XFD53" vm="98">
        <f ca="1"/>
        <v>12.75</v>
      </c>
    </row>
    <row r="54" spans="2:9 16383:16384" x14ac:dyDescent="0.25">
      <c r="XFC54" vm="99">
        <f ca="1"/>
        <v>45365</v>
      </c>
      <c r="XFD54" vm="100">
        <f ca="1"/>
        <v>12.9</v>
      </c>
    </row>
    <row r="55" spans="2:9 16383:16384" x14ac:dyDescent="0.25">
      <c r="XFC55" vm="101">
        <f ca="1"/>
        <v>45366</v>
      </c>
      <c r="XFD55" vm="102">
        <f ca="1"/>
        <v>12.903</v>
      </c>
    </row>
    <row r="56" spans="2:9 16383:16384" x14ac:dyDescent="0.25">
      <c r="XFC56" vm="103">
        <f ca="1"/>
        <v>45369</v>
      </c>
      <c r="XFD56" vm="98">
        <f ca="1"/>
        <v>12.75</v>
      </c>
    </row>
    <row r="57" spans="2:9 16383:16384" ht="30" x14ac:dyDescent="0.25">
      <c r="B57" s="77" t="s">
        <v>501</v>
      </c>
      <c r="C57" s="77" t="s">
        <v>502</v>
      </c>
      <c r="D57" s="77" t="s">
        <v>503</v>
      </c>
      <c r="E57" s="77" t="s">
        <v>504</v>
      </c>
      <c r="F57" s="77" t="s">
        <v>505</v>
      </c>
      <c r="G57" s="77" t="s">
        <v>506</v>
      </c>
      <c r="H57" s="77" t="s">
        <v>507</v>
      </c>
      <c r="I57" s="77" t="s">
        <v>508</v>
      </c>
      <c r="XFC57" vm="104">
        <f ca="1"/>
        <v>45370</v>
      </c>
      <c r="XFD57" vm="105">
        <f ca="1"/>
        <v>13.023</v>
      </c>
    </row>
    <row r="58" spans="2:9 16383:16384" ht="60" x14ac:dyDescent="0.25">
      <c r="B58" s="77" t="s">
        <v>509</v>
      </c>
      <c r="C58" s="77" t="s">
        <v>510</v>
      </c>
      <c r="D58" s="77" t="s">
        <v>511</v>
      </c>
      <c r="E58" s="78">
        <v>0.83</v>
      </c>
      <c r="F58" s="78">
        <v>0.8</v>
      </c>
      <c r="G58" s="77"/>
      <c r="H58" s="77"/>
      <c r="I58" s="77"/>
      <c r="XFC58" vm="106">
        <f ca="1"/>
        <v>45371</v>
      </c>
      <c r="XFD58" vm="84">
        <f ca="1"/>
        <v>13.5</v>
      </c>
    </row>
    <row r="59" spans="2:9 16383:16384" ht="60" x14ac:dyDescent="0.25">
      <c r="B59" s="77" t="s">
        <v>512</v>
      </c>
      <c r="C59" s="77" t="s">
        <v>513</v>
      </c>
      <c r="D59" s="77" t="s">
        <v>514</v>
      </c>
      <c r="E59" s="78">
        <v>0.96</v>
      </c>
      <c r="F59" s="78">
        <v>0.93</v>
      </c>
      <c r="G59" s="77"/>
      <c r="H59" s="77"/>
      <c r="I59" s="77"/>
      <c r="XFC59" vm="107">
        <f ca="1"/>
        <v>45372</v>
      </c>
      <c r="XFD59" vm="108">
        <f ca="1"/>
        <v>13.4595</v>
      </c>
    </row>
    <row r="60" spans="2:9 16383:16384" ht="30" x14ac:dyDescent="0.25">
      <c r="B60" s="77" t="s">
        <v>515</v>
      </c>
      <c r="C60" s="77" t="s">
        <v>516</v>
      </c>
      <c r="D60" s="77" t="s">
        <v>517</v>
      </c>
      <c r="E60" s="78">
        <v>0.95</v>
      </c>
      <c r="F60" s="78">
        <v>0.89</v>
      </c>
      <c r="G60" s="77"/>
      <c r="H60" s="77"/>
      <c r="I60" s="77"/>
      <c r="XFC60" vm="109">
        <f ca="1"/>
        <v>45373</v>
      </c>
      <c r="XFD60" vm="110">
        <f ca="1"/>
        <v>13.702500000000001</v>
      </c>
    </row>
    <row r="61" spans="2:9 16383:16384" ht="60" x14ac:dyDescent="0.25">
      <c r="B61" s="77" t="s">
        <v>518</v>
      </c>
      <c r="C61" s="77" t="s">
        <v>519</v>
      </c>
      <c r="D61" s="77" t="s">
        <v>520</v>
      </c>
      <c r="E61" s="77"/>
      <c r="F61" s="77"/>
      <c r="G61" s="77"/>
      <c r="H61" s="77"/>
      <c r="I61" s="77"/>
      <c r="XFC61" vm="111">
        <f ca="1"/>
        <v>45376</v>
      </c>
      <c r="XFD61" vm="112">
        <f ca="1"/>
        <v>13.3215</v>
      </c>
    </row>
    <row r="62" spans="2:9 16383:16384" ht="60" x14ac:dyDescent="0.25">
      <c r="B62" s="77" t="s">
        <v>518</v>
      </c>
      <c r="C62" s="77" t="s">
        <v>521</v>
      </c>
      <c r="D62" s="77" t="s">
        <v>522</v>
      </c>
      <c r="E62" s="78">
        <v>0.9</v>
      </c>
      <c r="F62" s="77"/>
      <c r="G62" s="77"/>
      <c r="H62" s="77"/>
      <c r="I62" s="77"/>
      <c r="XFC62" vm="113">
        <f ca="1"/>
        <v>45377</v>
      </c>
      <c r="XFD62" vm="84">
        <f ca="1"/>
        <v>13.5</v>
      </c>
    </row>
    <row r="63" spans="2:9 16383:16384" ht="60" x14ac:dyDescent="0.25">
      <c r="B63" s="77" t="s">
        <v>518</v>
      </c>
      <c r="C63" s="77" t="s">
        <v>523</v>
      </c>
      <c r="D63" s="77" t="s">
        <v>524</v>
      </c>
      <c r="E63" s="77"/>
      <c r="F63" s="77"/>
      <c r="G63" s="77"/>
      <c r="H63" s="77"/>
      <c r="I63" s="77"/>
      <c r="XFC63" vm="114">
        <f ca="1"/>
        <v>45378</v>
      </c>
      <c r="XFD63" vm="115">
        <f ca="1"/>
        <v>13.2765</v>
      </c>
    </row>
    <row r="64" spans="2:9 16383:16384" ht="30" x14ac:dyDescent="0.25">
      <c r="B64" s="77" t="s">
        <v>518</v>
      </c>
      <c r="C64" s="77" t="s">
        <v>525</v>
      </c>
      <c r="D64" s="77" t="s">
        <v>526</v>
      </c>
      <c r="E64" s="78">
        <v>0.91</v>
      </c>
      <c r="F64" s="78">
        <v>0.83</v>
      </c>
      <c r="G64" s="78">
        <v>0.79</v>
      </c>
      <c r="H64" s="78">
        <v>0.76</v>
      </c>
      <c r="I64" s="77"/>
      <c r="XFC64" vm="116">
        <f ca="1"/>
        <v>45379</v>
      </c>
      <c r="XFD64" vm="117">
        <f ca="1"/>
        <v>14.013</v>
      </c>
    </row>
    <row r="65" spans="2:9 16383:16384" ht="75" x14ac:dyDescent="0.25">
      <c r="B65" s="77" t="s">
        <v>527</v>
      </c>
      <c r="C65" s="77" t="s">
        <v>528</v>
      </c>
      <c r="D65" s="77" t="s">
        <v>529</v>
      </c>
      <c r="E65" s="78">
        <v>0.9</v>
      </c>
      <c r="F65" s="78">
        <v>0.86</v>
      </c>
      <c r="G65" s="78">
        <v>0.79</v>
      </c>
      <c r="H65" s="77"/>
      <c r="I65" s="77"/>
      <c r="XFC65" vm="118">
        <f ca="1"/>
        <v>45383</v>
      </c>
      <c r="XFD65" vm="119">
        <f ca="1"/>
        <v>13.561500000000001</v>
      </c>
    </row>
    <row r="66" spans="2:9 16383:16384" ht="60" x14ac:dyDescent="0.25">
      <c r="B66" s="77" t="s">
        <v>530</v>
      </c>
      <c r="C66" s="77" t="s">
        <v>531</v>
      </c>
      <c r="D66" s="77" t="s">
        <v>532</v>
      </c>
      <c r="E66" s="78">
        <v>0.95</v>
      </c>
      <c r="F66" s="77"/>
      <c r="G66" s="77"/>
      <c r="H66" s="77"/>
      <c r="I66" s="77"/>
      <c r="XFC66" vm="120">
        <f ca="1"/>
        <v>45384</v>
      </c>
      <c r="XFD66" vm="121">
        <f ca="1"/>
        <v>14.25</v>
      </c>
    </row>
    <row r="67" spans="2:9 16383:16384" ht="60" x14ac:dyDescent="0.25">
      <c r="B67" s="77" t="s">
        <v>533</v>
      </c>
      <c r="C67" s="77" t="s">
        <v>534</v>
      </c>
      <c r="D67" s="77" t="s">
        <v>535</v>
      </c>
      <c r="E67" s="77"/>
      <c r="F67" s="77"/>
      <c r="G67" s="77"/>
      <c r="H67" s="77"/>
      <c r="I67" s="77"/>
      <c r="XFC67" vm="122">
        <f ca="1"/>
        <v>45385</v>
      </c>
      <c r="XFD67" vm="123">
        <f ca="1"/>
        <v>15.6</v>
      </c>
    </row>
    <row r="68" spans="2:9 16383:16384" ht="60" x14ac:dyDescent="0.25">
      <c r="B68" s="77" t="s">
        <v>536</v>
      </c>
      <c r="C68" s="77" t="s">
        <v>537</v>
      </c>
      <c r="D68" s="77" t="s">
        <v>538</v>
      </c>
      <c r="E68" s="77"/>
      <c r="F68" s="77"/>
      <c r="G68" s="77"/>
      <c r="H68" s="77"/>
      <c r="I68" s="77"/>
      <c r="XFC68" vm="124">
        <f ca="1"/>
        <v>45386</v>
      </c>
      <c r="XFD68" vm="125">
        <f ca="1"/>
        <v>19.8</v>
      </c>
    </row>
    <row r="69" spans="2:9 16383:16384" x14ac:dyDescent="0.25">
      <c r="XFC69" vm="126">
        <f ca="1"/>
        <v>45387</v>
      </c>
      <c r="XFD69" vm="125">
        <f ca="1"/>
        <v>19.8</v>
      </c>
    </row>
    <row r="70" spans="2:9 16383:16384" x14ac:dyDescent="0.25">
      <c r="B70" s="77" t="s">
        <v>539</v>
      </c>
      <c r="E70" s="21">
        <f>AVERAGE(E58:E68)</f>
        <v>0.91428571428571437</v>
      </c>
      <c r="F70" s="21">
        <f t="shared" ref="F70:H70" si="0">AVERAGE(F58:F68)</f>
        <v>0.8620000000000001</v>
      </c>
      <c r="G70" s="21">
        <f t="shared" si="0"/>
        <v>0.79</v>
      </c>
      <c r="H70" s="21">
        <f t="shared" si="0"/>
        <v>0.76</v>
      </c>
      <c r="I70" s="20">
        <v>0.75</v>
      </c>
      <c r="XFC70" vm="127">
        <f ca="1"/>
        <v>45390</v>
      </c>
      <c r="XFD70" vm="128">
        <f ca="1"/>
        <v>19.649999999999999</v>
      </c>
    </row>
    <row r="71" spans="2:9 16383:16384" x14ac:dyDescent="0.25">
      <c r="XFC71" vm="129">
        <f ca="1"/>
        <v>45391</v>
      </c>
      <c r="XFD71" vm="130">
        <f ca="1"/>
        <v>18.75</v>
      </c>
    </row>
    <row r="72" spans="2:9 16383:16384" x14ac:dyDescent="0.25">
      <c r="XFC72" vm="131">
        <f ca="1"/>
        <v>45392</v>
      </c>
      <c r="XFD72" vm="132">
        <f ca="1"/>
        <v>19.350000000000001</v>
      </c>
    </row>
    <row r="73" spans="2:9 16383:16384" x14ac:dyDescent="0.25">
      <c r="XFC73" vm="133">
        <f ca="1"/>
        <v>45393</v>
      </c>
      <c r="XFD73" vm="134">
        <f ca="1"/>
        <v>23.7</v>
      </c>
    </row>
    <row r="74" spans="2:9 16383:16384" x14ac:dyDescent="0.25">
      <c r="XFC74" vm="135">
        <f ca="1"/>
        <v>45394</v>
      </c>
      <c r="XFD74" vm="136">
        <f ca="1"/>
        <v>25.05</v>
      </c>
    </row>
    <row r="75" spans="2:9 16383:16384" x14ac:dyDescent="0.25">
      <c r="XFC75" vm="137">
        <f ca="1"/>
        <v>45397</v>
      </c>
      <c r="XFD75" vm="138">
        <f ca="1"/>
        <v>23.55</v>
      </c>
    </row>
    <row r="76" spans="2:9 16383:16384" x14ac:dyDescent="0.25">
      <c r="XFC76" vm="139">
        <f ca="1"/>
        <v>45398</v>
      </c>
      <c r="XFD76" vm="140">
        <f ca="1"/>
        <v>22.35</v>
      </c>
    </row>
    <row r="77" spans="2:9 16383:16384" x14ac:dyDescent="0.25">
      <c r="XFC77" vm="141">
        <f ca="1"/>
        <v>45399</v>
      </c>
      <c r="XFD77" vm="142">
        <f ca="1"/>
        <v>20.25</v>
      </c>
    </row>
    <row r="78" spans="2:9 16383:16384" x14ac:dyDescent="0.25">
      <c r="B78" s="9" t="s">
        <v>647</v>
      </c>
      <c r="XFC78" vm="143">
        <f ca="1"/>
        <v>45400</v>
      </c>
      <c r="XFD78" vm="125">
        <f ca="1"/>
        <v>19.8</v>
      </c>
    </row>
    <row r="79" spans="2:9 16383:16384" x14ac:dyDescent="0.25">
      <c r="XFC79" vm="144">
        <f ca="1"/>
        <v>45401</v>
      </c>
      <c r="XFD79" vm="145">
        <f ca="1"/>
        <v>18.600000000000001</v>
      </c>
    </row>
    <row r="80" spans="2:9 16383:16384" x14ac:dyDescent="0.25">
      <c r="B80" s="39" t="s">
        <v>624</v>
      </c>
      <c r="XFC80" vm="146">
        <f ca="1"/>
        <v>45404</v>
      </c>
      <c r="XFD80" vm="147">
        <f ca="1"/>
        <v>20.399999999999999</v>
      </c>
    </row>
    <row r="81" spans="2:6 16383:16384" x14ac:dyDescent="0.25">
      <c r="B81" s="90" t="s">
        <v>625</v>
      </c>
      <c r="C81" s="90" t="s">
        <v>626</v>
      </c>
      <c r="D81" s="90" t="s">
        <v>627</v>
      </c>
      <c r="E81" s="90" t="s">
        <v>628</v>
      </c>
      <c r="F81" s="90" t="s">
        <v>629</v>
      </c>
      <c r="XFC81" vm="148">
        <f ca="1"/>
        <v>45405</v>
      </c>
      <c r="XFD81" vm="149">
        <f ca="1"/>
        <v>21.3</v>
      </c>
    </row>
    <row r="82" spans="2:6 16383:16384" x14ac:dyDescent="0.25">
      <c r="B82" t="s">
        <v>630</v>
      </c>
      <c r="C82" s="21">
        <v>9.5000000000000001E-2</v>
      </c>
      <c r="D82" t="s">
        <v>631</v>
      </c>
      <c r="E82" t="s">
        <v>632</v>
      </c>
      <c r="XFC82" vm="150">
        <f ca="1"/>
        <v>45406</v>
      </c>
      <c r="XFD82" vm="151">
        <f ca="1"/>
        <v>20.7</v>
      </c>
    </row>
    <row r="83" spans="2:6 16383:16384" x14ac:dyDescent="0.25">
      <c r="B83" t="s">
        <v>633</v>
      </c>
      <c r="C83" s="21">
        <v>0.10100000000000001</v>
      </c>
      <c r="D83" t="s">
        <v>634</v>
      </c>
      <c r="E83" t="s">
        <v>632</v>
      </c>
      <c r="XFC83" vm="152">
        <f ca="1"/>
        <v>45407</v>
      </c>
      <c r="XFD83" vm="125">
        <f ca="1"/>
        <v>19.8</v>
      </c>
    </row>
    <row r="84" spans="2:6 16383:16384" x14ac:dyDescent="0.25">
      <c r="B84" t="s">
        <v>635</v>
      </c>
      <c r="C84" s="21">
        <v>9.6000000000000002E-2</v>
      </c>
      <c r="D84" t="s">
        <v>636</v>
      </c>
      <c r="E84" s="113">
        <v>-2020</v>
      </c>
      <c r="F84" t="s">
        <v>637</v>
      </c>
      <c r="XFC84" vm="153">
        <f ca="1"/>
        <v>45408</v>
      </c>
      <c r="XFD84" vm="125">
        <f ca="1"/>
        <v>19.8</v>
      </c>
    </row>
    <row r="85" spans="2:6 16383:16384" x14ac:dyDescent="0.25">
      <c r="B85" t="s">
        <v>638</v>
      </c>
      <c r="C85" s="21">
        <v>0.14599999999999999</v>
      </c>
      <c r="D85" t="s">
        <v>631</v>
      </c>
      <c r="E85" t="s">
        <v>639</v>
      </c>
      <c r="XFC85" vm="154">
        <f ca="1"/>
        <v>45411</v>
      </c>
      <c r="XFD85" vm="155">
        <f ca="1"/>
        <v>21.9</v>
      </c>
    </row>
    <row r="86" spans="2:6 16383:16384" x14ac:dyDescent="0.25">
      <c r="B86" t="s">
        <v>640</v>
      </c>
      <c r="C86" s="20">
        <v>0.15</v>
      </c>
      <c r="D86" t="s">
        <v>641</v>
      </c>
      <c r="F86" t="s">
        <v>642</v>
      </c>
      <c r="XFC86" vm="156">
        <f ca="1"/>
        <v>45412</v>
      </c>
      <c r="XFD86" vm="155">
        <f ca="1"/>
        <v>21.9</v>
      </c>
    </row>
    <row r="87" spans="2:6 16383:16384" x14ac:dyDescent="0.25">
      <c r="B87" s="9" t="s">
        <v>643</v>
      </c>
      <c r="C87" s="14">
        <f>((48/37)^(2025-2017) -1)%</f>
        <v>7.0226178682979423E-2</v>
      </c>
      <c r="D87" t="s">
        <v>644</v>
      </c>
      <c r="E87" t="s">
        <v>645</v>
      </c>
      <c r="F87" t="s">
        <v>646</v>
      </c>
      <c r="XFC87" vm="157">
        <f ca="1"/>
        <v>45413</v>
      </c>
      <c r="XFD87" vm="158">
        <f ca="1"/>
        <v>24.75</v>
      </c>
    </row>
    <row r="88" spans="2:6 16383:16384" x14ac:dyDescent="0.25">
      <c r="XFC88" vm="159">
        <f ca="1"/>
        <v>45414</v>
      </c>
      <c r="XFD88" vm="136">
        <f ca="1"/>
        <v>25.05</v>
      </c>
    </row>
    <row r="89" spans="2:6 16383:16384" x14ac:dyDescent="0.25">
      <c r="XFC89" vm="160">
        <f ca="1"/>
        <v>45415</v>
      </c>
      <c r="XFD89" vm="138">
        <f ca="1"/>
        <v>23.55</v>
      </c>
    </row>
    <row r="90" spans="2:6 16383:16384" x14ac:dyDescent="0.25">
      <c r="XFC90" vm="161">
        <f ca="1"/>
        <v>45418</v>
      </c>
      <c r="XFD90" vm="158">
        <f ca="1"/>
        <v>24.75</v>
      </c>
    </row>
    <row r="91" spans="2:6 16383:16384" x14ac:dyDescent="0.25">
      <c r="XFC91" vm="162">
        <f ca="1"/>
        <v>45419</v>
      </c>
      <c r="XFD91" vm="163">
        <f ca="1"/>
        <v>22.5</v>
      </c>
    </row>
    <row r="92" spans="2:6 16383:16384" x14ac:dyDescent="0.25">
      <c r="XFC92" vm="164">
        <f ca="1"/>
        <v>45420</v>
      </c>
      <c r="XFD92" vm="165">
        <f ca="1"/>
        <v>24.6</v>
      </c>
    </row>
    <row r="93" spans="2:6 16383:16384" x14ac:dyDescent="0.25">
      <c r="XFC93" vm="166">
        <f ca="1"/>
        <v>45421</v>
      </c>
      <c r="XFD93" vm="167">
        <f ca="1"/>
        <v>24</v>
      </c>
    </row>
    <row r="94" spans="2:6 16383:16384" x14ac:dyDescent="0.25">
      <c r="XFC94" vm="168">
        <f ca="1"/>
        <v>45422</v>
      </c>
      <c r="XFD94" vm="169">
        <f ca="1"/>
        <v>26.4</v>
      </c>
    </row>
    <row r="95" spans="2:6 16383:16384" x14ac:dyDescent="0.25">
      <c r="XFC95" vm="170">
        <f ca="1"/>
        <v>45425</v>
      </c>
      <c r="XFD95" vm="171">
        <f ca="1"/>
        <v>26.25</v>
      </c>
    </row>
    <row r="96" spans="2:6 16383:16384" x14ac:dyDescent="0.25">
      <c r="XFC96" vm="172">
        <f ca="1"/>
        <v>45426</v>
      </c>
      <c r="XFD96" vm="173">
        <f ca="1"/>
        <v>26.55</v>
      </c>
    </row>
    <row r="97" spans="16383:16384" x14ac:dyDescent="0.25">
      <c r="XFC97" vm="174">
        <f ca="1"/>
        <v>45427</v>
      </c>
      <c r="XFD97" vm="175">
        <f ca="1"/>
        <v>27.45</v>
      </c>
    </row>
    <row r="98" spans="16383:16384" x14ac:dyDescent="0.25">
      <c r="XFC98" vm="176">
        <f ca="1"/>
        <v>45428</v>
      </c>
      <c r="XFD98" vm="177">
        <f ca="1"/>
        <v>27</v>
      </c>
    </row>
    <row r="99" spans="16383:16384" x14ac:dyDescent="0.25">
      <c r="XFC99" vm="178">
        <f ca="1"/>
        <v>45429</v>
      </c>
      <c r="XFD99" vm="179">
        <f ca="1"/>
        <v>26.324999999999999</v>
      </c>
    </row>
    <row r="100" spans="16383:16384" x14ac:dyDescent="0.25">
      <c r="XFC100" vm="180">
        <f ca="1"/>
        <v>45432</v>
      </c>
      <c r="XFD100" vm="171">
        <f ca="1"/>
        <v>26.25</v>
      </c>
    </row>
    <row r="101" spans="16383:16384" x14ac:dyDescent="0.25">
      <c r="XFC101" vm="181">
        <f ca="1"/>
        <v>45433</v>
      </c>
      <c r="XFD101" vm="182">
        <f ca="1"/>
        <v>25.5</v>
      </c>
    </row>
    <row r="102" spans="16383:16384" x14ac:dyDescent="0.25">
      <c r="XFC102" vm="183">
        <f ca="1"/>
        <v>45434</v>
      </c>
      <c r="XFD102" vm="171">
        <f ca="1"/>
        <v>26.25</v>
      </c>
    </row>
    <row r="103" spans="16383:16384" x14ac:dyDescent="0.25">
      <c r="XFC103" vm="184">
        <f ca="1"/>
        <v>45435</v>
      </c>
      <c r="XFD103" vm="185">
        <f ca="1"/>
        <v>24.9</v>
      </c>
    </row>
    <row r="104" spans="16383:16384" x14ac:dyDescent="0.25">
      <c r="XFC104" vm="186">
        <f ca="1"/>
        <v>45436</v>
      </c>
      <c r="XFD104" vm="165">
        <f ca="1"/>
        <v>24.6</v>
      </c>
    </row>
    <row r="105" spans="16383:16384" x14ac:dyDescent="0.25">
      <c r="XFC105" vm="187">
        <f ca="1"/>
        <v>45440</v>
      </c>
      <c r="XFD105" vm="163">
        <f ca="1"/>
        <v>22.5</v>
      </c>
    </row>
    <row r="106" spans="16383:16384" x14ac:dyDescent="0.25">
      <c r="XFC106" vm="188">
        <f ca="1"/>
        <v>45441</v>
      </c>
      <c r="XFD106" vm="151">
        <f ca="1"/>
        <v>20.7</v>
      </c>
    </row>
    <row r="107" spans="16383:16384" x14ac:dyDescent="0.25">
      <c r="XFC107" vm="189">
        <f ca="1"/>
        <v>45442</v>
      </c>
      <c r="XFD107" vm="190">
        <f ca="1"/>
        <v>18.899999999999999</v>
      </c>
    </row>
    <row r="108" spans="16383:16384" x14ac:dyDescent="0.25">
      <c r="XFC108" vm="191">
        <f ca="1"/>
        <v>45443</v>
      </c>
      <c r="XFD108" vm="192">
        <f ca="1"/>
        <v>19.05</v>
      </c>
    </row>
    <row r="109" spans="16383:16384" x14ac:dyDescent="0.25">
      <c r="XFC109" vm="193">
        <f ca="1"/>
        <v>45446</v>
      </c>
      <c r="XFD109" vm="194">
        <f ca="1"/>
        <v>21.15</v>
      </c>
    </row>
    <row r="110" spans="16383:16384" x14ac:dyDescent="0.25">
      <c r="XFC110" vm="195">
        <f ca="1"/>
        <v>45447</v>
      </c>
      <c r="XFD110" vm="196">
        <f ca="1"/>
        <v>21</v>
      </c>
    </row>
    <row r="111" spans="16383:16384" x14ac:dyDescent="0.25">
      <c r="XFC111" vm="197">
        <f ca="1"/>
        <v>45448</v>
      </c>
      <c r="XFD111" vm="149">
        <f ca="1"/>
        <v>21.3</v>
      </c>
    </row>
    <row r="112" spans="16383:16384" x14ac:dyDescent="0.25">
      <c r="XFC112" vm="198">
        <f ca="1"/>
        <v>45449</v>
      </c>
      <c r="XFD112" vm="199">
        <f ca="1"/>
        <v>20.85</v>
      </c>
    </row>
    <row r="113" spans="16383:16384" x14ac:dyDescent="0.25">
      <c r="XFC113" vm="200">
        <f ca="1"/>
        <v>45450</v>
      </c>
      <c r="XFD113" vm="190">
        <f ca="1"/>
        <v>18.899999999999999</v>
      </c>
    </row>
    <row r="114" spans="16383:16384" x14ac:dyDescent="0.25">
      <c r="XFC114" vm="201">
        <f ca="1"/>
        <v>45453</v>
      </c>
      <c r="XFD114" vm="202">
        <f ca="1"/>
        <v>18.074999999999999</v>
      </c>
    </row>
    <row r="115" spans="16383:16384" x14ac:dyDescent="0.25">
      <c r="XFC115" vm="203">
        <f ca="1"/>
        <v>45454</v>
      </c>
      <c r="XFD115" vm="190">
        <f ca="1"/>
        <v>18.899999999999999</v>
      </c>
    </row>
    <row r="116" spans="16383:16384" x14ac:dyDescent="0.25">
      <c r="XFC116" vm="204">
        <f ca="1"/>
        <v>45455</v>
      </c>
      <c r="XFD116" vm="132">
        <f ca="1"/>
        <v>19.350000000000001</v>
      </c>
    </row>
    <row r="117" spans="16383:16384" x14ac:dyDescent="0.25">
      <c r="XFC117" vm="205">
        <f ca="1"/>
        <v>45456</v>
      </c>
      <c r="XFD117" vm="130">
        <f ca="1"/>
        <v>18.75</v>
      </c>
    </row>
    <row r="118" spans="16383:16384" x14ac:dyDescent="0.25">
      <c r="XFC118" vm="206">
        <f ca="1"/>
        <v>45457</v>
      </c>
      <c r="XFD118" vm="207">
        <f ca="1"/>
        <v>17.55</v>
      </c>
    </row>
    <row r="119" spans="16383:16384" x14ac:dyDescent="0.25">
      <c r="XFC119" vm="208">
        <f ca="1"/>
        <v>45460</v>
      </c>
      <c r="XFD119" vm="207">
        <f ca="1"/>
        <v>17.55</v>
      </c>
    </row>
    <row r="120" spans="16383:16384" x14ac:dyDescent="0.25">
      <c r="XFC120" vm="209">
        <f ca="1"/>
        <v>45461</v>
      </c>
      <c r="XFD120" vm="210">
        <f ca="1"/>
        <v>17.100000000000001</v>
      </c>
    </row>
    <row r="121" spans="16383:16384" x14ac:dyDescent="0.25">
      <c r="XFC121" vm="211">
        <f ca="1"/>
        <v>45463</v>
      </c>
      <c r="XFD121" vm="212">
        <f ca="1"/>
        <v>16.350000000000001</v>
      </c>
    </row>
    <row r="122" spans="16383:16384" x14ac:dyDescent="0.25">
      <c r="XFC122" vm="213">
        <f ca="1"/>
        <v>45464</v>
      </c>
      <c r="XFD122" vm="214">
        <f ca="1"/>
        <v>17.399999999999999</v>
      </c>
    </row>
    <row r="123" spans="16383:16384" x14ac:dyDescent="0.25">
      <c r="XFC123" vm="215">
        <f ca="1"/>
        <v>45467</v>
      </c>
      <c r="XFD123" vm="207">
        <f ca="1"/>
        <v>17.55</v>
      </c>
    </row>
    <row r="124" spans="16383:16384" x14ac:dyDescent="0.25">
      <c r="XFC124" vm="216">
        <f ca="1"/>
        <v>45468</v>
      </c>
      <c r="XFD124" vm="217">
        <f ca="1"/>
        <v>16.05</v>
      </c>
    </row>
    <row r="125" spans="16383:16384" x14ac:dyDescent="0.25">
      <c r="XFC125" vm="218">
        <f ca="1"/>
        <v>45469</v>
      </c>
      <c r="XFD125" vm="219">
        <f ca="1"/>
        <v>16.274999999999999</v>
      </c>
    </row>
    <row r="126" spans="16383:16384" x14ac:dyDescent="0.25">
      <c r="XFC126" vm="220">
        <f ca="1"/>
        <v>45470</v>
      </c>
      <c r="XFD126" vm="210">
        <f ca="1"/>
        <v>17.100000000000001</v>
      </c>
    </row>
    <row r="127" spans="16383:16384" x14ac:dyDescent="0.25">
      <c r="XFC127" vm="221">
        <f ca="1"/>
        <v>45471</v>
      </c>
      <c r="XFD127" vm="145">
        <f ca="1"/>
        <v>18.600000000000001</v>
      </c>
    </row>
    <row r="128" spans="16383:16384" x14ac:dyDescent="0.25">
      <c r="XFC128" vm="222">
        <f ca="1"/>
        <v>45474</v>
      </c>
      <c r="XFD128" vm="223">
        <f ca="1"/>
        <v>18.3</v>
      </c>
    </row>
    <row r="129" spans="16383:16384" x14ac:dyDescent="0.25">
      <c r="XFC129" vm="224">
        <f ca="1"/>
        <v>45475</v>
      </c>
      <c r="XFD129" vm="207">
        <f ca="1"/>
        <v>17.55</v>
      </c>
    </row>
    <row r="130" spans="16383:16384" x14ac:dyDescent="0.25">
      <c r="XFC130" vm="225">
        <f ca="1"/>
        <v>45476</v>
      </c>
      <c r="XFD130" vm="226">
        <f ca="1"/>
        <v>19.5</v>
      </c>
    </row>
    <row r="131" spans="16383:16384" x14ac:dyDescent="0.25">
      <c r="XFC131" vm="227">
        <f ca="1"/>
        <v>45478</v>
      </c>
      <c r="XFD131" vm="132">
        <f ca="1"/>
        <v>19.350000000000001</v>
      </c>
    </row>
    <row r="132" spans="16383:16384" x14ac:dyDescent="0.25">
      <c r="XFC132" vm="228">
        <f ca="1"/>
        <v>45481</v>
      </c>
      <c r="XFD132" vm="145">
        <f ca="1"/>
        <v>18.600000000000001</v>
      </c>
    </row>
    <row r="133" spans="16383:16384" x14ac:dyDescent="0.25">
      <c r="XFC133" vm="229">
        <f ca="1"/>
        <v>45482</v>
      </c>
      <c r="XFD133" vm="230">
        <f ca="1"/>
        <v>18.45</v>
      </c>
    </row>
    <row r="134" spans="16383:16384" x14ac:dyDescent="0.25">
      <c r="XFC134" vm="231">
        <f ca="1"/>
        <v>45483</v>
      </c>
      <c r="XFD134" vm="232">
        <f ca="1"/>
        <v>19.95</v>
      </c>
    </row>
    <row r="135" spans="16383:16384" x14ac:dyDescent="0.25">
      <c r="XFC135" vm="233">
        <f ca="1"/>
        <v>45484</v>
      </c>
      <c r="XFD135" vm="147">
        <f ca="1"/>
        <v>20.399999999999999</v>
      </c>
    </row>
    <row r="136" spans="16383:16384" x14ac:dyDescent="0.25">
      <c r="XFC136" vm="234">
        <f ca="1"/>
        <v>45485</v>
      </c>
      <c r="XFD136" vm="149">
        <f ca="1"/>
        <v>21.3</v>
      </c>
    </row>
    <row r="137" spans="16383:16384" x14ac:dyDescent="0.25">
      <c r="XFC137" vm="235">
        <f ca="1"/>
        <v>45488</v>
      </c>
      <c r="XFD137" vm="196">
        <f ca="1"/>
        <v>21</v>
      </c>
    </row>
    <row r="138" spans="16383:16384" x14ac:dyDescent="0.25">
      <c r="XFC138" vm="236">
        <f ca="1"/>
        <v>45489</v>
      </c>
      <c r="XFD138" vm="237">
        <f ca="1"/>
        <v>22.05</v>
      </c>
    </row>
    <row r="139" spans="16383:16384" x14ac:dyDescent="0.25">
      <c r="XFC139" vm="238">
        <f ca="1"/>
        <v>45490</v>
      </c>
      <c r="XFD139" vm="239">
        <f ca="1"/>
        <v>21.75</v>
      </c>
    </row>
    <row r="140" spans="16383:16384" x14ac:dyDescent="0.25">
      <c r="XFC140" vm="240">
        <f ca="1"/>
        <v>45491</v>
      </c>
      <c r="XFD140" vm="142">
        <f ca="1"/>
        <v>20.25</v>
      </c>
    </row>
    <row r="141" spans="16383:16384" x14ac:dyDescent="0.25">
      <c r="XFC141" vm="241">
        <f ca="1"/>
        <v>45492</v>
      </c>
      <c r="XFD141" vm="199">
        <f ca="1"/>
        <v>20.85</v>
      </c>
    </row>
    <row r="142" spans="16383:16384" x14ac:dyDescent="0.25">
      <c r="XFC142" vm="242">
        <f ca="1"/>
        <v>45495</v>
      </c>
      <c r="XFD142" vm="155">
        <f ca="1"/>
        <v>21.9</v>
      </c>
    </row>
    <row r="143" spans="16383:16384" x14ac:dyDescent="0.25">
      <c r="XFC143" vm="243">
        <f ca="1"/>
        <v>45496</v>
      </c>
      <c r="XFD143" vm="244">
        <f ca="1"/>
        <v>22.2</v>
      </c>
    </row>
    <row r="144" spans="16383:16384" x14ac:dyDescent="0.25">
      <c r="XFC144" vm="245">
        <f ca="1"/>
        <v>45497</v>
      </c>
      <c r="XFD144" vm="194">
        <f ca="1"/>
        <v>21.15</v>
      </c>
    </row>
    <row r="145" spans="16383:16384" x14ac:dyDescent="0.25">
      <c r="XFC145" vm="246">
        <f ca="1"/>
        <v>45498</v>
      </c>
      <c r="XFD145" vm="247">
        <f ca="1"/>
        <v>20.55</v>
      </c>
    </row>
    <row r="146" spans="16383:16384" x14ac:dyDescent="0.25">
      <c r="XFC146" vm="248">
        <f ca="1"/>
        <v>45499</v>
      </c>
      <c r="XFD146" vm="151">
        <f ca="1"/>
        <v>20.7</v>
      </c>
    </row>
    <row r="147" spans="16383:16384" x14ac:dyDescent="0.25">
      <c r="XFC147" vm="249">
        <f ca="1"/>
        <v>45502</v>
      </c>
      <c r="XFD147" vm="147">
        <f ca="1"/>
        <v>20.399999999999999</v>
      </c>
    </row>
    <row r="148" spans="16383:16384" x14ac:dyDescent="0.25">
      <c r="XFC148" vm="250">
        <f ca="1"/>
        <v>45503</v>
      </c>
      <c r="XFD148" vm="199">
        <f ca="1"/>
        <v>20.85</v>
      </c>
    </row>
    <row r="149" spans="16383:16384" x14ac:dyDescent="0.25">
      <c r="XFC149" vm="251">
        <f ca="1"/>
        <v>45504</v>
      </c>
      <c r="XFD149" vm="252">
        <f ca="1"/>
        <v>20.100000000000001</v>
      </c>
    </row>
    <row r="150" spans="16383:16384" x14ac:dyDescent="0.25">
      <c r="XFC150" vm="253">
        <f ca="1"/>
        <v>45505</v>
      </c>
      <c r="XFD150" vm="192">
        <f ca="1"/>
        <v>19.05</v>
      </c>
    </row>
    <row r="151" spans="16383:16384" x14ac:dyDescent="0.25">
      <c r="XFC151" vm="254">
        <f ca="1"/>
        <v>45506</v>
      </c>
      <c r="XFD151" vm="255">
        <f ca="1"/>
        <v>18</v>
      </c>
    </row>
    <row r="152" spans="16383:16384" x14ac:dyDescent="0.25">
      <c r="XFC152" vm="256">
        <f ca="1"/>
        <v>45509</v>
      </c>
      <c r="XFD152" vm="207">
        <f ca="1"/>
        <v>17.55</v>
      </c>
    </row>
    <row r="153" spans="16383:16384" x14ac:dyDescent="0.25">
      <c r="XFC153" vm="257">
        <f ca="1"/>
        <v>45510</v>
      </c>
      <c r="XFD153" vm="207">
        <f ca="1"/>
        <v>17.55</v>
      </c>
    </row>
    <row r="154" spans="16383:16384" x14ac:dyDescent="0.25">
      <c r="XFC154" vm="258">
        <f ca="1"/>
        <v>45511</v>
      </c>
      <c r="XFD154" vm="259">
        <f ca="1"/>
        <v>17.7</v>
      </c>
    </row>
    <row r="155" spans="16383:16384" x14ac:dyDescent="0.25">
      <c r="XFC155" vm="260">
        <f ca="1"/>
        <v>45512</v>
      </c>
      <c r="XFD155" vm="261">
        <f ca="1"/>
        <v>18.149999999999999</v>
      </c>
    </row>
    <row r="156" spans="16383:16384" x14ac:dyDescent="0.25">
      <c r="XFC156" vm="262">
        <f ca="1"/>
        <v>45513</v>
      </c>
      <c r="XFD156" vm="263">
        <f ca="1"/>
        <v>16.649999999999999</v>
      </c>
    </row>
    <row r="157" spans="16383:16384" x14ac:dyDescent="0.25">
      <c r="XFC157" vm="264">
        <f ca="1"/>
        <v>45516</v>
      </c>
      <c r="XFD157" vm="263">
        <f ca="1"/>
        <v>16.649999999999999</v>
      </c>
    </row>
    <row r="158" spans="16383:16384" x14ac:dyDescent="0.25">
      <c r="XFC158" vm="265">
        <f ca="1"/>
        <v>45517</v>
      </c>
      <c r="XFD158" vm="266">
        <f ca="1"/>
        <v>17.25</v>
      </c>
    </row>
    <row r="159" spans="16383:16384" x14ac:dyDescent="0.25">
      <c r="XFC159" vm="267">
        <f ca="1"/>
        <v>45518</v>
      </c>
      <c r="XFD159" vm="210">
        <f ca="1"/>
        <v>17.100000000000001</v>
      </c>
    </row>
    <row r="160" spans="16383:16384" x14ac:dyDescent="0.25">
      <c r="XFC160" vm="268">
        <f ca="1"/>
        <v>45519</v>
      </c>
      <c r="XFD160" vm="269">
        <f ca="1"/>
        <v>17.850000000000001</v>
      </c>
    </row>
    <row r="161" spans="16383:16384" x14ac:dyDescent="0.25">
      <c r="XFC161" vm="270">
        <f ca="1"/>
        <v>45520</v>
      </c>
      <c r="XFD161" vm="130">
        <f ca="1"/>
        <v>18.75</v>
      </c>
    </row>
    <row r="162" spans="16383:16384" x14ac:dyDescent="0.25">
      <c r="XFC162" vm="271">
        <f ca="1"/>
        <v>45523</v>
      </c>
      <c r="XFD162" vm="232">
        <f ca="1"/>
        <v>19.95</v>
      </c>
    </row>
    <row r="163" spans="16383:16384" x14ac:dyDescent="0.25">
      <c r="XFC163" vm="272">
        <f ca="1"/>
        <v>45524</v>
      </c>
      <c r="XFD163" vm="273">
        <f ca="1"/>
        <v>19.2</v>
      </c>
    </row>
    <row r="164" spans="16383:16384" x14ac:dyDescent="0.25">
      <c r="XFC164" vm="274">
        <f ca="1"/>
        <v>45525</v>
      </c>
      <c r="XFD164" vm="192">
        <f ca="1"/>
        <v>19.05</v>
      </c>
    </row>
    <row r="165" spans="16383:16384" x14ac:dyDescent="0.25">
      <c r="XFC165" vm="275">
        <f ca="1"/>
        <v>45526</v>
      </c>
      <c r="XFD165" vm="202">
        <f ca="1"/>
        <v>18.074999999999999</v>
      </c>
    </row>
    <row r="166" spans="16383:16384" x14ac:dyDescent="0.25">
      <c r="XFC166" vm="276">
        <f ca="1"/>
        <v>45527</v>
      </c>
      <c r="XFD166" vm="142">
        <f ca="1"/>
        <v>20.25</v>
      </c>
    </row>
    <row r="167" spans="16383:16384" x14ac:dyDescent="0.25">
      <c r="XFC167" vm="277">
        <f ca="1"/>
        <v>45530</v>
      </c>
      <c r="XFD167" vm="147">
        <f ca="1"/>
        <v>20.399999999999999</v>
      </c>
    </row>
    <row r="168" spans="16383:16384" x14ac:dyDescent="0.25">
      <c r="XFC168" vm="278">
        <f ca="1"/>
        <v>45531</v>
      </c>
      <c r="XFD168" vm="130">
        <f ca="1"/>
        <v>18.75</v>
      </c>
    </row>
    <row r="169" spans="16383:16384" x14ac:dyDescent="0.25">
      <c r="XFC169" vm="279">
        <f ca="1"/>
        <v>45532</v>
      </c>
      <c r="XFD169" vm="190">
        <f ca="1"/>
        <v>18.899999999999999</v>
      </c>
    </row>
    <row r="170" spans="16383:16384" x14ac:dyDescent="0.25">
      <c r="XFC170" vm="280">
        <f ca="1"/>
        <v>45533</v>
      </c>
      <c r="XFD170" vm="192">
        <f ca="1"/>
        <v>19.05</v>
      </c>
    </row>
    <row r="171" spans="16383:16384" x14ac:dyDescent="0.25">
      <c r="XFC171" vm="281">
        <f ca="1"/>
        <v>45534</v>
      </c>
      <c r="XFD171" vm="273">
        <f ca="1"/>
        <v>19.2</v>
      </c>
    </row>
    <row r="172" spans="16383:16384" x14ac:dyDescent="0.25">
      <c r="XFC172" vm="282">
        <f ca="1"/>
        <v>45538</v>
      </c>
      <c r="XFD172" vm="145">
        <f ca="1"/>
        <v>18.600000000000001</v>
      </c>
    </row>
    <row r="173" spans="16383:16384" x14ac:dyDescent="0.25">
      <c r="XFC173" vm="283">
        <f ca="1"/>
        <v>45539</v>
      </c>
      <c r="XFD173" vm="145">
        <f ca="1"/>
        <v>18.600000000000001</v>
      </c>
    </row>
    <row r="174" spans="16383:16384" x14ac:dyDescent="0.25">
      <c r="XFC174" vm="284">
        <f ca="1"/>
        <v>45540</v>
      </c>
      <c r="XFD174" vm="285">
        <f ca="1"/>
        <v>16.95</v>
      </c>
    </row>
    <row r="175" spans="16383:16384" x14ac:dyDescent="0.25">
      <c r="XFC175" vm="286">
        <f ca="1"/>
        <v>45541</v>
      </c>
      <c r="XFD175" vm="287">
        <f ca="1"/>
        <v>16.8</v>
      </c>
    </row>
    <row r="176" spans="16383:16384" x14ac:dyDescent="0.25">
      <c r="XFC176" vm="288">
        <f ca="1"/>
        <v>45544</v>
      </c>
      <c r="XFD176" vm="259">
        <f ca="1"/>
        <v>17.7</v>
      </c>
    </row>
    <row r="177" spans="16383:16384" x14ac:dyDescent="0.25">
      <c r="XFC177" vm="289">
        <f ca="1"/>
        <v>45545</v>
      </c>
      <c r="XFD177" vm="145">
        <f ca="1"/>
        <v>18.600000000000001</v>
      </c>
    </row>
    <row r="178" spans="16383:16384" x14ac:dyDescent="0.25">
      <c r="XFC178" vm="290">
        <f ca="1"/>
        <v>45546</v>
      </c>
      <c r="XFD178" vm="130">
        <f ca="1"/>
        <v>18.75</v>
      </c>
    </row>
    <row r="179" spans="16383:16384" x14ac:dyDescent="0.25">
      <c r="XFC179" vm="291">
        <f ca="1"/>
        <v>45547</v>
      </c>
      <c r="XFD179" vm="130">
        <f ca="1"/>
        <v>18.75</v>
      </c>
    </row>
    <row r="180" spans="16383:16384" x14ac:dyDescent="0.25">
      <c r="XFC180" vm="292">
        <f ca="1"/>
        <v>45548</v>
      </c>
      <c r="XFD180" vm="128">
        <f ca="1"/>
        <v>19.649999999999999</v>
      </c>
    </row>
    <row r="181" spans="16383:16384" x14ac:dyDescent="0.25">
      <c r="XFC181" vm="293">
        <f ca="1"/>
        <v>45551</v>
      </c>
      <c r="XFD181" vm="192">
        <f ca="1"/>
        <v>19.05</v>
      </c>
    </row>
    <row r="182" spans="16383:16384" x14ac:dyDescent="0.25">
      <c r="XFC182" vm="294">
        <f ca="1"/>
        <v>45552</v>
      </c>
      <c r="XFD182" vm="226">
        <f ca="1"/>
        <v>19.5</v>
      </c>
    </row>
    <row r="183" spans="16383:16384" x14ac:dyDescent="0.25">
      <c r="XFC183" vm="295">
        <f ca="1"/>
        <v>45553</v>
      </c>
      <c r="XFD183" vm="190">
        <f ca="1"/>
        <v>18.899999999999999</v>
      </c>
    </row>
    <row r="184" spans="16383:16384" x14ac:dyDescent="0.25">
      <c r="XFC184" vm="296">
        <f ca="1"/>
        <v>45554</v>
      </c>
      <c r="XFD184" vm="192">
        <f ca="1"/>
        <v>19.05</v>
      </c>
    </row>
    <row r="185" spans="16383:16384" x14ac:dyDescent="0.25">
      <c r="XFC185" vm="297">
        <f ca="1"/>
        <v>45555</v>
      </c>
      <c r="XFD185" vm="226">
        <f ca="1"/>
        <v>19.5</v>
      </c>
    </row>
    <row r="186" spans="16383:16384" x14ac:dyDescent="0.25">
      <c r="XFC186" vm="298">
        <f ca="1"/>
        <v>45558</v>
      </c>
      <c r="XFD186" vm="255">
        <f ca="1"/>
        <v>18</v>
      </c>
    </row>
    <row r="187" spans="16383:16384" x14ac:dyDescent="0.25">
      <c r="XFC187" vm="299">
        <f ca="1"/>
        <v>45559</v>
      </c>
      <c r="XFD187" vm="261">
        <f ca="1"/>
        <v>18.149999999999999</v>
      </c>
    </row>
    <row r="188" spans="16383:16384" x14ac:dyDescent="0.25">
      <c r="XFC188" vm="300">
        <f ca="1"/>
        <v>45560</v>
      </c>
      <c r="XFD188" vm="214">
        <f ca="1"/>
        <v>17.399999999999999</v>
      </c>
    </row>
    <row r="189" spans="16383:16384" x14ac:dyDescent="0.25">
      <c r="XFC189" vm="301">
        <f ca="1"/>
        <v>45561</v>
      </c>
      <c r="XFD189" vm="263">
        <f ca="1"/>
        <v>16.649999999999999</v>
      </c>
    </row>
    <row r="190" spans="16383:16384" x14ac:dyDescent="0.25">
      <c r="XFC190" vm="302">
        <f ca="1"/>
        <v>45562</v>
      </c>
      <c r="XFD190" vm="207">
        <f ca="1"/>
        <v>17.55</v>
      </c>
    </row>
    <row r="191" spans="16383:16384" x14ac:dyDescent="0.25">
      <c r="XFC191" vm="303">
        <f ca="1"/>
        <v>45565</v>
      </c>
      <c r="XFD191" vm="226">
        <f ca="1"/>
        <v>19.5</v>
      </c>
    </row>
    <row r="192" spans="16383:16384" x14ac:dyDescent="0.25">
      <c r="XFC192" vm="304">
        <f ca="1"/>
        <v>45566</v>
      </c>
      <c r="XFD192" vm="226">
        <f ca="1"/>
        <v>19.5</v>
      </c>
    </row>
    <row r="193" spans="16383:16384" x14ac:dyDescent="0.25">
      <c r="XFC193" vm="305">
        <f ca="1"/>
        <v>45567</v>
      </c>
      <c r="XFD193" vm="232">
        <f ca="1"/>
        <v>19.95</v>
      </c>
    </row>
    <row r="194" spans="16383:16384" x14ac:dyDescent="0.25">
      <c r="XFC194" vm="306">
        <f ca="1"/>
        <v>45568</v>
      </c>
      <c r="XFD194" vm="226">
        <f ca="1"/>
        <v>19.5</v>
      </c>
    </row>
    <row r="195" spans="16383:16384" x14ac:dyDescent="0.25">
      <c r="XFC195" vm="307">
        <f ca="1"/>
        <v>45569</v>
      </c>
      <c r="XFD195" vm="125">
        <f ca="1"/>
        <v>19.8</v>
      </c>
    </row>
    <row r="196" spans="16383:16384" x14ac:dyDescent="0.25">
      <c r="XFC196" vm="308">
        <f ca="1"/>
        <v>45572</v>
      </c>
      <c r="XFD196" vm="273">
        <f ca="1"/>
        <v>19.2</v>
      </c>
    </row>
    <row r="197" spans="16383:16384" x14ac:dyDescent="0.25">
      <c r="XFC197" vm="309">
        <f ca="1"/>
        <v>45573</v>
      </c>
      <c r="XFD197" vm="226">
        <f ca="1"/>
        <v>19.5</v>
      </c>
    </row>
    <row r="198" spans="16383:16384" x14ac:dyDescent="0.25">
      <c r="XFC198" vm="310">
        <f ca="1"/>
        <v>45574</v>
      </c>
      <c r="XFD198" vm="226">
        <f ca="1"/>
        <v>19.5</v>
      </c>
    </row>
    <row r="199" spans="16383:16384" x14ac:dyDescent="0.25">
      <c r="XFC199" vm="311">
        <f ca="1"/>
        <v>45575</v>
      </c>
      <c r="XFD199" vm="132">
        <f ca="1"/>
        <v>19.350000000000001</v>
      </c>
    </row>
    <row r="200" spans="16383:16384" x14ac:dyDescent="0.25">
      <c r="XFC200" vm="312">
        <f ca="1"/>
        <v>45576</v>
      </c>
      <c r="XFD200" vm="147">
        <f ca="1"/>
        <v>20.399999999999999</v>
      </c>
    </row>
    <row r="201" spans="16383:16384" x14ac:dyDescent="0.25">
      <c r="XFC201" vm="313">
        <f ca="1"/>
        <v>45579</v>
      </c>
      <c r="XFD201" vm="125">
        <f ca="1"/>
        <v>19.8</v>
      </c>
    </row>
    <row r="202" spans="16383:16384" x14ac:dyDescent="0.25">
      <c r="XFC202" vm="314">
        <f ca="1"/>
        <v>45580</v>
      </c>
      <c r="XFD202" vm="132">
        <f ca="1"/>
        <v>19.350000000000001</v>
      </c>
    </row>
    <row r="203" spans="16383:16384" x14ac:dyDescent="0.25">
      <c r="XFC203" vm="315">
        <f ca="1"/>
        <v>45581</v>
      </c>
      <c r="XFD203" vm="151">
        <f ca="1"/>
        <v>20.7</v>
      </c>
    </row>
    <row r="204" spans="16383:16384" x14ac:dyDescent="0.25">
      <c r="XFC204" vm="316">
        <f ca="1"/>
        <v>45582</v>
      </c>
      <c r="XFD204" vm="239">
        <f ca="1"/>
        <v>21.75</v>
      </c>
    </row>
    <row r="205" spans="16383:16384" x14ac:dyDescent="0.25">
      <c r="XFC205" vm="317">
        <f ca="1"/>
        <v>45583</v>
      </c>
      <c r="XFD205" vm="194">
        <f ca="1"/>
        <v>21.15</v>
      </c>
    </row>
    <row r="206" spans="16383:16384" x14ac:dyDescent="0.25">
      <c r="XFC206" vm="318">
        <f ca="1"/>
        <v>45586</v>
      </c>
      <c r="XFD206" vm="199">
        <f ca="1"/>
        <v>20.85</v>
      </c>
    </row>
    <row r="207" spans="16383:16384" x14ac:dyDescent="0.25">
      <c r="XFC207" vm="319">
        <f ca="1"/>
        <v>45587</v>
      </c>
      <c r="XFD207" vm="320">
        <f ca="1"/>
        <v>21.6</v>
      </c>
    </row>
    <row r="208" spans="16383:16384" x14ac:dyDescent="0.25">
      <c r="XFC208" vm="321">
        <f ca="1"/>
        <v>45588</v>
      </c>
      <c r="XFD208" vm="194">
        <f ca="1"/>
        <v>21.15</v>
      </c>
    </row>
    <row r="209" spans="16383:16384" x14ac:dyDescent="0.25">
      <c r="XFC209" vm="322">
        <f ca="1"/>
        <v>45589</v>
      </c>
      <c r="XFD209" vm="142">
        <f ca="1"/>
        <v>20.25</v>
      </c>
    </row>
    <row r="210" spans="16383:16384" x14ac:dyDescent="0.25">
      <c r="XFC210" vm="323">
        <f ca="1"/>
        <v>45590</v>
      </c>
      <c r="XFD210" vm="125">
        <f ca="1"/>
        <v>19.8</v>
      </c>
    </row>
    <row r="211" spans="16383:16384" x14ac:dyDescent="0.25">
      <c r="XFC211" vm="324">
        <f ca="1"/>
        <v>45593</v>
      </c>
      <c r="XFD211" vm="147">
        <f ca="1"/>
        <v>20.399999999999999</v>
      </c>
    </row>
    <row r="212" spans="16383:16384" x14ac:dyDescent="0.25">
      <c r="XFC212" vm="325">
        <f ca="1"/>
        <v>45594</v>
      </c>
      <c r="XFD212" vm="192">
        <f ca="1"/>
        <v>19.05</v>
      </c>
    </row>
    <row r="213" spans="16383:16384" x14ac:dyDescent="0.25">
      <c r="XFC213" vm="326">
        <f ca="1"/>
        <v>45595</v>
      </c>
      <c r="XFD213" vm="130">
        <f ca="1"/>
        <v>18.75</v>
      </c>
    </row>
    <row r="214" spans="16383:16384" x14ac:dyDescent="0.25">
      <c r="XFC214" vm="327">
        <f ca="1"/>
        <v>45596</v>
      </c>
      <c r="XFD214" vm="269">
        <f ca="1"/>
        <v>17.850000000000001</v>
      </c>
    </row>
    <row r="215" spans="16383:16384" x14ac:dyDescent="0.25">
      <c r="XFC215" vm="328">
        <f ca="1"/>
        <v>45597</v>
      </c>
      <c r="XFD215" vm="230">
        <f ca="1"/>
        <v>18.45</v>
      </c>
    </row>
    <row r="216" spans="16383:16384" x14ac:dyDescent="0.25">
      <c r="XFC216" vm="329">
        <f ca="1"/>
        <v>45600</v>
      </c>
      <c r="XFD216" vm="232">
        <f ca="1"/>
        <v>19.95</v>
      </c>
    </row>
    <row r="217" spans="16383:16384" x14ac:dyDescent="0.25">
      <c r="XFC217" vm="330">
        <f ca="1"/>
        <v>45601</v>
      </c>
      <c r="XFD217" vm="196">
        <f ca="1"/>
        <v>21</v>
      </c>
    </row>
    <row r="218" spans="16383:16384" x14ac:dyDescent="0.25">
      <c r="XFC218" vm="331">
        <f ca="1"/>
        <v>45602</v>
      </c>
      <c r="XFD218" vm="199">
        <f ca="1"/>
        <v>20.85</v>
      </c>
    </row>
    <row r="219" spans="16383:16384" x14ac:dyDescent="0.25">
      <c r="XFC219" vm="332">
        <f ca="1"/>
        <v>45603</v>
      </c>
      <c r="XFD219" vm="247">
        <f ca="1"/>
        <v>20.55</v>
      </c>
    </row>
    <row r="220" spans="16383:16384" x14ac:dyDescent="0.25">
      <c r="XFC220" vm="333">
        <f ca="1"/>
        <v>45604</v>
      </c>
      <c r="XFD220" vm="196">
        <f ca="1"/>
        <v>21</v>
      </c>
    </row>
    <row r="221" spans="16383:16384" x14ac:dyDescent="0.25">
      <c r="XFC221" vm="334">
        <f ca="1"/>
        <v>45607</v>
      </c>
      <c r="XFD221" vm="247">
        <f ca="1"/>
        <v>20.55</v>
      </c>
    </row>
    <row r="222" spans="16383:16384" x14ac:dyDescent="0.25">
      <c r="XFC222" vm="335">
        <f ca="1"/>
        <v>45608</v>
      </c>
      <c r="XFD222" vm="128">
        <f ca="1"/>
        <v>19.649999999999999</v>
      </c>
    </row>
    <row r="223" spans="16383:16384" x14ac:dyDescent="0.25">
      <c r="XFC223" vm="336">
        <f ca="1"/>
        <v>45609</v>
      </c>
      <c r="XFD223" vm="273">
        <f ca="1"/>
        <v>19.2</v>
      </c>
    </row>
    <row r="224" spans="16383:16384" x14ac:dyDescent="0.25">
      <c r="XFC224" vm="337">
        <f ca="1"/>
        <v>45610</v>
      </c>
      <c r="XFD224" vm="207">
        <f ca="1"/>
        <v>17.55</v>
      </c>
    </row>
    <row r="225" spans="16383:16384" x14ac:dyDescent="0.25">
      <c r="XFC225" vm="338">
        <f ca="1"/>
        <v>45611</v>
      </c>
      <c r="XFD225" vm="217">
        <f ca="1"/>
        <v>16.05</v>
      </c>
    </row>
    <row r="226" spans="16383:16384" x14ac:dyDescent="0.25">
      <c r="XFC226" vm="339">
        <f ca="1"/>
        <v>45614</v>
      </c>
      <c r="XFD226" vm="340">
        <f ca="1"/>
        <v>15.45</v>
      </c>
    </row>
    <row r="227" spans="16383:16384" x14ac:dyDescent="0.25">
      <c r="XFC227" vm="341">
        <f ca="1"/>
        <v>45615</v>
      </c>
      <c r="XFD227" vm="340">
        <f ca="1"/>
        <v>15.45</v>
      </c>
    </row>
    <row r="228" spans="16383:16384" x14ac:dyDescent="0.25">
      <c r="XFC228" vm="342">
        <f ca="1"/>
        <v>45616</v>
      </c>
      <c r="XFD228" vm="343">
        <f ca="1"/>
        <v>15</v>
      </c>
    </row>
    <row r="229" spans="16383:16384" x14ac:dyDescent="0.25">
      <c r="XFC229" vm="344">
        <f ca="1"/>
        <v>45617</v>
      </c>
      <c r="XFD229" vm="345">
        <f ca="1"/>
        <v>15.15</v>
      </c>
    </row>
    <row r="230" spans="16383:16384" x14ac:dyDescent="0.25">
      <c r="XFC230" vm="346">
        <f ca="1"/>
        <v>45618</v>
      </c>
      <c r="XFD230" vm="347">
        <f ca="1"/>
        <v>15.75</v>
      </c>
    </row>
    <row r="231" spans="16383:16384" x14ac:dyDescent="0.25">
      <c r="XFC231" vm="348">
        <f ca="1"/>
        <v>45621</v>
      </c>
      <c r="XFD231" vm="212">
        <f ca="1"/>
        <v>16.350000000000001</v>
      </c>
    </row>
    <row r="232" spans="16383:16384" x14ac:dyDescent="0.25">
      <c r="XFC232" vm="349">
        <f ca="1"/>
        <v>45622</v>
      </c>
      <c r="XFD232" vm="217">
        <f ca="1"/>
        <v>16.05</v>
      </c>
    </row>
    <row r="233" spans="16383:16384" x14ac:dyDescent="0.25">
      <c r="XFC233" vm="350">
        <f ca="1"/>
        <v>45623</v>
      </c>
      <c r="XFD233" vm="285">
        <f ca="1"/>
        <v>16.95</v>
      </c>
    </row>
    <row r="234" spans="16383:16384" x14ac:dyDescent="0.25">
      <c r="XFC234" vm="351">
        <f ca="1"/>
        <v>45625</v>
      </c>
      <c r="XFD234" vm="210">
        <f ca="1"/>
        <v>17.100000000000001</v>
      </c>
    </row>
    <row r="235" spans="16383:16384" x14ac:dyDescent="0.25">
      <c r="XFC235" vm="352">
        <f ca="1"/>
        <v>45628</v>
      </c>
      <c r="XFD235" vm="259">
        <f ca="1"/>
        <v>17.7</v>
      </c>
    </row>
    <row r="236" spans="16383:16384" x14ac:dyDescent="0.25">
      <c r="XFC236" vm="353">
        <f ca="1"/>
        <v>45629</v>
      </c>
      <c r="XFD236" vm="217">
        <f ca="1"/>
        <v>16.05</v>
      </c>
    </row>
    <row r="237" spans="16383:16384" x14ac:dyDescent="0.25">
      <c r="XFC237" vm="354">
        <f ca="1"/>
        <v>45630</v>
      </c>
      <c r="XFD237" vm="355">
        <f ca="1"/>
        <v>15.3</v>
      </c>
    </row>
    <row r="238" spans="16383:16384" x14ac:dyDescent="0.25">
      <c r="XFC238" vm="356">
        <f ca="1"/>
        <v>45631</v>
      </c>
      <c r="XFD238" vm="355">
        <f ca="1"/>
        <v>15.3</v>
      </c>
    </row>
    <row r="239" spans="16383:16384" x14ac:dyDescent="0.25">
      <c r="XFC239" vm="357">
        <f ca="1"/>
        <v>45632</v>
      </c>
      <c r="XFD239" vm="355">
        <f ca="1"/>
        <v>15.3</v>
      </c>
    </row>
    <row r="240" spans="16383:16384" x14ac:dyDescent="0.25">
      <c r="XFC240" vm="358">
        <f ca="1"/>
        <v>45635</v>
      </c>
      <c r="XFD240" vm="345">
        <f ca="1"/>
        <v>15.15</v>
      </c>
    </row>
    <row r="241" spans="16383:16384" x14ac:dyDescent="0.25">
      <c r="XFC241" vm="359">
        <f ca="1"/>
        <v>45636</v>
      </c>
      <c r="XFD241" vm="355">
        <f ca="1"/>
        <v>15.3</v>
      </c>
    </row>
    <row r="242" spans="16383:16384" x14ac:dyDescent="0.25">
      <c r="XFC242" vm="360">
        <f ca="1"/>
        <v>45637</v>
      </c>
      <c r="XFD242" vm="355">
        <f ca="1"/>
        <v>15.3</v>
      </c>
    </row>
    <row r="243" spans="16383:16384" x14ac:dyDescent="0.25">
      <c r="XFC243" vm="361">
        <f ca="1"/>
        <v>45638</v>
      </c>
      <c r="XFD243" vm="343">
        <f ca="1"/>
        <v>15</v>
      </c>
    </row>
    <row r="244" spans="16383:16384" x14ac:dyDescent="0.25">
      <c r="XFC244" vm="362">
        <f ca="1"/>
        <v>45639</v>
      </c>
      <c r="XFD244" vm="345">
        <f ca="1"/>
        <v>15.15</v>
      </c>
    </row>
    <row r="245" spans="16383:16384" x14ac:dyDescent="0.25">
      <c r="XFC245" vm="363">
        <f ca="1"/>
        <v>45642</v>
      </c>
      <c r="XFD245" vm="343">
        <f ca="1"/>
        <v>15</v>
      </c>
    </row>
    <row r="246" spans="16383:16384" x14ac:dyDescent="0.25">
      <c r="XFC246" vm="364">
        <f ca="1"/>
        <v>45643</v>
      </c>
      <c r="XFD246" vm="355">
        <f ca="1"/>
        <v>15.3</v>
      </c>
    </row>
    <row r="247" spans="16383:16384" x14ac:dyDescent="0.25">
      <c r="XFC247" vm="365">
        <f ca="1"/>
        <v>45644</v>
      </c>
      <c r="XFD247" vm="366">
        <f ca="1"/>
        <v>13.8765</v>
      </c>
    </row>
    <row r="248" spans="16383:16384" x14ac:dyDescent="0.25">
      <c r="XFC248" vm="367">
        <f ca="1"/>
        <v>45645</v>
      </c>
      <c r="XFD248" vm="368">
        <f ca="1"/>
        <v>14.115</v>
      </c>
    </row>
    <row r="249" spans="16383:16384" x14ac:dyDescent="0.25">
      <c r="XFC249" vm="369">
        <f ca="1"/>
        <v>45646</v>
      </c>
      <c r="XFD249" vm="370">
        <f ca="1"/>
        <v>13.9245</v>
      </c>
    </row>
    <row r="250" spans="16383:16384" x14ac:dyDescent="0.25">
      <c r="XFC250" vm="371">
        <f ca="1"/>
        <v>45649</v>
      </c>
      <c r="XFD250" vm="372">
        <f ca="1"/>
        <v>13.5075</v>
      </c>
    </row>
    <row r="251" spans="16383:16384" x14ac:dyDescent="0.25">
      <c r="XFC251" vm="373">
        <f ca="1"/>
        <v>45650</v>
      </c>
      <c r="XFD251" vm="374">
        <f ca="1"/>
        <v>13.617000000000001</v>
      </c>
    </row>
    <row r="252" spans="16383:16384" x14ac:dyDescent="0.25">
      <c r="XFC252" vm="375">
        <f ca="1"/>
        <v>45652</v>
      </c>
      <c r="XFD252" vm="376">
        <f ca="1"/>
        <v>14.268000000000001</v>
      </c>
    </row>
    <row r="253" spans="16383:16384" x14ac:dyDescent="0.25">
      <c r="XFC253" vm="377">
        <f ca="1"/>
        <v>45653</v>
      </c>
      <c r="XFD253" vm="378">
        <f ca="1"/>
        <v>14.238</v>
      </c>
    </row>
    <row r="254" spans="16383:16384" x14ac:dyDescent="0.25">
      <c r="XFC254" vm="379">
        <f ca="1"/>
        <v>45656</v>
      </c>
      <c r="XFD254" vm="380">
        <f ca="1"/>
        <v>14.16</v>
      </c>
    </row>
    <row r="255" spans="16383:16384" x14ac:dyDescent="0.25">
      <c r="XFC255" vm="381">
        <f ca="1"/>
        <v>45657</v>
      </c>
      <c r="XFD255" vm="382">
        <f ca="1"/>
        <v>13.95</v>
      </c>
    </row>
    <row r="256" spans="16383:16384" x14ac:dyDescent="0.25">
      <c r="XFC256" vm="383">
        <f ca="1"/>
        <v>45659</v>
      </c>
      <c r="XFD256" vm="384">
        <f ca="1"/>
        <v>14.414999999999999</v>
      </c>
    </row>
    <row r="257" spans="16383:16384" x14ac:dyDescent="0.25">
      <c r="XFC257" vm="385">
        <f ca="1"/>
        <v>45660</v>
      </c>
      <c r="XFD257" vm="386">
        <f ca="1"/>
        <v>16.5</v>
      </c>
    </row>
    <row r="258" spans="16383:16384" x14ac:dyDescent="0.25">
      <c r="XFC258" vm="387">
        <f ca="1"/>
        <v>45663</v>
      </c>
      <c r="XFD258" vm="207">
        <f ca="1"/>
        <v>17.55</v>
      </c>
    </row>
    <row r="259" spans="16383:16384" x14ac:dyDescent="0.25">
      <c r="XFC259" vm="388">
        <f ca="1"/>
        <v>45664</v>
      </c>
      <c r="XFD259" vm="269">
        <f ca="1"/>
        <v>17.850000000000001</v>
      </c>
    </row>
    <row r="260" spans="16383:16384" x14ac:dyDescent="0.25">
      <c r="XFC260" vm="389">
        <f ca="1"/>
        <v>45665</v>
      </c>
      <c r="XFD260" vm="210">
        <f ca="1"/>
        <v>17.100000000000001</v>
      </c>
    </row>
    <row r="261" spans="16383:16384" x14ac:dyDescent="0.25">
      <c r="XFC261" vm="390">
        <f ca="1"/>
        <v>45667</v>
      </c>
      <c r="XFD261" vm="340">
        <f ca="1"/>
        <v>15.45</v>
      </c>
    </row>
    <row r="262" spans="16383:16384" x14ac:dyDescent="0.25">
      <c r="XFC262" vm="391">
        <f ca="1"/>
        <v>45670</v>
      </c>
      <c r="XFD262" vm="392">
        <f ca="1"/>
        <v>14.419499999999999</v>
      </c>
    </row>
    <row r="263" spans="16383:16384" x14ac:dyDescent="0.25">
      <c r="XFC263" vm="393">
        <f ca="1"/>
        <v>45671</v>
      </c>
      <c r="XFD263" vm="84">
        <f ca="1"/>
        <v>13.5</v>
      </c>
    </row>
    <row r="264" spans="16383:16384" x14ac:dyDescent="0.25">
      <c r="XFC264" vm="394">
        <f ca="1"/>
        <v>45672</v>
      </c>
      <c r="XFD264" vm="395">
        <f ca="1"/>
        <v>13.579499999999999</v>
      </c>
    </row>
    <row r="265" spans="16383:16384" x14ac:dyDescent="0.25">
      <c r="XFC265" vm="396">
        <f ca="1"/>
        <v>45673</v>
      </c>
      <c r="XFD265" vm="397">
        <f ca="1"/>
        <v>13.375500000000001</v>
      </c>
    </row>
    <row r="266" spans="16383:16384" x14ac:dyDescent="0.25">
      <c r="XFC266" vm="398">
        <f ca="1"/>
        <v>45674</v>
      </c>
      <c r="XFD266" vm="399">
        <f ca="1"/>
        <v>13.38</v>
      </c>
    </row>
    <row r="267" spans="16383:16384" x14ac:dyDescent="0.25">
      <c r="XFC267" vm="400">
        <f ca="1"/>
        <v>45678</v>
      </c>
      <c r="XFD267" vm="401">
        <f ca="1"/>
        <v>13.56</v>
      </c>
    </row>
    <row r="268" spans="16383:16384" x14ac:dyDescent="0.25">
      <c r="XFC268" vm="402">
        <f ca="1"/>
        <v>45679</v>
      </c>
      <c r="XFD268" vm="403">
        <f ca="1"/>
        <v>13.77</v>
      </c>
    </row>
    <row r="269" spans="16383:16384" x14ac:dyDescent="0.25">
      <c r="XFC269" vm="404">
        <f ca="1"/>
        <v>45680</v>
      </c>
      <c r="XFD269" vm="405">
        <f ca="1"/>
        <v>13.419</v>
      </c>
    </row>
    <row r="270" spans="16383:16384" x14ac:dyDescent="0.25">
      <c r="XFC270" vm="406">
        <f ca="1"/>
        <v>45681</v>
      </c>
      <c r="XFD270" vm="407">
        <f ca="1"/>
        <v>13.2735</v>
      </c>
    </row>
    <row r="271" spans="16383:16384" x14ac:dyDescent="0.25">
      <c r="XFC271" vm="408">
        <f ca="1"/>
        <v>45684</v>
      </c>
      <c r="XFD271" vm="409">
        <f ca="1"/>
        <v>13.131</v>
      </c>
    </row>
    <row r="272" spans="16383:16384" x14ac:dyDescent="0.25">
      <c r="XFC272" vm="410">
        <f ca="1"/>
        <v>45685</v>
      </c>
      <c r="XFD272" vm="411">
        <f ca="1"/>
        <v>12.6</v>
      </c>
    </row>
    <row r="273" spans="16383:16384" x14ac:dyDescent="0.25">
      <c r="XFC273" vm="412">
        <f ca="1"/>
        <v>45686</v>
      </c>
      <c r="XFD273" vm="413">
        <f ca="1"/>
        <v>12.5565</v>
      </c>
    </row>
    <row r="274" spans="16383:16384" x14ac:dyDescent="0.25">
      <c r="XFC274" vm="414">
        <f ca="1"/>
        <v>45687</v>
      </c>
      <c r="XFD274" vm="415">
        <f ca="1"/>
        <v>12.759</v>
      </c>
    </row>
    <row r="275" spans="16383:16384" x14ac:dyDescent="0.25">
      <c r="XFC275" vm="416">
        <f ca="1"/>
        <v>45688</v>
      </c>
      <c r="XFD275" vm="417">
        <f ca="1"/>
        <v>12.4095</v>
      </c>
    </row>
    <row r="276" spans="16383:16384" x14ac:dyDescent="0.25">
      <c r="XFC276" vm="418">
        <f ca="1"/>
        <v>45691</v>
      </c>
      <c r="XFD276" vm="419">
        <f ca="1"/>
        <v>12.1335</v>
      </c>
    </row>
    <row r="277" spans="16383:16384" x14ac:dyDescent="0.25">
      <c r="XFC277" vm="420">
        <f ca="1"/>
        <v>45692</v>
      </c>
      <c r="XFD277" vm="421">
        <f ca="1"/>
        <v>11.682</v>
      </c>
    </row>
    <row r="278" spans="16383:16384" x14ac:dyDescent="0.25">
      <c r="XFC278" vm="422">
        <f ca="1"/>
        <v>45693</v>
      </c>
      <c r="XFD278" vm="423">
        <f ca="1"/>
        <v>11.4</v>
      </c>
    </row>
    <row r="279" spans="16383:16384" x14ac:dyDescent="0.25">
      <c r="XFC279" vm="424">
        <f ca="1"/>
        <v>45694</v>
      </c>
      <c r="XFD279" vm="425">
        <f ca="1"/>
        <v>10.515000000000001</v>
      </c>
    </row>
    <row r="280" spans="16383:16384" x14ac:dyDescent="0.25">
      <c r="XFC280" vm="426">
        <f ca="1"/>
        <v>45695</v>
      </c>
      <c r="XFD280" vm="427">
        <f ca="1"/>
        <v>10.14</v>
      </c>
    </row>
    <row r="281" spans="16383:16384" x14ac:dyDescent="0.25">
      <c r="XFC281" vm="428">
        <f ca="1"/>
        <v>45698</v>
      </c>
      <c r="XFD281" vm="429">
        <f ca="1"/>
        <v>10.5</v>
      </c>
    </row>
    <row r="282" spans="16383:16384" x14ac:dyDescent="0.25">
      <c r="XFC282" vm="430">
        <f ca="1"/>
        <v>45699</v>
      </c>
      <c r="XFD282" vm="431">
        <f ca="1"/>
        <v>9.9480000000000004</v>
      </c>
    </row>
    <row r="283" spans="16383:16384" x14ac:dyDescent="0.25">
      <c r="XFC283" vm="432">
        <f ca="1"/>
        <v>45700</v>
      </c>
      <c r="XFD283" vm="433">
        <f ca="1"/>
        <v>10.965</v>
      </c>
    </row>
    <row r="284" spans="16383:16384" x14ac:dyDescent="0.25">
      <c r="XFC284" vm="434">
        <f ca="1"/>
        <v>45701</v>
      </c>
      <c r="XFD284" vm="435">
        <f ca="1"/>
        <v>13.377000000000001</v>
      </c>
    </row>
    <row r="285" spans="16383:16384" x14ac:dyDescent="0.25">
      <c r="XFC285" vm="436">
        <f ca="1"/>
        <v>45702</v>
      </c>
      <c r="XFD285" vm="437">
        <f ca="1"/>
        <v>14.739000000000001</v>
      </c>
    </row>
    <row r="286" spans="16383:16384" x14ac:dyDescent="0.25">
      <c r="XFC286" vm="438">
        <f ca="1"/>
        <v>45706</v>
      </c>
      <c r="XFD286" vm="439">
        <f ca="1"/>
        <v>15.9</v>
      </c>
    </row>
    <row r="287" spans="16383:16384" x14ac:dyDescent="0.25">
      <c r="XFC287" vm="440">
        <f ca="1"/>
        <v>45707</v>
      </c>
      <c r="XFD287" vm="343">
        <f ca="1"/>
        <v>15</v>
      </c>
    </row>
    <row r="288" spans="16383:16384" x14ac:dyDescent="0.25">
      <c r="XFC288" vm="441">
        <f ca="1"/>
        <v>45708</v>
      </c>
      <c r="XFD288" vm="442">
        <f ca="1"/>
        <v>14.3535</v>
      </c>
    </row>
    <row r="289" spans="16383:16384" x14ac:dyDescent="0.25">
      <c r="XFC289" vm="443">
        <f ca="1"/>
        <v>45709</v>
      </c>
      <c r="XFD289" vm="444">
        <f ca="1"/>
        <v>13.983000000000001</v>
      </c>
    </row>
    <row r="290" spans="16383:16384" x14ac:dyDescent="0.25">
      <c r="XFC290" vm="445">
        <f ca="1"/>
        <v>45712</v>
      </c>
      <c r="XFD290" vm="446">
        <f ca="1"/>
        <v>12.675000000000001</v>
      </c>
    </row>
    <row r="291" spans="16383:16384" x14ac:dyDescent="0.25">
      <c r="XFC291" vm="447">
        <f ca="1"/>
        <v>45713</v>
      </c>
      <c r="XFD291" vm="448">
        <f ca="1"/>
        <v>13.057499999999999</v>
      </c>
    </row>
    <row r="292" spans="16383:16384" x14ac:dyDescent="0.25">
      <c r="XFC292" vm="449">
        <f ca="1"/>
        <v>45714</v>
      </c>
      <c r="XFD292" vm="450">
        <f ca="1"/>
        <v>11.701499999999999</v>
      </c>
    </row>
    <row r="293" spans="16383:16384" x14ac:dyDescent="0.25">
      <c r="XFC293" vm="451">
        <f ca="1"/>
        <v>45715</v>
      </c>
      <c r="XFD293" vm="452">
        <f ca="1"/>
        <v>11.943</v>
      </c>
    </row>
    <row r="294" spans="16383:16384" x14ac:dyDescent="0.25">
      <c r="XFC294" vm="453">
        <f ca="1"/>
        <v>45716</v>
      </c>
      <c r="XFD294" vm="411">
        <f ca="1"/>
        <v>12.6</v>
      </c>
    </row>
    <row r="295" spans="16383:16384" x14ac:dyDescent="0.25">
      <c r="XFC295" vm="454">
        <f ca="1"/>
        <v>45719</v>
      </c>
      <c r="XFD295" vm="455">
        <f ca="1"/>
        <v>12.028499999999999</v>
      </c>
    </row>
    <row r="296" spans="16383:16384" x14ac:dyDescent="0.25">
      <c r="XFC296" vm="456">
        <f ca="1"/>
        <v>45720</v>
      </c>
      <c r="XFD296" vm="457">
        <f ca="1"/>
        <v>12.657</v>
      </c>
    </row>
    <row r="297" spans="16383:16384" x14ac:dyDescent="0.25">
      <c r="XFC297" vm="458">
        <f ca="1"/>
        <v>45721</v>
      </c>
      <c r="XFD297" vm="459">
        <f ca="1"/>
        <v>12.868499999999999</v>
      </c>
    </row>
    <row r="298" spans="16383:16384" x14ac:dyDescent="0.25">
      <c r="XFC298" vm="460">
        <f ca="1"/>
        <v>45722</v>
      </c>
      <c r="XFD298" vm="461">
        <f ca="1"/>
        <v>12.917999999999999</v>
      </c>
    </row>
    <row r="299" spans="16383:16384" x14ac:dyDescent="0.25">
      <c r="XFC299" vm="462">
        <f ca="1"/>
        <v>45723</v>
      </c>
      <c r="XFD299" vm="463">
        <f ca="1"/>
        <v>13.17</v>
      </c>
    </row>
    <row r="300" spans="16383:16384" x14ac:dyDescent="0.25">
      <c r="XFC300" vm="464">
        <f ca="1"/>
        <v>45726</v>
      </c>
      <c r="XFD300" vm="465">
        <f ca="1"/>
        <v>12.3</v>
      </c>
    </row>
    <row r="301" spans="16383:16384" x14ac:dyDescent="0.25">
      <c r="XFC301" vm="466">
        <f ca="1"/>
        <v>45727</v>
      </c>
      <c r="XFD301" vm="467">
        <f ca="1"/>
        <v>12.288</v>
      </c>
    </row>
    <row r="302" spans="16383:16384" x14ac:dyDescent="0.25">
      <c r="XFC302" vm="468">
        <f ca="1"/>
        <v>45728</v>
      </c>
      <c r="XFD302" vm="465">
        <f ca="1"/>
        <v>12.3</v>
      </c>
    </row>
    <row r="303" spans="16383:16384" x14ac:dyDescent="0.25">
      <c r="XFC303" vm="469">
        <f ca="1"/>
        <v>45729</v>
      </c>
      <c r="XFD303" vm="470">
        <f ca="1"/>
        <v>12.231</v>
      </c>
    </row>
    <row r="304" spans="16383:16384" x14ac:dyDescent="0.25">
      <c r="XFC304" vm="471">
        <f ca="1"/>
        <v>45730</v>
      </c>
      <c r="XFD304" vm="472">
        <f ca="1"/>
        <v>13.452</v>
      </c>
    </row>
    <row r="305" spans="16383:16384" x14ac:dyDescent="0.25">
      <c r="XFC305" vm="473">
        <f ca="1"/>
        <v>45733</v>
      </c>
      <c r="XFD305" vm="474">
        <f ca="1"/>
        <v>13.6395</v>
      </c>
    </row>
    <row r="306" spans="16383:16384" x14ac:dyDescent="0.25">
      <c r="XFC306" vm="475">
        <f ca="1"/>
        <v>45734</v>
      </c>
      <c r="XFD306" vm="476">
        <f ca="1"/>
        <v>13.202999999999999</v>
      </c>
    </row>
    <row r="307" spans="16383:16384" x14ac:dyDescent="0.25">
      <c r="XFC307" vm="477">
        <f ca="1"/>
        <v>45735</v>
      </c>
      <c r="XFD307" vm="478">
        <f ca="1"/>
        <v>13.458</v>
      </c>
    </row>
    <row r="308" spans="16383:16384" x14ac:dyDescent="0.25">
      <c r="XFC308" vm="479">
        <f ca="1"/>
        <v>45736</v>
      </c>
      <c r="XFD308" vm="480">
        <f ca="1"/>
        <v>13.099500000000001</v>
      </c>
    </row>
    <row r="309" spans="16383:16384" x14ac:dyDescent="0.25">
      <c r="XFC309" vm="481">
        <f ca="1"/>
        <v>45737</v>
      </c>
      <c r="XFD309" vm="482">
        <f ca="1"/>
        <v>12.955500000000001</v>
      </c>
    </row>
    <row r="310" spans="16383:16384" x14ac:dyDescent="0.25">
      <c r="XFC310" vm="483">
        <f ca="1"/>
        <v>45740</v>
      </c>
      <c r="XFD310" vm="484">
        <f ca="1"/>
        <v>12.909000000000001</v>
      </c>
    </row>
    <row r="311" spans="16383:16384" x14ac:dyDescent="0.25">
      <c r="XFC311" vm="485">
        <f ca="1"/>
        <v>45741</v>
      </c>
      <c r="XFD311" vm="486">
        <f ca="1"/>
        <v>12.5595</v>
      </c>
    </row>
    <row r="312" spans="16383:16384" x14ac:dyDescent="0.25">
      <c r="XFC312" vm="487">
        <f ca="1"/>
        <v>45742</v>
      </c>
      <c r="XFD312" vm="488">
        <f ca="1"/>
        <v>12.023999999999999</v>
      </c>
    </row>
    <row r="313" spans="16383:16384" x14ac:dyDescent="0.25">
      <c r="XFC313" vm="489">
        <f ca="1"/>
        <v>45743</v>
      </c>
      <c r="XFD313" vm="490">
        <f ca="1"/>
        <v>11.367000000000001</v>
      </c>
    </row>
    <row r="314" spans="16383:16384" x14ac:dyDescent="0.25">
      <c r="XFC314" vm="491">
        <f ca="1"/>
        <v>45744</v>
      </c>
      <c r="XFD314" vm="492">
        <f ca="1"/>
        <v>11.0745</v>
      </c>
    </row>
    <row r="315" spans="16383:16384" x14ac:dyDescent="0.25">
      <c r="XFC315" vm="493">
        <f ca="1"/>
        <v>45747</v>
      </c>
      <c r="XFD315" vm="50">
        <f ca="1"/>
        <v>10.199999999999999</v>
      </c>
    </row>
    <row r="316" spans="16383:16384" x14ac:dyDescent="0.25">
      <c r="XFC316" vm="494">
        <f ca="1"/>
        <v>45748</v>
      </c>
      <c r="XFD316" vm="495">
        <f ca="1"/>
        <v>9.5594999999999999</v>
      </c>
    </row>
    <row r="317" spans="16383:16384" x14ac:dyDescent="0.25">
      <c r="XFC317" vm="496">
        <f ca="1"/>
        <v>45749</v>
      </c>
      <c r="XFD317" vm="497">
        <f ca="1"/>
        <v>9.8849999999999998</v>
      </c>
    </row>
    <row r="318" spans="16383:16384" x14ac:dyDescent="0.25">
      <c r="XFC318" vm="498">
        <f ca="1"/>
        <v>45750</v>
      </c>
      <c r="XFD318" vm="499">
        <f ca="1"/>
        <v>9.0075000000000003</v>
      </c>
    </row>
    <row r="319" spans="16383:16384" x14ac:dyDescent="0.25">
      <c r="XFC319" vm="500">
        <f ca="1"/>
        <v>45751</v>
      </c>
      <c r="XFD319" vm="501">
        <f ca="1"/>
        <v>8.2784999999999993</v>
      </c>
    </row>
    <row r="320" spans="16383:16384" x14ac:dyDescent="0.25">
      <c r="XFC320" vm="502">
        <f ca="1"/>
        <v>45754</v>
      </c>
      <c r="XFD320" vm="503">
        <f ca="1"/>
        <v>7.3559999999999999</v>
      </c>
    </row>
    <row r="321" spans="16383:16384" x14ac:dyDescent="0.25">
      <c r="XFC321" vm="504">
        <f ca="1"/>
        <v>45755</v>
      </c>
      <c r="XFD321" vm="505">
        <f ca="1"/>
        <v>7.3845000000000001</v>
      </c>
    </row>
    <row r="322" spans="16383:16384" x14ac:dyDescent="0.25">
      <c r="XFC322" vm="506">
        <f ca="1"/>
        <v>45756</v>
      </c>
      <c r="XFD322" vm="507">
        <f ca="1"/>
        <v>7.6589999999999998</v>
      </c>
    </row>
    <row r="323" spans="16383:16384" x14ac:dyDescent="0.25">
      <c r="XFC323" vm="508">
        <f ca="1"/>
        <v>45757</v>
      </c>
      <c r="XFD323" vm="509">
        <f ca="1"/>
        <v>7.4865000000000004</v>
      </c>
    </row>
    <row r="324" spans="16383:16384" x14ac:dyDescent="0.25">
      <c r="XFC324" vm="510">
        <f ca="1"/>
        <v>45758</v>
      </c>
      <c r="XFD324" vm="511">
        <f ca="1"/>
        <v>9.2654999999999994</v>
      </c>
    </row>
    <row r="325" spans="16383:16384" x14ac:dyDescent="0.25">
      <c r="XFC325" vm="512">
        <f ca="1"/>
        <v>45761</v>
      </c>
      <c r="XFD325" vm="513">
        <f ca="1"/>
        <v>9.0585000000000004</v>
      </c>
    </row>
    <row r="326" spans="16383:16384" x14ac:dyDescent="0.25">
      <c r="XFC326" vm="514">
        <f ca="1"/>
        <v>45762</v>
      </c>
      <c r="XFD326" vm="515">
        <f ca="1"/>
        <v>9.5655000000000001</v>
      </c>
    </row>
    <row r="327" spans="16383:16384" x14ac:dyDescent="0.25">
      <c r="XFC327" vm="516">
        <f ca="1"/>
        <v>45763</v>
      </c>
      <c r="XFD327" vm="517">
        <f ca="1"/>
        <v>9.1020000000000003</v>
      </c>
    </row>
    <row r="328" spans="16383:16384" x14ac:dyDescent="0.25">
      <c r="XFC328" vm="518">
        <f ca="1"/>
        <v>45764</v>
      </c>
      <c r="XFD328" vm="519">
        <f ca="1"/>
        <v>9.5459999999999994</v>
      </c>
    </row>
    <row r="329" spans="16383:16384" x14ac:dyDescent="0.25">
      <c r="XFC329" vm="520">
        <f ca="1"/>
        <v>45768</v>
      </c>
      <c r="XFD329" vm="521">
        <f ca="1"/>
        <v>9.3885000000000005</v>
      </c>
    </row>
    <row r="330" spans="16383:16384" x14ac:dyDescent="0.25">
      <c r="XFC330" vm="522">
        <f ca="1"/>
        <v>45769</v>
      </c>
      <c r="XFD330" vm="523">
        <f ca="1"/>
        <v>9.9600000000000009</v>
      </c>
    </row>
    <row r="331" spans="16383:16384" x14ac:dyDescent="0.25">
      <c r="XFC331" vm="524">
        <f ca="1"/>
        <v>45770</v>
      </c>
      <c r="XFD331" vm="525">
        <f ca="1"/>
        <v>10.287000000000001</v>
      </c>
    </row>
    <row r="332" spans="16383:16384" x14ac:dyDescent="0.25">
      <c r="XFC332" vm="526">
        <f ca="1"/>
        <v>45771</v>
      </c>
      <c r="XFD332" vm="492">
        <f ca="1"/>
        <v>11.0745</v>
      </c>
    </row>
    <row r="333" spans="16383:16384" x14ac:dyDescent="0.25">
      <c r="XFC333" vm="527">
        <f ca="1"/>
        <v>45772</v>
      </c>
      <c r="XFD333" vm="528">
        <f ca="1"/>
        <v>11.6265</v>
      </c>
    </row>
    <row r="334" spans="16383:16384" x14ac:dyDescent="0.25">
      <c r="XFC334" vm="529">
        <f ca="1"/>
        <v>45775</v>
      </c>
      <c r="XFD334" vm="530">
        <f ca="1"/>
        <v>11.337</v>
      </c>
    </row>
    <row r="335" spans="16383:16384" x14ac:dyDescent="0.25">
      <c r="XFC335" vm="531">
        <f ca="1"/>
        <v>45776</v>
      </c>
      <c r="XFD335" vm="532">
        <f ca="1"/>
        <v>11.1105</v>
      </c>
    </row>
    <row r="336" spans="16383:16384" x14ac:dyDescent="0.25">
      <c r="XFC336" vm="533">
        <f ca="1"/>
        <v>45777</v>
      </c>
      <c r="XFD336" vm="534">
        <f ca="1"/>
        <v>11.932499999999999</v>
      </c>
    </row>
    <row r="337" spans="16383:16384" x14ac:dyDescent="0.25">
      <c r="XFC337" vm="535">
        <f ca="1"/>
        <v>45778</v>
      </c>
      <c r="XFD337" vm="450">
        <f ca="1"/>
        <v>11.701499999999999</v>
      </c>
    </row>
    <row r="338" spans="16383:16384" x14ac:dyDescent="0.25">
      <c r="XFC338" vm="536">
        <f ca="1"/>
        <v>45779</v>
      </c>
      <c r="XFD338" vm="537">
        <f ca="1"/>
        <v>11.28</v>
      </c>
    </row>
    <row r="339" spans="16383:16384" x14ac:dyDescent="0.25">
      <c r="XFC339" vm="538">
        <f ca="1"/>
        <v>45782</v>
      </c>
      <c r="XFD339" vm="539">
        <f ca="1"/>
        <v>10.308</v>
      </c>
    </row>
    <row r="340" spans="16383:16384" x14ac:dyDescent="0.25">
      <c r="XFC340" vm="540">
        <f ca="1"/>
        <v>45783</v>
      </c>
      <c r="XFD340" vm="541">
        <f ca="1"/>
        <v>9.6300000000000008</v>
      </c>
    </row>
    <row r="341" spans="16383:16384" x14ac:dyDescent="0.25">
      <c r="XFC341" vm="542">
        <f ca="1"/>
        <v>45784</v>
      </c>
      <c r="XFD341" vm="543">
        <f ca="1"/>
        <v>9.0839999999999996</v>
      </c>
    </row>
    <row r="342" spans="16383:16384" x14ac:dyDescent="0.25">
      <c r="XFC342" vm="544">
        <f ca="1"/>
        <v>45785</v>
      </c>
      <c r="XFD342" vm="545">
        <f ca="1"/>
        <v>9.2835000000000001</v>
      </c>
    </row>
    <row r="343" spans="16383:16384" x14ac:dyDescent="0.25">
      <c r="XFC343" vm="546">
        <f ca="1"/>
        <v>45786</v>
      </c>
      <c r="XFD343" vm="547">
        <f ca="1"/>
        <v>8.8305000000000007</v>
      </c>
    </row>
    <row r="344" spans="16383:16384" x14ac:dyDescent="0.25">
      <c r="XFC344" vm="548">
        <f ca="1"/>
        <v>45789</v>
      </c>
      <c r="XFD344" vm="549">
        <f ca="1"/>
        <v>10.722</v>
      </c>
    </row>
    <row r="345" spans="16383:16384" x14ac:dyDescent="0.25">
      <c r="XFC345" vm="550">
        <f ca="1"/>
        <v>45790</v>
      </c>
      <c r="XFD345" vm="56">
        <f ca="1"/>
        <v>10.65</v>
      </c>
    </row>
    <row r="346" spans="16383:16384" x14ac:dyDescent="0.25">
      <c r="XFC346" vm="551">
        <f ca="1"/>
        <v>45791</v>
      </c>
      <c r="XFD346" vm="552">
        <f ca="1"/>
        <v>10.725</v>
      </c>
    </row>
    <row r="347" spans="16383:16384" x14ac:dyDescent="0.25">
      <c r="XFC347" vm="553">
        <f ca="1"/>
        <v>45792</v>
      </c>
      <c r="XFD347" vm="50">
        <f ca="1"/>
        <v>10.199999999999999</v>
      </c>
    </row>
    <row r="348" spans="16383:16384" x14ac:dyDescent="0.25">
      <c r="XFC348" vm="554">
        <f ca="1"/>
        <v>45793</v>
      </c>
      <c r="XFD348" vm="54">
        <f ca="1"/>
        <v>10.275</v>
      </c>
    </row>
    <row r="349" spans="16383:16384" x14ac:dyDescent="0.25">
      <c r="XFC349" vm="555">
        <f ca="1"/>
        <v>45796</v>
      </c>
      <c r="XFD349" vm="556">
        <f ca="1"/>
        <v>10.425000000000001</v>
      </c>
    </row>
    <row r="350" spans="16383:16384" x14ac:dyDescent="0.25">
      <c r="XFC350" vm="557">
        <f ca="1"/>
        <v>45797</v>
      </c>
      <c r="XFD350" vm="558">
        <f ca="1"/>
        <v>10.3065</v>
      </c>
    </row>
    <row r="351" spans="16383:16384" x14ac:dyDescent="0.25">
      <c r="XFC351" vm="559">
        <f ca="1"/>
        <v>45798</v>
      </c>
      <c r="XFD351" vm="560">
        <f ca="1"/>
        <v>9.4875000000000007</v>
      </c>
    </row>
    <row r="352" spans="16383:16384" x14ac:dyDescent="0.25">
      <c r="XFC352" vm="561">
        <f ca="1"/>
        <v>45799</v>
      </c>
      <c r="XFD352" vm="562">
        <f ca="1"/>
        <v>9.9</v>
      </c>
    </row>
    <row r="353" spans="16383:16384" x14ac:dyDescent="0.25">
      <c r="XFC353" vm="563">
        <f ca="1"/>
        <v>45800</v>
      </c>
      <c r="XFD353" vm="564">
        <f ca="1"/>
        <v>9.8115000000000006</v>
      </c>
    </row>
    <row r="354" spans="16383:16384" x14ac:dyDescent="0.25">
      <c r="XFC354" vm="565">
        <f ca="1"/>
        <v>45804</v>
      </c>
      <c r="XFD354" vm="566">
        <f ca="1"/>
        <v>10.1175</v>
      </c>
    </row>
    <row r="355" spans="16383:16384" x14ac:dyDescent="0.25">
      <c r="XFC355" vm="567">
        <f ca="1"/>
        <v>45805</v>
      </c>
      <c r="XFD355" vm="568">
        <f ca="1"/>
        <v>10.4895</v>
      </c>
    </row>
    <row r="356" spans="16383:16384" x14ac:dyDescent="0.25">
      <c r="XFC356" vm="569">
        <f ca="1"/>
        <v>45806</v>
      </c>
      <c r="XFD356" vm="570">
        <f ca="1"/>
        <v>11.090999999999999</v>
      </c>
    </row>
    <row r="357" spans="16383:16384" x14ac:dyDescent="0.25">
      <c r="XFC357" vm="571">
        <f ca="1"/>
        <v>45807</v>
      </c>
      <c r="XFD357" vm="572">
        <f ca="1"/>
        <v>10.8675</v>
      </c>
    </row>
    <row r="358" spans="16383:16384" x14ac:dyDescent="0.25">
      <c r="XFC358" vm="573">
        <f ca="1"/>
        <v>45810</v>
      </c>
      <c r="XFD358" vm="574">
        <f ca="1"/>
        <v>11.946</v>
      </c>
    </row>
    <row r="359" spans="16383:16384" x14ac:dyDescent="0.25">
      <c r="XFC359" vm="575">
        <f ca="1"/>
        <v>45811</v>
      </c>
      <c r="XFD359" vm="576">
        <f ca="1"/>
        <v>11.2425</v>
      </c>
    </row>
    <row r="360" spans="16383:16384" x14ac:dyDescent="0.25">
      <c r="XFC360" vm="577">
        <f ca="1"/>
        <v>45812</v>
      </c>
      <c r="XFD360" vm="578">
        <f ca="1"/>
        <v>11.1945</v>
      </c>
    </row>
    <row r="361" spans="16383:16384" x14ac:dyDescent="0.25">
      <c r="XFC361" vm="579">
        <f ca="1"/>
        <v>45813</v>
      </c>
      <c r="XFD361" vm="580">
        <f ca="1"/>
        <v>10.122</v>
      </c>
    </row>
    <row r="362" spans="16383:16384" x14ac:dyDescent="0.25">
      <c r="XFC362" vm="581">
        <f ca="1"/>
        <v>45814</v>
      </c>
      <c r="XFD362" vm="582">
        <f ca="1"/>
        <v>9.99</v>
      </c>
    </row>
    <row r="363" spans="16383:16384" x14ac:dyDescent="0.25">
      <c r="XFC363" vm="583">
        <f ca="1"/>
        <v>45817</v>
      </c>
      <c r="XFD363" vm="584">
        <f ca="1"/>
        <v>8.7899999999999991</v>
      </c>
    </row>
    <row r="364" spans="16383:16384" x14ac:dyDescent="0.25">
      <c r="XFC364" vm="585">
        <f ca="1"/>
        <v>45818</v>
      </c>
      <c r="XFD364" vm="586">
        <f ca="1"/>
        <v>11.35</v>
      </c>
    </row>
    <row r="365" spans="16383:16384" x14ac:dyDescent="0.25">
      <c r="XFC365" vm="587">
        <f ca="1"/>
        <v>45819</v>
      </c>
      <c r="XFD365" vm="588">
        <f ca="1"/>
        <v>9.5500000000000007</v>
      </c>
    </row>
    <row r="366" spans="16383:16384" x14ac:dyDescent="0.25">
      <c r="XFC366" vm="589">
        <f ca="1"/>
        <v>45820</v>
      </c>
      <c r="XFD366" vm="590">
        <f ca="1"/>
        <v>8.76</v>
      </c>
    </row>
    <row r="367" spans="16383:16384" x14ac:dyDescent="0.25">
      <c r="XFC367" vm="591">
        <f ca="1"/>
        <v>45821</v>
      </c>
      <c r="XFD367" vm="592">
        <f ca="1"/>
        <v>8.59</v>
      </c>
    </row>
    <row r="368" spans="16383:16384" x14ac:dyDescent="0.25">
      <c r="XFC368" vm="593">
        <f ca="1"/>
        <v>45824</v>
      </c>
      <c r="XFD368" vm="594">
        <f ca="1"/>
        <v>9.25</v>
      </c>
    </row>
    <row r="369" spans="16383:16384" x14ac:dyDescent="0.25">
      <c r="XFC369" vm="595">
        <f ca="1"/>
        <v>45825</v>
      </c>
      <c r="XFD369" vm="596">
        <f ca="1"/>
        <v>8.73</v>
      </c>
    </row>
    <row r="370" spans="16383:16384" x14ac:dyDescent="0.25">
      <c r="XFC370" vm="597">
        <f ca="1"/>
        <v>45826</v>
      </c>
      <c r="XFD370" vm="598">
        <f ca="1"/>
        <v>8.61</v>
      </c>
    </row>
    <row r="371" spans="16383:16384" x14ac:dyDescent="0.25">
      <c r="XFC371" vm="599">
        <f ca="1"/>
        <v>45828</v>
      </c>
      <c r="XFD371" vm="600">
        <f ca="1"/>
        <v>8.51</v>
      </c>
    </row>
    <row r="372" spans="16383:16384" x14ac:dyDescent="0.25">
      <c r="XFC372" vm="601">
        <f ca="1"/>
        <v>45831</v>
      </c>
      <c r="XFD372" vm="602">
        <f ca="1"/>
        <v>9.5399999999999991</v>
      </c>
    </row>
    <row r="373" spans="16383:16384" x14ac:dyDescent="0.25">
      <c r="XFC373" vm="603">
        <f ca="1"/>
        <v>45832</v>
      </c>
      <c r="XFD373" vm="604">
        <f ca="1"/>
        <v>24.45</v>
      </c>
    </row>
    <row r="374" spans="16383:16384" x14ac:dyDescent="0.25">
      <c r="XFC374" vm="605">
        <f ca="1"/>
        <v>45833</v>
      </c>
      <c r="XFD374" vm="606">
        <f ca="1"/>
        <v>29.12</v>
      </c>
    </row>
    <row r="375" spans="16383:16384" x14ac:dyDescent="0.25">
      <c r="XFC375" vm="607">
        <f ca="1"/>
        <v>45834</v>
      </c>
      <c r="XFD375" vm="608">
        <f ca="1"/>
        <v>29.68</v>
      </c>
    </row>
    <row r="376" spans="16383:16384" x14ac:dyDescent="0.25">
      <c r="XFC376" vm="609">
        <f ca="1"/>
        <v>45835</v>
      </c>
      <c r="XFD376" vm="610">
        <f ca="1"/>
        <v>25.76</v>
      </c>
    </row>
    <row r="377" spans="16383:16384" x14ac:dyDescent="0.25">
      <c r="XFC377" vm="611">
        <f ca="1"/>
        <v>45838</v>
      </c>
      <c r="XFD377" vm="612">
        <f ca="1"/>
        <v>25.84</v>
      </c>
    </row>
    <row r="378" spans="16383:16384" x14ac:dyDescent="0.25">
      <c r="XFC378" vm="613">
        <f ca="1"/>
        <v>45839</v>
      </c>
      <c r="XFD378" vm="614">
        <f ca="1"/>
        <v>24.59</v>
      </c>
    </row>
    <row r="379" spans="16383:16384" x14ac:dyDescent="0.25">
      <c r="XFC379" vm="615">
        <f ca="1"/>
        <v>45840</v>
      </c>
      <c r="XFD379" vm="616">
        <f ca="1"/>
        <v>25.53</v>
      </c>
    </row>
    <row r="380" spans="16383:16384" x14ac:dyDescent="0.25">
      <c r="XFC380" vm="617">
        <f ca="1"/>
        <v>45841</v>
      </c>
      <c r="XFD380" vm="618">
        <f ca="1"/>
        <v>24.76</v>
      </c>
    </row>
    <row r="381" spans="16383:16384" x14ac:dyDescent="0.25">
      <c r="XFC381" vm="619">
        <f ca="1"/>
        <v>45845</v>
      </c>
      <c r="XFD381" vm="620">
        <f ca="1"/>
        <v>23.47</v>
      </c>
    </row>
    <row r="382" spans="16383:16384" x14ac:dyDescent="0.25">
      <c r="XFC382" vm="621">
        <f ca="1"/>
        <v>45846</v>
      </c>
      <c r="XFD382" vm="622">
        <f ca="1"/>
        <v>22.73</v>
      </c>
    </row>
    <row r="383" spans="16383:16384" x14ac:dyDescent="0.25">
      <c r="XFC383" vm="623">
        <f ca="1"/>
        <v>45847</v>
      </c>
      <c r="XFD383" vm="624">
        <f ca="1"/>
        <v>23.36</v>
      </c>
    </row>
    <row r="384" spans="16383:16384" x14ac:dyDescent="0.25">
      <c r="XFC384" vm="625">
        <f ca="1"/>
        <v>45848</v>
      </c>
      <c r="XFD384" vm="626">
        <f ca="1"/>
        <v>25.1</v>
      </c>
    </row>
    <row r="385" spans="16383:16384" x14ac:dyDescent="0.25">
      <c r="XFC385" vm="627">
        <f ca="1"/>
        <v>45849</v>
      </c>
      <c r="XFD385" vm="628">
        <f ca="1"/>
        <v>25.01</v>
      </c>
    </row>
    <row r="386" spans="16383:16384" x14ac:dyDescent="0.25">
      <c r="XFC386" vm="629">
        <f ca="1"/>
        <v>45852</v>
      </c>
      <c r="XFD386" vm="630">
        <f ca="1"/>
        <v>24.41</v>
      </c>
    </row>
    <row r="387" spans="16383:16384" x14ac:dyDescent="0.25">
      <c r="XFC387" vm="631">
        <f ca="1"/>
        <v>45853</v>
      </c>
      <c r="XFD387" vm="632">
        <f ca="1"/>
        <v>23.8</v>
      </c>
    </row>
    <row r="388" spans="16383:16384" x14ac:dyDescent="0.25">
      <c r="XFC388" vm="633">
        <f ca="1"/>
        <v>45854</v>
      </c>
      <c r="XFD388" vm="634">
        <f ca="1"/>
        <v>24.14</v>
      </c>
    </row>
    <row r="389" spans="16383:16384" x14ac:dyDescent="0.25">
      <c r="XFC389" vm="635">
        <f ca="1"/>
        <v>45855</v>
      </c>
      <c r="XFD389" vm="636">
        <f ca="1"/>
        <v>26.67</v>
      </c>
    </row>
    <row r="390" spans="16383:16384" x14ac:dyDescent="0.25">
      <c r="XFC390" vm="637">
        <f ca="1"/>
        <v>45856</v>
      </c>
      <c r="XFD390" vm="638">
        <f ca="1"/>
        <v>24.94</v>
      </c>
    </row>
    <row r="391" spans="16383:16384" x14ac:dyDescent="0.25">
      <c r="XFC391" vm="639">
        <f ca="1"/>
        <v>45859</v>
      </c>
      <c r="XFD391" vm="640">
        <f ca="1"/>
        <v>24.79</v>
      </c>
    </row>
    <row r="392" spans="16383:16384" x14ac:dyDescent="0.25">
      <c r="XFC392" vm="641">
        <f ca="1"/>
        <v>45860</v>
      </c>
      <c r="XFD392" vm="642">
        <f ca="1"/>
        <v>24.48</v>
      </c>
    </row>
    <row r="393" spans="16383:16384" x14ac:dyDescent="0.25">
      <c r="XFC393" vm="643">
        <f ca="1"/>
        <v>45861</v>
      </c>
      <c r="XFD393" vm="644">
        <f ca="1"/>
        <v>25</v>
      </c>
    </row>
    <row r="394" spans="16383:16384" x14ac:dyDescent="0.25">
      <c r="XFC394" vm="645">
        <f ca="1"/>
        <v>45862</v>
      </c>
      <c r="XFD394" vm="646">
        <f ca="1"/>
        <v>24.58</v>
      </c>
    </row>
    <row r="395" spans="16383:16384" x14ac:dyDescent="0.25">
      <c r="XFC395" vm="647">
        <f ca="1"/>
        <v>45863</v>
      </c>
      <c r="XFD395" vm="644">
        <f ca="1"/>
        <v>25</v>
      </c>
    </row>
    <row r="396" spans="16383:16384" x14ac:dyDescent="0.25">
      <c r="XFC396" vm="648">
        <f ca="1"/>
        <v>45866</v>
      </c>
      <c r="XFD396" vm="649">
        <f ca="1"/>
        <v>23.65</v>
      </c>
    </row>
    <row r="397" spans="16383:16384" x14ac:dyDescent="0.25">
      <c r="XFC397" vm="650">
        <f ca="1"/>
        <v>45867</v>
      </c>
      <c r="XFD397" vm="651">
        <f ca="1"/>
        <v>22.91</v>
      </c>
    </row>
    <row r="398" spans="16383:16384" x14ac:dyDescent="0.25">
      <c r="XFC398" vm="652">
        <f ca="1"/>
        <v>45868</v>
      </c>
      <c r="XFD398" vm="653">
        <f ca="1"/>
        <v>22.07</v>
      </c>
    </row>
    <row r="399" spans="16383:16384" x14ac:dyDescent="0.25">
      <c r="XFC399" vm="654">
        <f ca="1"/>
        <v>45869</v>
      </c>
      <c r="XFD399" vm="655">
        <f ca="1"/>
        <v>21.68</v>
      </c>
    </row>
    <row r="400" spans="16383:16384" x14ac:dyDescent="0.25">
      <c r="XFC400" vm="656">
        <f ca="1"/>
        <v>45870</v>
      </c>
      <c r="XFD400" vm="657">
        <f ca="1"/>
        <v>22.96</v>
      </c>
    </row>
    <row r="401" spans="16383:16384" x14ac:dyDescent="0.25">
      <c r="XFC401" vm="658">
        <f ca="1"/>
        <v>45873</v>
      </c>
      <c r="XFD401" vm="659">
        <f ca="1"/>
        <v>23.27</v>
      </c>
    </row>
    <row r="402" spans="16383:16384" x14ac:dyDescent="0.25">
      <c r="XFC402" vm="660">
        <f ca="1"/>
        <v>45874</v>
      </c>
      <c r="XFD402" vm="661">
        <f ca="1"/>
        <v>22.56</v>
      </c>
    </row>
    <row r="403" spans="16383:16384" x14ac:dyDescent="0.25">
      <c r="XFC403" vm="662">
        <f ca="1"/>
        <v>45875</v>
      </c>
      <c r="XFD403" vm="663">
        <f ca="1"/>
        <v>22.45</v>
      </c>
    </row>
    <row r="404" spans="16383:16384" x14ac:dyDescent="0.25">
      <c r="XFC404" vm="664">
        <f ca="1"/>
        <v>45876</v>
      </c>
      <c r="XFD404" vm="239">
        <f ca="1"/>
        <v>21.75</v>
      </c>
    </row>
    <row r="405" spans="16383:16384" x14ac:dyDescent="0.25">
      <c r="XFC405" vm="665">
        <f ca="1"/>
        <v>45877</v>
      </c>
      <c r="XFD405" vm="666">
        <f ca="1"/>
        <v>23.06</v>
      </c>
    </row>
    <row r="406" spans="16383:16384" x14ac:dyDescent="0.25">
      <c r="XFC406" vm="667">
        <f ca="1"/>
        <v>45880</v>
      </c>
      <c r="XFD406" vm="668">
        <f ca="1"/>
        <v>22.47</v>
      </c>
    </row>
    <row r="417" customFormat="1" x14ac:dyDescent="0.25"/>
    <row r="418" customFormat="1" x14ac:dyDescent="0.25"/>
    <row r="419" customFormat="1" x14ac:dyDescent="0.25"/>
  </sheetData>
  <mergeCells count="3">
    <mergeCell ref="B36:F36"/>
    <mergeCell ref="B39:F39"/>
    <mergeCell ref="H36:L36"/>
  </mergeCells>
  <hyperlinks>
    <hyperlink ref="F35" r:id="rId1" xr:uid="{8F7B7D8E-579C-401B-9527-B99CE52A6396}"/>
    <hyperlink ref="F38" r:id="rId2" xr:uid="{85348509-4D0E-453D-A849-32C3764AD162}"/>
    <hyperlink ref="B42" r:id="rId3" xr:uid="{98436648-5BE1-4FFA-8344-C3E8C7C37F6E}"/>
    <hyperlink ref="B87" r:id="rId4" xr:uid="{991D2B94-4AA0-42FE-9FBE-673B28DA44BF}"/>
    <hyperlink ref="B78" r:id="rId5" xr:uid="{E3386198-A565-4716-BD97-B67826A3D5C4}"/>
  </hyperlinks>
  <pageMargins left="0.7" right="0.7" top="0.75" bottom="0.75" header="0.3" footer="0.3"/>
  <pageSetup paperSize="9" orientation="portrait" horizontalDpi="0" verticalDpi="0"/>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4294C-A361-4175-B589-7F3C2C8DAD61}">
  <dimension ref="A1:BA142"/>
  <sheetViews>
    <sheetView zoomScale="110" zoomScaleNormal="110" workbookViewId="0">
      <selection activeCell="I16" sqref="I16"/>
    </sheetView>
  </sheetViews>
  <sheetFormatPr defaultColWidth="8.85546875" defaultRowHeight="15" x14ac:dyDescent="0.25"/>
  <cols>
    <col min="1" max="1" width="4.140625" customWidth="1"/>
    <col min="2" max="2" width="18" customWidth="1"/>
    <col min="3" max="3" width="7.7109375" customWidth="1"/>
    <col min="4" max="4" width="27" customWidth="1"/>
    <col min="5" max="5" width="10.7109375" customWidth="1"/>
    <col min="8" max="8" width="9.7109375" customWidth="1"/>
    <col min="13" max="13" width="10.42578125" customWidth="1"/>
    <col min="14" max="14" width="8.85546875" style="4"/>
    <col min="18" max="18" width="9.7109375" customWidth="1"/>
  </cols>
  <sheetData>
    <row r="1" spans="1:53" x14ac:dyDescent="0.25">
      <c r="A1" t="s">
        <v>40</v>
      </c>
      <c r="F1" s="121" t="s">
        <v>41</v>
      </c>
      <c r="G1" s="121"/>
      <c r="H1" s="121"/>
      <c r="I1" s="121"/>
      <c r="J1" s="121"/>
      <c r="K1" s="119" t="s">
        <v>42</v>
      </c>
      <c r="L1" s="119"/>
      <c r="M1" s="119"/>
      <c r="N1" s="119"/>
      <c r="O1" s="119"/>
      <c r="P1" s="119" t="s">
        <v>43</v>
      </c>
      <c r="Q1" s="119"/>
      <c r="R1" s="119"/>
      <c r="S1" s="119"/>
      <c r="T1" s="119"/>
      <c r="AC1" t="s">
        <v>44</v>
      </c>
      <c r="AG1" s="121" t="s">
        <v>41</v>
      </c>
      <c r="AH1" s="121"/>
      <c r="AI1" s="121"/>
      <c r="AJ1" s="121"/>
      <c r="AK1" s="121"/>
      <c r="AL1" s="119" t="s">
        <v>42</v>
      </c>
      <c r="AM1" s="119"/>
      <c r="AN1" s="119"/>
      <c r="AO1" s="119"/>
      <c r="AP1" s="119"/>
      <c r="AQ1" s="119" t="s">
        <v>43</v>
      </c>
      <c r="AR1" s="119"/>
      <c r="AS1" s="119"/>
      <c r="AT1" s="119"/>
      <c r="AU1" s="119"/>
    </row>
    <row r="2" spans="1:53" x14ac:dyDescent="0.25">
      <c r="A2" s="26" t="s">
        <v>45</v>
      </c>
      <c r="B2" s="27" t="s">
        <v>46</v>
      </c>
      <c r="C2" s="27" t="s">
        <v>47</v>
      </c>
      <c r="D2" s="27" t="s">
        <v>48</v>
      </c>
      <c r="E2" s="27" t="s">
        <v>49</v>
      </c>
      <c r="F2" s="27" t="s">
        <v>50</v>
      </c>
      <c r="G2" s="27" t="s">
        <v>51</v>
      </c>
      <c r="H2" s="27" t="s">
        <v>52</v>
      </c>
      <c r="I2" s="27" t="s">
        <v>53</v>
      </c>
      <c r="J2" s="28" t="s">
        <v>54</v>
      </c>
      <c r="K2" s="27" t="s">
        <v>55</v>
      </c>
      <c r="L2" s="27" t="s">
        <v>56</v>
      </c>
      <c r="M2" s="27" t="s">
        <v>57</v>
      </c>
      <c r="N2" s="27" t="s">
        <v>58</v>
      </c>
      <c r="O2" s="28" t="s">
        <v>59</v>
      </c>
      <c r="P2" s="27" t="s">
        <v>55</v>
      </c>
      <c r="Q2" s="27" t="s">
        <v>56</v>
      </c>
      <c r="R2" s="27" t="s">
        <v>57</v>
      </c>
      <c r="S2" s="27" t="s">
        <v>60</v>
      </c>
      <c r="T2" s="28" t="s">
        <v>61</v>
      </c>
      <c r="U2" s="27" t="s">
        <v>62</v>
      </c>
      <c r="V2" s="27" t="s">
        <v>63</v>
      </c>
      <c r="W2" s="27" t="s">
        <v>64</v>
      </c>
      <c r="X2" s="28" t="s">
        <v>65</v>
      </c>
      <c r="Y2" s="27" t="s">
        <v>66</v>
      </c>
      <c r="Z2" s="29" t="s">
        <v>67</v>
      </c>
      <c r="AC2" s="27" t="s">
        <v>46</v>
      </c>
      <c r="AD2" s="27" t="s">
        <v>47</v>
      </c>
      <c r="AE2" s="27" t="s">
        <v>48</v>
      </c>
      <c r="AF2" s="27" t="s">
        <v>49</v>
      </c>
      <c r="AG2" s="27" t="s">
        <v>50</v>
      </c>
      <c r="AH2" s="27" t="s">
        <v>51</v>
      </c>
      <c r="AI2" s="27" t="s">
        <v>52</v>
      </c>
      <c r="AJ2" s="27" t="s">
        <v>53</v>
      </c>
      <c r="AK2" s="28" t="s">
        <v>54</v>
      </c>
      <c r="AL2" s="27" t="s">
        <v>55</v>
      </c>
      <c r="AM2" s="27" t="s">
        <v>56</v>
      </c>
      <c r="AN2" s="27" t="s">
        <v>57</v>
      </c>
      <c r="AO2" s="27" t="s">
        <v>58</v>
      </c>
      <c r="AP2" s="28" t="s">
        <v>59</v>
      </c>
      <c r="AQ2" s="27" t="s">
        <v>55</v>
      </c>
      <c r="AR2" s="27" t="s">
        <v>56</v>
      </c>
      <c r="AS2" s="27" t="s">
        <v>57</v>
      </c>
      <c r="AT2" s="27" t="s">
        <v>60</v>
      </c>
      <c r="AU2" s="28" t="s">
        <v>61</v>
      </c>
      <c r="AV2" s="27" t="s">
        <v>62</v>
      </c>
      <c r="AW2" s="27" t="s">
        <v>63</v>
      </c>
      <c r="AX2" s="27" t="s">
        <v>64</v>
      </c>
      <c r="AY2" s="28" t="s">
        <v>65</v>
      </c>
      <c r="AZ2" s="27" t="s">
        <v>66</v>
      </c>
      <c r="BA2" s="29" t="s">
        <v>67</v>
      </c>
    </row>
    <row r="3" spans="1:53" x14ac:dyDescent="0.25">
      <c r="A3" s="4"/>
      <c r="B3" t="s">
        <v>68</v>
      </c>
      <c r="C3" t="s">
        <v>69</v>
      </c>
      <c r="D3" t="s">
        <v>70</v>
      </c>
      <c r="E3" t="s">
        <v>71</v>
      </c>
      <c r="F3">
        <v>490</v>
      </c>
      <c r="G3">
        <v>464</v>
      </c>
      <c r="H3" t="s">
        <v>72</v>
      </c>
      <c r="I3" s="22">
        <v>16</v>
      </c>
      <c r="J3" s="22">
        <v>28.9</v>
      </c>
      <c r="K3" s="24">
        <v>0.46500000000000002</v>
      </c>
      <c r="L3" s="24">
        <v>0.35600000000000004</v>
      </c>
      <c r="M3" s="24">
        <v>-0.26615</v>
      </c>
      <c r="N3" s="24">
        <v>0.33350000000000002</v>
      </c>
      <c r="O3" s="24">
        <v>-0.44540000000000002</v>
      </c>
      <c r="P3" s="24">
        <v>0.63400000000000001</v>
      </c>
      <c r="Q3" s="24">
        <v>0.57700000000000007</v>
      </c>
      <c r="R3" s="24">
        <v>-0.47029999999999994</v>
      </c>
      <c r="S3" s="24">
        <v>0.53600000000000003</v>
      </c>
      <c r="T3" s="24">
        <v>-0.45980000000000004</v>
      </c>
      <c r="U3" s="24"/>
      <c r="V3" s="24"/>
      <c r="W3" s="24">
        <v>0.10731898105635479</v>
      </c>
      <c r="X3" s="24">
        <v>2.8850000000000001E-2</v>
      </c>
      <c r="Y3" s="14"/>
      <c r="AC3" t="s">
        <v>68</v>
      </c>
      <c r="AD3" t="s">
        <v>69</v>
      </c>
      <c r="AE3" t="s">
        <v>70</v>
      </c>
      <c r="AF3" t="s">
        <v>71</v>
      </c>
      <c r="AG3">
        <v>490</v>
      </c>
      <c r="AH3">
        <v>464</v>
      </c>
      <c r="AI3" t="s">
        <v>72</v>
      </c>
      <c r="AJ3" s="22">
        <v>16</v>
      </c>
      <c r="AK3" s="22">
        <v>28.9</v>
      </c>
      <c r="AL3" s="24">
        <v>0.46500000000000002</v>
      </c>
      <c r="AM3" s="24">
        <v>0.35600000000000004</v>
      </c>
      <c r="AN3" s="24">
        <v>-0.26615</v>
      </c>
      <c r="AO3" s="24">
        <v>0.33350000000000002</v>
      </c>
      <c r="AP3" s="24">
        <v>-0.44540000000000002</v>
      </c>
      <c r="AQ3" s="24">
        <v>0.63400000000000001</v>
      </c>
      <c r="AR3" s="24">
        <v>0.57700000000000007</v>
      </c>
      <c r="AS3" s="24">
        <v>-0.47029999999999994</v>
      </c>
      <c r="AT3" s="24">
        <v>0.53600000000000003</v>
      </c>
      <c r="AU3" s="24">
        <v>-0.45980000000000004</v>
      </c>
      <c r="AV3" s="24"/>
      <c r="AW3" s="24"/>
      <c r="AX3" s="24">
        <v>0.10731898105635479</v>
      </c>
      <c r="AY3" s="24">
        <v>2.8850000000000001E-2</v>
      </c>
      <c r="AZ3" s="14"/>
    </row>
    <row r="4" spans="1:53" x14ac:dyDescent="0.25">
      <c r="A4" s="4"/>
      <c r="B4" t="s">
        <v>68</v>
      </c>
      <c r="C4" t="s">
        <v>69</v>
      </c>
      <c r="D4" t="s">
        <v>70</v>
      </c>
      <c r="E4" t="s">
        <v>73</v>
      </c>
      <c r="F4">
        <v>482</v>
      </c>
      <c r="G4">
        <v>463</v>
      </c>
      <c r="H4" t="s">
        <v>72</v>
      </c>
      <c r="I4" s="22">
        <v>16</v>
      </c>
      <c r="J4" s="22">
        <v>29.975000000000001</v>
      </c>
      <c r="K4" s="24">
        <v>0.71249999999999991</v>
      </c>
      <c r="L4" s="24">
        <v>0.55800000000000005</v>
      </c>
      <c r="M4" s="24">
        <v>2.2050000000000014E-2</v>
      </c>
      <c r="N4" s="24">
        <v>0.50049999999999994</v>
      </c>
      <c r="O4" s="24">
        <v>-0.64640000000000009</v>
      </c>
      <c r="P4" s="24">
        <v>0.5645</v>
      </c>
      <c r="Q4" s="24">
        <v>0.49049999999999994</v>
      </c>
      <c r="R4" s="24">
        <v>5.3050000000000042E-2</v>
      </c>
      <c r="S4" s="24">
        <v>0.435</v>
      </c>
      <c r="T4" s="24">
        <v>-0.43090000000000006</v>
      </c>
      <c r="U4" s="24"/>
      <c r="V4" s="24"/>
      <c r="W4" s="24">
        <v>4.3119949858553719E-2</v>
      </c>
      <c r="X4" s="24">
        <v>2.4599999999999997E-2</v>
      </c>
      <c r="Y4" s="37"/>
      <c r="AC4" t="s">
        <v>68</v>
      </c>
      <c r="AD4" t="s">
        <v>69</v>
      </c>
      <c r="AE4" t="s">
        <v>70</v>
      </c>
      <c r="AF4" t="s">
        <v>73</v>
      </c>
      <c r="AG4">
        <v>482</v>
      </c>
      <c r="AH4">
        <v>463</v>
      </c>
      <c r="AI4" t="s">
        <v>72</v>
      </c>
      <c r="AJ4" s="22">
        <v>16</v>
      </c>
      <c r="AK4" s="22">
        <v>29.975000000000001</v>
      </c>
      <c r="AL4" s="24">
        <v>0.71249999999999991</v>
      </c>
      <c r="AM4" s="24">
        <v>0.55800000000000005</v>
      </c>
      <c r="AN4" s="24">
        <v>2.2050000000000014E-2</v>
      </c>
      <c r="AO4" s="24">
        <v>0.50049999999999994</v>
      </c>
      <c r="AP4" s="24">
        <v>-0.64640000000000009</v>
      </c>
      <c r="AQ4" s="24">
        <v>0.5645</v>
      </c>
      <c r="AR4" s="24">
        <v>0.49049999999999994</v>
      </c>
      <c r="AS4" s="24">
        <v>5.3050000000000042E-2</v>
      </c>
      <c r="AT4" s="24">
        <v>0.435</v>
      </c>
      <c r="AU4" s="24">
        <v>-0.43090000000000006</v>
      </c>
      <c r="AV4" s="24"/>
      <c r="AW4" s="24"/>
      <c r="AX4" s="24">
        <v>4.3119949858553719E-2</v>
      </c>
      <c r="AY4" s="24">
        <v>2.4599999999999997E-2</v>
      </c>
      <c r="AZ4" s="14"/>
    </row>
    <row r="5" spans="1:53" x14ac:dyDescent="0.25">
      <c r="A5" s="4"/>
      <c r="B5" t="s">
        <v>74</v>
      </c>
      <c r="C5" t="s">
        <v>69</v>
      </c>
      <c r="D5" t="s">
        <v>70</v>
      </c>
      <c r="E5" t="s">
        <v>75</v>
      </c>
      <c r="F5">
        <v>309</v>
      </c>
      <c r="G5">
        <v>278</v>
      </c>
      <c r="H5" t="s">
        <v>72</v>
      </c>
      <c r="I5" s="22">
        <v>16</v>
      </c>
      <c r="K5" s="21">
        <v>0.61850000000000005</v>
      </c>
      <c r="L5" s="21"/>
      <c r="M5" s="21">
        <v>-0.47799999999999998</v>
      </c>
      <c r="N5" s="21">
        <v>0.40949999999999998</v>
      </c>
      <c r="P5" s="21">
        <v>0.50750000000000006</v>
      </c>
      <c r="Q5" s="21"/>
      <c r="R5" s="21">
        <v>-0.29400000000000004</v>
      </c>
      <c r="S5" s="21">
        <v>0.32450000000000001</v>
      </c>
      <c r="W5" s="21">
        <v>0.10035609551738583</v>
      </c>
      <c r="X5" s="21">
        <v>3.2500000000000001E-2</v>
      </c>
      <c r="Y5" s="4"/>
      <c r="Z5" s="4"/>
      <c r="AC5" t="s">
        <v>76</v>
      </c>
      <c r="AD5" t="s">
        <v>77</v>
      </c>
      <c r="AE5" t="s">
        <v>70</v>
      </c>
      <c r="AF5">
        <v>1.4999999999999999E-2</v>
      </c>
      <c r="AG5">
        <v>499</v>
      </c>
      <c r="AH5">
        <v>449</v>
      </c>
      <c r="AI5" t="s">
        <v>78</v>
      </c>
      <c r="AJ5" s="22">
        <v>8</v>
      </c>
      <c r="AL5" s="21">
        <v>0.61949999999999994</v>
      </c>
      <c r="AM5" s="21">
        <v>0.4385</v>
      </c>
      <c r="AN5" s="21">
        <v>-0.76119999999999999</v>
      </c>
      <c r="AO5" s="21">
        <v>0.52550000000000008</v>
      </c>
      <c r="AQ5" s="21">
        <v>0.42449999999999999</v>
      </c>
      <c r="AR5" s="21">
        <v>0.37</v>
      </c>
      <c r="AS5" s="21">
        <v>-0.42759999999999998</v>
      </c>
      <c r="AT5" s="21">
        <v>0.41200000000000003</v>
      </c>
      <c r="AX5" s="21"/>
      <c r="AY5" s="21"/>
    </row>
    <row r="6" spans="1:53" x14ac:dyDescent="0.25">
      <c r="B6" t="s">
        <v>76</v>
      </c>
      <c r="C6" t="s">
        <v>77</v>
      </c>
      <c r="D6" t="s">
        <v>70</v>
      </c>
      <c r="E6">
        <v>1.4999999999999999E-2</v>
      </c>
      <c r="F6">
        <v>499</v>
      </c>
      <c r="G6">
        <v>449</v>
      </c>
      <c r="H6" t="s">
        <v>78</v>
      </c>
      <c r="I6" s="22">
        <v>8</v>
      </c>
      <c r="K6" s="21">
        <v>0.61949999999999994</v>
      </c>
      <c r="L6" s="21">
        <v>0.4385</v>
      </c>
      <c r="M6" s="21">
        <v>-0.76119999999999999</v>
      </c>
      <c r="N6" s="21">
        <v>0.52550000000000008</v>
      </c>
      <c r="P6" s="21">
        <v>0.42449999999999999</v>
      </c>
      <c r="Q6" s="21">
        <v>0.37</v>
      </c>
      <c r="R6" s="21">
        <v>-0.42759999999999998</v>
      </c>
      <c r="S6" s="21">
        <v>0.41200000000000003</v>
      </c>
      <c r="W6" s="21"/>
      <c r="X6" s="21"/>
      <c r="AC6" t="s">
        <v>76</v>
      </c>
      <c r="AD6" t="s">
        <v>77</v>
      </c>
      <c r="AE6" t="s">
        <v>70</v>
      </c>
      <c r="AF6">
        <v>7.4999999999999997E-3</v>
      </c>
      <c r="AG6">
        <v>500</v>
      </c>
      <c r="AH6">
        <v>431</v>
      </c>
      <c r="AI6" t="s">
        <v>78</v>
      </c>
      <c r="AJ6" s="22">
        <v>8</v>
      </c>
      <c r="AL6" s="21">
        <v>0.53750000000000009</v>
      </c>
      <c r="AM6" s="21">
        <v>0.36599999999999999</v>
      </c>
      <c r="AN6" s="21">
        <v>-0.72189999999999999</v>
      </c>
      <c r="AO6" s="21">
        <v>0.44500000000000001</v>
      </c>
      <c r="AQ6" s="21">
        <v>0.34250000000000003</v>
      </c>
      <c r="AR6" s="21">
        <v>0.29749999999999999</v>
      </c>
      <c r="AS6" s="21">
        <v>-0.38829999999999998</v>
      </c>
      <c r="AT6" s="21">
        <v>0.33150000000000002</v>
      </c>
      <c r="AX6" s="21"/>
      <c r="AY6" s="21"/>
    </row>
    <row r="7" spans="1:53" x14ac:dyDescent="0.25">
      <c r="B7" t="s">
        <v>79</v>
      </c>
      <c r="C7" t="s">
        <v>80</v>
      </c>
      <c r="D7" t="s">
        <v>70</v>
      </c>
      <c r="E7" t="s">
        <v>81</v>
      </c>
      <c r="F7">
        <v>578</v>
      </c>
      <c r="G7">
        <v>536</v>
      </c>
      <c r="H7" t="s">
        <v>82</v>
      </c>
      <c r="I7" s="22">
        <v>16</v>
      </c>
      <c r="K7" s="21">
        <v>0.55449999999999999</v>
      </c>
      <c r="L7" s="21">
        <v>0.34499999999999997</v>
      </c>
      <c r="M7" s="21">
        <v>-0.62919999999999998</v>
      </c>
      <c r="N7" s="21">
        <v>0.38150000000000001</v>
      </c>
      <c r="O7">
        <v>-0.41020000000000001</v>
      </c>
      <c r="P7" s="21">
        <v>0.38300000000000001</v>
      </c>
      <c r="Q7" s="21">
        <v>0.2525</v>
      </c>
      <c r="R7" s="21">
        <v>-0.35934999999999995</v>
      </c>
      <c r="S7" s="21">
        <v>0.26400000000000001</v>
      </c>
      <c r="T7">
        <v>-0.28979999999999995</v>
      </c>
      <c r="U7">
        <v>1.9E-2</v>
      </c>
      <c r="V7">
        <v>4.9099999999999998E-2</v>
      </c>
      <c r="W7" s="21">
        <v>7.2623824639156731E-2</v>
      </c>
      <c r="X7" s="21">
        <v>1.405E-2</v>
      </c>
      <c r="AC7" t="s">
        <v>74</v>
      </c>
      <c r="AD7" t="s">
        <v>69</v>
      </c>
      <c r="AE7" t="s">
        <v>70</v>
      </c>
      <c r="AF7" t="s">
        <v>75</v>
      </c>
      <c r="AG7">
        <v>309</v>
      </c>
      <c r="AH7">
        <v>278</v>
      </c>
      <c r="AI7" t="s">
        <v>72</v>
      </c>
      <c r="AJ7" s="22">
        <v>16</v>
      </c>
      <c r="AL7" s="21">
        <v>0.61850000000000005</v>
      </c>
      <c r="AM7" s="21"/>
      <c r="AN7" s="21">
        <v>-0.47799999999999998</v>
      </c>
      <c r="AO7" s="21">
        <v>0.40949999999999998</v>
      </c>
      <c r="AQ7" s="21">
        <v>0.50750000000000006</v>
      </c>
      <c r="AR7" s="21"/>
      <c r="AS7" s="21">
        <v>-0.29400000000000004</v>
      </c>
      <c r="AT7" s="21">
        <v>0.32450000000000001</v>
      </c>
      <c r="AX7" s="21">
        <v>0.10035609551738583</v>
      </c>
      <c r="AY7" s="21">
        <v>3.2500000000000001E-2</v>
      </c>
      <c r="AZ7" s="4"/>
      <c r="BA7" s="4"/>
    </row>
    <row r="8" spans="1:53" x14ac:dyDescent="0.25">
      <c r="B8" t="s">
        <v>83</v>
      </c>
      <c r="C8" t="s">
        <v>84</v>
      </c>
      <c r="D8" t="s">
        <v>85</v>
      </c>
      <c r="E8" t="s">
        <v>86</v>
      </c>
      <c r="F8">
        <v>456</v>
      </c>
      <c r="G8">
        <v>418</v>
      </c>
      <c r="H8" t="s">
        <v>82</v>
      </c>
      <c r="I8" s="22">
        <v>16</v>
      </c>
      <c r="J8" s="22"/>
      <c r="K8" s="24">
        <v>0.47750000000000004</v>
      </c>
      <c r="L8" s="24">
        <v>0.32850000000000001</v>
      </c>
      <c r="M8" s="24">
        <v>-0.71750000000000003</v>
      </c>
      <c r="N8" s="24">
        <v>0.37</v>
      </c>
      <c r="O8" s="24">
        <v>-0.49149999999999999</v>
      </c>
      <c r="P8" s="24">
        <v>0.34450000000000003</v>
      </c>
      <c r="Q8" s="24">
        <v>0.25449999999999995</v>
      </c>
      <c r="R8" s="24">
        <v>-0.35149999999999992</v>
      </c>
      <c r="S8" s="24">
        <v>0.27600000000000002</v>
      </c>
      <c r="T8" s="24">
        <v>-0.26700000000000002</v>
      </c>
      <c r="U8" s="24">
        <v>0.10930000000000001</v>
      </c>
      <c r="V8" s="24">
        <v>5.2400000000000002E-2</v>
      </c>
      <c r="W8" s="24">
        <v>8.333333333333337E-2</v>
      </c>
      <c r="X8" s="24">
        <v>2.7999999999999997E-2</v>
      </c>
      <c r="AC8" t="s">
        <v>83</v>
      </c>
      <c r="AD8" t="s">
        <v>84</v>
      </c>
      <c r="AE8" t="s">
        <v>85</v>
      </c>
      <c r="AF8" t="s">
        <v>86</v>
      </c>
      <c r="AG8">
        <v>456</v>
      </c>
      <c r="AH8">
        <v>418</v>
      </c>
      <c r="AI8" t="s">
        <v>82</v>
      </c>
      <c r="AJ8" s="22">
        <v>16</v>
      </c>
      <c r="AK8" s="22"/>
      <c r="AL8" s="24">
        <v>0.47750000000000004</v>
      </c>
      <c r="AM8" s="24">
        <v>0.32850000000000001</v>
      </c>
      <c r="AN8" s="24">
        <v>-0.71750000000000003</v>
      </c>
      <c r="AO8" s="24">
        <v>0.37</v>
      </c>
      <c r="AP8" s="24">
        <v>-0.49149999999999999</v>
      </c>
      <c r="AQ8" s="24">
        <v>0.34450000000000003</v>
      </c>
      <c r="AR8" s="24">
        <v>0.25449999999999995</v>
      </c>
      <c r="AS8" s="24">
        <v>-0.35149999999999992</v>
      </c>
      <c r="AT8" s="24">
        <v>0.27600000000000002</v>
      </c>
      <c r="AU8" s="24">
        <v>-0.26700000000000002</v>
      </c>
      <c r="AV8" s="24">
        <v>0.10930000000000001</v>
      </c>
      <c r="AW8" s="24">
        <v>5.2400000000000002E-2</v>
      </c>
      <c r="AX8" s="24">
        <v>8.333333333333337E-2</v>
      </c>
      <c r="AY8" s="24">
        <v>2.7999999999999997E-2</v>
      </c>
    </row>
    <row r="9" spans="1:53" s="4" customFormat="1" x14ac:dyDescent="0.25">
      <c r="A9"/>
      <c r="B9" t="s">
        <v>76</v>
      </c>
      <c r="C9" t="s">
        <v>77</v>
      </c>
      <c r="D9" t="s">
        <v>70</v>
      </c>
      <c r="E9">
        <v>7.4999999999999997E-3</v>
      </c>
      <c r="F9">
        <v>500</v>
      </c>
      <c r="G9">
        <v>431</v>
      </c>
      <c r="H9" t="s">
        <v>78</v>
      </c>
      <c r="I9" s="22">
        <v>8</v>
      </c>
      <c r="J9"/>
      <c r="K9" s="21">
        <v>0.53750000000000009</v>
      </c>
      <c r="L9" s="21">
        <v>0.36599999999999999</v>
      </c>
      <c r="M9" s="21">
        <v>-0.72189999999999999</v>
      </c>
      <c r="N9" s="21">
        <v>0.44500000000000001</v>
      </c>
      <c r="O9"/>
      <c r="P9" s="21">
        <v>0.34250000000000003</v>
      </c>
      <c r="Q9" s="21">
        <v>0.29749999999999999</v>
      </c>
      <c r="R9" s="21">
        <v>-0.38829999999999998</v>
      </c>
      <c r="S9" s="21">
        <v>0.33150000000000002</v>
      </c>
      <c r="T9"/>
      <c r="U9"/>
      <c r="V9"/>
      <c r="W9" s="21"/>
      <c r="X9" s="21"/>
      <c r="Y9"/>
      <c r="Z9"/>
      <c r="AC9" t="s">
        <v>79</v>
      </c>
      <c r="AD9" t="s">
        <v>80</v>
      </c>
      <c r="AE9" t="s">
        <v>70</v>
      </c>
      <c r="AF9" t="s">
        <v>81</v>
      </c>
      <c r="AG9">
        <v>578</v>
      </c>
      <c r="AH9">
        <v>536</v>
      </c>
      <c r="AI9" t="s">
        <v>82</v>
      </c>
      <c r="AJ9" s="22">
        <v>16</v>
      </c>
      <c r="AK9"/>
      <c r="AL9" s="21">
        <v>0.55449999999999999</v>
      </c>
      <c r="AM9" s="21">
        <v>0.34499999999999997</v>
      </c>
      <c r="AN9" s="21">
        <v>-0.62919999999999998</v>
      </c>
      <c r="AO9" s="21">
        <v>0.38150000000000001</v>
      </c>
      <c r="AP9">
        <v>-0.41020000000000001</v>
      </c>
      <c r="AQ9" s="21">
        <v>0.38300000000000001</v>
      </c>
      <c r="AR9" s="21">
        <v>0.2525</v>
      </c>
      <c r="AS9" s="21">
        <v>-0.35934999999999995</v>
      </c>
      <c r="AT9" s="21">
        <v>0.26400000000000001</v>
      </c>
      <c r="AU9">
        <v>-0.28979999999999995</v>
      </c>
      <c r="AV9">
        <v>1.9E-2</v>
      </c>
      <c r="AW9">
        <v>4.9099999999999998E-2</v>
      </c>
      <c r="AX9" s="21">
        <v>7.2623824639156731E-2</v>
      </c>
      <c r="AY9" s="21">
        <v>1.405E-2</v>
      </c>
      <c r="AZ9"/>
      <c r="BA9"/>
    </row>
    <row r="10" spans="1:53" s="4" customFormat="1" x14ac:dyDescent="0.25">
      <c r="B10" t="s">
        <v>74</v>
      </c>
      <c r="C10" t="s">
        <v>69</v>
      </c>
      <c r="D10" t="s">
        <v>70</v>
      </c>
      <c r="E10" t="s">
        <v>87</v>
      </c>
      <c r="F10">
        <v>314</v>
      </c>
      <c r="G10">
        <v>272</v>
      </c>
      <c r="H10" t="s">
        <v>72</v>
      </c>
      <c r="I10" s="22">
        <v>16</v>
      </c>
      <c r="J10"/>
      <c r="K10" s="21">
        <v>0.42100000000000004</v>
      </c>
      <c r="L10" s="21"/>
      <c r="M10" s="21">
        <v>-0.38300000000000001</v>
      </c>
      <c r="N10" s="21">
        <v>0.26049999999999995</v>
      </c>
      <c r="O10"/>
      <c r="P10" s="21">
        <v>0.31000000000000005</v>
      </c>
      <c r="Q10" s="21"/>
      <c r="R10" s="21">
        <v>-0.19900000000000001</v>
      </c>
      <c r="S10" s="21">
        <v>0.17549999999999999</v>
      </c>
      <c r="T10"/>
      <c r="U10"/>
      <c r="V10"/>
      <c r="W10" s="21">
        <v>0.13376338851022396</v>
      </c>
      <c r="X10" s="21">
        <v>3.2099999999999997E-2</v>
      </c>
      <c r="AC10" t="s">
        <v>88</v>
      </c>
      <c r="AD10" t="s">
        <v>89</v>
      </c>
      <c r="AE10" t="s">
        <v>90</v>
      </c>
      <c r="AF10" t="s">
        <v>91</v>
      </c>
      <c r="AG10">
        <v>106</v>
      </c>
      <c r="AH10" t="s">
        <v>92</v>
      </c>
      <c r="AI10" t="s">
        <v>82</v>
      </c>
      <c r="AJ10" s="22">
        <v>16</v>
      </c>
      <c r="AK10" t="s">
        <v>92</v>
      </c>
      <c r="AL10" s="21">
        <v>0.46</v>
      </c>
      <c r="AM10" s="21">
        <v>0.18</v>
      </c>
      <c r="AN10" s="21">
        <v>0.57999999999999996</v>
      </c>
      <c r="AO10" s="21">
        <v>0.26</v>
      </c>
      <c r="AP10">
        <v>0.35</v>
      </c>
      <c r="AQ10" s="21">
        <v>0.29000000000000004</v>
      </c>
      <c r="AR10" s="21">
        <v>0.09</v>
      </c>
      <c r="AS10" s="21">
        <v>0.26999999999999996</v>
      </c>
      <c r="AT10" s="21">
        <v>0.18</v>
      </c>
      <c r="AU10" s="14">
        <v>0.18999999999999997</v>
      </c>
      <c r="AV10" s="14">
        <v>0.69699999999999995</v>
      </c>
      <c r="AW10"/>
      <c r="AX10" s="21"/>
      <c r="AY10" s="21"/>
      <c r="AZ10"/>
      <c r="BA10"/>
    </row>
    <row r="11" spans="1:53" x14ac:dyDescent="0.25">
      <c r="B11" t="s">
        <v>88</v>
      </c>
      <c r="C11" t="s">
        <v>89</v>
      </c>
      <c r="D11" t="s">
        <v>90</v>
      </c>
      <c r="E11" t="s">
        <v>91</v>
      </c>
      <c r="F11">
        <v>106</v>
      </c>
      <c r="G11" t="s">
        <v>92</v>
      </c>
      <c r="H11" t="s">
        <v>82</v>
      </c>
      <c r="I11" s="22">
        <v>16</v>
      </c>
      <c r="J11" t="s">
        <v>92</v>
      </c>
      <c r="K11" s="21">
        <v>0.46</v>
      </c>
      <c r="L11" s="21">
        <v>0.18</v>
      </c>
      <c r="M11" s="21">
        <v>0.57999999999999996</v>
      </c>
      <c r="N11" s="21">
        <v>0.26</v>
      </c>
      <c r="O11">
        <v>0.35</v>
      </c>
      <c r="P11" s="21">
        <v>0.29000000000000004</v>
      </c>
      <c r="Q11" s="21">
        <v>0.09</v>
      </c>
      <c r="R11" s="21">
        <v>0.26999999999999996</v>
      </c>
      <c r="S11" s="21">
        <v>0.18</v>
      </c>
      <c r="T11" s="14">
        <v>0.18999999999999997</v>
      </c>
      <c r="U11" s="14">
        <v>0.69699999999999995</v>
      </c>
      <c r="W11" s="21"/>
      <c r="X11" s="21"/>
      <c r="Y11" s="15"/>
      <c r="AC11" t="s">
        <v>74</v>
      </c>
      <c r="AD11" t="s">
        <v>69</v>
      </c>
      <c r="AE11" t="s">
        <v>70</v>
      </c>
      <c r="AF11" t="s">
        <v>87</v>
      </c>
      <c r="AG11">
        <v>314</v>
      </c>
      <c r="AH11">
        <v>272</v>
      </c>
      <c r="AI11" t="s">
        <v>72</v>
      </c>
      <c r="AJ11" s="22">
        <v>16</v>
      </c>
      <c r="AL11" s="21">
        <v>0.42100000000000004</v>
      </c>
      <c r="AM11" s="21"/>
      <c r="AN11" s="21">
        <v>-0.38300000000000001</v>
      </c>
      <c r="AO11" s="21">
        <v>0.26049999999999995</v>
      </c>
      <c r="AQ11" s="21">
        <v>0.31000000000000005</v>
      </c>
      <c r="AR11" s="21"/>
      <c r="AS11" s="21">
        <v>-0.19900000000000001</v>
      </c>
      <c r="AT11" s="21">
        <v>0.17549999999999999</v>
      </c>
      <c r="AX11" s="21">
        <v>0.13376338851022396</v>
      </c>
      <c r="AY11" s="21">
        <v>3.2099999999999997E-2</v>
      </c>
      <c r="AZ11" s="40"/>
      <c r="BA11" s="4"/>
    </row>
    <row r="12" spans="1:53" x14ac:dyDescent="0.25">
      <c r="B12" t="s">
        <v>88</v>
      </c>
      <c r="C12" t="s">
        <v>89</v>
      </c>
      <c r="D12" t="s">
        <v>90</v>
      </c>
      <c r="E12" t="s">
        <v>93</v>
      </c>
      <c r="F12">
        <v>104</v>
      </c>
      <c r="G12" t="s">
        <v>92</v>
      </c>
      <c r="H12" t="s">
        <v>82</v>
      </c>
      <c r="I12" s="22">
        <v>16</v>
      </c>
      <c r="J12" t="s">
        <v>92</v>
      </c>
      <c r="K12" s="21">
        <v>0.42</v>
      </c>
      <c r="L12" s="21">
        <v>0.25</v>
      </c>
      <c r="M12" s="21">
        <v>0.61</v>
      </c>
      <c r="N12" s="21">
        <v>0.2</v>
      </c>
      <c r="O12">
        <v>0.42</v>
      </c>
      <c r="P12" s="21">
        <v>0.24999999999999997</v>
      </c>
      <c r="Q12" s="21">
        <v>0.16</v>
      </c>
      <c r="R12" s="21">
        <v>0.3</v>
      </c>
      <c r="S12" s="21">
        <v>0.12000000000000001</v>
      </c>
      <c r="T12" s="14">
        <v>0.26</v>
      </c>
      <c r="U12" s="14">
        <v>0.69699999999999995</v>
      </c>
      <c r="W12" s="21"/>
      <c r="X12" s="21"/>
      <c r="Y12" t="s">
        <v>94</v>
      </c>
      <c r="AC12" t="s">
        <v>88</v>
      </c>
      <c r="AD12" t="s">
        <v>89</v>
      </c>
      <c r="AE12" t="s">
        <v>90</v>
      </c>
      <c r="AF12" t="s">
        <v>93</v>
      </c>
      <c r="AG12">
        <v>104</v>
      </c>
      <c r="AH12" t="s">
        <v>92</v>
      </c>
      <c r="AI12" t="s">
        <v>82</v>
      </c>
      <c r="AJ12" s="22">
        <v>16</v>
      </c>
      <c r="AK12" t="s">
        <v>92</v>
      </c>
      <c r="AL12" s="21">
        <v>0.42</v>
      </c>
      <c r="AM12" s="21">
        <v>0.25</v>
      </c>
      <c r="AN12" s="21">
        <v>0.61</v>
      </c>
      <c r="AO12" s="21">
        <v>0.2</v>
      </c>
      <c r="AP12">
        <v>0.42</v>
      </c>
      <c r="AQ12" s="21">
        <v>0.24999999999999997</v>
      </c>
      <c r="AR12" s="21">
        <v>0.16</v>
      </c>
      <c r="AS12" s="21">
        <v>0.3</v>
      </c>
      <c r="AT12" s="21">
        <v>0.12000000000000001</v>
      </c>
      <c r="AU12" s="14">
        <v>0.26</v>
      </c>
      <c r="AV12" s="14">
        <v>0.69699999999999995</v>
      </c>
      <c r="AX12" s="21"/>
      <c r="AY12" s="21"/>
      <c r="AZ12" t="s">
        <v>94</v>
      </c>
    </row>
    <row r="13" spans="1:53" x14ac:dyDescent="0.25">
      <c r="B13" t="s">
        <v>95</v>
      </c>
      <c r="C13" t="s">
        <v>80</v>
      </c>
      <c r="D13" t="s">
        <v>70</v>
      </c>
      <c r="E13" t="s">
        <v>86</v>
      </c>
      <c r="F13">
        <v>1449</v>
      </c>
      <c r="G13">
        <v>1394</v>
      </c>
      <c r="H13" t="s">
        <v>82</v>
      </c>
      <c r="I13" s="22">
        <v>16</v>
      </c>
      <c r="J13" s="22">
        <v>31.567170462387853</v>
      </c>
      <c r="K13" s="24">
        <v>0.33768530020703935</v>
      </c>
      <c r="L13" s="24">
        <v>0.19267839889579019</v>
      </c>
      <c r="M13" s="24">
        <v>-0.54305148447292773</v>
      </c>
      <c r="N13" s="24">
        <v>0.2245251897860594</v>
      </c>
      <c r="O13" s="24"/>
      <c r="P13" s="24">
        <v>0.17584679089026917</v>
      </c>
      <c r="Q13" s="24">
        <v>0.11574258109040717</v>
      </c>
      <c r="R13" s="24">
        <v>-0.25179593900572217</v>
      </c>
      <c r="S13" s="24">
        <v>0.10462456866804695</v>
      </c>
      <c r="T13" s="24"/>
      <c r="U13" s="24">
        <v>5.3699999999999998E-2</v>
      </c>
      <c r="V13" s="24">
        <v>7.0966666666666664E-2</v>
      </c>
      <c r="W13" s="24">
        <v>3.7957211870255358E-2</v>
      </c>
      <c r="X13" s="24">
        <v>2.1000000000000001E-2</v>
      </c>
      <c r="AC13" t="s">
        <v>96</v>
      </c>
      <c r="AD13" t="s">
        <v>97</v>
      </c>
      <c r="AE13" t="s">
        <v>70</v>
      </c>
      <c r="AF13" t="s">
        <v>98</v>
      </c>
      <c r="AG13">
        <v>1139</v>
      </c>
      <c r="AH13">
        <v>1030</v>
      </c>
      <c r="AI13" t="s">
        <v>99</v>
      </c>
      <c r="AJ13" s="22">
        <v>16</v>
      </c>
      <c r="AL13" s="21">
        <v>0.42799999999999999</v>
      </c>
      <c r="AM13" s="21"/>
      <c r="AN13" s="21"/>
      <c r="AO13" s="21">
        <v>0.36649999999999999</v>
      </c>
      <c r="AQ13" s="21">
        <v>0.13200000000000001</v>
      </c>
      <c r="AR13" s="21"/>
      <c r="AS13" s="21"/>
      <c r="AT13" s="21">
        <v>0.11349999999999999</v>
      </c>
      <c r="AX13" s="21">
        <v>9.5593262477469076E-2</v>
      </c>
      <c r="AY13" s="21">
        <v>1.7350000000000001E-2</v>
      </c>
    </row>
    <row r="14" spans="1:53" x14ac:dyDescent="0.25">
      <c r="B14" t="s">
        <v>96</v>
      </c>
      <c r="C14" t="s">
        <v>97</v>
      </c>
      <c r="D14" t="s">
        <v>70</v>
      </c>
      <c r="E14" t="s">
        <v>98</v>
      </c>
      <c r="F14">
        <v>1139</v>
      </c>
      <c r="G14">
        <v>1030</v>
      </c>
      <c r="H14" t="s">
        <v>99</v>
      </c>
      <c r="I14" s="22">
        <v>16</v>
      </c>
      <c r="K14" s="21">
        <v>0.42799999999999999</v>
      </c>
      <c r="L14" s="21"/>
      <c r="M14" s="21"/>
      <c r="N14" s="21">
        <v>0.36649999999999999</v>
      </c>
      <c r="P14" s="21">
        <v>0.13200000000000001</v>
      </c>
      <c r="Q14" s="21"/>
      <c r="R14" s="21"/>
      <c r="S14" s="21">
        <v>0.11349999999999999</v>
      </c>
      <c r="W14" s="21">
        <v>9.5593262477469076E-2</v>
      </c>
      <c r="X14" s="21">
        <v>1.7350000000000001E-2</v>
      </c>
      <c r="AC14" t="s">
        <v>95</v>
      </c>
      <c r="AD14" t="s">
        <v>80</v>
      </c>
      <c r="AE14" t="s">
        <v>70</v>
      </c>
      <c r="AF14" t="s">
        <v>86</v>
      </c>
      <c r="AG14">
        <v>1449</v>
      </c>
      <c r="AH14">
        <v>1394</v>
      </c>
      <c r="AI14" t="s">
        <v>82</v>
      </c>
      <c r="AJ14" s="22">
        <v>16</v>
      </c>
      <c r="AK14" s="22">
        <v>31.567170462387853</v>
      </c>
      <c r="AL14" s="24">
        <v>0.33768530020703935</v>
      </c>
      <c r="AM14" s="24">
        <v>0.19267839889579019</v>
      </c>
      <c r="AN14" s="24">
        <v>-0.54305148447292773</v>
      </c>
      <c r="AO14" s="24">
        <v>0.2245251897860594</v>
      </c>
      <c r="AP14" s="24"/>
      <c r="AQ14" s="24">
        <v>0.17584679089026917</v>
      </c>
      <c r="AR14" s="24">
        <v>0.11574258109040717</v>
      </c>
      <c r="AS14" s="24">
        <v>-0.25179593900572217</v>
      </c>
      <c r="AT14" s="24">
        <v>0.10462456866804695</v>
      </c>
      <c r="AU14" s="24"/>
      <c r="AV14" s="24">
        <v>5.3699999999999998E-2</v>
      </c>
      <c r="AW14" s="24">
        <v>7.0966666666666664E-2</v>
      </c>
      <c r="AX14" s="24">
        <v>3.7957211870255358E-2</v>
      </c>
      <c r="AY14" s="24">
        <v>2.1000000000000001E-2</v>
      </c>
    </row>
    <row r="15" spans="1:53" x14ac:dyDescent="0.25">
      <c r="I15" s="22"/>
      <c r="J15" s="22"/>
      <c r="K15" s="24"/>
      <c r="L15" s="24"/>
      <c r="M15" s="24"/>
      <c r="N15" s="24"/>
      <c r="O15" s="24"/>
      <c r="P15" s="24"/>
      <c r="Q15" s="24"/>
      <c r="R15" s="24"/>
      <c r="S15" s="24"/>
      <c r="T15" s="24"/>
      <c r="U15" s="24"/>
      <c r="V15" s="24"/>
      <c r="W15" s="24"/>
      <c r="X15" s="24"/>
    </row>
    <row r="20" spans="1:26" x14ac:dyDescent="0.25">
      <c r="F20" s="121" t="s">
        <v>41</v>
      </c>
      <c r="G20" s="121"/>
      <c r="H20" s="121"/>
      <c r="I20" s="121"/>
      <c r="J20" s="121"/>
      <c r="K20" s="119" t="s">
        <v>42</v>
      </c>
      <c r="L20" s="119"/>
      <c r="M20" s="119"/>
      <c r="N20" s="120"/>
      <c r="O20" s="119"/>
      <c r="P20" s="119" t="s">
        <v>43</v>
      </c>
      <c r="Q20" s="119"/>
      <c r="R20" s="119"/>
      <c r="S20" s="119"/>
      <c r="T20" s="119"/>
      <c r="U20" s="121" t="s">
        <v>100</v>
      </c>
      <c r="V20" s="121"/>
      <c r="W20" s="121"/>
      <c r="X20" s="121"/>
    </row>
    <row r="21" spans="1:26" x14ac:dyDescent="0.25">
      <c r="A21" s="26" t="s">
        <v>45</v>
      </c>
      <c r="B21" s="27" t="s">
        <v>46</v>
      </c>
      <c r="C21" s="27" t="s">
        <v>47</v>
      </c>
      <c r="D21" s="27" t="s">
        <v>48</v>
      </c>
      <c r="E21" s="27" t="s">
        <v>49</v>
      </c>
      <c r="F21" s="27" t="s">
        <v>50</v>
      </c>
      <c r="G21" s="27" t="s">
        <v>51</v>
      </c>
      <c r="H21" s="27" t="s">
        <v>52</v>
      </c>
      <c r="I21" s="27" t="s">
        <v>53</v>
      </c>
      <c r="J21" s="28" t="s">
        <v>54</v>
      </c>
      <c r="K21" s="27" t="s">
        <v>55</v>
      </c>
      <c r="L21" s="27" t="s">
        <v>56</v>
      </c>
      <c r="M21" s="27" t="s">
        <v>57</v>
      </c>
      <c r="N21" s="27" t="s">
        <v>58</v>
      </c>
      <c r="O21" s="28" t="s">
        <v>59</v>
      </c>
      <c r="P21" s="27" t="s">
        <v>55</v>
      </c>
      <c r="Q21" s="27" t="s">
        <v>56</v>
      </c>
      <c r="R21" s="27" t="s">
        <v>57</v>
      </c>
      <c r="S21" s="27" t="s">
        <v>60</v>
      </c>
      <c r="T21" s="28" t="s">
        <v>61</v>
      </c>
      <c r="U21" s="27" t="s">
        <v>62</v>
      </c>
      <c r="V21" s="27" t="s">
        <v>63</v>
      </c>
      <c r="W21" s="27" t="s">
        <v>64</v>
      </c>
      <c r="X21" s="28" t="s">
        <v>65</v>
      </c>
      <c r="Y21" s="27" t="s">
        <v>66</v>
      </c>
      <c r="Z21" s="29" t="s">
        <v>67</v>
      </c>
    </row>
    <row r="22" spans="1:26" x14ac:dyDescent="0.25">
      <c r="A22" s="4"/>
      <c r="B22" s="4"/>
      <c r="C22" s="4"/>
      <c r="D22" s="4"/>
      <c r="E22" s="4"/>
      <c r="F22" s="4"/>
      <c r="G22" s="4"/>
      <c r="H22" s="4"/>
      <c r="I22" s="4"/>
      <c r="J22" s="40"/>
      <c r="K22" s="4"/>
      <c r="L22" s="4"/>
      <c r="M22" s="4"/>
      <c r="O22" s="4"/>
      <c r="P22" s="4"/>
      <c r="Q22" s="4"/>
      <c r="R22" s="4"/>
      <c r="S22" s="4"/>
      <c r="T22" s="4"/>
      <c r="U22" s="4"/>
      <c r="V22" s="4"/>
      <c r="W22" s="4"/>
      <c r="X22" s="40"/>
      <c r="Y22" s="4"/>
      <c r="Z22" s="4"/>
    </row>
    <row r="23" spans="1:26" x14ac:dyDescent="0.25">
      <c r="B23" t="s">
        <v>88</v>
      </c>
      <c r="C23" t="s">
        <v>89</v>
      </c>
      <c r="D23" s="9" t="s">
        <v>595</v>
      </c>
      <c r="E23" t="s">
        <v>101</v>
      </c>
      <c r="F23">
        <f>SUM(F24:F26)</f>
        <v>320</v>
      </c>
      <c r="G23" s="22" t="s">
        <v>92</v>
      </c>
      <c r="H23" t="s">
        <v>82</v>
      </c>
      <c r="I23">
        <v>16</v>
      </c>
      <c r="J23" s="23" t="s">
        <v>92</v>
      </c>
      <c r="K23" s="20">
        <f>AVERAGE(K24:K26)</f>
        <v>0.40666666666666668</v>
      </c>
      <c r="L23" s="20">
        <f t="shared" ref="L23:O23" si="0">AVERAGE(L24:L26)</f>
        <v>0.19999999999999998</v>
      </c>
      <c r="M23" s="20">
        <f t="shared" si="0"/>
        <v>0.57333333333333336</v>
      </c>
      <c r="N23" s="44">
        <f t="shared" si="0"/>
        <v>0.21666666666666667</v>
      </c>
      <c r="O23" s="20">
        <f t="shared" si="0"/>
        <v>0.33333333333333331</v>
      </c>
      <c r="P23" s="20">
        <f t="shared" ref="P23" si="1">AVERAGE(P24:P26)</f>
        <v>0.23666666666666669</v>
      </c>
      <c r="Q23" s="20">
        <f t="shared" ref="Q23" si="2">AVERAGE(Q24:Q26)</f>
        <v>0.11</v>
      </c>
      <c r="R23" s="20">
        <f t="shared" ref="R23" si="3">AVERAGE(R24:R26)</f>
        <v>0.26333333333333336</v>
      </c>
      <c r="S23" s="20">
        <f t="shared" ref="S23" si="4">AVERAGE(S24:S26)</f>
        <v>0.13666666666666666</v>
      </c>
      <c r="T23" s="20">
        <f t="shared" ref="T23" si="5">AVERAGE(T24:T26)</f>
        <v>0.17333333333333334</v>
      </c>
      <c r="U23" s="21">
        <v>0.69699999999999995</v>
      </c>
      <c r="V23" t="s">
        <v>102</v>
      </c>
      <c r="W23" s="22" t="s">
        <v>92</v>
      </c>
      <c r="X23" s="23" t="s">
        <v>92</v>
      </c>
      <c r="Y23" t="s">
        <v>94</v>
      </c>
    </row>
    <row r="24" spans="1:26" x14ac:dyDescent="0.25">
      <c r="B24" s="4" t="s">
        <v>88</v>
      </c>
      <c r="C24" s="4" t="s">
        <v>89</v>
      </c>
      <c r="D24" s="41" t="s">
        <v>90</v>
      </c>
      <c r="E24" s="4" t="s">
        <v>93</v>
      </c>
      <c r="F24" s="4">
        <v>104</v>
      </c>
      <c r="G24" s="42" t="s">
        <v>92</v>
      </c>
      <c r="H24" s="4" t="s">
        <v>82</v>
      </c>
      <c r="I24" s="4">
        <v>16</v>
      </c>
      <c r="J24" s="43" t="s">
        <v>92</v>
      </c>
      <c r="K24" s="44">
        <v>0.42</v>
      </c>
      <c r="L24" s="17">
        <v>0.25</v>
      </c>
      <c r="M24" s="17">
        <v>0.61</v>
      </c>
      <c r="N24" s="17">
        <v>0.2</v>
      </c>
      <c r="O24" s="45">
        <v>0.42</v>
      </c>
      <c r="P24" s="17">
        <f>K24-K27</f>
        <v>0.24999999999999997</v>
      </c>
      <c r="Q24" s="17">
        <f t="shared" ref="Q24:T24" si="6">L24-L27</f>
        <v>0.16</v>
      </c>
      <c r="R24" s="17">
        <f t="shared" si="6"/>
        <v>0.3</v>
      </c>
      <c r="S24" s="17">
        <f t="shared" si="6"/>
        <v>0.12000000000000001</v>
      </c>
      <c r="T24" s="17">
        <f t="shared" si="6"/>
        <v>0.26</v>
      </c>
      <c r="U24" s="14"/>
      <c r="V24" s="14"/>
      <c r="W24" s="14"/>
      <c r="X24" s="16"/>
      <c r="Y24" t="s">
        <v>94</v>
      </c>
      <c r="Z24" t="s">
        <v>103</v>
      </c>
    </row>
    <row r="25" spans="1:26" x14ac:dyDescent="0.25">
      <c r="B25" s="4" t="s">
        <v>88</v>
      </c>
      <c r="C25" s="4" t="s">
        <v>89</v>
      </c>
      <c r="D25" s="41" t="s">
        <v>90</v>
      </c>
      <c r="E25" s="4" t="s">
        <v>91</v>
      </c>
      <c r="F25" s="4">
        <v>106</v>
      </c>
      <c r="G25" s="42" t="s">
        <v>92</v>
      </c>
      <c r="H25" s="4" t="s">
        <v>82</v>
      </c>
      <c r="I25" s="4">
        <v>16</v>
      </c>
      <c r="J25" s="43" t="s">
        <v>92</v>
      </c>
      <c r="K25" s="44">
        <v>0.46</v>
      </c>
      <c r="L25" s="46">
        <v>0.18</v>
      </c>
      <c r="M25" s="17">
        <v>0.57999999999999996</v>
      </c>
      <c r="N25" s="17">
        <v>0.26</v>
      </c>
      <c r="O25" s="45">
        <v>0.35</v>
      </c>
      <c r="P25" s="17">
        <f>K25-K27</f>
        <v>0.29000000000000004</v>
      </c>
      <c r="Q25" s="17">
        <f t="shared" ref="Q25:T25" si="7">L25-L27</f>
        <v>0.09</v>
      </c>
      <c r="R25" s="17">
        <f t="shared" si="7"/>
        <v>0.26999999999999996</v>
      </c>
      <c r="S25" s="17">
        <f t="shared" si="7"/>
        <v>0.18</v>
      </c>
      <c r="T25" s="17">
        <f t="shared" si="7"/>
        <v>0.18999999999999997</v>
      </c>
      <c r="U25" s="14"/>
      <c r="V25" s="14"/>
      <c r="W25" s="14"/>
      <c r="X25" s="16"/>
      <c r="Z25" t="s">
        <v>104</v>
      </c>
    </row>
    <row r="26" spans="1:26" x14ac:dyDescent="0.25">
      <c r="B26" t="s">
        <v>88</v>
      </c>
      <c r="C26" t="s">
        <v>89</v>
      </c>
      <c r="D26" s="9" t="s">
        <v>90</v>
      </c>
      <c r="E26" t="s">
        <v>93</v>
      </c>
      <c r="F26">
        <v>110</v>
      </c>
      <c r="G26" s="22" t="s">
        <v>92</v>
      </c>
      <c r="H26" t="s">
        <v>99</v>
      </c>
      <c r="I26">
        <v>16</v>
      </c>
      <c r="J26" s="23" t="s">
        <v>92</v>
      </c>
      <c r="K26" s="20">
        <v>0.34</v>
      </c>
      <c r="L26" s="18">
        <v>0.17</v>
      </c>
      <c r="M26" s="14">
        <v>0.53</v>
      </c>
      <c r="N26" s="46">
        <v>0.19</v>
      </c>
      <c r="O26" s="16">
        <v>0.23</v>
      </c>
      <c r="P26" s="14">
        <f>K26-K27</f>
        <v>0.17</v>
      </c>
      <c r="Q26" s="14">
        <f t="shared" ref="Q26:T26" si="8">L26-L27</f>
        <v>8.0000000000000016E-2</v>
      </c>
      <c r="R26" s="14">
        <f t="shared" si="8"/>
        <v>0.22000000000000003</v>
      </c>
      <c r="S26" s="14">
        <f t="shared" si="8"/>
        <v>0.11</v>
      </c>
      <c r="T26" s="14">
        <f t="shared" si="8"/>
        <v>7.0000000000000007E-2</v>
      </c>
      <c r="U26" s="14"/>
      <c r="V26" s="14"/>
      <c r="W26" s="14"/>
      <c r="X26" s="16"/>
    </row>
    <row r="27" spans="1:26" x14ac:dyDescent="0.25">
      <c r="B27" t="s">
        <v>88</v>
      </c>
      <c r="C27" t="s">
        <v>89</v>
      </c>
      <c r="D27" s="9" t="s">
        <v>90</v>
      </c>
      <c r="E27" t="s">
        <v>105</v>
      </c>
      <c r="F27">
        <v>73</v>
      </c>
      <c r="G27" s="22" t="s">
        <v>92</v>
      </c>
      <c r="H27" t="s">
        <v>82</v>
      </c>
      <c r="I27">
        <v>16</v>
      </c>
      <c r="J27" s="23" t="s">
        <v>92</v>
      </c>
      <c r="K27" s="20">
        <v>0.17</v>
      </c>
      <c r="L27" s="14">
        <v>0.09</v>
      </c>
      <c r="M27" s="14">
        <v>0.31</v>
      </c>
      <c r="N27" s="17">
        <v>0.08</v>
      </c>
      <c r="O27" s="16">
        <v>0.16</v>
      </c>
      <c r="P27" s="14" t="s">
        <v>106</v>
      </c>
      <c r="Q27" s="14" t="s">
        <v>106</v>
      </c>
      <c r="R27" s="14" t="s">
        <v>106</v>
      </c>
      <c r="S27" s="14" t="s">
        <v>106</v>
      </c>
      <c r="T27" s="14" t="s">
        <v>106</v>
      </c>
      <c r="U27" s="14"/>
      <c r="V27" s="14"/>
      <c r="W27" s="14"/>
      <c r="X27" s="16"/>
    </row>
    <row r="28" spans="1:26" x14ac:dyDescent="0.25">
      <c r="D28" s="9"/>
      <c r="G28" s="22"/>
      <c r="J28" s="23"/>
      <c r="K28" s="20"/>
      <c r="L28" s="14"/>
      <c r="M28" s="14"/>
      <c r="N28" s="17"/>
      <c r="O28" s="37"/>
      <c r="P28" s="14"/>
      <c r="Q28" s="14"/>
      <c r="R28" s="14"/>
      <c r="S28" s="14"/>
      <c r="T28" s="14"/>
      <c r="U28" s="14"/>
      <c r="V28" s="14"/>
      <c r="W28" s="14"/>
      <c r="X28" s="37"/>
    </row>
    <row r="29" spans="1:26" x14ac:dyDescent="0.25">
      <c r="B29" t="s">
        <v>88</v>
      </c>
      <c r="C29" t="s">
        <v>89</v>
      </c>
      <c r="D29" s="9" t="s">
        <v>596</v>
      </c>
      <c r="E29" t="s">
        <v>101</v>
      </c>
      <c r="F29">
        <f>17+16</f>
        <v>33</v>
      </c>
      <c r="G29" s="22"/>
      <c r="H29" t="s">
        <v>82</v>
      </c>
      <c r="I29" s="25">
        <v>12</v>
      </c>
      <c r="J29" s="23"/>
      <c r="K29" s="20">
        <f t="shared" ref="K29:U29" si="9">AVERAGE(K30:K31)</f>
        <v>0.33099999999999996</v>
      </c>
      <c r="L29" s="20">
        <f t="shared" si="9"/>
        <v>0.18</v>
      </c>
      <c r="M29" s="20">
        <f t="shared" si="9"/>
        <v>-0.74049999999999994</v>
      </c>
      <c r="N29" s="44">
        <f t="shared" si="9"/>
        <v>0.24099999999999999</v>
      </c>
      <c r="O29" s="20">
        <f t="shared" si="9"/>
        <v>-0.52249999999999996</v>
      </c>
      <c r="P29" s="20">
        <f t="shared" si="9"/>
        <v>0.13099999999999998</v>
      </c>
      <c r="Q29" s="20">
        <f t="shared" si="9"/>
        <v>-2.0000000000000018E-2</v>
      </c>
      <c r="R29" s="20">
        <f t="shared" si="9"/>
        <v>-0.26850000000000002</v>
      </c>
      <c r="S29" s="20">
        <f t="shared" si="9"/>
        <v>4.0999999999999981E-2</v>
      </c>
      <c r="T29" s="20">
        <f t="shared" si="9"/>
        <v>-0.33050000000000002</v>
      </c>
      <c r="U29" s="20">
        <f t="shared" si="9"/>
        <v>0.66900000000000004</v>
      </c>
      <c r="V29" s="14" t="s">
        <v>102</v>
      </c>
      <c r="W29" s="20">
        <f>AVERAGE(W30:W31)</f>
        <v>0.27205882352941174</v>
      </c>
      <c r="X29" s="20">
        <f>AVERAGE(X30:X31)</f>
        <v>0</v>
      </c>
      <c r="Z29" t="s">
        <v>108</v>
      </c>
    </row>
    <row r="30" spans="1:26" x14ac:dyDescent="0.25">
      <c r="B30" t="s">
        <v>88</v>
      </c>
      <c r="C30" t="s">
        <v>89</v>
      </c>
      <c r="D30" s="9" t="s">
        <v>107</v>
      </c>
      <c r="E30" t="s">
        <v>109</v>
      </c>
      <c r="F30">
        <v>17</v>
      </c>
      <c r="G30" s="22">
        <v>12</v>
      </c>
      <c r="H30" t="s">
        <v>82</v>
      </c>
      <c r="I30" s="25">
        <v>12</v>
      </c>
      <c r="J30" s="33">
        <v>21.9</v>
      </c>
      <c r="K30" s="20">
        <v>0.41199999999999998</v>
      </c>
      <c r="L30" s="14">
        <v>0.23499999999999999</v>
      </c>
      <c r="M30" s="14">
        <v>-0.83</v>
      </c>
      <c r="N30" s="17">
        <v>0.29399999999999998</v>
      </c>
      <c r="O30" s="16">
        <v>-0.52500000000000002</v>
      </c>
      <c r="P30" s="14">
        <f>K30-K32</f>
        <v>0.21199999999999997</v>
      </c>
      <c r="Q30" s="14">
        <f t="shared" ref="Q30:T30" si="10">L30-L32</f>
        <v>3.4999999999999976E-2</v>
      </c>
      <c r="R30" s="14">
        <f t="shared" si="10"/>
        <v>-0.35799999999999998</v>
      </c>
      <c r="S30" s="14">
        <f t="shared" si="10"/>
        <v>9.3999999999999972E-2</v>
      </c>
      <c r="T30" s="14">
        <f t="shared" si="10"/>
        <v>-0.33300000000000002</v>
      </c>
      <c r="U30" s="14">
        <v>0.58799999999999997</v>
      </c>
      <c r="V30" s="14" t="s">
        <v>102</v>
      </c>
      <c r="W30" s="14">
        <f>1-G30/F30</f>
        <v>0.29411764705882348</v>
      </c>
      <c r="X30" s="16">
        <v>0</v>
      </c>
      <c r="Z30" t="s">
        <v>104</v>
      </c>
    </row>
    <row r="31" spans="1:26" x14ac:dyDescent="0.25">
      <c r="B31" t="s">
        <v>88</v>
      </c>
      <c r="C31" t="s">
        <v>89</v>
      </c>
      <c r="D31" s="9" t="s">
        <v>107</v>
      </c>
      <c r="E31" t="s">
        <v>110</v>
      </c>
      <c r="F31">
        <v>16</v>
      </c>
      <c r="G31" s="22">
        <v>12</v>
      </c>
      <c r="H31" t="s">
        <v>82</v>
      </c>
      <c r="I31" s="25">
        <v>12</v>
      </c>
      <c r="J31" s="33">
        <v>23.5</v>
      </c>
      <c r="K31" s="20">
        <v>0.25</v>
      </c>
      <c r="L31" s="14">
        <v>0.125</v>
      </c>
      <c r="M31" s="14">
        <v>-0.65100000000000002</v>
      </c>
      <c r="N31" s="17">
        <v>0.188</v>
      </c>
      <c r="O31" s="16">
        <v>-0.52</v>
      </c>
      <c r="P31" s="14">
        <f>K31-K32</f>
        <v>4.9999999999999989E-2</v>
      </c>
      <c r="Q31" s="14">
        <f t="shared" ref="Q31:T31" si="11">L31-L32</f>
        <v>-7.5000000000000011E-2</v>
      </c>
      <c r="R31" s="14">
        <f t="shared" si="11"/>
        <v>-0.17900000000000005</v>
      </c>
      <c r="S31" s="14">
        <f t="shared" si="11"/>
        <v>-1.2000000000000011E-2</v>
      </c>
      <c r="T31" s="14">
        <f t="shared" si="11"/>
        <v>-0.32800000000000001</v>
      </c>
      <c r="U31" s="14">
        <v>0.75</v>
      </c>
      <c r="V31" s="14" t="s">
        <v>102</v>
      </c>
      <c r="W31" s="14">
        <f>1-G31/F31</f>
        <v>0.25</v>
      </c>
      <c r="X31" s="16">
        <v>0</v>
      </c>
    </row>
    <row r="32" spans="1:26" x14ac:dyDescent="0.25">
      <c r="B32" t="s">
        <v>88</v>
      </c>
      <c r="C32" t="s">
        <v>89</v>
      </c>
      <c r="D32" s="9" t="s">
        <v>107</v>
      </c>
      <c r="E32" t="s">
        <v>105</v>
      </c>
      <c r="F32">
        <v>10</v>
      </c>
      <c r="G32" s="22">
        <v>7</v>
      </c>
      <c r="H32" t="s">
        <v>82</v>
      </c>
      <c r="I32" s="25">
        <v>12</v>
      </c>
      <c r="J32" s="34">
        <v>23.7</v>
      </c>
      <c r="K32" s="20">
        <v>0.2</v>
      </c>
      <c r="L32" s="14">
        <v>0.2</v>
      </c>
      <c r="M32" s="14">
        <v>-0.47199999999999998</v>
      </c>
      <c r="N32" s="17">
        <v>0.2</v>
      </c>
      <c r="O32" s="16">
        <v>-0.192</v>
      </c>
      <c r="P32" s="14" t="s">
        <v>106</v>
      </c>
      <c r="Q32" s="14" t="s">
        <v>106</v>
      </c>
      <c r="R32" s="14" t="s">
        <v>106</v>
      </c>
      <c r="S32" s="14" t="s">
        <v>106</v>
      </c>
      <c r="T32" s="14" t="s">
        <v>106</v>
      </c>
      <c r="U32" s="14">
        <v>0.1</v>
      </c>
      <c r="V32" s="14" t="s">
        <v>102</v>
      </c>
      <c r="W32" s="14">
        <f>1-G32/F32</f>
        <v>0.30000000000000004</v>
      </c>
      <c r="X32" s="16">
        <v>0.2</v>
      </c>
    </row>
    <row r="33" spans="2:26" x14ac:dyDescent="0.25">
      <c r="D33" s="9"/>
      <c r="G33" s="22"/>
      <c r="I33" s="25"/>
      <c r="J33" s="34"/>
      <c r="K33" s="20"/>
      <c r="L33" s="14"/>
      <c r="M33" s="14"/>
      <c r="N33" s="17"/>
      <c r="O33" s="16"/>
      <c r="P33" s="14"/>
      <c r="Q33" s="14"/>
      <c r="R33" s="14"/>
      <c r="S33" s="14"/>
      <c r="T33" s="14"/>
      <c r="U33" s="14"/>
      <c r="V33" s="14"/>
      <c r="W33" s="14"/>
      <c r="X33" s="16"/>
    </row>
    <row r="34" spans="2:26" s="4" customFormat="1" x14ac:dyDescent="0.25">
      <c r="B34" s="4" t="s">
        <v>83</v>
      </c>
      <c r="C34" s="4" t="s">
        <v>84</v>
      </c>
      <c r="D34" s="4" t="s">
        <v>85</v>
      </c>
      <c r="E34" s="4" t="s">
        <v>86</v>
      </c>
      <c r="F34" s="4">
        <f>F35+F39</f>
        <v>456</v>
      </c>
      <c r="G34" s="4">
        <f>G35+G39</f>
        <v>418</v>
      </c>
      <c r="H34" s="4" t="s">
        <v>82</v>
      </c>
      <c r="I34" s="4">
        <v>16</v>
      </c>
      <c r="J34" s="47"/>
      <c r="K34" s="44">
        <f t="shared" ref="K34:V34" si="12">AVERAGE(K35,K39)</f>
        <v>0.47750000000000004</v>
      </c>
      <c r="L34" s="44">
        <f t="shared" si="12"/>
        <v>0.32850000000000001</v>
      </c>
      <c r="M34" s="44">
        <f t="shared" si="12"/>
        <v>-0.71750000000000003</v>
      </c>
      <c r="N34" s="44">
        <f t="shared" si="12"/>
        <v>0.37</v>
      </c>
      <c r="O34" s="44">
        <f t="shared" si="12"/>
        <v>-0.49149999999999999</v>
      </c>
      <c r="P34" s="44">
        <f t="shared" si="12"/>
        <v>0.34450000000000003</v>
      </c>
      <c r="Q34" s="44">
        <f t="shared" si="12"/>
        <v>0.25449999999999995</v>
      </c>
      <c r="R34" s="44">
        <f t="shared" si="12"/>
        <v>-0.35149999999999992</v>
      </c>
      <c r="S34" s="44">
        <f t="shared" si="12"/>
        <v>0.27600000000000002</v>
      </c>
      <c r="T34" s="44">
        <f t="shared" si="12"/>
        <v>-0.26700000000000002</v>
      </c>
      <c r="U34" s="44">
        <f t="shared" si="12"/>
        <v>0.10930000000000001</v>
      </c>
      <c r="V34" s="44">
        <f t="shared" si="12"/>
        <v>5.2400000000000002E-2</v>
      </c>
      <c r="W34" s="17">
        <f>1-G34/F34</f>
        <v>8.333333333333337E-2</v>
      </c>
      <c r="X34" s="44">
        <f>AVERAGE(X35,X39)</f>
        <v>2.7999999999999997E-2</v>
      </c>
    </row>
    <row r="35" spans="2:26" x14ac:dyDescent="0.25">
      <c r="B35" t="s">
        <v>111</v>
      </c>
      <c r="C35" t="s">
        <v>84</v>
      </c>
      <c r="D35" s="9" t="s">
        <v>112</v>
      </c>
      <c r="E35" t="s">
        <v>86</v>
      </c>
      <c r="F35" s="13">
        <v>223</v>
      </c>
      <c r="G35">
        <v>197</v>
      </c>
      <c r="H35" t="s">
        <v>82</v>
      </c>
      <c r="I35">
        <v>16</v>
      </c>
      <c r="J35" s="15">
        <v>33</v>
      </c>
      <c r="K35" s="14">
        <v>0.51300000000000001</v>
      </c>
      <c r="L35" s="14">
        <v>0.35699999999999998</v>
      </c>
      <c r="M35" s="14">
        <v>-0.73899999999999999</v>
      </c>
      <c r="N35" s="17">
        <v>0.379</v>
      </c>
      <c r="O35" s="16">
        <v>-0.51100000000000001</v>
      </c>
      <c r="P35" s="14">
        <f>K35-K37</f>
        <v>0.36599999999999999</v>
      </c>
      <c r="Q35" s="14">
        <f t="shared" ref="Q35:T35" si="13">L35-L37</f>
        <v>0.28099999999999997</v>
      </c>
      <c r="R35" s="14">
        <f t="shared" si="13"/>
        <v>-0.34399999999999997</v>
      </c>
      <c r="S35" s="14">
        <f t="shared" si="13"/>
        <v>0.27600000000000002</v>
      </c>
      <c r="T35" s="14">
        <f t="shared" si="13"/>
        <v>-0.24299999999999999</v>
      </c>
      <c r="U35" s="14">
        <v>8.3000000000000004E-2</v>
      </c>
      <c r="V35" s="14">
        <v>5.2400000000000002E-2</v>
      </c>
      <c r="W35" s="14">
        <f>1-G35/F35</f>
        <v>0.11659192825112108</v>
      </c>
      <c r="X35" s="16">
        <v>3.0599999999999999E-2</v>
      </c>
      <c r="Y35" t="s">
        <v>113</v>
      </c>
    </row>
    <row r="36" spans="2:26" x14ac:dyDescent="0.25">
      <c r="B36" t="s">
        <v>111</v>
      </c>
      <c r="C36" t="s">
        <v>84</v>
      </c>
      <c r="D36" s="9" t="s">
        <v>112</v>
      </c>
      <c r="E36" t="s">
        <v>114</v>
      </c>
      <c r="F36">
        <v>223</v>
      </c>
      <c r="G36">
        <v>208</v>
      </c>
      <c r="H36" t="s">
        <v>115</v>
      </c>
      <c r="I36">
        <v>16</v>
      </c>
      <c r="J36" s="15">
        <v>33.200000000000003</v>
      </c>
      <c r="K36" s="14">
        <v>0.52500000000000002</v>
      </c>
      <c r="L36" s="14">
        <v>0.33200000000000002</v>
      </c>
      <c r="M36" s="14">
        <v>-0.73799999999999999</v>
      </c>
      <c r="N36" s="17">
        <v>0.372</v>
      </c>
      <c r="O36" s="16">
        <v>-0.49</v>
      </c>
      <c r="P36" s="14">
        <f>K36-K37</f>
        <v>0.378</v>
      </c>
      <c r="Q36" s="14">
        <f t="shared" ref="Q36:T36" si="14">L36-L37</f>
        <v>0.25600000000000001</v>
      </c>
      <c r="R36" s="14">
        <f t="shared" si="14"/>
        <v>-0.34299999999999997</v>
      </c>
      <c r="S36" s="14">
        <f t="shared" si="14"/>
        <v>0.26900000000000002</v>
      </c>
      <c r="T36" s="14">
        <f t="shared" si="14"/>
        <v>-0.22199999999999998</v>
      </c>
      <c r="U36" s="14">
        <v>0.188</v>
      </c>
      <c r="V36" s="14">
        <v>3.6700000000000003E-2</v>
      </c>
      <c r="W36" s="14">
        <f t="shared" ref="W36:W55" si="15">1-G36/F36</f>
        <v>6.7264573991031362E-2</v>
      </c>
      <c r="X36" s="16">
        <v>9.1999999999999998E-3</v>
      </c>
      <c r="Y36" t="s">
        <v>113</v>
      </c>
    </row>
    <row r="37" spans="2:26" x14ac:dyDescent="0.25">
      <c r="B37" t="s">
        <v>111</v>
      </c>
      <c r="C37" t="s">
        <v>84</v>
      </c>
      <c r="D37" s="9" t="s">
        <v>112</v>
      </c>
      <c r="E37" t="s">
        <v>116</v>
      </c>
      <c r="F37">
        <v>223</v>
      </c>
      <c r="G37">
        <v>184</v>
      </c>
      <c r="H37" t="s">
        <v>115</v>
      </c>
      <c r="I37">
        <v>16</v>
      </c>
      <c r="J37" s="15">
        <v>34.5</v>
      </c>
      <c r="K37" s="14">
        <v>0.14699999999999999</v>
      </c>
      <c r="L37" s="14">
        <v>7.5999999999999998E-2</v>
      </c>
      <c r="M37" s="14">
        <v>-0.39500000000000002</v>
      </c>
      <c r="N37" s="17">
        <v>0.10299999999999999</v>
      </c>
      <c r="O37" s="16">
        <v>-0.26800000000000002</v>
      </c>
      <c r="P37" s="14" t="s">
        <v>106</v>
      </c>
      <c r="Q37" s="14" t="s">
        <v>106</v>
      </c>
      <c r="R37" s="14" t="s">
        <v>106</v>
      </c>
      <c r="S37" s="14" t="s">
        <v>106</v>
      </c>
      <c r="T37" s="14" t="s">
        <v>106</v>
      </c>
      <c r="U37" s="14">
        <v>5.8599999999999999E-2</v>
      </c>
      <c r="V37" s="14">
        <v>1.35E-2</v>
      </c>
      <c r="W37" s="14">
        <f t="shared" si="15"/>
        <v>0.17488789237668156</v>
      </c>
      <c r="X37" s="16">
        <v>5.4100000000000002E-2</v>
      </c>
    </row>
    <row r="38" spans="2:26" x14ac:dyDescent="0.25">
      <c r="D38" s="9"/>
      <c r="J38" s="15"/>
      <c r="K38" s="14"/>
      <c r="L38" s="14"/>
      <c r="M38" s="14"/>
      <c r="N38" s="17"/>
      <c r="O38" s="16"/>
      <c r="P38" s="14"/>
      <c r="Q38" s="14"/>
      <c r="R38" s="14"/>
      <c r="S38" s="14"/>
      <c r="T38" s="14"/>
      <c r="U38" s="14"/>
      <c r="V38" s="14"/>
      <c r="W38" s="14"/>
      <c r="X38" s="16"/>
    </row>
    <row r="39" spans="2:26" x14ac:dyDescent="0.25">
      <c r="B39" t="s">
        <v>111</v>
      </c>
      <c r="C39" t="s">
        <v>84</v>
      </c>
      <c r="D39" s="9" t="s">
        <v>117</v>
      </c>
      <c r="E39" t="s">
        <v>86</v>
      </c>
      <c r="F39">
        <v>233</v>
      </c>
      <c r="G39">
        <v>221</v>
      </c>
      <c r="H39" t="s">
        <v>82</v>
      </c>
      <c r="I39">
        <v>16</v>
      </c>
      <c r="J39" s="15">
        <v>31.8</v>
      </c>
      <c r="K39" s="14">
        <v>0.442</v>
      </c>
      <c r="L39" s="14">
        <v>0.3</v>
      </c>
      <c r="M39" s="14">
        <v>-0.69599999999999995</v>
      </c>
      <c r="N39" s="17">
        <v>0.36099999999999999</v>
      </c>
      <c r="O39" s="16">
        <v>-0.47199999999999998</v>
      </c>
      <c r="P39" s="14">
        <f>K39-K41</f>
        <v>0.32300000000000001</v>
      </c>
      <c r="Q39" s="14">
        <f t="shared" ref="Q39" si="16">L39-L41</f>
        <v>0.22799999999999998</v>
      </c>
      <c r="R39" s="14">
        <f t="shared" ref="R39" si="17">M39-M41</f>
        <v>-0.35899999999999993</v>
      </c>
      <c r="S39" s="14">
        <f t="shared" ref="S39" si="18">N39-N41</f>
        <v>0.27599999999999997</v>
      </c>
      <c r="T39" s="16">
        <f t="shared" ref="T39" si="19">O39-O41</f>
        <v>-0.29099999999999998</v>
      </c>
      <c r="U39" s="14">
        <v>0.1356</v>
      </c>
      <c r="V39" s="24" t="s">
        <v>92</v>
      </c>
      <c r="W39" s="14">
        <f>1-G39/F39</f>
        <v>5.1502145922746823E-2</v>
      </c>
      <c r="X39" s="16">
        <v>2.5399999999999999E-2</v>
      </c>
      <c r="Y39" t="s">
        <v>113</v>
      </c>
      <c r="Z39" t="s">
        <v>118</v>
      </c>
    </row>
    <row r="40" spans="2:26" x14ac:dyDescent="0.25">
      <c r="B40" t="s">
        <v>111</v>
      </c>
      <c r="C40" t="s">
        <v>84</v>
      </c>
      <c r="D40" s="9" t="s">
        <v>117</v>
      </c>
      <c r="E40" t="s">
        <v>114</v>
      </c>
      <c r="F40">
        <v>239</v>
      </c>
      <c r="G40">
        <v>220</v>
      </c>
      <c r="H40" t="s">
        <v>115</v>
      </c>
      <c r="I40">
        <v>16</v>
      </c>
      <c r="J40" s="15">
        <v>31.9</v>
      </c>
      <c r="K40" s="14">
        <v>0.48099999999999998</v>
      </c>
      <c r="L40" s="14">
        <v>0.30499999999999999</v>
      </c>
      <c r="M40" s="14">
        <v>-0.71599999999999997</v>
      </c>
      <c r="N40" s="17">
        <v>0.36399999999999999</v>
      </c>
      <c r="O40" s="16">
        <v>-0.50900000000000001</v>
      </c>
      <c r="P40" s="14">
        <f>K40-K41</f>
        <v>0.36199999999999999</v>
      </c>
      <c r="Q40" s="14">
        <f t="shared" ref="Q40" si="20">L40-L41</f>
        <v>0.23299999999999998</v>
      </c>
      <c r="R40" s="14">
        <f t="shared" ref="R40" si="21">M40-M41</f>
        <v>-0.37899999999999995</v>
      </c>
      <c r="S40" s="14">
        <f t="shared" ref="S40" si="22">N40-N41</f>
        <v>0.27899999999999997</v>
      </c>
      <c r="T40" s="16">
        <f t="shared" ref="T40" si="23">O40-O41</f>
        <v>-0.32800000000000001</v>
      </c>
      <c r="U40" s="14">
        <v>0.1308</v>
      </c>
      <c r="V40" s="24" t="s">
        <v>92</v>
      </c>
      <c r="W40" s="14">
        <f t="shared" si="15"/>
        <v>7.9497907949790836E-2</v>
      </c>
      <c r="X40" s="16">
        <v>3.7999999999999999E-2</v>
      </c>
      <c r="Y40" t="s">
        <v>113</v>
      </c>
    </row>
    <row r="41" spans="2:26" x14ac:dyDescent="0.25">
      <c r="B41" t="s">
        <v>111</v>
      </c>
      <c r="C41" t="s">
        <v>84</v>
      </c>
      <c r="D41" s="9" t="s">
        <v>117</v>
      </c>
      <c r="E41" t="s">
        <v>116</v>
      </c>
      <c r="F41">
        <v>235</v>
      </c>
      <c r="G41">
        <v>190</v>
      </c>
      <c r="H41" t="s">
        <v>115</v>
      </c>
      <c r="I41">
        <v>16</v>
      </c>
      <c r="J41" s="15">
        <v>33.6</v>
      </c>
      <c r="K41" s="14">
        <v>0.11899999999999999</v>
      </c>
      <c r="L41" s="14">
        <v>7.1999999999999995E-2</v>
      </c>
      <c r="M41" s="14">
        <v>-0.33700000000000002</v>
      </c>
      <c r="N41" s="17">
        <v>8.5000000000000006E-2</v>
      </c>
      <c r="O41" s="16">
        <v>-0.18099999999999999</v>
      </c>
      <c r="P41" s="14" t="s">
        <v>106</v>
      </c>
      <c r="Q41" s="14" t="s">
        <v>106</v>
      </c>
      <c r="R41" s="14" t="s">
        <v>106</v>
      </c>
      <c r="S41" s="14" t="s">
        <v>106</v>
      </c>
      <c r="T41" s="14" t="s">
        <v>106</v>
      </c>
      <c r="U41" s="14">
        <v>6.4100000000000004E-2</v>
      </c>
      <c r="V41" s="24" t="s">
        <v>92</v>
      </c>
      <c r="W41" s="14">
        <f t="shared" si="15"/>
        <v>0.19148936170212771</v>
      </c>
      <c r="X41" s="16">
        <v>6.8400000000000002E-2</v>
      </c>
    </row>
    <row r="42" spans="2:26" x14ac:dyDescent="0.25">
      <c r="D42" s="9"/>
      <c r="J42" s="15"/>
      <c r="K42" s="14"/>
      <c r="L42" s="14"/>
      <c r="M42" s="14"/>
      <c r="N42" s="17"/>
      <c r="O42" s="16"/>
      <c r="P42" s="14"/>
      <c r="Q42" s="14"/>
      <c r="R42" s="14"/>
      <c r="S42" s="14"/>
      <c r="T42" s="14"/>
      <c r="U42" s="14"/>
      <c r="V42" s="24"/>
      <c r="W42" s="14"/>
      <c r="X42" s="16"/>
    </row>
    <row r="43" spans="2:26" x14ac:dyDescent="0.25">
      <c r="B43" t="s">
        <v>111</v>
      </c>
      <c r="C43" t="s">
        <v>84</v>
      </c>
      <c r="D43" s="9" t="s">
        <v>119</v>
      </c>
      <c r="E43" t="s">
        <v>86</v>
      </c>
      <c r="F43">
        <v>106</v>
      </c>
      <c r="G43">
        <v>93</v>
      </c>
      <c r="H43" t="s">
        <v>82</v>
      </c>
      <c r="I43">
        <v>52</v>
      </c>
      <c r="J43" s="15">
        <v>33.6</v>
      </c>
      <c r="K43" s="14">
        <v>0.65200000000000002</v>
      </c>
      <c r="L43" s="14" t="s">
        <v>120</v>
      </c>
      <c r="M43" s="14">
        <v>-0.84899999999999998</v>
      </c>
      <c r="N43" s="17">
        <v>0.36</v>
      </c>
      <c r="O43" s="19">
        <v>-0.27300000000000002</v>
      </c>
      <c r="P43" s="14">
        <f>K43-K45</f>
        <v>0.43600000000000005</v>
      </c>
      <c r="Q43" s="14"/>
      <c r="R43" s="14">
        <f t="shared" ref="R43" si="24">M43-M45</f>
        <v>-0.24</v>
      </c>
      <c r="S43" s="14">
        <f t="shared" ref="S43" si="25">N43-N45</f>
        <v>0.23499999999999999</v>
      </c>
      <c r="T43" s="19">
        <f t="shared" ref="T43" si="26">O43-O45</f>
        <v>-7.6000000000000012E-2</v>
      </c>
      <c r="U43" s="14">
        <v>0.14549999999999999</v>
      </c>
      <c r="V43" s="18">
        <v>0.1182</v>
      </c>
      <c r="W43" s="14">
        <f t="shared" si="15"/>
        <v>0.12264150943396224</v>
      </c>
      <c r="X43" s="16"/>
      <c r="Y43" t="s">
        <v>113</v>
      </c>
    </row>
    <row r="44" spans="2:26" x14ac:dyDescent="0.25">
      <c r="B44" t="s">
        <v>111</v>
      </c>
      <c r="C44" t="s">
        <v>84</v>
      </c>
      <c r="D44" s="9" t="s">
        <v>119</v>
      </c>
      <c r="E44" t="s">
        <v>114</v>
      </c>
      <c r="F44">
        <v>319</v>
      </c>
      <c r="G44">
        <v>178</v>
      </c>
      <c r="H44" t="s">
        <v>115</v>
      </c>
      <c r="I44">
        <v>52</v>
      </c>
      <c r="J44" s="15">
        <v>32.1</v>
      </c>
      <c r="K44" s="14">
        <v>0.64100000000000001</v>
      </c>
      <c r="L44" s="14" t="s">
        <v>120</v>
      </c>
      <c r="M44" s="14">
        <v>-0.878</v>
      </c>
      <c r="N44" s="17">
        <v>0.4</v>
      </c>
      <c r="O44" s="19">
        <v>-0.25700000000000001</v>
      </c>
      <c r="P44" s="14">
        <f>K44-K45</f>
        <v>0.42500000000000004</v>
      </c>
      <c r="Q44" s="14"/>
      <c r="R44" s="14">
        <f t="shared" ref="R44" si="27">M44-M45</f>
        <v>-0.26900000000000002</v>
      </c>
      <c r="S44" s="14">
        <f t="shared" ref="S44" si="28">N44-N45</f>
        <v>0.27500000000000002</v>
      </c>
      <c r="T44" s="19">
        <f t="shared" ref="T44" si="29">O44-O45</f>
        <v>-0.06</v>
      </c>
      <c r="U44" s="14">
        <v>0.1905</v>
      </c>
      <c r="V44" s="18">
        <v>0.1714</v>
      </c>
      <c r="W44" s="14">
        <f t="shared" si="15"/>
        <v>0.44200626959247646</v>
      </c>
      <c r="X44" s="16"/>
      <c r="Y44" t="s">
        <v>113</v>
      </c>
    </row>
    <row r="45" spans="2:26" x14ac:dyDescent="0.25">
      <c r="B45" t="s">
        <v>111</v>
      </c>
      <c r="C45" t="s">
        <v>84</v>
      </c>
      <c r="D45" s="9" t="s">
        <v>119</v>
      </c>
      <c r="E45" t="s">
        <v>116</v>
      </c>
      <c r="F45">
        <v>315</v>
      </c>
      <c r="G45">
        <v>225</v>
      </c>
      <c r="H45" t="s">
        <v>115</v>
      </c>
      <c r="I45">
        <v>52</v>
      </c>
      <c r="J45" s="15">
        <v>32.6</v>
      </c>
      <c r="K45" s="14">
        <v>0.216</v>
      </c>
      <c r="L45" s="14" t="s">
        <v>120</v>
      </c>
      <c r="M45" s="14">
        <v>-0.60899999999999999</v>
      </c>
      <c r="N45" s="17">
        <v>0.125</v>
      </c>
      <c r="O45" s="16">
        <v>-0.19700000000000001</v>
      </c>
      <c r="P45" s="14" t="s">
        <v>106</v>
      </c>
      <c r="Q45" s="14" t="s">
        <v>106</v>
      </c>
      <c r="R45" s="14" t="s">
        <v>106</v>
      </c>
      <c r="S45" s="14" t="s">
        <v>106</v>
      </c>
      <c r="T45" s="14" t="s">
        <v>106</v>
      </c>
      <c r="U45" s="14">
        <v>7.6200000000000004E-2</v>
      </c>
      <c r="V45" s="14">
        <v>6.0299999999999999E-2</v>
      </c>
      <c r="W45" s="14">
        <f t="shared" si="15"/>
        <v>0.2857142857142857</v>
      </c>
      <c r="X45" s="16"/>
    </row>
    <row r="46" spans="2:26" x14ac:dyDescent="0.25">
      <c r="D46" s="9"/>
      <c r="J46" s="15"/>
      <c r="K46" s="14"/>
      <c r="L46" s="14"/>
      <c r="M46" s="14"/>
      <c r="N46" s="17"/>
      <c r="O46" s="16"/>
      <c r="P46" s="14"/>
      <c r="Q46" s="14"/>
      <c r="R46" s="14"/>
      <c r="S46" s="14"/>
      <c r="T46" s="14"/>
      <c r="U46" s="14"/>
      <c r="V46" s="14"/>
      <c r="W46" s="14"/>
      <c r="X46" s="16"/>
    </row>
    <row r="47" spans="2:26" s="4" customFormat="1" x14ac:dyDescent="0.25">
      <c r="B47" s="4" t="s">
        <v>95</v>
      </c>
      <c r="C47" s="4" t="s">
        <v>80</v>
      </c>
      <c r="D47" s="4" t="s">
        <v>70</v>
      </c>
      <c r="E47" s="4" t="s">
        <v>86</v>
      </c>
      <c r="F47" s="4">
        <f>F48+F51+F54</f>
        <v>1449</v>
      </c>
      <c r="G47" s="4">
        <f>G48+G51+G54</f>
        <v>1394</v>
      </c>
      <c r="H47" s="4" t="s">
        <v>82</v>
      </c>
      <c r="I47" s="4">
        <v>16</v>
      </c>
      <c r="J47" s="4">
        <f>J48*$F$48/$F$47+J51*$F$51/$F$47+J54*$F$54/$F$47</f>
        <v>31.567170462387853</v>
      </c>
      <c r="K47" s="17">
        <f>K48*$F$48/$F$47+K51*$F$51/$F$47+K54*$F$54/$F$47</f>
        <v>0.33768530020703935</v>
      </c>
      <c r="L47" s="17">
        <f>L48*$F$48/$F$47+L51*$F$51/$F$47+L54*$F$54/$F$47</f>
        <v>0.19267839889579019</v>
      </c>
      <c r="M47" s="17">
        <f>M48*$F$48/$F$47+M51*$F$51/$F$47+M54*$F$54/$F$47</f>
        <v>-0.54305148447292773</v>
      </c>
      <c r="N47" s="17">
        <f>N48*$F$48/$F$47+N51*$F$51/$F$47+N54*$F$54/$F$47</f>
        <v>0.2245251897860594</v>
      </c>
      <c r="P47" s="17">
        <f>P48*$F$48/$F$47+P51*$F$51/$F$47+P54*$F$54/$F$47</f>
        <v>0.17584679089026917</v>
      </c>
      <c r="Q47" s="17">
        <f>Q48*$F$48/$F$47+Q51*$F$51/$F$47+Q54*$F$54/$F$47</f>
        <v>0.11574258109040717</v>
      </c>
      <c r="R47" s="17">
        <f>R48*$F$48/$F$47+R51*$F$51/$F$47+R54*$F$54/$F$47</f>
        <v>-0.25179593900572217</v>
      </c>
      <c r="S47" s="17">
        <f>S48*$F$48/$F$47+S51*$F$51/$F$47+S54*$F$54/$F$47</f>
        <v>0.10462456866804695</v>
      </c>
      <c r="U47" s="17">
        <f>AVERAGE(U48,U51,U54)</f>
        <v>5.3699999999999998E-2</v>
      </c>
      <c r="V47" s="17">
        <f>AVERAGE(V48,V51,V54)</f>
        <v>7.0966666666666664E-2</v>
      </c>
      <c r="W47" s="17">
        <f>1-G47/F47</f>
        <v>3.7957211870255358E-2</v>
      </c>
      <c r="X47" s="17">
        <f>AVERAGE(X48,X51,X54)</f>
        <v>2.1000000000000001E-2</v>
      </c>
    </row>
    <row r="48" spans="2:26" x14ac:dyDescent="0.25">
      <c r="B48" t="s">
        <v>121</v>
      </c>
      <c r="C48" t="s">
        <v>80</v>
      </c>
      <c r="D48" s="9" t="s">
        <v>122</v>
      </c>
      <c r="E48" t="s">
        <v>86</v>
      </c>
      <c r="F48">
        <v>603</v>
      </c>
      <c r="G48">
        <v>601</v>
      </c>
      <c r="H48" t="s">
        <v>82</v>
      </c>
      <c r="I48">
        <v>16</v>
      </c>
      <c r="J48" s="15">
        <v>32.200000000000003</v>
      </c>
      <c r="K48" s="14">
        <v>0.25</v>
      </c>
      <c r="L48" s="14">
        <v>0.14499999999999999</v>
      </c>
      <c r="M48" s="14">
        <f>-15.5/J48</f>
        <v>-0.48136645962732916</v>
      </c>
      <c r="N48" s="17">
        <v>0.158</v>
      </c>
      <c r="O48" s="30" t="s">
        <v>123</v>
      </c>
      <c r="P48" s="14">
        <f>K48-K49</f>
        <v>0.123</v>
      </c>
      <c r="Q48" s="14">
        <f>L48-L49</f>
        <v>0.10399999999999998</v>
      </c>
      <c r="R48" s="14">
        <f t="shared" ref="R48" si="30">M48-M49</f>
        <v>-0.20781022862428961</v>
      </c>
      <c r="S48" s="14">
        <f t="shared" ref="S48" si="31">N48-N49</f>
        <v>8.7000000000000008E-2</v>
      </c>
      <c r="T48" s="16" t="s">
        <v>124</v>
      </c>
      <c r="U48" s="14">
        <v>3.9899999999999998E-2</v>
      </c>
      <c r="V48" s="14">
        <v>7.1400000000000005E-2</v>
      </c>
      <c r="W48" s="14">
        <f t="shared" si="15"/>
        <v>3.3167495854062867E-3</v>
      </c>
      <c r="X48" s="16">
        <v>3.8199999999999998E-2</v>
      </c>
      <c r="Y48" s="31">
        <v>2E-3</v>
      </c>
      <c r="Z48" t="s">
        <v>125</v>
      </c>
    </row>
    <row r="49" spans="2:26" x14ac:dyDescent="0.25">
      <c r="B49" t="s">
        <v>121</v>
      </c>
      <c r="C49" t="s">
        <v>80</v>
      </c>
      <c r="D49" s="9" t="s">
        <v>122</v>
      </c>
      <c r="E49" t="s">
        <v>105</v>
      </c>
      <c r="F49">
        <v>199</v>
      </c>
      <c r="G49">
        <v>197</v>
      </c>
      <c r="H49" t="s">
        <v>82</v>
      </c>
      <c r="I49">
        <v>16</v>
      </c>
      <c r="J49" s="15">
        <v>32.9</v>
      </c>
      <c r="K49" s="14">
        <v>0.127</v>
      </c>
      <c r="L49" s="21">
        <v>4.1000000000000002E-2</v>
      </c>
      <c r="M49" s="14">
        <f>-9/J49</f>
        <v>-0.27355623100303955</v>
      </c>
      <c r="N49" s="17">
        <v>7.0999999999999994E-2</v>
      </c>
      <c r="O49" s="30" t="s">
        <v>126</v>
      </c>
      <c r="P49" s="14"/>
      <c r="Q49" s="14"/>
      <c r="R49" s="14"/>
      <c r="S49" s="14"/>
      <c r="T49" s="16"/>
      <c r="U49" s="14">
        <v>0</v>
      </c>
      <c r="V49" s="14">
        <v>2.0400000000000001E-2</v>
      </c>
      <c r="W49" s="14">
        <f t="shared" si="15"/>
        <v>1.0050251256281451E-2</v>
      </c>
      <c r="X49" s="16">
        <v>4.0800000000000003E-2</v>
      </c>
      <c r="Z49" t="s">
        <v>127</v>
      </c>
    </row>
    <row r="50" spans="2:26" x14ac:dyDescent="0.25">
      <c r="D50" s="9"/>
      <c r="J50" s="15"/>
      <c r="K50" s="14"/>
      <c r="L50" s="21"/>
      <c r="M50" s="14"/>
      <c r="N50" s="17"/>
      <c r="O50" s="30"/>
      <c r="P50" s="14"/>
      <c r="Q50" s="14"/>
      <c r="R50" s="14"/>
      <c r="S50" s="14"/>
      <c r="T50" s="16"/>
      <c r="U50" s="14"/>
      <c r="V50" s="14"/>
      <c r="W50" s="14"/>
      <c r="X50" s="16"/>
    </row>
    <row r="51" spans="2:26" x14ac:dyDescent="0.25">
      <c r="B51" t="s">
        <v>121</v>
      </c>
      <c r="C51" t="s">
        <v>80</v>
      </c>
      <c r="D51" s="9" t="s">
        <v>128</v>
      </c>
      <c r="E51" t="s">
        <v>114</v>
      </c>
      <c r="F51">
        <v>593</v>
      </c>
      <c r="G51">
        <v>558</v>
      </c>
      <c r="H51" t="s">
        <v>82</v>
      </c>
      <c r="I51">
        <v>16</v>
      </c>
      <c r="J51" s="15">
        <v>32.1</v>
      </c>
      <c r="K51" s="32">
        <v>0.33200000000000002</v>
      </c>
      <c r="L51" s="14">
        <v>0.183</v>
      </c>
      <c r="M51" s="14">
        <f>-16.9/J51</f>
        <v>-0.52647975077881615</v>
      </c>
      <c r="N51" s="17">
        <v>0.222</v>
      </c>
      <c r="O51" s="30" t="s">
        <v>129</v>
      </c>
      <c r="P51" s="14">
        <f>K51-K52</f>
        <v>0.21800000000000003</v>
      </c>
      <c r="Q51" s="14">
        <f>L51-L52</f>
        <v>0.128</v>
      </c>
      <c r="R51" s="14">
        <f t="shared" ref="R51" si="32">M51-M52</f>
        <v>-0.31175582439844807</v>
      </c>
      <c r="S51" s="14">
        <f t="shared" ref="S51" si="33">N51-N52</f>
        <v>0.113</v>
      </c>
      <c r="T51" s="16" t="s">
        <v>130</v>
      </c>
      <c r="U51" s="24"/>
      <c r="V51" s="14">
        <v>3.04E-2</v>
      </c>
      <c r="W51" s="14">
        <f t="shared" si="15"/>
        <v>5.9021922428330487E-2</v>
      </c>
      <c r="X51" s="16">
        <v>1.6899999999999998E-2</v>
      </c>
      <c r="Z51" t="s">
        <v>131</v>
      </c>
    </row>
    <row r="52" spans="2:26" x14ac:dyDescent="0.25">
      <c r="B52" t="s">
        <v>121</v>
      </c>
      <c r="C52" t="s">
        <v>80</v>
      </c>
      <c r="D52" s="9" t="s">
        <v>128</v>
      </c>
      <c r="E52" t="s">
        <v>105</v>
      </c>
      <c r="F52">
        <v>201</v>
      </c>
      <c r="G52">
        <v>179</v>
      </c>
      <c r="H52" t="s">
        <v>82</v>
      </c>
      <c r="I52">
        <v>16</v>
      </c>
      <c r="J52" s="15">
        <v>32.6</v>
      </c>
      <c r="K52" s="14">
        <v>0.114</v>
      </c>
      <c r="L52" s="14">
        <v>5.5E-2</v>
      </c>
      <c r="M52" s="14">
        <f>-7/J52</f>
        <v>-0.21472392638036808</v>
      </c>
      <c r="N52" s="17">
        <v>0.109</v>
      </c>
      <c r="O52" s="30" t="s">
        <v>132</v>
      </c>
      <c r="P52" s="14"/>
      <c r="Q52" s="14"/>
      <c r="R52" s="14"/>
      <c r="S52" s="14"/>
      <c r="T52" s="16"/>
      <c r="U52" s="24"/>
      <c r="V52" s="14">
        <v>1.4999999999999999E-2</v>
      </c>
      <c r="W52" s="14">
        <f t="shared" si="15"/>
        <v>0.10945273631840791</v>
      </c>
      <c r="X52" s="16">
        <v>2.5000000000000001E-2</v>
      </c>
      <c r="Y52" s="31">
        <v>1E-3</v>
      </c>
    </row>
    <row r="53" spans="2:26" x14ac:dyDescent="0.25">
      <c r="D53" s="9"/>
      <c r="J53" s="15"/>
      <c r="K53" s="14"/>
      <c r="L53" s="14"/>
      <c r="M53" s="14"/>
      <c r="N53" s="17"/>
      <c r="O53" s="30"/>
      <c r="P53" s="14"/>
      <c r="Q53" s="14"/>
      <c r="R53" s="14"/>
      <c r="S53" s="14"/>
      <c r="T53" s="16"/>
      <c r="U53" s="24"/>
      <c r="V53" s="14"/>
      <c r="W53" s="14"/>
      <c r="X53" s="16"/>
      <c r="Y53" s="31"/>
    </row>
    <row r="54" spans="2:26" x14ac:dyDescent="0.25">
      <c r="B54" t="s">
        <v>133</v>
      </c>
      <c r="C54" t="s">
        <v>80</v>
      </c>
      <c r="D54" s="9" t="s">
        <v>134</v>
      </c>
      <c r="E54" t="s">
        <v>114</v>
      </c>
      <c r="F54">
        <v>253</v>
      </c>
      <c r="G54">
        <v>235</v>
      </c>
      <c r="H54" t="s">
        <v>82</v>
      </c>
      <c r="I54">
        <v>16</v>
      </c>
      <c r="J54" s="15">
        <v>28.81</v>
      </c>
      <c r="K54" s="14">
        <v>0.56000000000000005</v>
      </c>
      <c r="L54" s="14">
        <v>0.32900000000000001</v>
      </c>
      <c r="M54" s="14">
        <f>-21/J54</f>
        <v>-0.72891357167650128</v>
      </c>
      <c r="N54" s="17">
        <v>0.38900000000000001</v>
      </c>
      <c r="O54" s="35" t="s">
        <v>135</v>
      </c>
      <c r="P54" s="14">
        <f>K54-K55</f>
        <v>0.20300000000000007</v>
      </c>
      <c r="Q54" s="14">
        <f>L54-L55</f>
        <v>0.11500000000000002</v>
      </c>
      <c r="R54" s="14">
        <f t="shared" ref="R54" si="34">M54-M55</f>
        <v>-0.21609305885598851</v>
      </c>
      <c r="S54" s="14">
        <f t="shared" ref="S54" si="35">N54-N55</f>
        <v>0.127</v>
      </c>
      <c r="T54" s="16" t="s">
        <v>136</v>
      </c>
      <c r="U54" s="14">
        <v>6.7500000000000004E-2</v>
      </c>
      <c r="V54" s="14">
        <v>0.1111</v>
      </c>
      <c r="W54" s="14">
        <f t="shared" si="15"/>
        <v>7.1146245059288571E-2</v>
      </c>
      <c r="X54" s="16">
        <v>7.9000000000000008E-3</v>
      </c>
    </row>
    <row r="55" spans="2:26" x14ac:dyDescent="0.25">
      <c r="B55" t="s">
        <v>133</v>
      </c>
      <c r="C55" t="s">
        <v>80</v>
      </c>
      <c r="D55" s="9" t="s">
        <v>134</v>
      </c>
      <c r="E55" t="s">
        <v>105</v>
      </c>
      <c r="F55">
        <v>127</v>
      </c>
      <c r="G55">
        <v>120</v>
      </c>
      <c r="H55" t="s">
        <v>82</v>
      </c>
      <c r="I55">
        <v>16</v>
      </c>
      <c r="J55" s="15">
        <v>30.42</v>
      </c>
      <c r="K55" s="14">
        <v>0.35699999999999998</v>
      </c>
      <c r="L55" s="14">
        <v>0.214</v>
      </c>
      <c r="M55" s="14">
        <f>-15.6/J55</f>
        <v>-0.51282051282051277</v>
      </c>
      <c r="N55" s="17">
        <v>0.26200000000000001</v>
      </c>
      <c r="O55" s="30" t="s">
        <v>137</v>
      </c>
      <c r="P55" s="14"/>
      <c r="Q55" s="14"/>
      <c r="R55" s="14"/>
      <c r="S55" s="14"/>
      <c r="T55" s="16"/>
      <c r="U55" s="14">
        <v>0</v>
      </c>
      <c r="V55" s="14">
        <v>3.1699999999999999E-2</v>
      </c>
      <c r="W55" s="14">
        <f t="shared" si="15"/>
        <v>5.5118110236220486E-2</v>
      </c>
      <c r="X55" s="16">
        <v>3.1699999999999999E-2</v>
      </c>
      <c r="Y55" s="36">
        <v>1.4999999999999999E-2</v>
      </c>
      <c r="Z55" t="s">
        <v>138</v>
      </c>
    </row>
    <row r="56" spans="2:26" x14ac:dyDescent="0.25">
      <c r="D56" s="9"/>
      <c r="J56" s="15"/>
      <c r="K56" s="14"/>
      <c r="L56" s="14"/>
      <c r="M56" s="14"/>
      <c r="N56" s="17"/>
      <c r="O56" s="30"/>
      <c r="P56" s="14"/>
      <c r="Q56" s="14"/>
      <c r="R56" s="14"/>
      <c r="S56" s="14"/>
      <c r="T56" s="16"/>
      <c r="U56" s="14"/>
      <c r="V56" s="14"/>
      <c r="W56" s="14"/>
      <c r="X56" s="16"/>
      <c r="Y56" s="36"/>
    </row>
    <row r="57" spans="2:26" x14ac:dyDescent="0.25">
      <c r="B57" s="4" t="s">
        <v>79</v>
      </c>
      <c r="C57" s="4" t="s">
        <v>80</v>
      </c>
      <c r="D57" s="4" t="s">
        <v>70</v>
      </c>
      <c r="E57" s="4" t="s">
        <v>81</v>
      </c>
      <c r="F57" s="4">
        <f>F58+F64</f>
        <v>578</v>
      </c>
      <c r="G57" s="4">
        <f>G58+G64</f>
        <v>536</v>
      </c>
      <c r="H57" s="4" t="s">
        <v>82</v>
      </c>
      <c r="I57" s="4">
        <v>16</v>
      </c>
      <c r="J57" s="40"/>
      <c r="K57" s="17">
        <f t="shared" ref="K57:X57" si="36">AVERAGE(K58,K64)</f>
        <v>0.55449999999999999</v>
      </c>
      <c r="L57" s="17">
        <f t="shared" si="36"/>
        <v>0.34499999999999997</v>
      </c>
      <c r="M57" s="17">
        <f t="shared" si="36"/>
        <v>-0.62919999999999998</v>
      </c>
      <c r="N57" s="17">
        <f t="shared" si="36"/>
        <v>0.38150000000000001</v>
      </c>
      <c r="O57" s="17">
        <f t="shared" si="36"/>
        <v>-0.41020000000000001</v>
      </c>
      <c r="P57" s="17">
        <f t="shared" si="36"/>
        <v>0.38300000000000001</v>
      </c>
      <c r="Q57" s="17">
        <f t="shared" si="36"/>
        <v>0.2525</v>
      </c>
      <c r="R57" s="17">
        <f t="shared" si="36"/>
        <v>-0.35934999999999995</v>
      </c>
      <c r="S57" s="17">
        <f t="shared" si="36"/>
        <v>0.26400000000000001</v>
      </c>
      <c r="T57" s="17">
        <f t="shared" si="36"/>
        <v>-0.28979999999999995</v>
      </c>
      <c r="U57" s="17">
        <f t="shared" si="36"/>
        <v>1.9E-2</v>
      </c>
      <c r="V57" s="17">
        <f t="shared" si="36"/>
        <v>4.9099999999999998E-2</v>
      </c>
      <c r="W57" s="17">
        <f t="shared" si="36"/>
        <v>7.2623824639156731E-2</v>
      </c>
      <c r="X57" s="17">
        <f t="shared" si="36"/>
        <v>1.405E-2</v>
      </c>
      <c r="Y57" s="36"/>
    </row>
    <row r="58" spans="2:26" x14ac:dyDescent="0.25">
      <c r="B58" t="s">
        <v>139</v>
      </c>
      <c r="C58" t="s">
        <v>80</v>
      </c>
      <c r="D58" s="9" t="s">
        <v>140</v>
      </c>
      <c r="E58" t="s">
        <v>141</v>
      </c>
      <c r="F58">
        <v>283</v>
      </c>
      <c r="G58">
        <v>263</v>
      </c>
      <c r="H58" t="s">
        <v>82</v>
      </c>
      <c r="I58">
        <v>16</v>
      </c>
      <c r="J58" s="23" t="s">
        <v>92</v>
      </c>
      <c r="K58" s="21">
        <v>0.58799999999999997</v>
      </c>
      <c r="L58" s="14">
        <v>0.38300000000000001</v>
      </c>
      <c r="M58" s="14">
        <v>-0.6431</v>
      </c>
      <c r="N58" s="17">
        <v>0.43099999999999999</v>
      </c>
      <c r="O58" s="16">
        <v>-0.45479999999999998</v>
      </c>
      <c r="P58" s="14">
        <f>K58-K59</f>
        <v>0.42599999999999993</v>
      </c>
      <c r="Q58" s="14">
        <f>L58-L59</f>
        <v>0.29300000000000004</v>
      </c>
      <c r="R58" s="14">
        <f>M58-M59</f>
        <v>-0.38300000000000001</v>
      </c>
      <c r="S58" s="14">
        <f>N58-N59</f>
        <v>0.30399999999999999</v>
      </c>
      <c r="T58" s="16">
        <f>O58-O59</f>
        <v>-0.30419999999999997</v>
      </c>
      <c r="U58" s="14">
        <f>0.71%+0.35%+0.35%+0.35%</f>
        <v>1.7599999999999998E-2</v>
      </c>
      <c r="V58" s="14">
        <v>7.4499999999999997E-2</v>
      </c>
      <c r="W58" s="14">
        <f>1-G58/F58</f>
        <v>7.0671378091872739E-2</v>
      </c>
      <c r="X58" s="16">
        <v>2.1299999999999999E-2</v>
      </c>
      <c r="Y58" t="s">
        <v>113</v>
      </c>
      <c r="Z58" t="s">
        <v>142</v>
      </c>
    </row>
    <row r="59" spans="2:26" x14ac:dyDescent="0.25">
      <c r="B59" t="s">
        <v>139</v>
      </c>
      <c r="C59" t="s">
        <v>80</v>
      </c>
      <c r="D59" s="9" t="s">
        <v>140</v>
      </c>
      <c r="E59" t="s">
        <v>105</v>
      </c>
      <c r="F59">
        <v>141</v>
      </c>
      <c r="G59">
        <v>120</v>
      </c>
      <c r="H59" t="s">
        <v>82</v>
      </c>
      <c r="I59">
        <v>16</v>
      </c>
      <c r="J59" s="23" t="s">
        <v>92</v>
      </c>
      <c r="K59" s="21">
        <v>0.16200000000000001</v>
      </c>
      <c r="L59" s="14">
        <v>0.09</v>
      </c>
      <c r="M59" s="14">
        <v>-0.2601</v>
      </c>
      <c r="N59" s="17">
        <v>0.127</v>
      </c>
      <c r="O59" s="16">
        <v>-0.15060000000000001</v>
      </c>
      <c r="P59" s="14"/>
      <c r="Q59" s="14"/>
      <c r="R59" s="14"/>
      <c r="S59" s="14"/>
      <c r="T59" s="16"/>
      <c r="U59" s="14">
        <v>1.4200000000000001E-2</v>
      </c>
      <c r="V59" s="14">
        <v>2.8400000000000002E-2</v>
      </c>
      <c r="W59" s="14">
        <f>1-G59/F59</f>
        <v>0.14893617021276595</v>
      </c>
      <c r="X59" s="16">
        <v>7.1000000000000004E-3</v>
      </c>
      <c r="Z59" t="s">
        <v>143</v>
      </c>
    </row>
    <row r="60" spans="2:26" x14ac:dyDescent="0.25">
      <c r="B60" t="s">
        <v>139</v>
      </c>
      <c r="C60" t="s">
        <v>80</v>
      </c>
      <c r="D60" s="9" t="s">
        <v>140</v>
      </c>
      <c r="E60" t="s">
        <v>144</v>
      </c>
      <c r="F60">
        <v>63</v>
      </c>
      <c r="G60">
        <v>54</v>
      </c>
      <c r="H60" t="s">
        <v>99</v>
      </c>
      <c r="I60">
        <v>52</v>
      </c>
      <c r="J60" s="15"/>
      <c r="K60" s="21">
        <v>0.79200000000000004</v>
      </c>
      <c r="M60" s="14"/>
      <c r="N60" s="17">
        <v>0.74199999999999999</v>
      </c>
      <c r="O60" s="16"/>
      <c r="P60" s="14">
        <f>K60-K62</f>
        <v>0.17900000000000005</v>
      </c>
      <c r="Q60" s="14"/>
      <c r="R60" s="14"/>
      <c r="S60" s="14">
        <f>N60-N62</f>
        <v>0.27699999999999997</v>
      </c>
      <c r="T60" s="16"/>
      <c r="U60" s="20">
        <v>0</v>
      </c>
      <c r="V60" s="21">
        <v>1.5900000000000001E-2</v>
      </c>
      <c r="W60" s="14">
        <f>1-G60/F60</f>
        <v>0.1428571428571429</v>
      </c>
      <c r="X60" s="16">
        <v>3.1699999999999999E-2</v>
      </c>
      <c r="Z60" t="s">
        <v>145</v>
      </c>
    </row>
    <row r="61" spans="2:26" x14ac:dyDescent="0.25">
      <c r="B61" t="s">
        <v>139</v>
      </c>
      <c r="C61" t="s">
        <v>80</v>
      </c>
      <c r="D61" s="9" t="s">
        <v>140</v>
      </c>
      <c r="E61" t="s">
        <v>146</v>
      </c>
      <c r="F61">
        <v>62</v>
      </c>
      <c r="G61">
        <v>48</v>
      </c>
      <c r="H61" t="s">
        <v>82</v>
      </c>
      <c r="I61">
        <v>52</v>
      </c>
      <c r="J61" s="15"/>
      <c r="K61" s="21">
        <v>0.79200000000000004</v>
      </c>
      <c r="L61" s="14"/>
      <c r="M61" s="14"/>
      <c r="N61" s="17">
        <v>0.75800000000000001</v>
      </c>
      <c r="O61" s="16"/>
      <c r="P61" s="14">
        <f>K61-K62</f>
        <v>0.17900000000000005</v>
      </c>
      <c r="Q61" s="14"/>
      <c r="R61" s="14"/>
      <c r="S61" s="14">
        <f>N61-N62</f>
        <v>0.29299999999999998</v>
      </c>
      <c r="T61" s="16"/>
      <c r="U61" s="14">
        <v>0</v>
      </c>
      <c r="V61" s="14">
        <v>0</v>
      </c>
      <c r="W61" s="14">
        <f>1-G61/F61</f>
        <v>0.22580645161290325</v>
      </c>
      <c r="X61" s="16">
        <v>0</v>
      </c>
    </row>
    <row r="62" spans="2:26" x14ac:dyDescent="0.25">
      <c r="B62" t="s">
        <v>139</v>
      </c>
      <c r="C62" t="s">
        <v>80</v>
      </c>
      <c r="D62" s="9" t="s">
        <v>140</v>
      </c>
      <c r="E62" t="s">
        <v>147</v>
      </c>
      <c r="F62">
        <v>32</v>
      </c>
      <c r="G62">
        <v>22</v>
      </c>
      <c r="H62" t="s">
        <v>82</v>
      </c>
      <c r="I62">
        <v>52</v>
      </c>
      <c r="J62" s="15"/>
      <c r="K62" s="21">
        <v>0.61299999999999999</v>
      </c>
      <c r="L62" s="14"/>
      <c r="M62" s="14"/>
      <c r="N62" s="17">
        <v>0.46500000000000002</v>
      </c>
      <c r="O62" s="16"/>
      <c r="P62" s="14"/>
      <c r="Q62" s="14"/>
      <c r="R62" s="14"/>
      <c r="S62" s="14"/>
      <c r="T62" s="14"/>
      <c r="U62" s="14">
        <v>0</v>
      </c>
      <c r="V62" s="14">
        <v>3.1300000000000001E-2</v>
      </c>
      <c r="W62" s="14">
        <f>1-G62/F62</f>
        <v>0.3125</v>
      </c>
      <c r="X62" s="16"/>
    </row>
    <row r="64" spans="2:26" x14ac:dyDescent="0.25">
      <c r="B64" t="s">
        <v>139</v>
      </c>
      <c r="C64" t="s">
        <v>80</v>
      </c>
      <c r="D64" s="9" t="s">
        <v>148</v>
      </c>
      <c r="E64" t="s">
        <v>141</v>
      </c>
      <c r="F64">
        <v>295</v>
      </c>
      <c r="G64">
        <v>273</v>
      </c>
      <c r="H64" t="s">
        <v>82</v>
      </c>
      <c r="I64">
        <v>16</v>
      </c>
      <c r="J64" s="15"/>
      <c r="K64" s="21">
        <v>0.52100000000000002</v>
      </c>
      <c r="L64" s="14">
        <v>0.307</v>
      </c>
      <c r="M64" s="21">
        <v>-0.61529999999999996</v>
      </c>
      <c r="N64" s="17">
        <v>0.33200000000000002</v>
      </c>
      <c r="O64" s="16">
        <v>-0.36559999999999998</v>
      </c>
      <c r="P64" s="14">
        <f>K64-K65</f>
        <v>0.34</v>
      </c>
      <c r="Q64" s="14">
        <f>L64-L65</f>
        <v>0.21199999999999999</v>
      </c>
      <c r="R64" s="14">
        <f>M64-M65</f>
        <v>-0.33569999999999994</v>
      </c>
      <c r="S64" s="14">
        <f>N64-N65</f>
        <v>0.22400000000000003</v>
      </c>
      <c r="T64" s="16">
        <f>O64-O65</f>
        <v>-0.27539999999999998</v>
      </c>
      <c r="U64" s="14">
        <f>0.68%+0.34%+0.34%+0.68%</f>
        <v>2.0400000000000001E-2</v>
      </c>
      <c r="V64" s="14">
        <v>2.3699999999999999E-2</v>
      </c>
      <c r="W64" s="14">
        <f>1-G64/F64</f>
        <v>7.4576271186440724E-2</v>
      </c>
      <c r="X64" s="16">
        <v>6.7999999999999996E-3</v>
      </c>
    </row>
    <row r="65" spans="2:26" x14ac:dyDescent="0.25">
      <c r="B65" t="s">
        <v>139</v>
      </c>
      <c r="C65" t="s">
        <v>80</v>
      </c>
      <c r="D65" s="9" t="s">
        <v>148</v>
      </c>
      <c r="E65" t="s">
        <v>105</v>
      </c>
      <c r="F65">
        <v>150</v>
      </c>
      <c r="G65">
        <v>133</v>
      </c>
      <c r="H65" t="s">
        <v>82</v>
      </c>
      <c r="I65">
        <v>16</v>
      </c>
      <c r="J65" s="15"/>
      <c r="K65" s="21">
        <v>0.18099999999999999</v>
      </c>
      <c r="L65" s="14">
        <v>9.5000000000000001E-2</v>
      </c>
      <c r="M65" s="14">
        <v>-0.27960000000000002</v>
      </c>
      <c r="N65" s="17">
        <v>0.108</v>
      </c>
      <c r="O65" s="16">
        <v>-9.0200000000000002E-2</v>
      </c>
      <c r="P65" s="14"/>
      <c r="Q65" s="14"/>
      <c r="R65" s="14"/>
      <c r="S65" s="14"/>
      <c r="T65" s="16"/>
      <c r="U65" s="14">
        <f>0.67%+0.67%</f>
        <v>1.34E-2</v>
      </c>
      <c r="V65" s="14">
        <v>1.34E-2</v>
      </c>
      <c r="W65" s="14">
        <f>1-G65/F65</f>
        <v>0.11333333333333329</v>
      </c>
      <c r="X65" s="16">
        <v>2.6800000000000001E-2</v>
      </c>
    </row>
    <row r="66" spans="2:26" x14ac:dyDescent="0.25">
      <c r="B66" t="s">
        <v>139</v>
      </c>
      <c r="C66" t="s">
        <v>80</v>
      </c>
      <c r="D66" s="9" t="s">
        <v>148</v>
      </c>
      <c r="E66" t="s">
        <v>144</v>
      </c>
      <c r="F66">
        <v>59</v>
      </c>
      <c r="G66">
        <v>51</v>
      </c>
      <c r="H66" t="s">
        <v>99</v>
      </c>
      <c r="I66">
        <v>52</v>
      </c>
      <c r="J66" s="15"/>
      <c r="K66" s="21">
        <v>0.84699999999999998</v>
      </c>
      <c r="L66" s="14"/>
      <c r="M66" s="14"/>
      <c r="N66" s="17">
        <v>0.80600000000000005</v>
      </c>
      <c r="O66" s="16"/>
      <c r="P66" s="21">
        <f>K66-K68</f>
        <v>0.127</v>
      </c>
      <c r="S66" s="21">
        <f>N66-N68</f>
        <v>0.30800000000000005</v>
      </c>
      <c r="T66" s="16"/>
      <c r="U66" s="21">
        <v>1.6899999999999998E-2</v>
      </c>
      <c r="V66" s="21">
        <v>6.7799999999999999E-2</v>
      </c>
      <c r="W66" s="14">
        <f>1-G66/F66</f>
        <v>0.13559322033898302</v>
      </c>
      <c r="X66" s="16">
        <v>0</v>
      </c>
      <c r="Z66" t="s">
        <v>149</v>
      </c>
    </row>
    <row r="67" spans="2:26" x14ac:dyDescent="0.25">
      <c r="B67" t="s">
        <v>139</v>
      </c>
      <c r="C67" t="s">
        <v>80</v>
      </c>
      <c r="D67" s="9" t="s">
        <v>148</v>
      </c>
      <c r="E67" t="s">
        <v>146</v>
      </c>
      <c r="F67">
        <v>59</v>
      </c>
      <c r="G67">
        <v>42</v>
      </c>
      <c r="H67" t="s">
        <v>82</v>
      </c>
      <c r="I67">
        <v>52</v>
      </c>
      <c r="J67" s="15"/>
      <c r="K67" s="21">
        <v>0.77400000000000002</v>
      </c>
      <c r="L67" s="14"/>
      <c r="M67" s="14"/>
      <c r="N67" s="17">
        <v>0.64600000000000002</v>
      </c>
      <c r="O67" s="16"/>
      <c r="P67" s="21">
        <f>K67-K68</f>
        <v>5.4000000000000048E-2</v>
      </c>
      <c r="S67" s="21">
        <f>N67-N68</f>
        <v>0.14800000000000002</v>
      </c>
      <c r="T67" s="16"/>
      <c r="U67" s="20">
        <v>0</v>
      </c>
      <c r="V67" s="21">
        <v>1.6899999999999998E-2</v>
      </c>
      <c r="W67" s="14">
        <f>1-G67/F67</f>
        <v>0.28813559322033899</v>
      </c>
      <c r="X67" s="16">
        <v>3.39E-2</v>
      </c>
    </row>
    <row r="68" spans="2:26" x14ac:dyDescent="0.25">
      <c r="B68" t="s">
        <v>139</v>
      </c>
      <c r="C68" t="s">
        <v>80</v>
      </c>
      <c r="D68" s="9" t="s">
        <v>148</v>
      </c>
      <c r="E68" t="s">
        <v>147</v>
      </c>
      <c r="F68">
        <v>30</v>
      </c>
      <c r="G68">
        <v>22</v>
      </c>
      <c r="H68" t="s">
        <v>82</v>
      </c>
      <c r="I68">
        <v>52</v>
      </c>
      <c r="J68" s="15"/>
      <c r="K68" s="14">
        <v>0.72</v>
      </c>
      <c r="L68" s="14"/>
      <c r="M68" s="14"/>
      <c r="N68" s="17">
        <v>0.498</v>
      </c>
      <c r="O68" s="16"/>
      <c r="T68" s="16"/>
      <c r="U68" s="37">
        <v>0</v>
      </c>
      <c r="V68" s="14">
        <v>3.3300000000000003E-2</v>
      </c>
      <c r="W68" s="14">
        <f>1-G68/F68</f>
        <v>0.26666666666666672</v>
      </c>
      <c r="X68" s="16">
        <v>3.3300000000000003E-2</v>
      </c>
    </row>
    <row r="70" spans="2:26" x14ac:dyDescent="0.25">
      <c r="B70" t="s">
        <v>139</v>
      </c>
      <c r="C70" t="s">
        <v>80</v>
      </c>
      <c r="D70" s="9" t="s">
        <v>150</v>
      </c>
      <c r="E70" t="s">
        <v>151</v>
      </c>
      <c r="F70">
        <v>153</v>
      </c>
      <c r="G70">
        <v>142</v>
      </c>
      <c r="H70" t="s">
        <v>82</v>
      </c>
      <c r="I70">
        <v>16</v>
      </c>
      <c r="J70" s="15"/>
      <c r="K70" s="21">
        <v>0.69499999999999995</v>
      </c>
      <c r="L70" s="21">
        <v>0.41199999999999998</v>
      </c>
      <c r="M70" s="14">
        <v>-0.76759999999999995</v>
      </c>
      <c r="N70" s="17">
        <v>0.41199999999999998</v>
      </c>
      <c r="O70" s="16">
        <v>-0.50680000000000003</v>
      </c>
      <c r="P70" s="14">
        <f>K70-K71</f>
        <v>0.27299999999999996</v>
      </c>
      <c r="Q70" s="14">
        <f>L70-L71</f>
        <v>0.19499999999999998</v>
      </c>
      <c r="R70" s="14">
        <f>M70-M71</f>
        <v>-0.23639999999999994</v>
      </c>
      <c r="S70" s="14">
        <f>N70-N71</f>
        <v>0.19099999999999998</v>
      </c>
      <c r="T70" s="16">
        <f>O70-O71</f>
        <v>-0.15210000000000001</v>
      </c>
      <c r="U70" s="37">
        <f>0.65%+0.65%+1.31%+1.31%+0.65%</f>
        <v>4.5699999999999998E-2</v>
      </c>
      <c r="V70" s="14">
        <v>4.58E-2</v>
      </c>
      <c r="W70" s="14">
        <f>1-G70/F70</f>
        <v>7.1895424836601274E-2</v>
      </c>
      <c r="X70" s="16">
        <v>1.3100000000000001E-2</v>
      </c>
    </row>
    <row r="71" spans="2:26" x14ac:dyDescent="0.25">
      <c r="B71" t="s">
        <v>139</v>
      </c>
      <c r="C71" t="s">
        <v>80</v>
      </c>
      <c r="D71" s="9" t="s">
        <v>150</v>
      </c>
      <c r="E71" t="s">
        <v>152</v>
      </c>
      <c r="F71">
        <v>75</v>
      </c>
      <c r="G71">
        <v>67</v>
      </c>
      <c r="H71" t="s">
        <v>82</v>
      </c>
      <c r="I71">
        <v>16</v>
      </c>
      <c r="J71" s="15"/>
      <c r="K71" s="21">
        <v>0.42199999999999999</v>
      </c>
      <c r="L71" s="21">
        <v>0.217</v>
      </c>
      <c r="M71" s="14">
        <v>-0.53120000000000001</v>
      </c>
      <c r="N71" s="17">
        <v>0.221</v>
      </c>
      <c r="O71" s="16">
        <v>-0.35470000000000002</v>
      </c>
      <c r="U71" s="21">
        <v>1.3299999999999999E-2</v>
      </c>
      <c r="V71" s="14">
        <v>0</v>
      </c>
      <c r="W71" s="14">
        <f>1-G71/F71</f>
        <v>0.10666666666666669</v>
      </c>
      <c r="X71" s="16">
        <v>1.3299999999999999E-2</v>
      </c>
    </row>
    <row r="72" spans="2:26" x14ac:dyDescent="0.25">
      <c r="D72" s="9"/>
      <c r="K72" s="21"/>
      <c r="L72" s="21"/>
      <c r="M72" s="14"/>
      <c r="N72" s="17"/>
      <c r="O72" s="37"/>
      <c r="U72" s="21"/>
      <c r="V72" s="14"/>
      <c r="W72" s="14"/>
      <c r="X72" s="37"/>
    </row>
    <row r="73" spans="2:26" s="4" customFormat="1" x14ac:dyDescent="0.25">
      <c r="B73" s="4" t="s">
        <v>96</v>
      </c>
      <c r="C73" s="4" t="s">
        <v>97</v>
      </c>
      <c r="D73" s="4" t="s">
        <v>70</v>
      </c>
      <c r="E73" s="4" t="s">
        <v>98</v>
      </c>
      <c r="F73" s="4">
        <f>F74+F77</f>
        <v>1139</v>
      </c>
      <c r="G73" s="4">
        <f>G74+G77</f>
        <v>1030</v>
      </c>
      <c r="H73" s="4" t="s">
        <v>99</v>
      </c>
      <c r="I73" s="4">
        <v>16</v>
      </c>
      <c r="K73" s="48">
        <f>AVERAGE(K74,K77)</f>
        <v>0.42799999999999999</v>
      </c>
      <c r="N73" s="48">
        <f>AVERAGE(N74,N77)</f>
        <v>0.36649999999999999</v>
      </c>
      <c r="P73" s="48">
        <f>AVERAGE(P74,P77)</f>
        <v>0.13200000000000001</v>
      </c>
      <c r="S73" s="48">
        <f>AVERAGE(S74,S77)</f>
        <v>0.11349999999999999</v>
      </c>
      <c r="W73" s="48">
        <f>AVERAGE(W74,W77)</f>
        <v>9.5593262477469076E-2</v>
      </c>
      <c r="X73" s="48">
        <f>AVERAGE(X74,X77)</f>
        <v>1.7350000000000001E-2</v>
      </c>
    </row>
    <row r="74" spans="2:26" x14ac:dyDescent="0.25">
      <c r="B74" t="s">
        <v>153</v>
      </c>
      <c r="C74" t="s">
        <v>97</v>
      </c>
      <c r="D74" s="9" t="s">
        <v>154</v>
      </c>
      <c r="E74" t="s">
        <v>98</v>
      </c>
      <c r="F74">
        <v>519</v>
      </c>
      <c r="G74">
        <v>470</v>
      </c>
      <c r="H74" t="s">
        <v>99</v>
      </c>
      <c r="I74">
        <v>16</v>
      </c>
      <c r="J74" s="15"/>
      <c r="K74" s="21">
        <v>0.42099999999999999</v>
      </c>
      <c r="L74" s="14"/>
      <c r="M74" s="14"/>
      <c r="N74" s="17">
        <v>0.377</v>
      </c>
      <c r="O74" s="16"/>
      <c r="P74" s="14">
        <f>K74-K75</f>
        <v>0.11899999999999999</v>
      </c>
      <c r="Q74" s="14"/>
      <c r="R74" s="14"/>
      <c r="S74" s="14">
        <f>N74-N75</f>
        <v>0.11699999999999999</v>
      </c>
      <c r="T74" s="16"/>
      <c r="U74" s="14"/>
      <c r="V74" s="14"/>
      <c r="W74" s="14">
        <f>1-G74/F74</f>
        <v>9.4412331406551031E-2</v>
      </c>
      <c r="X74" s="16">
        <v>2.5000000000000001E-2</v>
      </c>
    </row>
    <row r="75" spans="2:26" x14ac:dyDescent="0.25">
      <c r="B75" t="s">
        <v>153</v>
      </c>
      <c r="C75" t="s">
        <v>97</v>
      </c>
      <c r="D75" s="9" t="s">
        <v>154</v>
      </c>
      <c r="E75" t="s">
        <v>105</v>
      </c>
      <c r="F75">
        <v>263</v>
      </c>
      <c r="G75">
        <v>241</v>
      </c>
      <c r="H75" t="s">
        <v>99</v>
      </c>
      <c r="I75">
        <v>16</v>
      </c>
      <c r="J75" s="15"/>
      <c r="K75" s="21">
        <v>0.30199999999999999</v>
      </c>
      <c r="L75" s="14"/>
      <c r="M75" s="14"/>
      <c r="N75" s="17">
        <v>0.26</v>
      </c>
      <c r="O75" s="16"/>
      <c r="P75" s="14"/>
      <c r="Q75" s="14"/>
      <c r="R75" s="14"/>
      <c r="S75" s="14"/>
      <c r="T75" s="16"/>
      <c r="U75" s="14"/>
      <c r="V75" s="14"/>
      <c r="W75" s="14">
        <f>1-G75/F75</f>
        <v>8.365019011406849E-2</v>
      </c>
      <c r="X75" s="16">
        <v>1.14E-2</v>
      </c>
    </row>
    <row r="76" spans="2:26" x14ac:dyDescent="0.25">
      <c r="D76" s="9"/>
      <c r="J76" s="15"/>
      <c r="K76" s="21"/>
      <c r="L76" s="14"/>
      <c r="M76" s="14"/>
      <c r="N76" s="17"/>
      <c r="O76" s="16"/>
      <c r="P76" s="14"/>
      <c r="Q76" s="14"/>
      <c r="R76" s="14"/>
      <c r="S76" s="14"/>
      <c r="T76" s="16"/>
      <c r="U76" s="14"/>
      <c r="V76" s="14"/>
      <c r="W76" s="14"/>
      <c r="X76" s="16"/>
    </row>
    <row r="77" spans="2:26" x14ac:dyDescent="0.25">
      <c r="B77" t="s">
        <v>153</v>
      </c>
      <c r="C77" t="s">
        <v>97</v>
      </c>
      <c r="D77" s="9" t="s">
        <v>155</v>
      </c>
      <c r="E77" t="s">
        <v>98</v>
      </c>
      <c r="F77">
        <v>620</v>
      </c>
      <c r="G77">
        <v>560</v>
      </c>
      <c r="H77" t="s">
        <v>99</v>
      </c>
      <c r="I77">
        <v>16</v>
      </c>
      <c r="J77" s="15"/>
      <c r="K77" s="21">
        <v>0.435</v>
      </c>
      <c r="L77" s="14"/>
      <c r="M77" s="14"/>
      <c r="N77" s="17">
        <v>0.35599999999999998</v>
      </c>
      <c r="O77" s="16"/>
      <c r="P77" s="14">
        <f>K77-K78</f>
        <v>0.14500000000000002</v>
      </c>
      <c r="Q77" s="14"/>
      <c r="R77" s="14"/>
      <c r="S77" s="14">
        <f>N77-N78</f>
        <v>0.10999999999999999</v>
      </c>
      <c r="T77" s="16"/>
      <c r="U77" s="14"/>
      <c r="V77" s="14"/>
      <c r="W77" s="14">
        <f>1-G77/F77</f>
        <v>9.6774193548387122E-2</v>
      </c>
      <c r="X77" s="16">
        <v>9.7000000000000003E-3</v>
      </c>
    </row>
    <row r="78" spans="2:26" x14ac:dyDescent="0.25">
      <c r="B78" t="s">
        <v>153</v>
      </c>
      <c r="C78" t="s">
        <v>97</v>
      </c>
      <c r="D78" s="9" t="s">
        <v>155</v>
      </c>
      <c r="E78" t="s">
        <v>105</v>
      </c>
      <c r="F78">
        <v>321</v>
      </c>
      <c r="G78">
        <v>296</v>
      </c>
      <c r="H78" t="s">
        <v>99</v>
      </c>
      <c r="I78">
        <v>16</v>
      </c>
      <c r="J78" s="15"/>
      <c r="K78" s="21">
        <v>0.28999999999999998</v>
      </c>
      <c r="L78" s="14"/>
      <c r="M78" s="14"/>
      <c r="N78" s="17">
        <v>0.246</v>
      </c>
      <c r="O78" s="16"/>
      <c r="P78" s="14"/>
      <c r="Q78" s="14"/>
      <c r="R78" s="14"/>
      <c r="S78" s="14"/>
      <c r="T78" s="16"/>
      <c r="U78" s="14"/>
      <c r="V78" s="14"/>
      <c r="W78" s="14">
        <f>1-G78/F78</f>
        <v>7.7881619937694713E-2</v>
      </c>
      <c r="X78" s="16">
        <v>1.2500000000000001E-2</v>
      </c>
    </row>
    <row r="79" spans="2:26" x14ac:dyDescent="0.25">
      <c r="D79" s="9"/>
      <c r="K79" s="21"/>
      <c r="L79" s="14"/>
      <c r="M79" s="14"/>
      <c r="N79" s="17"/>
      <c r="O79" s="37"/>
      <c r="P79" s="14"/>
      <c r="Q79" s="14"/>
      <c r="R79" s="14"/>
      <c r="S79" s="14"/>
      <c r="T79" s="37"/>
      <c r="U79" s="14"/>
      <c r="V79" s="14"/>
      <c r="W79" s="14"/>
      <c r="X79" s="37"/>
    </row>
    <row r="80" spans="2:26" s="4" customFormat="1" x14ac:dyDescent="0.25">
      <c r="B80" s="4" t="s">
        <v>74</v>
      </c>
      <c r="C80" s="4" t="s">
        <v>69</v>
      </c>
      <c r="D80" s="4" t="s">
        <v>70</v>
      </c>
      <c r="E80" s="4" t="s">
        <v>87</v>
      </c>
      <c r="F80" s="4">
        <f>F87+F91</f>
        <v>314</v>
      </c>
      <c r="G80" s="4">
        <f>G87+G91</f>
        <v>272</v>
      </c>
      <c r="H80" s="4" t="s">
        <v>72</v>
      </c>
      <c r="I80" s="42">
        <v>16</v>
      </c>
      <c r="K80" s="48">
        <f>AVERAGE(K87,K91)</f>
        <v>0.42100000000000004</v>
      </c>
      <c r="L80" s="48"/>
      <c r="M80" s="48">
        <f>AVERAGE(M87,M91)</f>
        <v>-0.38300000000000001</v>
      </c>
      <c r="N80" s="48">
        <f>AVERAGE(N87,N91)</f>
        <v>0.26049999999999995</v>
      </c>
      <c r="P80" s="48">
        <f>AVERAGE(P87,P91)</f>
        <v>0.31000000000000005</v>
      </c>
      <c r="Q80" s="48"/>
      <c r="R80" s="48">
        <f>AVERAGE(R87,R91)</f>
        <v>-0.19900000000000001</v>
      </c>
      <c r="S80" s="48">
        <f>AVERAGE(S87,S91)</f>
        <v>0.17549999999999999</v>
      </c>
      <c r="W80" s="48">
        <f>AVERAGE(W87,W91)</f>
        <v>0.13376338851022396</v>
      </c>
      <c r="X80" s="48">
        <f>AVERAGE(X87,X91)</f>
        <v>3.2099999999999997E-2</v>
      </c>
    </row>
    <row r="81" spans="1:25" s="4" customFormat="1" x14ac:dyDescent="0.25">
      <c r="B81" s="4" t="s">
        <v>74</v>
      </c>
      <c r="C81" s="4" t="s">
        <v>69</v>
      </c>
      <c r="D81" s="4" t="s">
        <v>70</v>
      </c>
      <c r="E81" s="4" t="s">
        <v>75</v>
      </c>
      <c r="F81" s="4">
        <f>F88+F92</f>
        <v>309</v>
      </c>
      <c r="G81" s="4">
        <f>G88+G92</f>
        <v>278</v>
      </c>
      <c r="H81" s="4" t="s">
        <v>72</v>
      </c>
      <c r="I81" s="42">
        <v>16</v>
      </c>
      <c r="K81" s="48">
        <f>AVERAGE(K88,K92)</f>
        <v>0.61850000000000005</v>
      </c>
      <c r="L81" s="48"/>
      <c r="M81" s="48">
        <f>AVERAGE(M88,M92)</f>
        <v>-0.47799999999999998</v>
      </c>
      <c r="N81" s="48">
        <f>AVERAGE(N88,N92)</f>
        <v>0.40949999999999998</v>
      </c>
      <c r="P81" s="48">
        <f>AVERAGE(P88,P92)</f>
        <v>0.50750000000000006</v>
      </c>
      <c r="Q81" s="48"/>
      <c r="R81" s="48">
        <f>AVERAGE(R88,R92)</f>
        <v>-0.29400000000000004</v>
      </c>
      <c r="S81" s="48">
        <f>AVERAGE(S88,S92)</f>
        <v>0.32450000000000001</v>
      </c>
      <c r="W81" s="48">
        <f>AVERAGE(W88,W92)</f>
        <v>0.10035609551738583</v>
      </c>
      <c r="X81" s="48">
        <f>AVERAGE(X88,X92)</f>
        <v>3.2500000000000001E-2</v>
      </c>
    </row>
    <row r="82" spans="1:25" x14ac:dyDescent="0.25">
      <c r="B82" t="s">
        <v>156</v>
      </c>
      <c r="C82" t="s">
        <v>69</v>
      </c>
      <c r="D82" s="9" t="s">
        <v>157</v>
      </c>
      <c r="E82" t="s">
        <v>158</v>
      </c>
      <c r="F82">
        <v>238</v>
      </c>
      <c r="G82">
        <v>217</v>
      </c>
      <c r="H82" t="s">
        <v>72</v>
      </c>
      <c r="I82" s="22">
        <v>16</v>
      </c>
      <c r="J82" s="15"/>
      <c r="K82" s="21">
        <v>0.58699999999999997</v>
      </c>
      <c r="L82" s="14">
        <v>0.38</v>
      </c>
      <c r="M82" s="14"/>
      <c r="N82" s="17">
        <v>0.36599999999999999</v>
      </c>
      <c r="O82" s="16"/>
      <c r="P82" s="14">
        <f>K82-K85</f>
        <v>0.31599999999999995</v>
      </c>
      <c r="Q82" s="14">
        <f>L82-L85</f>
        <v>0.26700000000000002</v>
      </c>
      <c r="R82" s="14"/>
      <c r="S82" s="14">
        <f>N82-N85</f>
        <v>0.22599999999999998</v>
      </c>
      <c r="T82" s="16"/>
      <c r="U82" s="14">
        <f>0.42*2%</f>
        <v>8.3999999999999995E-3</v>
      </c>
      <c r="V82" s="14">
        <f>(0.84+0.42)%</f>
        <v>1.26E-2</v>
      </c>
      <c r="W82" s="14">
        <f>1-G82/F82</f>
        <v>8.8235294117647078E-2</v>
      </c>
      <c r="X82" s="16">
        <v>2.52E-2</v>
      </c>
    </row>
    <row r="83" spans="1:25" x14ac:dyDescent="0.25">
      <c r="B83" t="s">
        <v>156</v>
      </c>
      <c r="C83" t="s">
        <v>69</v>
      </c>
      <c r="D83" s="9" t="s">
        <v>157</v>
      </c>
      <c r="E83" t="s">
        <v>159</v>
      </c>
      <c r="F83">
        <v>226</v>
      </c>
      <c r="G83">
        <v>208</v>
      </c>
      <c r="H83" t="s">
        <v>72</v>
      </c>
      <c r="I83" s="22">
        <v>16</v>
      </c>
      <c r="J83" s="15"/>
      <c r="K83" s="21">
        <v>0.70299999999999996</v>
      </c>
      <c r="L83" s="14">
        <v>0.48899999999999999</v>
      </c>
      <c r="M83" s="14"/>
      <c r="N83" s="17">
        <v>0.48399999999999999</v>
      </c>
      <c r="O83" s="16"/>
      <c r="P83" s="14">
        <f>K83-K85</f>
        <v>0.43199999999999994</v>
      </c>
      <c r="Q83" s="14">
        <f>L83-L85</f>
        <v>0.376</v>
      </c>
      <c r="R83" s="14"/>
      <c r="S83" s="14">
        <f>N83-N85</f>
        <v>0.34399999999999997</v>
      </c>
      <c r="T83" s="16"/>
      <c r="U83" s="14">
        <f>0.88%+0.44%</f>
        <v>1.32E-2</v>
      </c>
      <c r="V83" s="14">
        <v>1.3299999999999999E-2</v>
      </c>
      <c r="W83" s="14">
        <f>1-G83/F83</f>
        <v>7.9646017699115057E-2</v>
      </c>
      <c r="X83" s="16">
        <v>8.8000000000000005E-3</v>
      </c>
    </row>
    <row r="84" spans="1:25" x14ac:dyDescent="0.25">
      <c r="B84" t="s">
        <v>156</v>
      </c>
      <c r="C84" t="s">
        <v>69</v>
      </c>
      <c r="D84" s="9" t="s">
        <v>157</v>
      </c>
      <c r="E84" t="s">
        <v>160</v>
      </c>
      <c r="F84">
        <v>243</v>
      </c>
      <c r="G84">
        <v>223</v>
      </c>
      <c r="H84" t="s">
        <v>72</v>
      </c>
      <c r="I84" s="22">
        <v>16</v>
      </c>
      <c r="J84" s="15"/>
      <c r="K84" s="21">
        <v>0.58099999999999996</v>
      </c>
      <c r="L84" s="14">
        <v>0.38800000000000001</v>
      </c>
      <c r="M84" s="14"/>
      <c r="N84" s="17">
        <v>0.36499999999999999</v>
      </c>
      <c r="O84" s="16"/>
      <c r="P84" s="14">
        <f>K84-K85</f>
        <v>0.30999999999999994</v>
      </c>
      <c r="Q84" s="14">
        <f>L84-L85</f>
        <v>0.27500000000000002</v>
      </c>
      <c r="R84" s="14"/>
      <c r="S84" s="14">
        <f>N84-N85</f>
        <v>0.22499999999999998</v>
      </c>
      <c r="T84" s="16"/>
      <c r="U84" s="14">
        <f>0.41%*3</f>
        <v>1.2299999999999998E-2</v>
      </c>
      <c r="V84" s="14">
        <v>6.2E-2</v>
      </c>
      <c r="W84" s="14">
        <f>1-G84/F84</f>
        <v>8.2304526748971152E-2</v>
      </c>
      <c r="X84" s="16">
        <v>8.3000000000000001E-3</v>
      </c>
    </row>
    <row r="85" spans="1:25" x14ac:dyDescent="0.25">
      <c r="B85" t="s">
        <v>156</v>
      </c>
      <c r="C85" t="s">
        <v>69</v>
      </c>
      <c r="D85" s="9" t="s">
        <v>157</v>
      </c>
      <c r="E85" t="s">
        <v>116</v>
      </c>
      <c r="F85">
        <v>131</v>
      </c>
      <c r="G85">
        <v>117</v>
      </c>
      <c r="H85" t="s">
        <v>72</v>
      </c>
      <c r="I85" s="22">
        <v>16</v>
      </c>
      <c r="J85" s="15"/>
      <c r="K85" s="21">
        <v>0.27100000000000002</v>
      </c>
      <c r="L85" s="14">
        <v>0.113</v>
      </c>
      <c r="M85" s="14"/>
      <c r="N85" s="17">
        <v>0.14000000000000001</v>
      </c>
      <c r="O85" s="16"/>
      <c r="P85" s="14"/>
      <c r="Q85" s="14"/>
      <c r="R85" s="14"/>
      <c r="S85" s="14"/>
      <c r="T85" s="16"/>
      <c r="U85" s="14">
        <v>0</v>
      </c>
      <c r="V85" s="14">
        <v>2.29E-2</v>
      </c>
      <c r="W85" s="14">
        <f>1-G85/F85</f>
        <v>0.10687022900763354</v>
      </c>
      <c r="X85" s="16">
        <v>3.8199999999999998E-2</v>
      </c>
    </row>
    <row r="87" spans="1:25" x14ac:dyDescent="0.25">
      <c r="B87" t="s">
        <v>156</v>
      </c>
      <c r="C87" t="s">
        <v>69</v>
      </c>
      <c r="D87" s="9" t="s">
        <v>161</v>
      </c>
      <c r="E87" t="s">
        <v>162</v>
      </c>
      <c r="F87">
        <v>156</v>
      </c>
      <c r="G87">
        <v>135</v>
      </c>
      <c r="H87" t="s">
        <v>72</v>
      </c>
      <c r="I87" s="22">
        <v>12</v>
      </c>
      <c r="J87" s="15"/>
      <c r="K87" s="21">
        <v>0.39700000000000002</v>
      </c>
      <c r="L87" s="14"/>
      <c r="M87" s="14">
        <v>-0.16600000000000001</v>
      </c>
      <c r="N87" s="17">
        <v>0.23699999999999999</v>
      </c>
      <c r="O87" s="16"/>
      <c r="P87" s="14">
        <f>K87-K89</f>
        <v>0.27900000000000003</v>
      </c>
      <c r="Q87" s="14"/>
      <c r="R87" s="14">
        <f>M87-M89</f>
        <v>-8.4000000000000005E-2</v>
      </c>
      <c r="S87" s="14">
        <f>N87-N89</f>
        <v>0.15799999999999997</v>
      </c>
      <c r="T87" s="16"/>
      <c r="U87" s="14"/>
      <c r="V87" s="14"/>
      <c r="W87" s="14">
        <f>1-G87/F87</f>
        <v>0.13461538461538458</v>
      </c>
      <c r="X87" s="16">
        <v>3.2099999999999997E-2</v>
      </c>
    </row>
    <row r="88" spans="1:25" x14ac:dyDescent="0.25">
      <c r="B88" t="s">
        <v>156</v>
      </c>
      <c r="C88" t="s">
        <v>69</v>
      </c>
      <c r="D88" s="9" t="s">
        <v>161</v>
      </c>
      <c r="E88" t="s">
        <v>75</v>
      </c>
      <c r="F88">
        <v>154</v>
      </c>
      <c r="G88">
        <v>137</v>
      </c>
      <c r="H88" t="s">
        <v>72</v>
      </c>
      <c r="I88" s="22">
        <v>12</v>
      </c>
      <c r="J88" s="15"/>
      <c r="K88" s="21">
        <v>0.627</v>
      </c>
      <c r="L88" s="14"/>
      <c r="M88" s="14">
        <v>-0.223</v>
      </c>
      <c r="N88" s="17">
        <v>0.438</v>
      </c>
      <c r="O88" s="16"/>
      <c r="P88" s="14">
        <f>K88-K89</f>
        <v>0.50900000000000001</v>
      </c>
      <c r="Q88" s="14"/>
      <c r="R88" s="14">
        <f>M88-M89</f>
        <v>-0.14100000000000001</v>
      </c>
      <c r="S88" s="14">
        <f>N88-N89</f>
        <v>0.35899999999999999</v>
      </c>
      <c r="T88" s="16"/>
      <c r="U88" s="14"/>
      <c r="V88" s="14"/>
      <c r="W88" s="14">
        <f>1-G88/F88</f>
        <v>0.11038961038961037</v>
      </c>
      <c r="X88" s="16">
        <v>3.2500000000000001E-2</v>
      </c>
    </row>
    <row r="89" spans="1:25" x14ac:dyDescent="0.25">
      <c r="B89" t="s">
        <v>156</v>
      </c>
      <c r="C89" t="s">
        <v>69</v>
      </c>
      <c r="D89" s="9" t="s">
        <v>161</v>
      </c>
      <c r="E89" t="s">
        <v>105</v>
      </c>
      <c r="F89">
        <v>77</v>
      </c>
      <c r="G89">
        <v>61</v>
      </c>
      <c r="H89" t="s">
        <v>72</v>
      </c>
      <c r="I89" s="22">
        <v>12</v>
      </c>
      <c r="J89" s="15"/>
      <c r="K89" s="21">
        <v>0.11799999999999999</v>
      </c>
      <c r="L89" s="14"/>
      <c r="M89" s="14">
        <v>-8.2000000000000003E-2</v>
      </c>
      <c r="N89" s="17">
        <v>7.9000000000000001E-2</v>
      </c>
      <c r="O89" s="16"/>
      <c r="P89" s="14"/>
      <c r="Q89" s="14"/>
      <c r="R89" s="14"/>
      <c r="S89" s="14"/>
      <c r="T89" s="16"/>
      <c r="U89" s="14"/>
      <c r="V89" s="14"/>
      <c r="W89" s="14">
        <f>1-G89/F89</f>
        <v>0.20779220779220775</v>
      </c>
      <c r="X89" s="16">
        <v>3.9E-2</v>
      </c>
    </row>
    <row r="90" spans="1:25" x14ac:dyDescent="0.25">
      <c r="D90" s="9"/>
      <c r="I90" s="22"/>
      <c r="J90" s="15"/>
      <c r="K90" s="21"/>
      <c r="L90" s="14"/>
      <c r="M90" s="14"/>
      <c r="N90" s="17"/>
      <c r="O90" s="16"/>
      <c r="P90" s="14"/>
      <c r="Q90" s="14"/>
      <c r="R90" s="14"/>
      <c r="S90" s="14"/>
      <c r="T90" s="16"/>
      <c r="U90" s="14"/>
      <c r="V90" s="14"/>
      <c r="W90" s="14"/>
      <c r="X90" s="16"/>
    </row>
    <row r="91" spans="1:25" x14ac:dyDescent="0.25">
      <c r="B91" t="s">
        <v>156</v>
      </c>
      <c r="C91" t="s">
        <v>69</v>
      </c>
      <c r="D91" s="9" t="s">
        <v>163</v>
      </c>
      <c r="E91" t="s">
        <v>162</v>
      </c>
      <c r="F91">
        <v>158</v>
      </c>
      <c r="G91">
        <v>137</v>
      </c>
      <c r="H91" t="s">
        <v>72</v>
      </c>
      <c r="I91" s="22">
        <v>12</v>
      </c>
      <c r="J91" s="15"/>
      <c r="K91" s="21">
        <v>0.44500000000000001</v>
      </c>
      <c r="L91" s="14"/>
      <c r="M91" s="14">
        <v>-0.6</v>
      </c>
      <c r="N91" s="17">
        <v>0.28399999999999997</v>
      </c>
      <c r="O91" s="16"/>
      <c r="P91" s="14">
        <f>K91-K93</f>
        <v>0.34100000000000003</v>
      </c>
      <c r="Q91" s="14"/>
      <c r="R91" s="14">
        <f>M91-M93</f>
        <v>-0.314</v>
      </c>
      <c r="S91" s="14">
        <f>N91-N93</f>
        <v>0.19299999999999998</v>
      </c>
      <c r="T91" s="16"/>
      <c r="U91" s="14"/>
      <c r="V91" s="14"/>
      <c r="W91" s="14">
        <f>1-G91/F91</f>
        <v>0.13291139240506333</v>
      </c>
      <c r="X91" s="16"/>
    </row>
    <row r="92" spans="1:25" x14ac:dyDescent="0.25">
      <c r="B92" t="s">
        <v>156</v>
      </c>
      <c r="C92" t="s">
        <v>69</v>
      </c>
      <c r="D92" s="9" t="s">
        <v>163</v>
      </c>
      <c r="E92" t="s">
        <v>75</v>
      </c>
      <c r="F92">
        <v>155</v>
      </c>
      <c r="G92">
        <v>141</v>
      </c>
      <c r="H92" t="s">
        <v>72</v>
      </c>
      <c r="I92" s="22">
        <v>12</v>
      </c>
      <c r="J92" s="15"/>
      <c r="K92" s="21">
        <v>0.61</v>
      </c>
      <c r="L92" s="14"/>
      <c r="M92" s="14">
        <v>-0.73299999999999998</v>
      </c>
      <c r="N92" s="17">
        <v>0.38100000000000001</v>
      </c>
      <c r="O92" s="16"/>
      <c r="P92" s="14">
        <f>K92-K93</f>
        <v>0.50600000000000001</v>
      </c>
      <c r="Q92" s="14"/>
      <c r="R92" s="14">
        <f>M92-M93</f>
        <v>-0.44700000000000001</v>
      </c>
      <c r="S92" s="14">
        <f>N92-N93</f>
        <v>0.29000000000000004</v>
      </c>
      <c r="T92" s="16"/>
      <c r="U92" s="14"/>
      <c r="V92" s="14"/>
      <c r="W92" s="14">
        <f>1-G92/F92</f>
        <v>9.0322580645161299E-2</v>
      </c>
      <c r="X92" s="16"/>
    </row>
    <row r="93" spans="1:25" x14ac:dyDescent="0.25">
      <c r="B93" t="s">
        <v>156</v>
      </c>
      <c r="C93" t="s">
        <v>69</v>
      </c>
      <c r="D93" s="9" t="s">
        <v>163</v>
      </c>
      <c r="E93" t="s">
        <v>105</v>
      </c>
      <c r="F93">
        <v>78</v>
      </c>
      <c r="G93">
        <v>52</v>
      </c>
      <c r="H93" t="s">
        <v>72</v>
      </c>
      <c r="I93" s="22">
        <v>12</v>
      </c>
      <c r="J93" s="15"/>
      <c r="K93" s="21">
        <v>0.104</v>
      </c>
      <c r="L93" s="14"/>
      <c r="M93" s="14">
        <v>-0.28599999999999998</v>
      </c>
      <c r="N93" s="17">
        <v>9.0999999999999998E-2</v>
      </c>
      <c r="O93" s="16"/>
      <c r="P93" s="14"/>
      <c r="Q93" s="14"/>
      <c r="R93" s="14"/>
      <c r="S93" s="14"/>
      <c r="T93" s="16"/>
      <c r="U93" s="14"/>
      <c r="V93" s="14"/>
      <c r="W93" s="14">
        <f>1-G93/F93</f>
        <v>0.33333333333333337</v>
      </c>
      <c r="X93" s="16"/>
    </row>
    <row r="94" spans="1:25" x14ac:dyDescent="0.25">
      <c r="D94" s="9"/>
      <c r="I94" s="22"/>
      <c r="K94" s="21"/>
      <c r="L94" s="14"/>
      <c r="M94" s="14"/>
      <c r="N94" s="17"/>
      <c r="O94" s="37"/>
      <c r="P94" s="14"/>
      <c r="Q94" s="14"/>
      <c r="R94" s="14"/>
      <c r="S94" s="14"/>
      <c r="T94" s="37"/>
      <c r="U94" s="14"/>
      <c r="V94" s="14"/>
      <c r="W94" s="14"/>
      <c r="X94" s="37"/>
    </row>
    <row r="95" spans="1:25" x14ac:dyDescent="0.25">
      <c r="A95" s="4"/>
      <c r="B95" s="4" t="s">
        <v>68</v>
      </c>
      <c r="C95" s="4" t="s">
        <v>69</v>
      </c>
      <c r="D95" s="4" t="s">
        <v>70</v>
      </c>
      <c r="E95" s="4" t="s">
        <v>73</v>
      </c>
      <c r="F95" s="4">
        <f>F97+F101</f>
        <v>482</v>
      </c>
      <c r="G95" s="4">
        <f>G97+G101</f>
        <v>463</v>
      </c>
      <c r="H95" s="4" t="s">
        <v>72</v>
      </c>
      <c r="I95" s="42">
        <v>16</v>
      </c>
      <c r="J95" s="42">
        <f t="shared" ref="J95:T95" si="37">AVERAGE(J97,J102)</f>
        <v>29.975000000000001</v>
      </c>
      <c r="K95" s="49">
        <f t="shared" si="37"/>
        <v>0.71249999999999991</v>
      </c>
      <c r="L95" s="49">
        <f t="shared" si="37"/>
        <v>0.55800000000000005</v>
      </c>
      <c r="M95" s="49">
        <f t="shared" si="37"/>
        <v>2.2050000000000014E-2</v>
      </c>
      <c r="N95" s="49">
        <f t="shared" si="37"/>
        <v>0.50049999999999994</v>
      </c>
      <c r="O95" s="49">
        <f t="shared" si="37"/>
        <v>-0.64640000000000009</v>
      </c>
      <c r="P95" s="49">
        <f t="shared" si="37"/>
        <v>0.5645</v>
      </c>
      <c r="Q95" s="49">
        <f t="shared" si="37"/>
        <v>0.49049999999999994</v>
      </c>
      <c r="R95" s="49">
        <f t="shared" si="37"/>
        <v>5.3050000000000042E-2</v>
      </c>
      <c r="S95" s="49">
        <f t="shared" si="37"/>
        <v>0.435</v>
      </c>
      <c r="T95" s="49">
        <f t="shared" si="37"/>
        <v>-0.43090000000000006</v>
      </c>
      <c r="U95" s="49"/>
      <c r="V95" s="49"/>
      <c r="W95" s="49">
        <f>AVERAGE(W97,W102)</f>
        <v>4.3119949858553719E-2</v>
      </c>
      <c r="X95" s="49">
        <f>AVERAGE(X97,X102)</f>
        <v>2.4599999999999997E-2</v>
      </c>
      <c r="Y95" s="16"/>
    </row>
    <row r="96" spans="1:25" x14ac:dyDescent="0.25">
      <c r="A96" s="4"/>
      <c r="B96" s="4" t="s">
        <v>68</v>
      </c>
      <c r="C96" s="4" t="s">
        <v>69</v>
      </c>
      <c r="D96" s="4" t="s">
        <v>70</v>
      </c>
      <c r="E96" s="4" t="s">
        <v>71</v>
      </c>
      <c r="F96" s="4">
        <f>F98+F102</f>
        <v>490</v>
      </c>
      <c r="G96" s="4">
        <f>G98+G102</f>
        <v>464</v>
      </c>
      <c r="H96" s="4" t="s">
        <v>72</v>
      </c>
      <c r="I96" s="42">
        <v>16</v>
      </c>
      <c r="J96" s="42">
        <f t="shared" ref="J96:T96" si="38">AVERAGE(J98,J103)</f>
        <v>28.9</v>
      </c>
      <c r="K96" s="49">
        <f t="shared" si="38"/>
        <v>0.46500000000000002</v>
      </c>
      <c r="L96" s="49">
        <f t="shared" si="38"/>
        <v>0.35600000000000004</v>
      </c>
      <c r="M96" s="49">
        <f t="shared" si="38"/>
        <v>-0.26615</v>
      </c>
      <c r="N96" s="49">
        <f t="shared" si="38"/>
        <v>0.33350000000000002</v>
      </c>
      <c r="O96" s="49">
        <f t="shared" si="38"/>
        <v>-0.44540000000000002</v>
      </c>
      <c r="P96" s="49">
        <f t="shared" si="38"/>
        <v>0.63400000000000001</v>
      </c>
      <c r="Q96" s="49">
        <f t="shared" si="38"/>
        <v>0.57700000000000007</v>
      </c>
      <c r="R96" s="49">
        <f t="shared" si="38"/>
        <v>-0.47029999999999994</v>
      </c>
      <c r="S96" s="49">
        <f t="shared" si="38"/>
        <v>0.53600000000000003</v>
      </c>
      <c r="T96" s="49">
        <f t="shared" si="38"/>
        <v>-0.45980000000000004</v>
      </c>
      <c r="U96" s="49"/>
      <c r="V96" s="49"/>
      <c r="W96" s="49">
        <f>AVERAGE(W98,W103)</f>
        <v>0.10731898105635479</v>
      </c>
      <c r="X96" s="49">
        <f>AVERAGE(X98,X103)</f>
        <v>2.8850000000000001E-2</v>
      </c>
      <c r="Y96" s="37"/>
    </row>
    <row r="97" spans="2:26" x14ac:dyDescent="0.25">
      <c r="B97" t="s">
        <v>164</v>
      </c>
      <c r="C97" t="s">
        <v>69</v>
      </c>
      <c r="D97" s="9" t="s">
        <v>165</v>
      </c>
      <c r="E97" t="s">
        <v>73</v>
      </c>
      <c r="F97">
        <v>239</v>
      </c>
      <c r="G97">
        <v>230</v>
      </c>
      <c r="H97" t="s">
        <v>72</v>
      </c>
      <c r="I97" s="22">
        <v>16</v>
      </c>
      <c r="J97" s="15">
        <v>30.34</v>
      </c>
      <c r="K97" s="21">
        <v>0.69599999999999995</v>
      </c>
      <c r="L97" s="14">
        <v>0.53100000000000003</v>
      </c>
      <c r="M97" s="14">
        <v>-0.8024</v>
      </c>
      <c r="N97" s="17">
        <v>0.48099999999999998</v>
      </c>
      <c r="O97" s="16">
        <v>-0.62790000000000001</v>
      </c>
      <c r="P97" s="14">
        <f>K97-K99</f>
        <v>0.53299999999999992</v>
      </c>
      <c r="Q97" s="14">
        <f>L97-L99</f>
        <v>0.45</v>
      </c>
      <c r="R97" s="14">
        <f>M97-M99</f>
        <v>-0.39529999999999998</v>
      </c>
      <c r="S97" s="14">
        <f>N97-N99</f>
        <v>0.39699999999999996</v>
      </c>
      <c r="T97" s="16">
        <f>O97-O99</f>
        <v>-0.36730000000000002</v>
      </c>
      <c r="U97" s="14"/>
      <c r="V97" s="14"/>
      <c r="W97" s="14">
        <f>1-G97/F97</f>
        <v>3.7656903765690419E-2</v>
      </c>
      <c r="X97" s="16">
        <v>2.0899999999999998E-2</v>
      </c>
    </row>
    <row r="98" spans="2:26" x14ac:dyDescent="0.25">
      <c r="B98" t="s">
        <v>164</v>
      </c>
      <c r="C98" t="s">
        <v>69</v>
      </c>
      <c r="D98" s="9" t="s">
        <v>165</v>
      </c>
      <c r="E98" t="s">
        <v>98</v>
      </c>
      <c r="F98">
        <v>243</v>
      </c>
      <c r="G98">
        <v>229</v>
      </c>
      <c r="H98" t="s">
        <v>72</v>
      </c>
      <c r="I98" s="22">
        <v>16</v>
      </c>
      <c r="J98" s="15">
        <v>29.06</v>
      </c>
      <c r="K98" s="21">
        <v>0.79700000000000004</v>
      </c>
      <c r="L98" s="14">
        <v>0.65800000000000003</v>
      </c>
      <c r="M98" s="14">
        <v>-0.87739999999999996</v>
      </c>
      <c r="N98" s="17">
        <v>0.62</v>
      </c>
      <c r="O98" s="16">
        <v>-0.72040000000000004</v>
      </c>
      <c r="P98" s="14">
        <f>K98-K99</f>
        <v>0.63400000000000001</v>
      </c>
      <c r="Q98" s="14">
        <f>L98-L99</f>
        <v>0.57700000000000007</v>
      </c>
      <c r="R98" s="14">
        <f>M98-M99</f>
        <v>-0.47029999999999994</v>
      </c>
      <c r="S98" s="14">
        <f>N98-N99</f>
        <v>0.53600000000000003</v>
      </c>
      <c r="T98" s="16">
        <f>O98-O99</f>
        <v>-0.45980000000000004</v>
      </c>
      <c r="U98" s="14"/>
      <c r="V98" s="14"/>
      <c r="W98" s="14">
        <f>1-G98/F98</f>
        <v>5.7613168724279795E-2</v>
      </c>
      <c r="X98" s="16">
        <v>3.2899999999999999E-2</v>
      </c>
      <c r="Z98" t="s">
        <v>166</v>
      </c>
    </row>
    <row r="99" spans="2:26" x14ac:dyDescent="0.25">
      <c r="B99" t="s">
        <v>164</v>
      </c>
      <c r="C99" t="s">
        <v>69</v>
      </c>
      <c r="D99" s="9" t="s">
        <v>165</v>
      </c>
      <c r="E99" t="s">
        <v>116</v>
      </c>
      <c r="F99">
        <v>241</v>
      </c>
      <c r="G99">
        <v>204</v>
      </c>
      <c r="H99" t="s">
        <v>72</v>
      </c>
      <c r="I99" s="22">
        <v>16</v>
      </c>
      <c r="J99" s="15">
        <v>28.39</v>
      </c>
      <c r="K99" s="21">
        <v>0.16300000000000001</v>
      </c>
      <c r="L99" s="14">
        <v>8.1000000000000003E-2</v>
      </c>
      <c r="M99" s="14">
        <v>-0.40710000000000002</v>
      </c>
      <c r="N99" s="17">
        <v>8.4000000000000005E-2</v>
      </c>
      <c r="O99" s="16">
        <v>-0.2606</v>
      </c>
      <c r="P99" s="14"/>
      <c r="Q99" s="14"/>
      <c r="R99" s="14"/>
      <c r="S99" s="14"/>
      <c r="T99" s="16"/>
      <c r="U99" s="14"/>
      <c r="V99" s="14"/>
      <c r="W99" s="14">
        <f>1-G99/F99</f>
        <v>0.15352697095435686</v>
      </c>
      <c r="X99" s="16">
        <v>2.9000000000000001E-2</v>
      </c>
    </row>
    <row r="101" spans="2:26" x14ac:dyDescent="0.25">
      <c r="B101" t="s">
        <v>164</v>
      </c>
      <c r="C101" t="s">
        <v>69</v>
      </c>
      <c r="D101" s="9" t="s">
        <v>167</v>
      </c>
      <c r="E101" t="s">
        <v>73</v>
      </c>
      <c r="F101">
        <v>243</v>
      </c>
      <c r="G101">
        <v>233</v>
      </c>
      <c r="H101" t="s">
        <v>72</v>
      </c>
      <c r="I101" s="22">
        <v>16</v>
      </c>
      <c r="J101" s="15">
        <v>28.65</v>
      </c>
      <c r="K101" s="21">
        <v>0.60099999999999998</v>
      </c>
      <c r="L101" s="14">
        <v>0.42399999999999999</v>
      </c>
      <c r="M101" s="14">
        <v>0.74129999999999996</v>
      </c>
      <c r="N101" s="17">
        <v>0.38800000000000001</v>
      </c>
      <c r="O101" s="16">
        <v>-0.51200000000000001</v>
      </c>
      <c r="P101" s="14">
        <f>K101-K103</f>
        <v>0.46799999999999997</v>
      </c>
      <c r="Q101" s="14">
        <f>L101-L103</f>
        <v>0.37</v>
      </c>
      <c r="R101" s="14">
        <f>M101-M103</f>
        <v>0.39619999999999994</v>
      </c>
      <c r="S101" s="14">
        <f>N101-N103</f>
        <v>0.34100000000000003</v>
      </c>
      <c r="T101" s="16">
        <f>O101-O103</f>
        <v>-0.34160000000000001</v>
      </c>
      <c r="U101" s="14"/>
      <c r="V101" s="14"/>
      <c r="W101" s="14">
        <f>1-G101/F101</f>
        <v>4.1152263374485631E-2</v>
      </c>
      <c r="X101" s="16">
        <v>1.23E-2</v>
      </c>
    </row>
    <row r="102" spans="2:26" x14ac:dyDescent="0.25">
      <c r="B102" t="s">
        <v>164</v>
      </c>
      <c r="C102" t="s">
        <v>69</v>
      </c>
      <c r="D102" s="9" t="s">
        <v>167</v>
      </c>
      <c r="E102" t="s">
        <v>98</v>
      </c>
      <c r="F102">
        <v>247</v>
      </c>
      <c r="G102">
        <v>235</v>
      </c>
      <c r="H102" t="s">
        <v>72</v>
      </c>
      <c r="I102" s="22">
        <v>16</v>
      </c>
      <c r="J102" s="15">
        <v>29.61</v>
      </c>
      <c r="K102" s="21">
        <v>0.72899999999999998</v>
      </c>
      <c r="L102" s="14">
        <v>0.58499999999999996</v>
      </c>
      <c r="M102" s="14">
        <v>0.84650000000000003</v>
      </c>
      <c r="N102" s="17">
        <v>0.52</v>
      </c>
      <c r="O102" s="16">
        <v>-0.66490000000000005</v>
      </c>
      <c r="P102" s="14">
        <f>K102-K103</f>
        <v>0.59599999999999997</v>
      </c>
      <c r="Q102" s="14">
        <f>L102-L103</f>
        <v>0.53099999999999992</v>
      </c>
      <c r="R102" s="14">
        <f>M102-M103</f>
        <v>0.50140000000000007</v>
      </c>
      <c r="S102" s="14">
        <f>N102-N103</f>
        <v>0.47300000000000003</v>
      </c>
      <c r="T102" s="16">
        <f>O102-O103</f>
        <v>-0.49450000000000005</v>
      </c>
      <c r="U102" s="14"/>
      <c r="V102" s="14"/>
      <c r="W102" s="14">
        <f>1-G102/F102</f>
        <v>4.8582995951417018E-2</v>
      </c>
      <c r="X102" s="16">
        <v>2.8299999999999999E-2</v>
      </c>
    </row>
    <row r="103" spans="2:26" x14ac:dyDescent="0.25">
      <c r="B103" t="s">
        <v>164</v>
      </c>
      <c r="C103" t="s">
        <v>69</v>
      </c>
      <c r="D103" s="9" t="s">
        <v>167</v>
      </c>
      <c r="E103" t="s">
        <v>116</v>
      </c>
      <c r="F103">
        <v>242</v>
      </c>
      <c r="G103">
        <v>204</v>
      </c>
      <c r="H103" t="s">
        <v>72</v>
      </c>
      <c r="I103" s="22">
        <v>16</v>
      </c>
      <c r="J103" s="15">
        <v>28.74</v>
      </c>
      <c r="K103" s="21">
        <v>0.13300000000000001</v>
      </c>
      <c r="L103" s="14">
        <v>5.3999999999999999E-2</v>
      </c>
      <c r="M103" s="14">
        <v>0.34510000000000002</v>
      </c>
      <c r="N103" s="17">
        <v>4.7E-2</v>
      </c>
      <c r="O103" s="16">
        <v>-0.1704</v>
      </c>
      <c r="P103" s="14"/>
      <c r="Q103" s="14"/>
      <c r="R103" s="14"/>
      <c r="S103" s="14"/>
      <c r="T103" s="16"/>
      <c r="U103" s="14"/>
      <c r="V103" s="14"/>
      <c r="W103" s="14">
        <f>1-G103/F103</f>
        <v>0.15702479338842978</v>
      </c>
      <c r="X103" s="16">
        <v>2.4799999999999999E-2</v>
      </c>
    </row>
    <row r="104" spans="2:26" x14ac:dyDescent="0.25">
      <c r="D104" s="9"/>
      <c r="I104" s="22"/>
      <c r="K104" s="21"/>
      <c r="L104" s="14"/>
      <c r="M104" s="14"/>
      <c r="N104" s="17"/>
      <c r="O104" s="37"/>
      <c r="P104" s="14"/>
      <c r="Q104" s="14"/>
      <c r="R104" s="14"/>
      <c r="S104" s="14"/>
      <c r="T104" s="37"/>
      <c r="U104" s="14"/>
      <c r="V104" s="14"/>
      <c r="W104" s="14"/>
      <c r="X104" s="37"/>
    </row>
    <row r="105" spans="2:26" s="4" customFormat="1" x14ac:dyDescent="0.25">
      <c r="B105" s="4" t="s">
        <v>76</v>
      </c>
      <c r="C105" s="4" t="s">
        <v>77</v>
      </c>
      <c r="D105" s="4" t="s">
        <v>70</v>
      </c>
      <c r="E105" s="50">
        <v>7.4999999999999997E-3</v>
      </c>
      <c r="F105" s="4">
        <f>F107+F111</f>
        <v>500</v>
      </c>
      <c r="G105" s="4">
        <f>G107+G111</f>
        <v>431</v>
      </c>
      <c r="H105" s="4" t="s">
        <v>78</v>
      </c>
      <c r="I105" s="42">
        <v>8</v>
      </c>
      <c r="K105" s="48">
        <f t="shared" ref="K105:N106" si="39">AVERAGE(K107,K111)</f>
        <v>0.53750000000000009</v>
      </c>
      <c r="L105" s="48">
        <f t="shared" si="39"/>
        <v>0.36599999999999999</v>
      </c>
      <c r="M105" s="48">
        <f t="shared" si="39"/>
        <v>-0.72189999999999999</v>
      </c>
      <c r="N105" s="48">
        <f t="shared" si="39"/>
        <v>0.44500000000000001</v>
      </c>
      <c r="O105" s="51"/>
      <c r="P105" s="48">
        <f t="shared" ref="P105:S106" si="40">AVERAGE(P107,P111)</f>
        <v>0.34250000000000003</v>
      </c>
      <c r="Q105" s="48">
        <f t="shared" si="40"/>
        <v>0.29749999999999999</v>
      </c>
      <c r="R105" s="48">
        <f t="shared" si="40"/>
        <v>-0.38829999999999998</v>
      </c>
      <c r="S105" s="48">
        <f t="shared" si="40"/>
        <v>0.33150000000000002</v>
      </c>
      <c r="T105" s="51"/>
      <c r="U105" s="17"/>
      <c r="V105" s="17"/>
      <c r="W105" s="17"/>
      <c r="X105" s="51"/>
    </row>
    <row r="106" spans="2:26" s="4" customFormat="1" x14ac:dyDescent="0.25">
      <c r="B106" s="4" t="s">
        <v>76</v>
      </c>
      <c r="C106" s="4" t="s">
        <v>77</v>
      </c>
      <c r="D106" s="4" t="s">
        <v>70</v>
      </c>
      <c r="E106" s="50">
        <v>1.4999999999999999E-2</v>
      </c>
      <c r="F106" s="4">
        <f>F108+F112</f>
        <v>499</v>
      </c>
      <c r="G106" s="4">
        <f>G108+G112</f>
        <v>449</v>
      </c>
      <c r="H106" s="4" t="s">
        <v>78</v>
      </c>
      <c r="I106" s="42">
        <v>8</v>
      </c>
      <c r="K106" s="48">
        <f t="shared" si="39"/>
        <v>0.61949999999999994</v>
      </c>
      <c r="L106" s="48">
        <f t="shared" si="39"/>
        <v>0.4385</v>
      </c>
      <c r="M106" s="48">
        <f t="shared" si="39"/>
        <v>-0.76119999999999999</v>
      </c>
      <c r="N106" s="48">
        <f t="shared" si="39"/>
        <v>0.52550000000000008</v>
      </c>
      <c r="P106" s="48">
        <f t="shared" si="40"/>
        <v>0.42449999999999999</v>
      </c>
      <c r="Q106" s="48">
        <f t="shared" si="40"/>
        <v>0.37</v>
      </c>
      <c r="R106" s="48">
        <f t="shared" si="40"/>
        <v>-0.42759999999999998</v>
      </c>
      <c r="S106" s="48">
        <f t="shared" si="40"/>
        <v>0.41200000000000003</v>
      </c>
    </row>
    <row r="107" spans="2:26" x14ac:dyDescent="0.25">
      <c r="B107" t="s">
        <v>168</v>
      </c>
      <c r="C107" t="s">
        <v>77</v>
      </c>
      <c r="D107" s="9" t="s">
        <v>169</v>
      </c>
      <c r="E107" s="38">
        <v>7.4999999999999997E-3</v>
      </c>
      <c r="F107">
        <v>252</v>
      </c>
      <c r="G107">
        <v>222</v>
      </c>
      <c r="H107" t="s">
        <v>78</v>
      </c>
      <c r="I107" s="22">
        <v>8</v>
      </c>
      <c r="J107" s="15"/>
      <c r="K107" s="21">
        <v>0.56000000000000005</v>
      </c>
      <c r="L107" s="14">
        <v>0.38100000000000001</v>
      </c>
      <c r="M107" s="14">
        <v>-0.71009999999999995</v>
      </c>
      <c r="N107" s="17">
        <v>0.5</v>
      </c>
      <c r="O107" s="16"/>
      <c r="P107" s="14">
        <f>K107-K109</f>
        <v>0.31400000000000006</v>
      </c>
      <c r="Q107" s="14">
        <f>L107-L109</f>
        <v>0.28600000000000003</v>
      </c>
      <c r="R107" s="14">
        <f>M107-M109</f>
        <v>-0.33129999999999993</v>
      </c>
      <c r="S107" s="14">
        <f>N107-N109</f>
        <v>0.34899999999999998</v>
      </c>
      <c r="T107" s="16"/>
      <c r="U107" s="14"/>
      <c r="V107" s="14"/>
      <c r="W107" s="14">
        <f>1-G107/F107</f>
        <v>0.11904761904761907</v>
      </c>
      <c r="X107" s="16">
        <v>0.03</v>
      </c>
    </row>
    <row r="108" spans="2:26" x14ac:dyDescent="0.25">
      <c r="B108" t="s">
        <v>168</v>
      </c>
      <c r="C108" t="s">
        <v>77</v>
      </c>
      <c r="D108" s="9" t="s">
        <v>169</v>
      </c>
      <c r="E108" s="38">
        <v>1.4999999999999999E-2</v>
      </c>
      <c r="F108">
        <v>253</v>
      </c>
      <c r="G108">
        <v>225</v>
      </c>
      <c r="H108" t="s">
        <v>78</v>
      </c>
      <c r="I108" s="22">
        <v>8</v>
      </c>
      <c r="J108" s="15"/>
      <c r="K108" s="21">
        <v>0.621</v>
      </c>
      <c r="L108" s="14">
        <v>0.443</v>
      </c>
      <c r="M108" s="14">
        <v>-0.77400000000000002</v>
      </c>
      <c r="N108" s="17">
        <v>0.53800000000000003</v>
      </c>
      <c r="O108" s="16"/>
      <c r="P108" s="14">
        <f>K108-K109</f>
        <v>0.375</v>
      </c>
      <c r="Q108" s="14">
        <f>L108-L109</f>
        <v>0.34799999999999998</v>
      </c>
      <c r="R108" s="14">
        <f>M108-M109</f>
        <v>-0.3952</v>
      </c>
      <c r="S108" s="14">
        <f>N108-N109</f>
        <v>0.38700000000000001</v>
      </c>
      <c r="T108" s="16"/>
      <c r="U108" s="14"/>
      <c r="V108" s="14"/>
      <c r="W108" s="14">
        <f>1-G108/F108</f>
        <v>0.11067193675889331</v>
      </c>
      <c r="X108" s="16">
        <v>0.02</v>
      </c>
    </row>
    <row r="109" spans="2:26" x14ac:dyDescent="0.25">
      <c r="B109" t="s">
        <v>168</v>
      </c>
      <c r="C109" t="s">
        <v>77</v>
      </c>
      <c r="D109" s="9" t="s">
        <v>169</v>
      </c>
      <c r="E109" t="s">
        <v>170</v>
      </c>
      <c r="F109">
        <v>126</v>
      </c>
      <c r="G109">
        <v>95</v>
      </c>
      <c r="H109" t="s">
        <v>78</v>
      </c>
      <c r="I109" s="22">
        <v>8</v>
      </c>
      <c r="J109" s="15"/>
      <c r="K109" s="21">
        <v>0.246</v>
      </c>
      <c r="L109" s="14">
        <v>9.5000000000000001E-2</v>
      </c>
      <c r="M109" s="14">
        <v>-0.37880000000000003</v>
      </c>
      <c r="N109" s="17">
        <v>0.151</v>
      </c>
      <c r="O109" s="16"/>
      <c r="P109" s="14"/>
      <c r="Q109" s="14"/>
      <c r="R109" s="14"/>
      <c r="S109" s="14"/>
      <c r="T109" s="16"/>
      <c r="U109" s="14"/>
      <c r="V109" s="14"/>
      <c r="W109" s="14">
        <f>1-G109/F109</f>
        <v>0.24603174603174605</v>
      </c>
      <c r="X109" s="16">
        <v>1.5900000000000001E-2</v>
      </c>
    </row>
    <row r="111" spans="2:26" x14ac:dyDescent="0.25">
      <c r="B111" t="s">
        <v>168</v>
      </c>
      <c r="C111" t="s">
        <v>77</v>
      </c>
      <c r="D111" s="9" t="s">
        <v>171</v>
      </c>
      <c r="E111" s="38">
        <v>7.4999999999999997E-3</v>
      </c>
      <c r="F111">
        <v>248</v>
      </c>
      <c r="G111">
        <v>209</v>
      </c>
      <c r="H111" t="s">
        <v>78</v>
      </c>
      <c r="I111" s="22">
        <v>8</v>
      </c>
      <c r="J111" s="15"/>
      <c r="K111" s="21">
        <v>0.51500000000000001</v>
      </c>
      <c r="L111" s="14">
        <v>0.35099999999999998</v>
      </c>
      <c r="M111" s="14">
        <v>-0.73370000000000002</v>
      </c>
      <c r="N111" s="17">
        <v>0.39</v>
      </c>
      <c r="O111" s="16"/>
      <c r="P111" s="14">
        <f>K111-K113</f>
        <v>0.371</v>
      </c>
      <c r="Q111" s="14">
        <f>L111-L113</f>
        <v>0.309</v>
      </c>
      <c r="R111" s="14">
        <f>M111-M113</f>
        <v>-0.44530000000000003</v>
      </c>
      <c r="S111" s="14">
        <f>N111-N113</f>
        <v>0.314</v>
      </c>
      <c r="T111" s="16"/>
      <c r="U111" s="14"/>
      <c r="V111" s="14"/>
      <c r="W111" s="14">
        <f>1-G111/F111</f>
        <v>0.157258064516129</v>
      </c>
      <c r="X111" s="16">
        <v>2.6599999999999999E-2</v>
      </c>
    </row>
    <row r="112" spans="2:26" x14ac:dyDescent="0.25">
      <c r="B112" t="s">
        <v>168</v>
      </c>
      <c r="C112" t="s">
        <v>77</v>
      </c>
      <c r="D112" s="9" t="s">
        <v>171</v>
      </c>
      <c r="E112" s="38">
        <v>1.4999999999999999E-2</v>
      </c>
      <c r="F112">
        <v>246</v>
      </c>
      <c r="G112">
        <v>224</v>
      </c>
      <c r="H112" t="s">
        <v>78</v>
      </c>
      <c r="I112" s="22">
        <v>8</v>
      </c>
      <c r="J112" s="15"/>
      <c r="K112" s="21">
        <v>0.61799999999999999</v>
      </c>
      <c r="L112" s="14">
        <v>0.434</v>
      </c>
      <c r="M112" s="14">
        <v>-0.74839999999999995</v>
      </c>
      <c r="N112" s="17">
        <v>0.51300000000000001</v>
      </c>
      <c r="O112" s="16"/>
      <c r="P112" s="14">
        <f>K112-K113</f>
        <v>0.47399999999999998</v>
      </c>
      <c r="Q112" s="14">
        <f>L112-L113</f>
        <v>0.39200000000000002</v>
      </c>
      <c r="R112" s="14">
        <f>M112-M113</f>
        <v>-0.45999999999999996</v>
      </c>
      <c r="S112" s="14">
        <f>N112-N113</f>
        <v>0.437</v>
      </c>
      <c r="T112" s="16"/>
      <c r="U112" s="14"/>
      <c r="V112" s="14"/>
      <c r="W112" s="14">
        <f>1-G112/F112</f>
        <v>8.9430894308943132E-2</v>
      </c>
      <c r="X112" s="16">
        <v>1.34E-2</v>
      </c>
    </row>
    <row r="113" spans="2:24" x14ac:dyDescent="0.25">
      <c r="B113" t="s">
        <v>168</v>
      </c>
      <c r="C113" t="s">
        <v>77</v>
      </c>
      <c r="D113" s="9" t="s">
        <v>171</v>
      </c>
      <c r="E113" t="s">
        <v>170</v>
      </c>
      <c r="F113">
        <v>124</v>
      </c>
      <c r="G113">
        <v>105</v>
      </c>
      <c r="H113" t="s">
        <v>78</v>
      </c>
      <c r="I113" s="22">
        <v>8</v>
      </c>
      <c r="J113" s="15"/>
      <c r="K113" s="21">
        <v>0.14400000000000002</v>
      </c>
      <c r="L113" s="14">
        <v>4.2000000000000003E-2</v>
      </c>
      <c r="M113" s="14">
        <v>-0.28839999999999999</v>
      </c>
      <c r="N113" s="17">
        <v>7.5999999999999998E-2</v>
      </c>
      <c r="O113" s="16"/>
      <c r="P113" s="14"/>
      <c r="Q113" s="14"/>
      <c r="R113" s="14"/>
      <c r="S113" s="14"/>
      <c r="T113" s="16"/>
      <c r="U113" s="14"/>
      <c r="V113" s="14"/>
      <c r="W113" s="14">
        <f>1-G113/F113</f>
        <v>0.15322580645161288</v>
      </c>
      <c r="X113" s="16">
        <v>0</v>
      </c>
    </row>
    <row r="115" spans="2:24" x14ac:dyDescent="0.25">
      <c r="B115" t="s">
        <v>172</v>
      </c>
      <c r="C115" t="s">
        <v>173</v>
      </c>
      <c r="D115" t="s">
        <v>174</v>
      </c>
      <c r="J115" s="15"/>
      <c r="L115" s="14"/>
      <c r="M115" s="14"/>
      <c r="N115" s="17"/>
      <c r="O115" s="16"/>
      <c r="P115" s="14"/>
      <c r="Q115" s="14"/>
      <c r="R115" s="14"/>
      <c r="S115" s="14"/>
      <c r="T115" s="16"/>
      <c r="U115" s="14"/>
      <c r="V115" s="14"/>
      <c r="W115" s="14"/>
      <c r="X115" s="16"/>
    </row>
    <row r="116" spans="2:24" x14ac:dyDescent="0.25">
      <c r="B116" t="s">
        <v>175</v>
      </c>
      <c r="C116" t="s">
        <v>176</v>
      </c>
      <c r="D116" t="s">
        <v>177</v>
      </c>
      <c r="J116" s="15"/>
      <c r="L116" s="14"/>
      <c r="M116" s="14"/>
      <c r="N116" s="17"/>
      <c r="O116" s="16"/>
      <c r="P116" s="14"/>
      <c r="Q116" s="14"/>
      <c r="R116" s="14"/>
      <c r="S116" s="14"/>
      <c r="T116" s="16"/>
      <c r="U116" s="14"/>
      <c r="V116" s="14"/>
      <c r="W116" s="14"/>
      <c r="X116" s="16"/>
    </row>
    <row r="117" spans="2:24" x14ac:dyDescent="0.25">
      <c r="B117" t="s">
        <v>175</v>
      </c>
      <c r="C117" t="s">
        <v>176</v>
      </c>
      <c r="D117" t="s">
        <v>178</v>
      </c>
      <c r="J117" s="15"/>
      <c r="L117" s="14"/>
      <c r="M117" s="14"/>
      <c r="N117" s="17"/>
      <c r="O117" s="16"/>
      <c r="P117" s="14"/>
      <c r="Q117" s="14"/>
      <c r="R117" s="14"/>
      <c r="S117" s="14"/>
      <c r="T117" s="16"/>
      <c r="U117" s="14"/>
      <c r="V117" s="14"/>
      <c r="W117" s="14"/>
      <c r="X117" s="16"/>
    </row>
    <row r="118" spans="2:24" x14ac:dyDescent="0.25">
      <c r="B118" t="s">
        <v>175</v>
      </c>
      <c r="C118" t="s">
        <v>176</v>
      </c>
      <c r="D118" t="s">
        <v>179</v>
      </c>
      <c r="J118" s="15"/>
      <c r="L118" s="14"/>
      <c r="M118" s="14"/>
      <c r="N118" s="17"/>
      <c r="O118" s="16"/>
      <c r="P118" s="14"/>
      <c r="Q118" s="14"/>
      <c r="R118" s="14"/>
      <c r="S118" s="14"/>
      <c r="T118" s="16"/>
      <c r="U118" s="14"/>
      <c r="V118" s="14"/>
      <c r="W118" s="14"/>
      <c r="X118" s="16"/>
    </row>
    <row r="119" spans="2:24" x14ac:dyDescent="0.25">
      <c r="B119" t="s">
        <v>180</v>
      </c>
      <c r="C119" t="s">
        <v>181</v>
      </c>
      <c r="J119" s="15"/>
      <c r="L119" s="14"/>
      <c r="M119" s="14"/>
      <c r="N119" s="17"/>
      <c r="O119" s="16"/>
      <c r="P119" s="14"/>
      <c r="Q119" s="14"/>
      <c r="R119" s="14"/>
      <c r="S119" s="14"/>
      <c r="T119" s="16"/>
      <c r="U119" s="14"/>
      <c r="V119" s="14"/>
      <c r="W119" s="14"/>
      <c r="X119" s="14"/>
    </row>
    <row r="120" spans="2:24" x14ac:dyDescent="0.25">
      <c r="B120" t="s">
        <v>182</v>
      </c>
      <c r="C120" t="s">
        <v>183</v>
      </c>
      <c r="N120" s="17"/>
      <c r="O120" s="14"/>
      <c r="P120" s="14"/>
    </row>
    <row r="121" spans="2:24" x14ac:dyDescent="0.25">
      <c r="N121" s="17"/>
      <c r="O121" s="14"/>
      <c r="P121" s="14"/>
    </row>
    <row r="122" spans="2:24" x14ac:dyDescent="0.25">
      <c r="D122" t="s">
        <v>594</v>
      </c>
      <c r="E122" t="s">
        <v>577</v>
      </c>
      <c r="F122" t="s">
        <v>50</v>
      </c>
      <c r="N122" s="17"/>
      <c r="O122" s="14"/>
      <c r="P122" s="14"/>
    </row>
    <row r="123" spans="2:24" x14ac:dyDescent="0.25">
      <c r="D123" t="s">
        <v>112</v>
      </c>
      <c r="E123">
        <v>3</v>
      </c>
      <c r="F123">
        <v>671</v>
      </c>
      <c r="K123" s="20"/>
      <c r="L123" s="20"/>
      <c r="M123" s="20"/>
      <c r="N123" s="44"/>
      <c r="O123" s="20"/>
      <c r="P123" s="14"/>
      <c r="Q123" s="14"/>
      <c r="R123" s="14"/>
      <c r="S123" s="14"/>
      <c r="T123" s="14"/>
      <c r="U123" s="20"/>
    </row>
    <row r="124" spans="2:24" x14ac:dyDescent="0.25">
      <c r="D124" t="s">
        <v>117</v>
      </c>
      <c r="E124">
        <v>3</v>
      </c>
      <c r="F124">
        <v>708</v>
      </c>
      <c r="K124" s="20"/>
      <c r="L124" s="20"/>
      <c r="M124" s="20"/>
      <c r="N124" s="44"/>
      <c r="O124" s="20"/>
      <c r="P124" s="20"/>
      <c r="Q124" s="20"/>
      <c r="R124" s="20"/>
      <c r="S124" s="20"/>
      <c r="T124" s="20"/>
      <c r="U124" s="20"/>
    </row>
    <row r="125" spans="2:24" x14ac:dyDescent="0.25">
      <c r="D125" t="s">
        <v>119</v>
      </c>
      <c r="E125">
        <v>3</v>
      </c>
      <c r="F125">
        <v>740</v>
      </c>
      <c r="N125" s="17"/>
      <c r="O125" s="14"/>
      <c r="P125" s="14"/>
    </row>
    <row r="126" spans="2:24" x14ac:dyDescent="0.25">
      <c r="D126" t="s">
        <v>122</v>
      </c>
      <c r="E126">
        <v>3</v>
      </c>
      <c r="F126">
        <v>802</v>
      </c>
      <c r="N126" s="17"/>
      <c r="O126" s="14"/>
    </row>
    <row r="127" spans="2:24" ht="15.75" x14ac:dyDescent="0.25">
      <c r="B127" s="12"/>
      <c r="C127" s="12"/>
      <c r="D127" t="s">
        <v>128</v>
      </c>
      <c r="E127">
        <v>3</v>
      </c>
      <c r="F127">
        <v>794</v>
      </c>
    </row>
    <row r="128" spans="2:24" x14ac:dyDescent="0.25">
      <c r="D128" t="s">
        <v>134</v>
      </c>
      <c r="E128">
        <v>3</v>
      </c>
      <c r="F128">
        <v>380</v>
      </c>
    </row>
    <row r="129" spans="4:6" x14ac:dyDescent="0.25">
      <c r="D129" t="s">
        <v>140</v>
      </c>
      <c r="E129">
        <v>3</v>
      </c>
      <c r="F129">
        <v>424</v>
      </c>
    </row>
    <row r="130" spans="4:6" x14ac:dyDescent="0.25">
      <c r="D130" t="s">
        <v>148</v>
      </c>
      <c r="E130">
        <v>3</v>
      </c>
      <c r="F130">
        <v>427</v>
      </c>
    </row>
    <row r="131" spans="4:6" x14ac:dyDescent="0.25">
      <c r="D131" t="s">
        <v>150</v>
      </c>
      <c r="E131">
        <v>3</v>
      </c>
      <c r="F131">
        <v>322</v>
      </c>
    </row>
    <row r="132" spans="4:6" x14ac:dyDescent="0.25">
      <c r="D132" t="s">
        <v>154</v>
      </c>
      <c r="E132">
        <v>3</v>
      </c>
      <c r="F132">
        <f>SUM(F74,F75)</f>
        <v>782</v>
      </c>
    </row>
    <row r="133" spans="4:6" x14ac:dyDescent="0.25">
      <c r="D133" t="s">
        <v>155</v>
      </c>
      <c r="E133">
        <v>3</v>
      </c>
      <c r="F133">
        <f>620+321</f>
        <v>941</v>
      </c>
    </row>
    <row r="134" spans="4:6" x14ac:dyDescent="0.25">
      <c r="D134" t="s">
        <v>157</v>
      </c>
      <c r="E134">
        <v>3</v>
      </c>
      <c r="F134">
        <v>838</v>
      </c>
    </row>
    <row r="135" spans="4:6" x14ac:dyDescent="0.25">
      <c r="D135" t="s">
        <v>161</v>
      </c>
      <c r="E135">
        <v>3</v>
      </c>
      <c r="F135">
        <v>387</v>
      </c>
    </row>
    <row r="136" spans="4:6" x14ac:dyDescent="0.25">
      <c r="D136" t="s">
        <v>163</v>
      </c>
      <c r="E136">
        <v>3</v>
      </c>
      <c r="F136">
        <v>391</v>
      </c>
    </row>
    <row r="137" spans="4:6" x14ac:dyDescent="0.25">
      <c r="D137" t="s">
        <v>165</v>
      </c>
      <c r="E137">
        <v>3</v>
      </c>
      <c r="F137">
        <v>810</v>
      </c>
    </row>
    <row r="138" spans="4:6" x14ac:dyDescent="0.25">
      <c r="D138" t="s">
        <v>167</v>
      </c>
      <c r="E138">
        <v>3</v>
      </c>
      <c r="F138">
        <v>836</v>
      </c>
    </row>
    <row r="139" spans="4:6" x14ac:dyDescent="0.25">
      <c r="D139" t="s">
        <v>169</v>
      </c>
      <c r="E139">
        <v>3</v>
      </c>
      <c r="F139">
        <v>631</v>
      </c>
    </row>
    <row r="140" spans="4:6" x14ac:dyDescent="0.25">
      <c r="D140" t="s">
        <v>171</v>
      </c>
      <c r="E140">
        <v>3</v>
      </c>
      <c r="F140">
        <v>318</v>
      </c>
    </row>
    <row r="142" spans="4:6" x14ac:dyDescent="0.25">
      <c r="D142" t="s">
        <v>539</v>
      </c>
      <c r="E142" t="s">
        <v>597</v>
      </c>
      <c r="F142">
        <f>AVERAGE(F123:F140)</f>
        <v>622.33333333333337</v>
      </c>
    </row>
  </sheetData>
  <sortState xmlns:xlrd2="http://schemas.microsoft.com/office/spreadsheetml/2017/richdata2" ref="AC2:BA14">
    <sortCondition descending="1" ref="AT3:AT14"/>
  </sortState>
  <mergeCells count="10">
    <mergeCell ref="F20:J20"/>
    <mergeCell ref="F1:J1"/>
    <mergeCell ref="K1:O1"/>
    <mergeCell ref="P1:T1"/>
    <mergeCell ref="AG1:AK1"/>
    <mergeCell ref="AL1:AP1"/>
    <mergeCell ref="AQ1:AU1"/>
    <mergeCell ref="K20:O20"/>
    <mergeCell ref="P20:T20"/>
    <mergeCell ref="U20:X20"/>
  </mergeCells>
  <hyperlinks>
    <hyperlink ref="D35" r:id="rId1" display="SOLO 1" xr:uid="{1BCC7DC0-AC07-4BDA-BE73-1DF508883109}"/>
    <hyperlink ref="D36:D37" r:id="rId2" display="SOLO 1" xr:uid="{CA9C3FFF-A3B0-4714-8342-03B41EABBE34}"/>
    <hyperlink ref="D24" r:id="rId3" display="REZOLVE-AD (NCT06136741)" xr:uid="{568B42A9-695E-4FBC-B045-7931D906E69A}"/>
    <hyperlink ref="D25:D27" r:id="rId4" display="REZOLVE-AD (NCT06136741)" xr:uid="{C2EB8ED8-27E6-49AC-914F-AB78B1DE2BC2}"/>
    <hyperlink ref="D23" r:id="rId5" display="REZOLVE-AD (NCT06136741)" xr:uid="{3EE83D14-DEA0-4BA8-8EB0-9C50E269B6CC}"/>
    <hyperlink ref="D29:D32" r:id="rId6" display="NCT04081350" xr:uid="{71F35270-6270-4DC8-830E-85D2ED365564}"/>
    <hyperlink ref="K51" r:id="rId7" display="33.@%" xr:uid="{9BF04FB8-5A05-BA40-9C1A-FF8F310A4AAD}"/>
    <hyperlink ref="D48" r:id="rId8" xr:uid="{AD0EDFCD-2603-BB49-8B58-CD6259CB859D}"/>
    <hyperlink ref="D49" r:id="rId9" xr:uid="{98E4BA80-2D55-5448-9797-773A69B2FE18}"/>
    <hyperlink ref="D51" r:id="rId10" xr:uid="{440D4920-6D65-814A-BB54-5AE1C59FEFC4}"/>
    <hyperlink ref="D52" r:id="rId11" xr:uid="{0E0F35EA-2192-884C-9B4F-7AEE851FDE5D}"/>
    <hyperlink ref="D54" r:id="rId12" xr:uid="{457E792A-E7E2-6D40-BCBC-BA4C1B171E69}"/>
    <hyperlink ref="D55" r:id="rId13" xr:uid="{553CE0CB-B0AA-5F47-AA81-5E0E2BA17799}"/>
    <hyperlink ref="D58" r:id="rId14" location="adverse-events" xr:uid="{57773726-6196-479C-8A67-880D1810BCB8}"/>
    <hyperlink ref="D59:D61" r:id="rId15" location="adverse-events" display="ADvocate1 (NCT04146363) PH3" xr:uid="{33C07294-3BE4-4E98-833C-F7C9264E9632}"/>
    <hyperlink ref="D65" r:id="rId16" xr:uid="{0DEF4727-3F50-4D53-9269-4227D937295F}"/>
    <hyperlink ref="D64:D67" r:id="rId17" display="ADvocate2 (NCT04178967) PH3" xr:uid="{6A06AF42-6508-4B1B-B982-76E3C5C11EC4}"/>
    <hyperlink ref="D70" r:id="rId18" location="adverse-events" xr:uid="{F27C934C-8ADA-4BD2-ADA1-DE97F491057A}"/>
    <hyperlink ref="D74" r:id="rId19" xr:uid="{CEB85396-9C91-428B-88B6-4014B6CFBBCC}"/>
    <hyperlink ref="D75" r:id="rId20" xr:uid="{32212495-A151-4BE5-ADFF-D967D8AC2B6D}"/>
    <hyperlink ref="D78" r:id="rId21" xr:uid="{C73D1FB8-C46F-4B9D-A7DF-A5FE89134EF9}"/>
    <hyperlink ref="D77" r:id="rId22" xr:uid="{CC2938C0-475C-4A22-90C8-E182723E72EE}"/>
    <hyperlink ref="D82:D84" r:id="rId23" display="JADE COMPARE (NCT03720470)" xr:uid="{0486D6D0-F54F-40DB-8922-087F50BB5874}"/>
    <hyperlink ref="D82" r:id="rId24" xr:uid="{E002C32C-5D12-4FDC-AB7B-6AA209C59AC3}"/>
    <hyperlink ref="D83" r:id="rId25" xr:uid="{16C86D0C-5F96-4A24-B98B-A9562855FDD6}"/>
    <hyperlink ref="D87:D89" r:id="rId26" display="JADE MONO-1" xr:uid="{D2C03F08-A9D2-4349-8042-356347FB3BA6}"/>
    <hyperlink ref="D91" r:id="rId27" display="JADE MONO-1" xr:uid="{54A844D1-F8AB-4FE8-9BBD-EEC8E45DDB1D}"/>
    <hyperlink ref="D92:D93" r:id="rId28" display="JADE MONO-1" xr:uid="{DC904504-83C7-4101-8711-16188645E834}"/>
    <hyperlink ref="D91:D93" r:id="rId29" display="JADE MONO-2" xr:uid="{CB292E8D-4C6D-4BF9-9852-18ADB2B60F46}"/>
    <hyperlink ref="D97:D98" r:id="rId30" display="Measure up 1" xr:uid="{79447574-2CD6-4BB2-8AB9-055713C07495}"/>
    <hyperlink ref="D101:D102" r:id="rId31" display="Measure up 2" xr:uid="{FA4FC520-09BA-481A-A30B-86C2FA96DD43}"/>
    <hyperlink ref="D107:D108" r:id="rId32" location="adverse-events" display="TRUE-AD1" xr:uid="{1EBEF447-4493-4555-BB36-8EAAF7DD7E43}"/>
    <hyperlink ref="D111:D112" r:id="rId33" display="TRUE-AD2" xr:uid="{EE67661B-298A-4DB4-AA2F-E470567554F7}"/>
  </hyperlinks>
  <pageMargins left="0.7" right="0.7" top="0.75" bottom="0.75" header="0.3" footer="0.3"/>
  <pageSetup paperSize="256" orientation="portrait" horizontalDpi="203" verticalDpi="203" r:id="rId3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BFB41-FA2D-48EB-8A06-51CDFABD50EA}">
  <dimension ref="A1:JL213"/>
  <sheetViews>
    <sheetView tabSelected="1" zoomScale="90" zoomScaleNormal="90" workbookViewId="0">
      <pane xSplit="2" ySplit="1" topLeftCell="AD29" activePane="bottomRight" state="frozen"/>
      <selection pane="topRight"/>
      <selection pane="bottomLeft"/>
      <selection pane="bottomRight" activeCell="AM58" sqref="AM58"/>
    </sheetView>
  </sheetViews>
  <sheetFormatPr defaultColWidth="8.85546875" defaultRowHeight="15" x14ac:dyDescent="0.25"/>
  <cols>
    <col min="1" max="1" width="7.28515625" customWidth="1"/>
    <col min="2" max="2" width="27.42578125" customWidth="1"/>
    <col min="15" max="15" width="9.5703125" bestFit="1" customWidth="1"/>
    <col min="33" max="33" width="37.85546875" customWidth="1"/>
    <col min="37" max="37" width="8.85546875" customWidth="1"/>
    <col min="42" max="42" width="14.28515625" bestFit="1" customWidth="1"/>
    <col min="43" max="43" width="10.5703125" customWidth="1"/>
    <col min="44" max="44" width="10.42578125" customWidth="1"/>
    <col min="45" max="45" width="11.140625" customWidth="1"/>
    <col min="46" max="46" width="10.5703125" customWidth="1"/>
    <col min="47" max="47" width="11.5703125" bestFit="1" customWidth="1"/>
    <col min="48" max="54" width="9.5703125" bestFit="1" customWidth="1"/>
  </cols>
  <sheetData>
    <row r="1" spans="1:272" x14ac:dyDescent="0.25">
      <c r="A1" t="s">
        <v>45</v>
      </c>
      <c r="B1" t="e" vm="1">
        <v>#VALUE!</v>
      </c>
      <c r="C1" s="5" t="s">
        <v>184</v>
      </c>
      <c r="D1" s="5" t="s">
        <v>185</v>
      </c>
      <c r="E1" s="5" t="s">
        <v>186</v>
      </c>
      <c r="F1" s="5" t="s">
        <v>187</v>
      </c>
      <c r="G1" s="5" t="s">
        <v>188</v>
      </c>
      <c r="H1" s="5" t="s">
        <v>189</v>
      </c>
      <c r="I1" s="5" t="s">
        <v>190</v>
      </c>
      <c r="J1" s="5" t="s">
        <v>191</v>
      </c>
      <c r="K1" s="5" t="s">
        <v>192</v>
      </c>
      <c r="L1" s="5" t="s">
        <v>193</v>
      </c>
      <c r="M1" s="5" t="s">
        <v>194</v>
      </c>
      <c r="N1" s="5" t="s">
        <v>551</v>
      </c>
      <c r="O1" s="5" t="s">
        <v>195</v>
      </c>
      <c r="P1" s="4" t="s">
        <v>424</v>
      </c>
      <c r="Q1" s="4" t="s">
        <v>552</v>
      </c>
      <c r="R1" s="4" t="s">
        <v>553</v>
      </c>
      <c r="S1" s="4" t="s">
        <v>554</v>
      </c>
      <c r="T1" s="4" t="s">
        <v>555</v>
      </c>
      <c r="U1" s="4" t="s">
        <v>556</v>
      </c>
      <c r="V1" s="4" t="s">
        <v>558</v>
      </c>
      <c r="W1" s="4" t="s">
        <v>559</v>
      </c>
      <c r="X1" s="4" t="s">
        <v>560</v>
      </c>
      <c r="Y1" s="4" t="s">
        <v>561</v>
      </c>
      <c r="Z1" s="4" t="s">
        <v>557</v>
      </c>
      <c r="AA1" s="4"/>
      <c r="AB1" s="4"/>
      <c r="AC1" s="4"/>
      <c r="AD1" s="4"/>
      <c r="AE1" s="4"/>
      <c r="AF1" s="4"/>
      <c r="AG1" s="4"/>
      <c r="AH1" s="4">
        <v>2020</v>
      </c>
      <c r="AI1" s="4">
        <v>2021</v>
      </c>
      <c r="AJ1" s="4">
        <v>2022</v>
      </c>
      <c r="AK1" s="4">
        <v>2023</v>
      </c>
      <c r="AL1" s="4">
        <v>2024</v>
      </c>
      <c r="AM1" s="4">
        <v>2025</v>
      </c>
      <c r="AN1" s="4">
        <v>2026</v>
      </c>
      <c r="AO1" s="4">
        <v>2027</v>
      </c>
      <c r="AP1" s="4">
        <v>2028</v>
      </c>
      <c r="AQ1" s="4">
        <f t="shared" ref="AQ1:BB1" si="0">AP1+1</f>
        <v>2029</v>
      </c>
      <c r="AR1" s="4">
        <f t="shared" si="0"/>
        <v>2030</v>
      </c>
      <c r="AS1" s="4">
        <f t="shared" si="0"/>
        <v>2031</v>
      </c>
      <c r="AT1" s="4">
        <f t="shared" si="0"/>
        <v>2032</v>
      </c>
      <c r="AU1" s="4">
        <f t="shared" si="0"/>
        <v>2033</v>
      </c>
      <c r="AV1" s="4">
        <f t="shared" si="0"/>
        <v>2034</v>
      </c>
      <c r="AW1" s="4">
        <f t="shared" si="0"/>
        <v>2035</v>
      </c>
      <c r="AX1" s="4">
        <f t="shared" si="0"/>
        <v>2036</v>
      </c>
      <c r="AY1" s="4">
        <f t="shared" si="0"/>
        <v>2037</v>
      </c>
      <c r="AZ1" s="4">
        <f t="shared" si="0"/>
        <v>2038</v>
      </c>
      <c r="BA1" s="4">
        <f t="shared" si="0"/>
        <v>2039</v>
      </c>
      <c r="BB1" s="4">
        <f t="shared" si="0"/>
        <v>2040</v>
      </c>
      <c r="BE1" s="4"/>
      <c r="BF1" s="4"/>
      <c r="BG1" s="4"/>
      <c r="BH1" s="4"/>
      <c r="BI1" s="4"/>
      <c r="BJ1" s="4"/>
    </row>
    <row r="2" spans="1:272" x14ac:dyDescent="0.25">
      <c r="A2" t="s">
        <v>462</v>
      </c>
      <c r="B2" t="s">
        <v>466</v>
      </c>
      <c r="AF2" s="52"/>
      <c r="AG2" t="str">
        <f>B2</f>
        <v xml:space="preserve">AD Incidence rate </v>
      </c>
      <c r="AN2" s="52"/>
      <c r="AP2" s="85"/>
      <c r="AQ2" s="85">
        <f t="shared" ref="AQ2:BB2" si="1">5.8/1000</f>
        <v>5.7999999999999996E-3</v>
      </c>
      <c r="AR2" s="85">
        <f t="shared" si="1"/>
        <v>5.7999999999999996E-3</v>
      </c>
      <c r="AS2" s="85">
        <f t="shared" si="1"/>
        <v>5.7999999999999996E-3</v>
      </c>
      <c r="AT2" s="85">
        <f t="shared" si="1"/>
        <v>5.7999999999999996E-3</v>
      </c>
      <c r="AU2" s="85">
        <f t="shared" si="1"/>
        <v>5.7999999999999996E-3</v>
      </c>
      <c r="AV2" s="85">
        <f t="shared" si="1"/>
        <v>5.7999999999999996E-3</v>
      </c>
      <c r="AW2" s="85">
        <f t="shared" si="1"/>
        <v>5.7999999999999996E-3</v>
      </c>
      <c r="AX2" s="85">
        <f t="shared" si="1"/>
        <v>5.7999999999999996E-3</v>
      </c>
      <c r="AY2" s="85">
        <f t="shared" si="1"/>
        <v>5.7999999999999996E-3</v>
      </c>
      <c r="AZ2" s="85">
        <f t="shared" si="1"/>
        <v>5.7999999999999996E-3</v>
      </c>
      <c r="BA2" s="85">
        <f t="shared" si="1"/>
        <v>5.7999999999999996E-3</v>
      </c>
      <c r="BB2" s="85">
        <f t="shared" si="1"/>
        <v>5.7999999999999996E-3</v>
      </c>
      <c r="BC2" s="85"/>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c r="DE2" s="52"/>
      <c r="DF2" s="52"/>
      <c r="DG2" s="52"/>
      <c r="DH2" s="52"/>
      <c r="DI2" s="52"/>
      <c r="DJ2" s="52"/>
      <c r="DK2" s="52"/>
      <c r="DL2" s="52"/>
      <c r="DM2" s="52"/>
      <c r="DN2" s="52"/>
      <c r="DO2" s="52"/>
      <c r="DP2" s="52"/>
      <c r="DQ2" s="52"/>
      <c r="DR2" s="52"/>
      <c r="DS2" s="52"/>
      <c r="DT2" s="52"/>
      <c r="DU2" s="52"/>
      <c r="DV2" s="52"/>
      <c r="DW2" s="52"/>
      <c r="DX2" s="52"/>
      <c r="DY2" s="52"/>
      <c r="DZ2" s="52"/>
      <c r="EA2" s="52"/>
      <c r="EB2" s="52"/>
      <c r="EC2" s="52"/>
      <c r="ED2" s="52"/>
      <c r="EE2" s="52"/>
      <c r="EF2" s="52"/>
      <c r="EG2" s="52"/>
      <c r="EH2" s="52"/>
      <c r="EI2" s="52"/>
      <c r="EJ2" s="52"/>
      <c r="EK2" s="52"/>
      <c r="EL2" s="52"/>
      <c r="EM2" s="52"/>
      <c r="EN2" s="52"/>
      <c r="EO2" s="52"/>
      <c r="EP2" s="52"/>
      <c r="EQ2" s="52"/>
      <c r="ER2" s="52"/>
      <c r="ES2" s="52"/>
      <c r="ET2" s="52"/>
      <c r="EU2" s="52"/>
      <c r="EV2" s="52"/>
      <c r="EW2" s="52"/>
      <c r="EX2" s="52"/>
      <c r="EY2" s="52"/>
      <c r="EZ2" s="52"/>
      <c r="FA2" s="52"/>
      <c r="FB2" s="52"/>
      <c r="FC2" s="52"/>
      <c r="FD2" s="52"/>
      <c r="FE2" s="52"/>
      <c r="FF2" s="52"/>
      <c r="FG2" s="52"/>
      <c r="FH2" s="52"/>
      <c r="FI2" s="52"/>
      <c r="FJ2" s="52"/>
      <c r="FK2" s="52"/>
      <c r="FL2" s="52"/>
      <c r="FM2" s="52"/>
      <c r="FN2" s="52"/>
      <c r="FO2" s="52"/>
      <c r="FP2" s="52"/>
      <c r="FQ2" s="52"/>
      <c r="FR2" s="52"/>
      <c r="FS2" s="52"/>
      <c r="FT2" s="52"/>
      <c r="FU2" s="52"/>
      <c r="FV2" s="52"/>
      <c r="FW2" s="52"/>
      <c r="FX2" s="52"/>
      <c r="FY2" s="52"/>
      <c r="FZ2" s="52"/>
      <c r="GA2" s="52"/>
      <c r="GB2" s="52"/>
      <c r="GC2" s="52"/>
      <c r="GD2" s="52"/>
      <c r="GE2" s="52"/>
      <c r="GF2" s="52"/>
      <c r="GG2" s="52"/>
      <c r="GH2" s="52"/>
      <c r="GI2" s="52"/>
      <c r="GJ2" s="52"/>
      <c r="GK2" s="52"/>
      <c r="GL2" s="52"/>
      <c r="GM2" s="52"/>
      <c r="GN2" s="52"/>
      <c r="GO2" s="52"/>
      <c r="GP2" s="52"/>
      <c r="GQ2" s="52"/>
      <c r="GR2" s="52"/>
      <c r="GS2" s="52"/>
      <c r="GT2" s="52"/>
      <c r="GU2" s="52"/>
      <c r="GV2" s="52"/>
      <c r="GW2" s="52"/>
      <c r="GX2" s="52"/>
      <c r="GY2" s="52"/>
      <c r="GZ2" s="52"/>
      <c r="HA2" s="52"/>
      <c r="HB2" s="52"/>
      <c r="HC2" s="52"/>
      <c r="HD2" s="52"/>
      <c r="HE2" s="52"/>
      <c r="HF2" s="52"/>
      <c r="HG2" s="52"/>
      <c r="HH2" s="52"/>
      <c r="HI2" s="52"/>
      <c r="HJ2" s="52"/>
      <c r="HK2" s="52"/>
      <c r="HL2" s="52"/>
      <c r="HM2" s="52"/>
      <c r="HN2" s="52"/>
      <c r="HO2" s="52"/>
      <c r="HP2" s="52"/>
      <c r="HQ2" s="52"/>
      <c r="HR2" s="52"/>
      <c r="HS2" s="52"/>
      <c r="HT2" s="52"/>
      <c r="HU2" s="52"/>
      <c r="HV2" s="52"/>
      <c r="HW2" s="52"/>
      <c r="HX2" s="52"/>
      <c r="HY2" s="52"/>
      <c r="HZ2" s="52"/>
      <c r="IA2" s="52"/>
      <c r="IB2" s="52"/>
      <c r="IC2" s="52"/>
      <c r="ID2" s="52"/>
      <c r="IE2" s="52"/>
      <c r="IF2" s="52"/>
      <c r="IG2" s="52"/>
      <c r="IH2" s="52"/>
      <c r="II2" s="52"/>
      <c r="IJ2" s="52"/>
      <c r="IK2" s="52"/>
      <c r="IL2" s="52"/>
      <c r="IM2" s="52"/>
      <c r="IN2" s="52"/>
      <c r="IO2" s="52"/>
      <c r="IP2" s="52"/>
      <c r="IQ2" s="52"/>
      <c r="IR2" s="52"/>
      <c r="IS2" s="52"/>
      <c r="IT2" s="52"/>
      <c r="IU2" s="52"/>
      <c r="IV2" s="52"/>
      <c r="IW2" s="52"/>
      <c r="IX2" s="52"/>
      <c r="IY2" s="52"/>
      <c r="IZ2" s="52"/>
      <c r="JA2" s="52"/>
      <c r="JB2" s="52"/>
      <c r="JC2" s="52"/>
      <c r="JD2" s="52"/>
      <c r="JE2" s="52"/>
      <c r="JF2" s="52"/>
      <c r="JG2" s="52"/>
      <c r="JH2" s="52"/>
      <c r="JI2" s="52"/>
      <c r="JJ2" s="52"/>
      <c r="JK2" s="52"/>
      <c r="JL2" s="52"/>
    </row>
    <row r="3" spans="1:272" x14ac:dyDescent="0.25">
      <c r="A3" t="s">
        <v>465</v>
      </c>
      <c r="B3" t="s">
        <v>464</v>
      </c>
      <c r="AF3" s="52"/>
      <c r="AG3" t="str">
        <f>B3</f>
        <v xml:space="preserve">US Population </v>
      </c>
      <c r="AN3" s="52"/>
      <c r="AP3" s="82"/>
      <c r="AQ3" s="82">
        <v>340</v>
      </c>
      <c r="AR3" s="82">
        <f t="shared" ref="AR3:BB3" si="2">AQ3*1.0045</f>
        <v>341.53</v>
      </c>
      <c r="AS3" s="82">
        <f t="shared" si="2"/>
        <v>343.06688499999996</v>
      </c>
      <c r="AT3" s="82">
        <f t="shared" si="2"/>
        <v>344.61068598249994</v>
      </c>
      <c r="AU3" s="82">
        <f t="shared" si="2"/>
        <v>346.1614340694212</v>
      </c>
      <c r="AV3" s="82">
        <f t="shared" si="2"/>
        <v>347.7191605227336</v>
      </c>
      <c r="AW3" s="82">
        <f t="shared" si="2"/>
        <v>349.28389674508588</v>
      </c>
      <c r="AX3" s="82">
        <f t="shared" si="2"/>
        <v>350.85567428043873</v>
      </c>
      <c r="AY3" s="82">
        <f t="shared" si="2"/>
        <v>352.43452481470069</v>
      </c>
      <c r="AZ3" s="82">
        <f t="shared" si="2"/>
        <v>354.02048017636685</v>
      </c>
      <c r="BA3" s="82">
        <f t="shared" si="2"/>
        <v>355.61357233716046</v>
      </c>
      <c r="BB3" s="82">
        <f t="shared" si="2"/>
        <v>357.21383341267767</v>
      </c>
      <c r="BC3" s="8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row>
    <row r="4" spans="1:272" x14ac:dyDescent="0.25">
      <c r="B4" t="s">
        <v>467</v>
      </c>
      <c r="AF4" s="52"/>
      <c r="AG4" t="str">
        <f t="shared" ref="AG4:AG44" si="3">B4</f>
        <v xml:space="preserve">AD Incidence  </v>
      </c>
      <c r="AN4" s="52"/>
      <c r="AP4" s="81"/>
      <c r="AQ4" s="81">
        <f t="shared" ref="AQ4:BB4" si="4">AQ2*AQ3</f>
        <v>1.972</v>
      </c>
      <c r="AR4" s="81">
        <f t="shared" si="4"/>
        <v>1.9808739999999998</v>
      </c>
      <c r="AS4" s="81">
        <f t="shared" si="4"/>
        <v>1.9897879329999997</v>
      </c>
      <c r="AT4" s="81">
        <f t="shared" si="4"/>
        <v>1.9987419786984995</v>
      </c>
      <c r="AU4" s="81">
        <f t="shared" si="4"/>
        <v>2.0077363176026428</v>
      </c>
      <c r="AV4" s="81">
        <f t="shared" si="4"/>
        <v>2.0167711310318546</v>
      </c>
      <c r="AW4" s="81">
        <f t="shared" si="4"/>
        <v>2.0258466011214979</v>
      </c>
      <c r="AX4" s="81">
        <f t="shared" si="4"/>
        <v>2.0349629108265446</v>
      </c>
      <c r="AY4" s="81">
        <f t="shared" si="4"/>
        <v>2.0441202439252639</v>
      </c>
      <c r="AZ4" s="81">
        <f t="shared" si="4"/>
        <v>2.0533187850229275</v>
      </c>
      <c r="BA4" s="81">
        <f t="shared" si="4"/>
        <v>2.0625587195555304</v>
      </c>
      <c r="BB4" s="81">
        <f t="shared" si="4"/>
        <v>2.0718402337935302</v>
      </c>
      <c r="BC4" s="81"/>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row>
    <row r="5" spans="1:272" x14ac:dyDescent="0.25">
      <c r="A5" t="s">
        <v>470</v>
      </c>
      <c r="B5" t="s">
        <v>468</v>
      </c>
      <c r="AF5" s="52"/>
      <c r="AG5" t="str">
        <f t="shared" si="3"/>
        <v>Systemic/biologic treatment</v>
      </c>
      <c r="AN5" s="52"/>
      <c r="AP5" s="81"/>
      <c r="AQ5" s="81">
        <f t="shared" ref="AQ5:BB5" si="5">AQ4*0.13</f>
        <v>0.25636000000000003</v>
      </c>
      <c r="AR5" s="81">
        <f t="shared" si="5"/>
        <v>0.25751362</v>
      </c>
      <c r="AS5" s="81">
        <f t="shared" si="5"/>
        <v>0.25867243128999995</v>
      </c>
      <c r="AT5" s="81">
        <f t="shared" si="5"/>
        <v>0.25983645723080495</v>
      </c>
      <c r="AU5" s="81">
        <f t="shared" si="5"/>
        <v>0.2610057212883436</v>
      </c>
      <c r="AV5" s="81">
        <f t="shared" si="5"/>
        <v>0.26218024703414111</v>
      </c>
      <c r="AW5" s="81">
        <f t="shared" si="5"/>
        <v>0.26336005814579472</v>
      </c>
      <c r="AX5" s="81">
        <f t="shared" si="5"/>
        <v>0.26454517840745079</v>
      </c>
      <c r="AY5" s="81">
        <f t="shared" si="5"/>
        <v>0.2657356317102843</v>
      </c>
      <c r="AZ5" s="81">
        <f t="shared" si="5"/>
        <v>0.26693144205298058</v>
      </c>
      <c r="BA5" s="81">
        <f t="shared" si="5"/>
        <v>0.26813263354221895</v>
      </c>
      <c r="BB5" s="81">
        <f t="shared" si="5"/>
        <v>0.26933923039315893</v>
      </c>
      <c r="BC5" s="81"/>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row>
    <row r="6" spans="1:272" x14ac:dyDescent="0.25">
      <c r="A6" t="s">
        <v>471</v>
      </c>
      <c r="B6" t="s">
        <v>469</v>
      </c>
      <c r="AF6" s="52"/>
      <c r="AG6" t="str">
        <f t="shared" si="3"/>
        <v xml:space="preserve">Dupixent treatment </v>
      </c>
      <c r="AN6" s="52"/>
      <c r="AP6" s="81"/>
      <c r="AQ6" s="81">
        <f t="shared" ref="AQ6:BB6" si="6">AQ5*0.865</f>
        <v>0.22175140000000002</v>
      </c>
      <c r="AR6" s="81">
        <f t="shared" si="6"/>
        <v>0.22274928129999999</v>
      </c>
      <c r="AS6" s="81">
        <f t="shared" si="6"/>
        <v>0.22375165306584996</v>
      </c>
      <c r="AT6" s="81">
        <f t="shared" si="6"/>
        <v>0.22475853550464628</v>
      </c>
      <c r="AU6" s="81">
        <f t="shared" si="6"/>
        <v>0.22576994891441721</v>
      </c>
      <c r="AV6" s="81">
        <f t="shared" si="6"/>
        <v>0.22678591368453205</v>
      </c>
      <c r="AW6" s="81">
        <f t="shared" si="6"/>
        <v>0.22780645029611243</v>
      </c>
      <c r="AX6" s="81">
        <f t="shared" si="6"/>
        <v>0.22883157932244494</v>
      </c>
      <c r="AY6" s="81">
        <f t="shared" si="6"/>
        <v>0.22986132142939592</v>
      </c>
      <c r="AZ6" s="81">
        <f t="shared" si="6"/>
        <v>0.23089569737582821</v>
      </c>
      <c r="BA6" s="81">
        <f t="shared" si="6"/>
        <v>0.23193472801401938</v>
      </c>
      <c r="BB6" s="81">
        <f t="shared" si="6"/>
        <v>0.23297843429008247</v>
      </c>
      <c r="BC6" s="81"/>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row>
    <row r="7" spans="1:272" x14ac:dyDescent="0.25">
      <c r="A7" t="s">
        <v>479</v>
      </c>
      <c r="B7" t="s">
        <v>478</v>
      </c>
      <c r="AF7" s="52"/>
      <c r="AG7" t="str">
        <f t="shared" si="3"/>
        <v xml:space="preserve">Dupixent non responders </v>
      </c>
      <c r="AM7" s="52"/>
      <c r="AN7" s="52"/>
      <c r="AP7" s="81"/>
      <c r="AQ7" s="81">
        <f>AQ6*(0.35)</f>
        <v>7.7612990000000007E-2</v>
      </c>
      <c r="AR7" s="81">
        <f t="shared" ref="AR7:BB7" si="7">AR6*(0.35)</f>
        <v>7.7962248454999994E-2</v>
      </c>
      <c r="AS7" s="81">
        <f t="shared" si="7"/>
        <v>7.8313078573047479E-2</v>
      </c>
      <c r="AT7" s="81">
        <f t="shared" si="7"/>
        <v>7.8665487426626199E-2</v>
      </c>
      <c r="AU7" s="81">
        <f t="shared" si="7"/>
        <v>7.9019482120046017E-2</v>
      </c>
      <c r="AV7" s="81">
        <f t="shared" si="7"/>
        <v>7.9375069789586208E-2</v>
      </c>
      <c r="AW7" s="81">
        <f t="shared" si="7"/>
        <v>7.9732257603639348E-2</v>
      </c>
      <c r="AX7" s="81">
        <f t="shared" si="7"/>
        <v>8.0091052762855719E-2</v>
      </c>
      <c r="AY7" s="81">
        <f t="shared" si="7"/>
        <v>8.0451462500288562E-2</v>
      </c>
      <c r="AZ7" s="81">
        <f t="shared" si="7"/>
        <v>8.0813494081539872E-2</v>
      </c>
      <c r="BA7" s="81">
        <f t="shared" si="7"/>
        <v>8.1177154804906781E-2</v>
      </c>
      <c r="BB7" s="81">
        <f t="shared" si="7"/>
        <v>8.1542452001528862E-2</v>
      </c>
      <c r="BC7" s="81"/>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row>
    <row r="8" spans="1:272" x14ac:dyDescent="0.25">
      <c r="A8" t="s">
        <v>484</v>
      </c>
      <c r="B8" t="s">
        <v>482</v>
      </c>
      <c r="AF8" s="52"/>
      <c r="AG8" t="s">
        <v>481</v>
      </c>
      <c r="AH8" s="52"/>
      <c r="AI8" s="52"/>
      <c r="AJ8" s="52"/>
      <c r="AK8" s="52"/>
      <c r="AL8" s="52"/>
      <c r="AM8" s="52"/>
      <c r="AN8" s="52"/>
      <c r="AP8" s="81"/>
      <c r="AQ8" s="14">
        <v>0.25</v>
      </c>
      <c r="AR8" s="14">
        <v>0.25</v>
      </c>
      <c r="AS8" s="14">
        <v>0.25</v>
      </c>
      <c r="AT8" s="14">
        <v>0.25</v>
      </c>
      <c r="AU8" s="14">
        <v>0.25</v>
      </c>
      <c r="AV8" s="14">
        <v>0.25</v>
      </c>
      <c r="AW8" s="14">
        <v>0.25</v>
      </c>
      <c r="AX8" s="14">
        <v>0.25</v>
      </c>
      <c r="AY8" s="14">
        <v>0.25</v>
      </c>
      <c r="AZ8" s="14">
        <v>0.25</v>
      </c>
      <c r="BA8" s="14">
        <v>0.25</v>
      </c>
      <c r="BB8" s="14">
        <v>0.25</v>
      </c>
      <c r="BC8" s="81"/>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row>
    <row r="9" spans="1:272" x14ac:dyDescent="0.25">
      <c r="A9" t="s">
        <v>485</v>
      </c>
      <c r="B9" t="s">
        <v>544</v>
      </c>
      <c r="AF9" s="52"/>
      <c r="AG9" t="str">
        <f t="shared" si="3"/>
        <v xml:space="preserve">Rezpeg patient inflow , 000 </v>
      </c>
      <c r="AH9" s="52"/>
      <c r="AI9" s="52"/>
      <c r="AJ9" s="52"/>
      <c r="AK9" s="52"/>
      <c r="AL9" s="52"/>
      <c r="AM9" s="52"/>
      <c r="AN9" s="52"/>
      <c r="AP9" s="82"/>
      <c r="AQ9" s="82">
        <f>AQ7*AQ8*1000 + 50</f>
        <v>69.403247500000006</v>
      </c>
      <c r="AR9" s="82">
        <f t="shared" ref="AR9:BB9" si="8">AR7*AR8*1000</f>
        <v>19.490562113749998</v>
      </c>
      <c r="AS9" s="82">
        <f t="shared" si="8"/>
        <v>19.578269643261869</v>
      </c>
      <c r="AT9" s="82">
        <f t="shared" si="8"/>
        <v>19.66637185665655</v>
      </c>
      <c r="AU9" s="82">
        <f t="shared" si="8"/>
        <v>19.754870530011505</v>
      </c>
      <c r="AV9" s="82">
        <f t="shared" si="8"/>
        <v>19.843767447396552</v>
      </c>
      <c r="AW9" s="82">
        <f t="shared" si="8"/>
        <v>19.933064400909839</v>
      </c>
      <c r="AX9" s="82">
        <f t="shared" si="8"/>
        <v>20.022763190713931</v>
      </c>
      <c r="AY9" s="82">
        <f t="shared" si="8"/>
        <v>20.112865625072139</v>
      </c>
      <c r="AZ9" s="82">
        <f t="shared" si="8"/>
        <v>20.203373520384968</v>
      </c>
      <c r="BA9" s="82">
        <f t="shared" si="8"/>
        <v>20.294288701226694</v>
      </c>
      <c r="BB9" s="82">
        <f t="shared" si="8"/>
        <v>20.385613000382214</v>
      </c>
      <c r="BC9" s="8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row>
    <row r="10" spans="1:272" x14ac:dyDescent="0.25">
      <c r="B10" t="s">
        <v>483</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2"/>
      <c r="AG10" t="str">
        <f t="shared" ref="AG10:AG14" si="9">B10</f>
        <v xml:space="preserve">Rezpeg responder population </v>
      </c>
      <c r="AH10" s="52"/>
      <c r="AI10" s="52"/>
      <c r="AJ10" s="52"/>
      <c r="AK10" s="52"/>
      <c r="AL10" s="52"/>
      <c r="AM10" s="52"/>
      <c r="AN10" s="52"/>
      <c r="AP10" s="81"/>
      <c r="AQ10" s="81">
        <f>AQ9*66%</f>
        <v>45.806143350000006</v>
      </c>
      <c r="AR10" s="81">
        <f t="shared" ref="AR10:BB10" si="10">AR9*66%+AQ10</f>
        <v>58.669914345075007</v>
      </c>
      <c r="AS10" s="81">
        <f t="shared" si="10"/>
        <v>71.591572309627836</v>
      </c>
      <c r="AT10" s="81">
        <f t="shared" si="10"/>
        <v>84.571377735021159</v>
      </c>
      <c r="AU10" s="81">
        <f t="shared" si="10"/>
        <v>97.60959228482875</v>
      </c>
      <c r="AV10" s="81">
        <f t="shared" si="10"/>
        <v>110.70647880011047</v>
      </c>
      <c r="AW10" s="81">
        <f t="shared" si="10"/>
        <v>123.86230130471097</v>
      </c>
      <c r="AX10" s="81">
        <f t="shared" si="10"/>
        <v>137.07732501058217</v>
      </c>
      <c r="AY10" s="81">
        <f t="shared" si="10"/>
        <v>150.35181632312978</v>
      </c>
      <c r="AZ10" s="81">
        <f t="shared" si="10"/>
        <v>163.68604284658386</v>
      </c>
      <c r="BA10" s="81">
        <f t="shared" si="10"/>
        <v>177.08027338939348</v>
      </c>
      <c r="BB10" s="81">
        <f t="shared" si="10"/>
        <v>190.53477796964575</v>
      </c>
      <c r="BC10" s="81"/>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row>
    <row r="11" spans="1:272" x14ac:dyDescent="0.25">
      <c r="B11" t="s">
        <v>543</v>
      </c>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2"/>
      <c r="AG11" t="str">
        <f t="shared" si="9"/>
        <v xml:space="preserve">Patient Y, 000 </v>
      </c>
      <c r="AH11" s="52"/>
      <c r="AI11" s="52"/>
      <c r="AJ11" s="52"/>
      <c r="AK11" s="52"/>
      <c r="AL11" s="52"/>
      <c r="AM11" s="52"/>
      <c r="AN11" s="52"/>
      <c r="AP11" s="81"/>
      <c r="AQ11" s="81">
        <f t="shared" ref="AQ11:BB11" si="11">SUM(AQ10:AQ10)</f>
        <v>45.806143350000006</v>
      </c>
      <c r="AR11" s="81">
        <f t="shared" si="11"/>
        <v>58.669914345075007</v>
      </c>
      <c r="AS11" s="81">
        <f t="shared" si="11"/>
        <v>71.591572309627836</v>
      </c>
      <c r="AT11" s="81">
        <f t="shared" si="11"/>
        <v>84.571377735021159</v>
      </c>
      <c r="AU11" s="81">
        <f t="shared" si="11"/>
        <v>97.60959228482875</v>
      </c>
      <c r="AV11" s="81">
        <f t="shared" si="11"/>
        <v>110.70647880011047</v>
      </c>
      <c r="AW11" s="81">
        <f t="shared" si="11"/>
        <v>123.86230130471097</v>
      </c>
      <c r="AX11" s="81">
        <f t="shared" si="11"/>
        <v>137.07732501058217</v>
      </c>
      <c r="AY11" s="81">
        <f t="shared" si="11"/>
        <v>150.35181632312978</v>
      </c>
      <c r="AZ11" s="81">
        <f t="shared" si="11"/>
        <v>163.68604284658386</v>
      </c>
      <c r="BA11" s="81">
        <f t="shared" si="11"/>
        <v>177.08027338939348</v>
      </c>
      <c r="BB11" s="81">
        <f t="shared" si="11"/>
        <v>190.53477796964575</v>
      </c>
      <c r="BC11" s="81"/>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row>
    <row r="12" spans="1:272" x14ac:dyDescent="0.25">
      <c r="B12" s="60" t="s">
        <v>540</v>
      </c>
      <c r="C12" s="53"/>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2"/>
      <c r="AG12" t="str">
        <f t="shared" si="9"/>
        <v>List price</v>
      </c>
      <c r="AH12" s="52"/>
      <c r="AI12" s="52"/>
      <c r="AJ12" s="52"/>
      <c r="AK12" s="52"/>
      <c r="AL12" s="52"/>
      <c r="AM12" s="52"/>
      <c r="AN12" s="52"/>
      <c r="AP12" s="82"/>
      <c r="AQ12" s="82">
        <v>48000</v>
      </c>
      <c r="AR12" s="82">
        <f>AQ12*1.07</f>
        <v>51360</v>
      </c>
      <c r="AS12" s="82">
        <f t="shared" ref="AS12:BB12" si="12">AR12*1.07</f>
        <v>54955.200000000004</v>
      </c>
      <c r="AT12" s="82">
        <f t="shared" si="12"/>
        <v>58802.064000000006</v>
      </c>
      <c r="AU12" s="82">
        <f t="shared" si="12"/>
        <v>62918.208480000008</v>
      </c>
      <c r="AV12" s="82">
        <f t="shared" si="12"/>
        <v>67322.483073600015</v>
      </c>
      <c r="AW12" s="82">
        <f t="shared" si="12"/>
        <v>72035.05688875202</v>
      </c>
      <c r="AX12" s="82">
        <f t="shared" si="12"/>
        <v>77077.510870964659</v>
      </c>
      <c r="AY12" s="82">
        <f t="shared" si="12"/>
        <v>82472.936631932185</v>
      </c>
      <c r="AZ12" s="82">
        <f t="shared" si="12"/>
        <v>88246.042196167444</v>
      </c>
      <c r="BA12" s="82">
        <f t="shared" si="12"/>
        <v>94423.265149899176</v>
      </c>
      <c r="BB12" s="82">
        <f t="shared" si="12"/>
        <v>101032.89371039212</v>
      </c>
      <c r="BC12" s="8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row>
    <row r="13" spans="1:272" x14ac:dyDescent="0.25">
      <c r="B13" t="s">
        <v>545</v>
      </c>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2"/>
      <c r="AG13" t="str">
        <f t="shared" si="9"/>
        <v>G2N @ 50%</v>
      </c>
      <c r="AH13" s="52"/>
      <c r="AI13" s="52"/>
      <c r="AJ13" s="52"/>
      <c r="AK13" s="52"/>
      <c r="AL13" s="52"/>
      <c r="AM13" s="52"/>
      <c r="AN13" s="52"/>
      <c r="AP13" s="14"/>
      <c r="AQ13" s="14">
        <v>0.5</v>
      </c>
      <c r="AR13" s="14">
        <v>0.5</v>
      </c>
      <c r="AS13" s="14">
        <v>0.5</v>
      </c>
      <c r="AT13" s="14">
        <v>0.5</v>
      </c>
      <c r="AU13" s="14">
        <v>0.5</v>
      </c>
      <c r="AV13" s="14">
        <v>0.5</v>
      </c>
      <c r="AW13" s="14">
        <v>0.5</v>
      </c>
      <c r="AX13" s="14">
        <v>0.5</v>
      </c>
      <c r="AY13" s="14">
        <v>0.5</v>
      </c>
      <c r="AZ13" s="14">
        <v>0.5</v>
      </c>
      <c r="BA13" s="14">
        <v>0.5</v>
      </c>
      <c r="BB13" s="14">
        <v>0.5</v>
      </c>
      <c r="BC13" s="14"/>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row>
    <row r="14" spans="1:272" x14ac:dyDescent="0.25">
      <c r="A14" t="s">
        <v>541</v>
      </c>
      <c r="B14" t="s">
        <v>542</v>
      </c>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2"/>
      <c r="AG14" t="str">
        <f t="shared" si="9"/>
        <v>Adherence @80 %</v>
      </c>
      <c r="AH14" s="52"/>
      <c r="AI14" s="52"/>
      <c r="AJ14" s="52"/>
      <c r="AK14" s="52"/>
      <c r="AL14" s="52"/>
      <c r="AM14" s="52"/>
      <c r="AN14" s="52"/>
      <c r="AP14" s="14"/>
      <c r="AQ14" s="14">
        <v>0.8</v>
      </c>
      <c r="AR14" s="14">
        <v>0.8</v>
      </c>
      <c r="AS14" s="14">
        <v>0.8</v>
      </c>
      <c r="AT14" s="14">
        <v>0.8</v>
      </c>
      <c r="AU14" s="14">
        <v>0.8</v>
      </c>
      <c r="AV14" s="14">
        <v>0.8</v>
      </c>
      <c r="AW14" s="14">
        <v>0.8</v>
      </c>
      <c r="AX14" s="14">
        <v>0.8</v>
      </c>
      <c r="AY14" s="14">
        <v>0.8</v>
      </c>
      <c r="AZ14" s="14">
        <v>0.8</v>
      </c>
      <c r="BA14" s="14">
        <v>0.8</v>
      </c>
      <c r="BB14" s="14">
        <v>0.8</v>
      </c>
      <c r="BC14" s="14"/>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row>
    <row r="15" spans="1:272" x14ac:dyDescent="0.25">
      <c r="B15" s="60"/>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2"/>
      <c r="AH15" s="52"/>
      <c r="AI15" s="52"/>
      <c r="AJ15" s="52"/>
      <c r="AK15" s="52"/>
      <c r="AL15" s="52"/>
      <c r="AM15" s="52"/>
      <c r="AN15" s="52"/>
      <c r="AP15" s="82"/>
      <c r="AQ15" s="82"/>
      <c r="AR15" s="82"/>
      <c r="AS15" s="82"/>
      <c r="AT15" s="82"/>
      <c r="AU15" s="82"/>
      <c r="AV15" s="82"/>
      <c r="AW15" s="82"/>
      <c r="AX15" s="82"/>
      <c r="AY15" s="82"/>
      <c r="AZ15" s="82"/>
      <c r="BA15" s="82"/>
      <c r="BB15" s="8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row>
    <row r="16" spans="1:272" x14ac:dyDescent="0.25">
      <c r="B16" s="53" t="s">
        <v>197</v>
      </c>
      <c r="C16" s="61">
        <v>24.821999999999999</v>
      </c>
      <c r="D16" s="61">
        <v>21.585000000000001</v>
      </c>
      <c r="E16" s="61">
        <v>23.625</v>
      </c>
      <c r="F16" s="61">
        <v>22.023</v>
      </c>
      <c r="G16" s="61">
        <v>21.594000000000001</v>
      </c>
      <c r="H16" s="61">
        <v>20.498999999999999</v>
      </c>
      <c r="I16" s="61">
        <v>24.143999999999998</v>
      </c>
      <c r="J16" s="61">
        <v>23.885000000000002</v>
      </c>
      <c r="K16" s="61">
        <v>21.638999999999999</v>
      </c>
      <c r="L16" s="61">
        <v>23.489000000000001</v>
      </c>
      <c r="M16" s="61">
        <v>24.123999999999999</v>
      </c>
      <c r="N16" s="61">
        <v>29.175000000000001</v>
      </c>
      <c r="O16" s="61">
        <v>10.46</v>
      </c>
      <c r="P16" s="61">
        <v>0</v>
      </c>
      <c r="Q16" s="61">
        <v>0</v>
      </c>
      <c r="R16" s="61">
        <v>0</v>
      </c>
      <c r="S16" s="61">
        <v>0</v>
      </c>
      <c r="T16" s="61">
        <v>0</v>
      </c>
      <c r="U16" s="61">
        <v>0</v>
      </c>
      <c r="V16" s="61">
        <v>0</v>
      </c>
      <c r="W16" s="61">
        <v>0</v>
      </c>
      <c r="X16" s="61">
        <v>0</v>
      </c>
      <c r="Y16" s="61">
        <v>0</v>
      </c>
      <c r="Z16" s="61">
        <v>0</v>
      </c>
      <c r="AA16" s="61"/>
      <c r="AB16" s="61"/>
      <c r="AC16" s="61"/>
      <c r="AD16" s="61"/>
      <c r="AE16" s="61"/>
      <c r="AF16" s="52"/>
      <c r="AG16" s="53" t="str">
        <f t="shared" si="3"/>
        <v>Revenue</v>
      </c>
      <c r="AH16" s="61">
        <v>152.91499999999999</v>
      </c>
      <c r="AI16" s="61">
        <v>101.907</v>
      </c>
      <c r="AJ16" s="61">
        <f>SUM(C16:F16)</f>
        <v>92.054999999999993</v>
      </c>
      <c r="AK16" s="61">
        <f>SUM(G16:J16)</f>
        <v>90.122</v>
      </c>
      <c r="AL16" s="61">
        <f>SUM(K16:N16)</f>
        <v>98.426999999999992</v>
      </c>
      <c r="AM16" s="52">
        <v>0</v>
      </c>
      <c r="AN16" s="52">
        <v>0</v>
      </c>
      <c r="AO16">
        <v>0</v>
      </c>
      <c r="AP16" s="82">
        <f t="shared" ref="AP16:BB16" si="13">AP11*AP12*AP13*AP14/1000</f>
        <v>0</v>
      </c>
      <c r="AQ16" s="82">
        <f t="shared" si="13"/>
        <v>879.47795232000021</v>
      </c>
      <c r="AR16" s="82">
        <f t="shared" si="13"/>
        <v>1205.3147203052208</v>
      </c>
      <c r="AS16" s="82">
        <f t="shared" si="13"/>
        <v>1573.7316698360241</v>
      </c>
      <c r="AT16" s="82">
        <f t="shared" si="13"/>
        <v>1989.1886264571558</v>
      </c>
      <c r="AU16" s="82">
        <f t="shared" si="13"/>
        <v>2456.5682708098625</v>
      </c>
      <c r="AV16" s="82">
        <f t="shared" si="13"/>
        <v>2981.2140180633182</v>
      </c>
      <c r="AW16" s="82">
        <f t="shared" si="13"/>
        <v>3568.9711683426399</v>
      </c>
      <c r="AX16" s="82">
        <f t="shared" si="13"/>
        <v>4226.2316034663609</v>
      </c>
      <c r="AY16" s="82">
        <f t="shared" si="13"/>
        <v>4959.9823280453556</v>
      </c>
      <c r="AZ16" s="82">
        <f t="shared" si="13"/>
        <v>5777.8581775853254</v>
      </c>
      <c r="BA16" s="82">
        <f t="shared" si="13"/>
        <v>6688.1990428253348</v>
      </c>
      <c r="BB16" s="82">
        <f t="shared" si="13"/>
        <v>7700.111988296153</v>
      </c>
      <c r="BC16" s="79"/>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row>
    <row r="17" spans="2:272" x14ac:dyDescent="0.25">
      <c r="B17" s="53" t="s">
        <v>201</v>
      </c>
      <c r="C17" s="61">
        <v>5.3150000000000004</v>
      </c>
      <c r="D17" s="61">
        <v>5.1150000000000002</v>
      </c>
      <c r="E17" s="61">
        <v>4.9720000000000004</v>
      </c>
      <c r="F17" s="61">
        <v>6.2329999999999997</v>
      </c>
      <c r="G17" s="61">
        <v>7.06</v>
      </c>
      <c r="H17" s="61">
        <v>6.9939999999999998</v>
      </c>
      <c r="I17" s="61">
        <v>12.430999999999999</v>
      </c>
      <c r="J17" s="61">
        <v>7.2830000000000004</v>
      </c>
      <c r="K17" s="61">
        <v>8.5340000000000007</v>
      </c>
      <c r="L17" s="61">
        <v>9.74</v>
      </c>
      <c r="M17" s="61">
        <v>4.4349999999999996</v>
      </c>
      <c r="N17" s="61">
        <v>7.9770000000000003</v>
      </c>
      <c r="O17" s="61" t="s">
        <v>199</v>
      </c>
      <c r="P17" s="61">
        <v>0</v>
      </c>
      <c r="Q17" s="61">
        <v>0</v>
      </c>
      <c r="R17" s="61">
        <v>0</v>
      </c>
      <c r="S17" s="61">
        <v>0</v>
      </c>
      <c r="T17" s="61">
        <v>0</v>
      </c>
      <c r="U17" s="61">
        <v>0</v>
      </c>
      <c r="V17" s="61">
        <v>0</v>
      </c>
      <c r="W17" s="61">
        <v>0</v>
      </c>
      <c r="X17" s="61">
        <v>0</v>
      </c>
      <c r="Y17" s="61">
        <v>0</v>
      </c>
      <c r="Z17" s="61">
        <v>0</v>
      </c>
      <c r="AA17" s="61"/>
      <c r="AB17" s="61"/>
      <c r="AC17" s="61"/>
      <c r="AD17" s="61"/>
      <c r="AE17" s="61"/>
      <c r="AF17" s="52"/>
      <c r="AG17" s="53" t="str">
        <f t="shared" si="3"/>
        <v>Cost Of Goods Sold</v>
      </c>
      <c r="AH17" s="61">
        <v>19.477</v>
      </c>
      <c r="AI17" s="61">
        <v>24.896999999999998</v>
      </c>
      <c r="AJ17" s="61">
        <f>SUM(C17:F17)</f>
        <v>21.635000000000002</v>
      </c>
      <c r="AK17" s="61">
        <f>SUM(G17:J17)</f>
        <v>33.768000000000001</v>
      </c>
      <c r="AL17" s="61">
        <f>SUM(K17:N17)</f>
        <v>30.686</v>
      </c>
      <c r="AM17">
        <v>0</v>
      </c>
      <c r="AN17" s="52">
        <v>0</v>
      </c>
      <c r="AO17" s="52">
        <v>0</v>
      </c>
      <c r="AP17" s="82">
        <f t="shared" ref="AP17:BB17" si="14">AP16*(1-AP39)</f>
        <v>0</v>
      </c>
      <c r="AQ17" s="82">
        <f t="shared" si="14"/>
        <v>175.89559046400001</v>
      </c>
      <c r="AR17" s="82">
        <f t="shared" si="14"/>
        <v>241.06294406104411</v>
      </c>
      <c r="AS17" s="82">
        <f t="shared" si="14"/>
        <v>314.74633396720475</v>
      </c>
      <c r="AT17" s="82">
        <f t="shared" si="14"/>
        <v>397.83772529143107</v>
      </c>
      <c r="AU17" s="82">
        <f t="shared" si="14"/>
        <v>491.31365416197241</v>
      </c>
      <c r="AV17" s="82">
        <f t="shared" si="14"/>
        <v>596.24280361266347</v>
      </c>
      <c r="AW17" s="82">
        <f t="shared" si="14"/>
        <v>713.7942336685278</v>
      </c>
      <c r="AX17" s="82">
        <f t="shared" si="14"/>
        <v>845.24632069327197</v>
      </c>
      <c r="AY17" s="82">
        <f t="shared" si="14"/>
        <v>991.99646560907092</v>
      </c>
      <c r="AZ17" s="82">
        <f t="shared" si="14"/>
        <v>1155.5716355170648</v>
      </c>
      <c r="BA17" s="82">
        <f t="shared" si="14"/>
        <v>1337.6398085650667</v>
      </c>
      <c r="BB17" s="82">
        <f t="shared" si="14"/>
        <v>1540.0223976592301</v>
      </c>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row>
    <row r="18" spans="2:272" x14ac:dyDescent="0.25">
      <c r="B18" s="60" t="s">
        <v>202</v>
      </c>
      <c r="C18" s="62">
        <v>19.507000000000001</v>
      </c>
      <c r="D18" s="62">
        <v>16.47</v>
      </c>
      <c r="E18" s="62">
        <v>18.652999999999999</v>
      </c>
      <c r="F18" s="62">
        <v>15.79</v>
      </c>
      <c r="G18" s="62">
        <v>14.534000000000001</v>
      </c>
      <c r="H18" s="62">
        <v>13.505000000000001</v>
      </c>
      <c r="I18" s="62">
        <v>11.712999999999999</v>
      </c>
      <c r="J18" s="62">
        <v>16.602</v>
      </c>
      <c r="K18" s="62">
        <v>13.105</v>
      </c>
      <c r="L18" s="62">
        <v>13.749000000000001</v>
      </c>
      <c r="M18" s="62">
        <v>19.689</v>
      </c>
      <c r="N18" s="62">
        <v>21.198</v>
      </c>
      <c r="O18" s="62">
        <v>10.46</v>
      </c>
      <c r="P18" s="61">
        <v>0</v>
      </c>
      <c r="Q18" s="61">
        <v>0</v>
      </c>
      <c r="R18" s="61">
        <v>0</v>
      </c>
      <c r="S18" s="61">
        <v>0</v>
      </c>
      <c r="T18" s="61">
        <v>0</v>
      </c>
      <c r="U18" s="61">
        <v>0</v>
      </c>
      <c r="V18" s="61">
        <v>0</v>
      </c>
      <c r="W18" s="61">
        <v>0</v>
      </c>
      <c r="X18" s="61">
        <v>0</v>
      </c>
      <c r="Y18" s="61">
        <v>0</v>
      </c>
      <c r="Z18" s="61">
        <v>0</v>
      </c>
      <c r="AA18" s="63"/>
      <c r="AB18" s="63"/>
      <c r="AC18" s="63"/>
      <c r="AD18" s="63"/>
      <c r="AE18" s="63"/>
      <c r="AF18" s="52"/>
      <c r="AG18" s="60" t="str">
        <f t="shared" si="3"/>
        <v xml:space="preserve">  Gross Profit</v>
      </c>
      <c r="AH18" s="62">
        <v>133.43799999999999</v>
      </c>
      <c r="AI18" s="62">
        <v>77.010000000000005</v>
      </c>
      <c r="AJ18" s="62">
        <f>SUM(C18:F18)</f>
        <v>70.42</v>
      </c>
      <c r="AK18" s="62">
        <f>SUM(G18:J18)</f>
        <v>56.353999999999999</v>
      </c>
      <c r="AL18" s="62">
        <f>SUM(K18:N18)</f>
        <v>67.741</v>
      </c>
      <c r="AM18" s="62">
        <f t="shared" ref="AM18:BB18" si="15">AM16-AM17</f>
        <v>0</v>
      </c>
      <c r="AN18" s="62">
        <f t="shared" si="15"/>
        <v>0</v>
      </c>
      <c r="AO18" s="62">
        <f t="shared" si="15"/>
        <v>0</v>
      </c>
      <c r="AP18" s="62">
        <f t="shared" si="15"/>
        <v>0</v>
      </c>
      <c r="AQ18" s="62">
        <f t="shared" si="15"/>
        <v>703.58236185600026</v>
      </c>
      <c r="AR18" s="62">
        <f t="shared" si="15"/>
        <v>964.25177624417665</v>
      </c>
      <c r="AS18" s="62">
        <f t="shared" si="15"/>
        <v>1258.9853358688194</v>
      </c>
      <c r="AT18" s="62">
        <f t="shared" si="15"/>
        <v>1591.3509011657247</v>
      </c>
      <c r="AU18" s="62">
        <f t="shared" si="15"/>
        <v>1965.2546166478901</v>
      </c>
      <c r="AV18" s="62">
        <f t="shared" si="15"/>
        <v>2384.9712144506548</v>
      </c>
      <c r="AW18" s="62">
        <f t="shared" si="15"/>
        <v>2855.1769346741121</v>
      </c>
      <c r="AX18" s="62">
        <f t="shared" si="15"/>
        <v>3380.9852827730888</v>
      </c>
      <c r="AY18" s="62">
        <f t="shared" si="15"/>
        <v>3967.9858624362846</v>
      </c>
      <c r="AZ18" s="62">
        <f t="shared" si="15"/>
        <v>4622.286542068261</v>
      </c>
      <c r="BA18" s="62">
        <f t="shared" si="15"/>
        <v>5350.5592342602686</v>
      </c>
      <c r="BB18" s="62">
        <f t="shared" si="15"/>
        <v>6160.0895906369224</v>
      </c>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row>
    <row r="19" spans="2:272" x14ac:dyDescent="0.25">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2"/>
      <c r="AG19" s="53"/>
      <c r="AH19" s="53"/>
      <c r="AI19" s="53"/>
      <c r="AJ19" s="53"/>
      <c r="AK19" s="53"/>
      <c r="AL19" s="53"/>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row>
    <row r="20" spans="2:272" x14ac:dyDescent="0.25">
      <c r="B20" s="53" t="s">
        <v>602</v>
      </c>
      <c r="C20" s="61">
        <v>27.338999999999999</v>
      </c>
      <c r="D20" s="61">
        <v>20.521000000000001</v>
      </c>
      <c r="E20" s="61">
        <v>22.533999999999999</v>
      </c>
      <c r="F20" s="61">
        <v>21.939</v>
      </c>
      <c r="G20" s="61">
        <v>21.081</v>
      </c>
      <c r="H20" s="61">
        <v>17.869</v>
      </c>
      <c r="I20" s="61">
        <v>21.146999999999998</v>
      </c>
      <c r="J20" s="61">
        <v>17.32</v>
      </c>
      <c r="K20" s="61">
        <v>20.149000000000001</v>
      </c>
      <c r="L20" s="61">
        <v>20.51</v>
      </c>
      <c r="M20" s="61">
        <v>18.957000000000001</v>
      </c>
      <c r="N20" s="61">
        <v>17.135000000000002</v>
      </c>
      <c r="O20" s="61">
        <v>24.346</v>
      </c>
      <c r="P20" s="61">
        <v>24.346</v>
      </c>
      <c r="Q20" s="61">
        <v>24.346</v>
      </c>
      <c r="R20" s="61">
        <v>24.346</v>
      </c>
      <c r="S20" s="61"/>
      <c r="T20" s="61"/>
      <c r="U20" s="61"/>
      <c r="V20" s="61"/>
      <c r="W20" s="61"/>
      <c r="X20" s="61"/>
      <c r="Y20" s="61"/>
      <c r="Z20" s="61"/>
      <c r="AA20" s="61"/>
      <c r="AB20" s="61"/>
      <c r="AC20" s="61"/>
      <c r="AD20" s="61"/>
      <c r="AE20" s="61"/>
      <c r="AF20" s="52"/>
      <c r="AG20" s="53" t="str">
        <f t="shared" si="3"/>
        <v xml:space="preserve">General &amp; Admin </v>
      </c>
      <c r="AH20" s="107">
        <v>104.682</v>
      </c>
      <c r="AI20" s="107">
        <v>122.84399999999999</v>
      </c>
      <c r="AJ20" s="107">
        <f>SUM(C20:F20)</f>
        <v>92.332999999999998</v>
      </c>
      <c r="AK20" s="107">
        <f>SUM(G20:J20)</f>
        <v>77.417000000000002</v>
      </c>
      <c r="AL20" s="107">
        <f>SUM(K20:N20)</f>
        <v>76.751000000000005</v>
      </c>
      <c r="AM20" s="108">
        <f>SUM(O20:R20)</f>
        <v>97.384</v>
      </c>
      <c r="AN20" s="108">
        <f>AM20*1.05</f>
        <v>102.25320000000001</v>
      </c>
      <c r="AO20" s="108">
        <f>AN20*1.05</f>
        <v>107.36586000000001</v>
      </c>
      <c r="AP20" s="108">
        <f>AO20*1.05</f>
        <v>112.73415300000002</v>
      </c>
      <c r="AQ20" s="108">
        <f>AP20*1.05</f>
        <v>118.37086065000003</v>
      </c>
      <c r="AR20" s="108">
        <f>AQ20*1.05</f>
        <v>124.28940368250004</v>
      </c>
      <c r="AS20" s="99">
        <v>0</v>
      </c>
      <c r="AT20" s="99">
        <v>0</v>
      </c>
      <c r="AU20" s="99">
        <v>0</v>
      </c>
      <c r="AV20" s="99">
        <v>0</v>
      </c>
      <c r="AW20" s="99">
        <v>0</v>
      </c>
      <c r="AX20" s="99">
        <v>0</v>
      </c>
      <c r="AY20" s="99">
        <v>0</v>
      </c>
      <c r="AZ20" s="99">
        <v>0</v>
      </c>
      <c r="BA20" s="99">
        <v>0</v>
      </c>
      <c r="BB20" s="99">
        <v>0</v>
      </c>
      <c r="BC20" s="99"/>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row>
    <row r="21" spans="2:272" x14ac:dyDescent="0.25">
      <c r="B21" s="53" t="s">
        <v>604</v>
      </c>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52"/>
      <c r="AG21" s="53" t="str">
        <f>B21</f>
        <v xml:space="preserve">Selling &amp; Marketing </v>
      </c>
      <c r="AH21" s="107"/>
      <c r="AI21" s="107"/>
      <c r="AJ21" s="107"/>
      <c r="AK21" s="107"/>
      <c r="AL21" s="107"/>
      <c r="AM21" s="108"/>
      <c r="AN21" s="108"/>
      <c r="AO21" s="108"/>
      <c r="AP21" s="108">
        <f>AP42*AP43/1000 +AP16*0.03</f>
        <v>0</v>
      </c>
      <c r="AQ21" s="108">
        <f>AQ42*AQ43/1000 +AQ16*0.03</f>
        <v>54.384338569600004</v>
      </c>
      <c r="AR21" s="108">
        <f>AR42*AR43/1000 +AR16*0.03</f>
        <v>64.999441609156634</v>
      </c>
      <c r="AS21" s="108">
        <f>AS42*AS43/1000 +AS16*0.03</f>
        <v>76.917150095080729</v>
      </c>
      <c r="AT21" s="99">
        <v>0</v>
      </c>
      <c r="AU21" s="99">
        <v>0</v>
      </c>
      <c r="AV21" s="99">
        <v>0</v>
      </c>
      <c r="AW21" s="99">
        <v>0</v>
      </c>
      <c r="AX21" s="99">
        <v>0</v>
      </c>
      <c r="AY21" s="99">
        <v>0</v>
      </c>
      <c r="AZ21" s="99">
        <v>0</v>
      </c>
      <c r="BA21" s="99">
        <v>0</v>
      </c>
      <c r="BB21" s="99">
        <v>0</v>
      </c>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row>
    <row r="22" spans="2:272" x14ac:dyDescent="0.25">
      <c r="B22" s="53"/>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52"/>
      <c r="AG22" s="53" t="s">
        <v>606</v>
      </c>
      <c r="AH22" s="61">
        <f t="shared" ref="AH22:AR22" si="16">SUM(AH20:AH21)</f>
        <v>104.682</v>
      </c>
      <c r="AI22" s="61">
        <f t="shared" si="16"/>
        <v>122.84399999999999</v>
      </c>
      <c r="AJ22" s="61">
        <f t="shared" si="16"/>
        <v>92.332999999999998</v>
      </c>
      <c r="AK22" s="61">
        <f t="shared" si="16"/>
        <v>77.417000000000002</v>
      </c>
      <c r="AL22" s="61">
        <f t="shared" si="16"/>
        <v>76.751000000000005</v>
      </c>
      <c r="AM22" s="61">
        <f t="shared" si="16"/>
        <v>97.384</v>
      </c>
      <c r="AN22" s="61">
        <f t="shared" si="16"/>
        <v>102.25320000000001</v>
      </c>
      <c r="AO22" s="61">
        <f t="shared" si="16"/>
        <v>107.36586000000001</v>
      </c>
      <c r="AP22" s="61">
        <f t="shared" si="16"/>
        <v>112.73415300000002</v>
      </c>
      <c r="AQ22" s="61">
        <f t="shared" si="16"/>
        <v>172.75519921960003</v>
      </c>
      <c r="AR22" s="61">
        <f t="shared" si="16"/>
        <v>189.28884529165668</v>
      </c>
      <c r="AS22" s="106">
        <f t="shared" ref="AS22:BB22" si="17">AS16*0.34</f>
        <v>535.06876774424825</v>
      </c>
      <c r="AT22" s="106">
        <f t="shared" si="17"/>
        <v>676.32413299543305</v>
      </c>
      <c r="AU22" s="106">
        <f t="shared" si="17"/>
        <v>835.23321207535332</v>
      </c>
      <c r="AV22" s="106">
        <f t="shared" si="17"/>
        <v>1013.6127661415283</v>
      </c>
      <c r="AW22" s="106">
        <f t="shared" si="17"/>
        <v>1213.4501972364976</v>
      </c>
      <c r="AX22" s="106">
        <f t="shared" si="17"/>
        <v>1436.9187451785629</v>
      </c>
      <c r="AY22" s="106">
        <f t="shared" si="17"/>
        <v>1686.393991535421</v>
      </c>
      <c r="AZ22" s="106">
        <f t="shared" si="17"/>
        <v>1964.4717803790109</v>
      </c>
      <c r="BA22" s="106">
        <f t="shared" si="17"/>
        <v>2273.9876745606139</v>
      </c>
      <c r="BB22" s="106">
        <f t="shared" si="17"/>
        <v>2618.0380760206922</v>
      </c>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row>
    <row r="23" spans="2:272" x14ac:dyDescent="0.25">
      <c r="B23" s="53" t="s">
        <v>204</v>
      </c>
      <c r="C23" s="61">
        <v>107.253</v>
      </c>
      <c r="D23" s="61">
        <v>42.74</v>
      </c>
      <c r="E23" s="61">
        <v>33.590000000000003</v>
      </c>
      <c r="F23" s="61">
        <v>34.74</v>
      </c>
      <c r="G23" s="61">
        <v>30.469000000000001</v>
      </c>
      <c r="H23" s="61">
        <v>29.681000000000001</v>
      </c>
      <c r="I23" s="61">
        <v>24.07</v>
      </c>
      <c r="J23" s="61">
        <v>29.942</v>
      </c>
      <c r="K23" s="61">
        <v>27.408000000000001</v>
      </c>
      <c r="L23" s="61">
        <v>29.724</v>
      </c>
      <c r="M23" s="61">
        <v>35.030999999999999</v>
      </c>
      <c r="N23" s="61">
        <v>28.745000000000001</v>
      </c>
      <c r="O23" s="61">
        <v>30.48</v>
      </c>
      <c r="P23" s="61">
        <v>30.48</v>
      </c>
      <c r="Q23" s="61">
        <v>30.48</v>
      </c>
      <c r="R23" s="61">
        <v>30.48</v>
      </c>
      <c r="S23" s="61"/>
      <c r="T23" s="61"/>
      <c r="U23" s="61"/>
      <c r="V23" s="61"/>
      <c r="W23" s="61"/>
      <c r="X23" s="61"/>
      <c r="Y23" s="61"/>
      <c r="Z23" s="61"/>
      <c r="AA23" s="61"/>
      <c r="AB23" s="61"/>
      <c r="AC23" s="61"/>
      <c r="AD23" s="61"/>
      <c r="AE23" s="61"/>
      <c r="AF23" s="52"/>
      <c r="AG23" s="53" t="str">
        <f t="shared" si="3"/>
        <v>R &amp; D Exp.</v>
      </c>
      <c r="AH23" s="61">
        <v>408.678</v>
      </c>
      <c r="AI23" s="61">
        <v>400.26900000000001</v>
      </c>
      <c r="AJ23" s="61">
        <f t="shared" ref="AJ23:AJ33" si="18">SUM(C23:F23)</f>
        <v>218.32300000000001</v>
      </c>
      <c r="AK23" s="61">
        <f t="shared" ref="AK23:AK33" si="19">SUM(G23:J23)</f>
        <v>114.16200000000001</v>
      </c>
      <c r="AL23" s="61">
        <f t="shared" ref="AL23:AL33" si="20">SUM(K23:N23)</f>
        <v>120.90800000000002</v>
      </c>
      <c r="AM23" s="104">
        <f t="shared" ref="AM23:BB23" si="21">AQ202/1000</f>
        <v>125.41746400000001</v>
      </c>
      <c r="AN23" s="104">
        <f t="shared" si="21"/>
        <v>150.95362792</v>
      </c>
      <c r="AO23" s="104">
        <f t="shared" si="21"/>
        <v>154.9504767576</v>
      </c>
      <c r="AP23" s="104">
        <f t="shared" si="21"/>
        <v>129.609231060328</v>
      </c>
      <c r="AQ23" s="104">
        <f t="shared" si="21"/>
        <v>75.879147992137845</v>
      </c>
      <c r="AR23" s="104">
        <f t="shared" si="21"/>
        <v>77.405522431901971</v>
      </c>
      <c r="AS23" s="104">
        <f t="shared" si="21"/>
        <v>78.977688104859027</v>
      </c>
      <c r="AT23" s="104">
        <f t="shared" si="21"/>
        <v>80.597018748004814</v>
      </c>
      <c r="AU23" s="104">
        <f t="shared" si="21"/>
        <v>82.264929310444955</v>
      </c>
      <c r="AV23" s="104">
        <f t="shared" si="21"/>
        <v>83.982877189758327</v>
      </c>
      <c r="AW23" s="104">
        <f t="shared" si="21"/>
        <v>85.752363505451058</v>
      </c>
      <c r="AX23" s="104">
        <f t="shared" si="21"/>
        <v>87.574934410614603</v>
      </c>
      <c r="AY23" s="104">
        <f t="shared" si="21"/>
        <v>89.452182442933051</v>
      </c>
      <c r="AZ23" s="104">
        <f t="shared" si="21"/>
        <v>91.385747916221021</v>
      </c>
      <c r="BA23" s="104">
        <f t="shared" si="21"/>
        <v>93.37732035370766</v>
      </c>
      <c r="BB23" s="104">
        <f t="shared" si="21"/>
        <v>95.42863996431889</v>
      </c>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row>
    <row r="24" spans="2:272" x14ac:dyDescent="0.25">
      <c r="B24" s="60" t="s">
        <v>205</v>
      </c>
      <c r="C24" s="63">
        <v>-115.1</v>
      </c>
      <c r="D24" s="63">
        <v>-46.8</v>
      </c>
      <c r="E24" s="63">
        <v>-37.5</v>
      </c>
      <c r="F24" s="63">
        <v>-40.9</v>
      </c>
      <c r="G24" s="63">
        <v>-37</v>
      </c>
      <c r="H24" s="63">
        <v>-34</v>
      </c>
      <c r="I24" s="63">
        <v>-33.5</v>
      </c>
      <c r="J24" s="63">
        <v>-30.7</v>
      </c>
      <c r="K24" s="63">
        <v>-34.5</v>
      </c>
      <c r="L24" s="63">
        <v>-36.5</v>
      </c>
      <c r="M24" s="63">
        <v>-34.299999999999997</v>
      </c>
      <c r="N24" s="63">
        <v>-24.7</v>
      </c>
      <c r="O24" s="63">
        <v>-44.4</v>
      </c>
      <c r="P24" s="63">
        <v>-44.4</v>
      </c>
      <c r="Q24" s="63">
        <v>-44.4</v>
      </c>
      <c r="R24" s="63">
        <v>-44.4</v>
      </c>
      <c r="S24" s="63"/>
      <c r="T24" s="63"/>
      <c r="U24" s="63"/>
      <c r="V24" s="63"/>
      <c r="W24" s="63"/>
      <c r="X24" s="63"/>
      <c r="Y24" s="63"/>
      <c r="Z24" s="63"/>
      <c r="AA24" s="63"/>
      <c r="AB24" s="63"/>
      <c r="AC24" s="63"/>
      <c r="AD24" s="63"/>
      <c r="AE24" s="63"/>
      <c r="AF24" s="52"/>
      <c r="AG24" s="60" t="str">
        <f t="shared" si="3"/>
        <v xml:space="preserve">  Operating Income</v>
      </c>
      <c r="AH24" s="63">
        <v>-379.9</v>
      </c>
      <c r="AI24" s="63">
        <v>-446.1</v>
      </c>
      <c r="AJ24" s="63">
        <f t="shared" si="18"/>
        <v>-240.29999999999998</v>
      </c>
      <c r="AK24" s="63">
        <f t="shared" si="19"/>
        <v>-135.19999999999999</v>
      </c>
      <c r="AL24" s="63">
        <f t="shared" si="20"/>
        <v>-130</v>
      </c>
      <c r="AM24" s="63">
        <f t="shared" ref="AM24:BB24" si="22">AM18-SUM(AM22:AM23)</f>
        <v>-222.80146400000001</v>
      </c>
      <c r="AN24" s="63">
        <f t="shared" si="22"/>
        <v>-253.20682792000002</v>
      </c>
      <c r="AO24" s="63">
        <f t="shared" si="22"/>
        <v>-262.31633675760003</v>
      </c>
      <c r="AP24" s="63">
        <f t="shared" si="22"/>
        <v>-242.34338406032802</v>
      </c>
      <c r="AQ24" s="63">
        <f t="shared" si="22"/>
        <v>454.9480146442624</v>
      </c>
      <c r="AR24" s="63">
        <f t="shared" si="22"/>
        <v>697.55740852061797</v>
      </c>
      <c r="AS24" s="63">
        <f t="shared" si="22"/>
        <v>644.9388800197122</v>
      </c>
      <c r="AT24" s="63">
        <f t="shared" si="22"/>
        <v>834.42974942228693</v>
      </c>
      <c r="AU24" s="63">
        <f t="shared" si="22"/>
        <v>1047.756475262092</v>
      </c>
      <c r="AV24" s="63">
        <f t="shared" si="22"/>
        <v>1287.3755711193683</v>
      </c>
      <c r="AW24" s="63">
        <f t="shared" si="22"/>
        <v>1555.9743739321634</v>
      </c>
      <c r="AX24" s="63">
        <f t="shared" si="22"/>
        <v>1856.4916031839114</v>
      </c>
      <c r="AY24" s="63">
        <f t="shared" si="22"/>
        <v>2192.1396884579308</v>
      </c>
      <c r="AZ24" s="63">
        <f t="shared" si="22"/>
        <v>2566.4290137730291</v>
      </c>
      <c r="BA24" s="63">
        <f t="shared" si="22"/>
        <v>2983.1942393459472</v>
      </c>
      <c r="BB24" s="63">
        <f t="shared" si="22"/>
        <v>3446.6228746519114</v>
      </c>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row>
    <row r="25" spans="2:272" x14ac:dyDescent="0.25">
      <c r="B25" s="53" t="s">
        <v>206</v>
      </c>
      <c r="C25" s="61">
        <v>-7.5</v>
      </c>
      <c r="D25" s="61">
        <v>-7.2</v>
      </c>
      <c r="E25" s="61">
        <v>-7</v>
      </c>
      <c r="F25" s="61">
        <v>-7.2</v>
      </c>
      <c r="G25" s="61">
        <v>-6.7</v>
      </c>
      <c r="H25" s="61">
        <v>-6.2</v>
      </c>
      <c r="I25" s="61">
        <v>-5.9</v>
      </c>
      <c r="J25" s="61">
        <v>-6.9</v>
      </c>
      <c r="K25" s="61">
        <v>-5.5</v>
      </c>
      <c r="L25" s="61">
        <v>-6.4</v>
      </c>
      <c r="M25" s="61">
        <v>-6</v>
      </c>
      <c r="N25" s="61">
        <v>-10.199999999999999</v>
      </c>
      <c r="O25" s="61">
        <v>-5</v>
      </c>
      <c r="P25" s="61">
        <v>-6</v>
      </c>
      <c r="Q25" s="61">
        <v>-6</v>
      </c>
      <c r="R25" s="61">
        <v>-6</v>
      </c>
      <c r="S25" s="61"/>
      <c r="T25" s="61"/>
      <c r="U25" s="61"/>
      <c r="V25" s="61"/>
      <c r="W25" s="61"/>
      <c r="X25" s="61"/>
      <c r="Y25" s="61"/>
      <c r="Z25" s="61"/>
      <c r="AA25" s="61"/>
      <c r="AB25" s="61"/>
      <c r="AC25" s="61"/>
      <c r="AD25" s="61"/>
      <c r="AE25" s="61"/>
      <c r="AF25" s="52"/>
      <c r="AG25" s="53" t="str">
        <f t="shared" si="3"/>
        <v>Interest Expense</v>
      </c>
      <c r="AH25" s="61">
        <v>-37.1</v>
      </c>
      <c r="AI25" s="61">
        <v>-47.3</v>
      </c>
      <c r="AJ25" s="61">
        <f t="shared" si="18"/>
        <v>-28.9</v>
      </c>
      <c r="AK25" s="61">
        <f t="shared" si="19"/>
        <v>-25.700000000000003</v>
      </c>
      <c r="AL25" s="61">
        <f t="shared" si="20"/>
        <v>-28.099999999999998</v>
      </c>
      <c r="AM25" s="61">
        <v>-28</v>
      </c>
      <c r="AN25" s="61">
        <v>-28</v>
      </c>
      <c r="AO25" s="61">
        <v>-28</v>
      </c>
      <c r="AP25" s="61">
        <v>-28</v>
      </c>
      <c r="AQ25" s="61">
        <v>-28</v>
      </c>
      <c r="AR25" s="61">
        <v>-28</v>
      </c>
      <c r="AS25" s="61">
        <v>-28</v>
      </c>
      <c r="AT25" s="61">
        <v>-28</v>
      </c>
      <c r="AU25" s="61">
        <v>-28</v>
      </c>
      <c r="AV25" s="61">
        <v>-28</v>
      </c>
      <c r="AW25" s="61">
        <v>-28</v>
      </c>
      <c r="AX25" s="61">
        <v>-28</v>
      </c>
      <c r="AY25" s="61">
        <v>-28</v>
      </c>
      <c r="AZ25" s="61">
        <v>-28</v>
      </c>
      <c r="BA25" s="61">
        <v>-28</v>
      </c>
      <c r="BB25" s="61">
        <v>-28</v>
      </c>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row>
    <row r="26" spans="2:272" x14ac:dyDescent="0.25">
      <c r="B26" s="53" t="s">
        <v>207</v>
      </c>
      <c r="C26" s="61">
        <v>0.39500000000000002</v>
      </c>
      <c r="D26" s="61">
        <v>1.0960000000000001</v>
      </c>
      <c r="E26" s="61">
        <v>2.0499999999999998</v>
      </c>
      <c r="F26" s="61">
        <v>3.242</v>
      </c>
      <c r="G26" s="61">
        <v>4.335</v>
      </c>
      <c r="H26" s="61">
        <v>4.8460000000000001</v>
      </c>
      <c r="I26" s="61">
        <v>5.2110000000000003</v>
      </c>
      <c r="J26" s="61">
        <v>4.617</v>
      </c>
      <c r="K26" s="61">
        <v>4.22</v>
      </c>
      <c r="L26" s="61">
        <v>3.9009999999999998</v>
      </c>
      <c r="M26" s="61">
        <v>3.4369999999999998</v>
      </c>
      <c r="N26" s="61">
        <v>2.9420000000000002</v>
      </c>
      <c r="O26" s="61">
        <v>2.8740000000000001</v>
      </c>
      <c r="P26" s="61">
        <v>2.8740000000000001</v>
      </c>
      <c r="Q26" s="61">
        <v>2.8740000000000001</v>
      </c>
      <c r="R26" s="61">
        <v>2.8740000000000001</v>
      </c>
      <c r="S26" s="61"/>
      <c r="T26" s="61"/>
      <c r="U26" s="61"/>
      <c r="V26" s="61"/>
      <c r="W26" s="61"/>
      <c r="X26" s="61"/>
      <c r="Y26" s="61"/>
      <c r="Z26" s="61"/>
      <c r="AA26" s="61"/>
      <c r="AB26" s="61"/>
      <c r="AC26" s="61"/>
      <c r="AD26" s="61"/>
      <c r="AE26" s="61"/>
      <c r="AF26" s="52"/>
      <c r="AG26" s="53" t="str">
        <f t="shared" si="3"/>
        <v>Interest and Invest. Income</v>
      </c>
      <c r="AH26" s="61">
        <v>18.282</v>
      </c>
      <c r="AI26" s="61">
        <v>2.7309999999999999</v>
      </c>
      <c r="AJ26" s="61">
        <f t="shared" si="18"/>
        <v>6.7829999999999995</v>
      </c>
      <c r="AK26" s="61">
        <f t="shared" si="19"/>
        <v>19.009</v>
      </c>
      <c r="AL26" s="61">
        <f t="shared" si="20"/>
        <v>14.499999999999998</v>
      </c>
      <c r="AM26" s="99">
        <f t="shared" ref="AM26:BB26" si="23">AL46*AL44</f>
        <v>14.499999999999998</v>
      </c>
      <c r="AN26" s="99">
        <f t="shared" si="23"/>
        <v>3.3919622727272722</v>
      </c>
      <c r="AO26" s="99">
        <f t="shared" si="23"/>
        <v>4.652481270041319</v>
      </c>
      <c r="AP26" s="99">
        <f t="shared" si="23"/>
        <v>5.4670349355209389</v>
      </c>
      <c r="AQ26" s="99">
        <f t="shared" si="23"/>
        <v>7.4626969170659887</v>
      </c>
      <c r="AR26" s="99">
        <f t="shared" si="23"/>
        <v>27.208638351671826</v>
      </c>
      <c r="AS26" s="99">
        <f t="shared" si="23"/>
        <v>58.879822300412272</v>
      </c>
      <c r="AT26" s="99">
        <f t="shared" si="23"/>
        <v>89.598854224054293</v>
      </c>
      <c r="AU26" s="99">
        <f t="shared" si="23"/>
        <v>130.32742711706982</v>
      </c>
      <c r="AV26" s="99">
        <f t="shared" si="23"/>
        <v>182.60396813430444</v>
      </c>
      <c r="AW26" s="99">
        <f t="shared" si="23"/>
        <v>248.14849264583503</v>
      </c>
      <c r="AX26" s="99">
        <f t="shared" si="23"/>
        <v>328.88135021756221</v>
      </c>
      <c r="AY26" s="99">
        <f t="shared" si="23"/>
        <v>426.94375719035645</v>
      </c>
      <c r="AZ26" s="99">
        <f t="shared" si="23"/>
        <v>544.72027744709681</v>
      </c>
      <c r="BA26" s="99">
        <f t="shared" si="23"/>
        <v>684.86342704801166</v>
      </c>
      <c r="BB26" s="99">
        <f t="shared" si="23"/>
        <v>850.32059370228251</v>
      </c>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row>
    <row r="27" spans="2:272" x14ac:dyDescent="0.25">
      <c r="B27" s="53" t="s">
        <v>208</v>
      </c>
      <c r="C27" s="61" t="s">
        <v>199</v>
      </c>
      <c r="D27" s="61" t="s">
        <v>199</v>
      </c>
      <c r="E27" s="61" t="s">
        <v>199</v>
      </c>
      <c r="F27" s="61" t="s">
        <v>199</v>
      </c>
      <c r="G27" s="61" t="s">
        <v>199</v>
      </c>
      <c r="H27" s="61" t="s">
        <v>199</v>
      </c>
      <c r="I27" s="61" t="s">
        <v>199</v>
      </c>
      <c r="J27" s="61" t="s">
        <v>199</v>
      </c>
      <c r="K27" s="61" t="s">
        <v>199</v>
      </c>
      <c r="L27" s="61" t="s">
        <v>199</v>
      </c>
      <c r="M27" s="61" t="s">
        <v>199</v>
      </c>
      <c r="N27" s="61" t="s">
        <v>199</v>
      </c>
      <c r="O27" s="61">
        <v>-4.5</v>
      </c>
      <c r="P27" s="61">
        <v>0</v>
      </c>
      <c r="Q27" s="61">
        <v>0</v>
      </c>
      <c r="R27" s="61">
        <v>0</v>
      </c>
      <c r="S27" s="61"/>
      <c r="T27" s="61"/>
      <c r="U27" s="61"/>
      <c r="V27" s="61"/>
      <c r="W27" s="61"/>
      <c r="X27" s="61"/>
      <c r="Y27" s="61"/>
      <c r="Z27" s="61"/>
      <c r="AA27" s="61"/>
      <c r="AB27" s="61"/>
      <c r="AC27" s="61"/>
      <c r="AD27" s="61"/>
      <c r="AE27" s="61"/>
      <c r="AF27" s="52"/>
      <c r="AG27" s="53" t="str">
        <f t="shared" si="3"/>
        <v>Income/(Loss) from Affiliates</v>
      </c>
      <c r="AH27" s="61" t="s">
        <v>199</v>
      </c>
      <c r="AI27" s="61" t="s">
        <v>199</v>
      </c>
      <c r="AJ27" s="61">
        <f t="shared" si="18"/>
        <v>0</v>
      </c>
      <c r="AK27" s="61">
        <f t="shared" si="19"/>
        <v>0</v>
      </c>
      <c r="AL27" s="61">
        <f t="shared" si="20"/>
        <v>0</v>
      </c>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row>
    <row r="28" spans="2:272" x14ac:dyDescent="0.25">
      <c r="B28" s="53" t="s">
        <v>209</v>
      </c>
      <c r="C28" s="61">
        <v>33.427</v>
      </c>
      <c r="D28" s="61" t="s">
        <v>199</v>
      </c>
      <c r="E28" s="61" t="s">
        <v>199</v>
      </c>
      <c r="F28" s="61">
        <v>-0.1</v>
      </c>
      <c r="G28" s="61" t="s">
        <v>199</v>
      </c>
      <c r="H28" s="61">
        <v>0.73599999999999999</v>
      </c>
      <c r="I28" s="61">
        <v>-0.3</v>
      </c>
      <c r="J28" s="61">
        <v>-1.2</v>
      </c>
      <c r="K28" s="61">
        <v>-0.1</v>
      </c>
      <c r="L28" s="61">
        <v>0</v>
      </c>
      <c r="M28" s="61">
        <v>-0.1</v>
      </c>
      <c r="N28" s="61">
        <v>-0.1</v>
      </c>
      <c r="O28" s="61">
        <v>0.26600000000000001</v>
      </c>
      <c r="P28" s="61">
        <v>0</v>
      </c>
      <c r="Q28" s="61">
        <v>0</v>
      </c>
      <c r="R28" s="61">
        <v>0</v>
      </c>
      <c r="S28" s="61"/>
      <c r="T28" s="61"/>
      <c r="U28" s="61"/>
      <c r="V28" s="61"/>
      <c r="W28" s="61"/>
      <c r="X28" s="61"/>
      <c r="Y28" s="61"/>
      <c r="Z28" s="61"/>
      <c r="AA28" s="61"/>
      <c r="AB28" s="61"/>
      <c r="AC28" s="61"/>
      <c r="AD28" s="61"/>
      <c r="AE28" s="61"/>
      <c r="AF28" s="52"/>
      <c r="AG28" s="53" t="str">
        <f t="shared" si="3"/>
        <v>Other Non-Operating Inc. (Exp.)</v>
      </c>
      <c r="AH28" s="61" t="s">
        <v>199</v>
      </c>
      <c r="AI28" s="61">
        <v>-8.1999999999999993</v>
      </c>
      <c r="AJ28" s="61">
        <f t="shared" si="18"/>
        <v>33.326999999999998</v>
      </c>
      <c r="AK28" s="61">
        <f t="shared" si="19"/>
        <v>-0.76400000000000001</v>
      </c>
      <c r="AL28" s="61">
        <f t="shared" si="20"/>
        <v>-0.30000000000000004</v>
      </c>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row>
    <row r="29" spans="2:272" x14ac:dyDescent="0.25">
      <c r="B29" s="60" t="s">
        <v>210</v>
      </c>
      <c r="C29" s="62">
        <v>-88.8</v>
      </c>
      <c r="D29" s="62">
        <v>-52.9</v>
      </c>
      <c r="E29" s="62">
        <v>-42.4</v>
      </c>
      <c r="F29" s="62">
        <v>-45</v>
      </c>
      <c r="G29" s="62">
        <v>-39.4</v>
      </c>
      <c r="H29" s="62">
        <v>-34.6</v>
      </c>
      <c r="I29" s="62">
        <v>-34.5</v>
      </c>
      <c r="J29" s="62">
        <v>-34.200000000000003</v>
      </c>
      <c r="K29" s="62">
        <v>-35.9</v>
      </c>
      <c r="L29" s="62">
        <v>-39</v>
      </c>
      <c r="M29" s="62">
        <v>-37</v>
      </c>
      <c r="N29" s="62">
        <v>-32</v>
      </c>
      <c r="O29" s="62">
        <v>-50.7</v>
      </c>
      <c r="P29" s="63">
        <f>P24+SUM(P25:P28)</f>
        <v>-47.525999999999996</v>
      </c>
      <c r="Q29" s="63">
        <f>Q24+SUM(Q25:Q28)</f>
        <v>-47.525999999999996</v>
      </c>
      <c r="R29" s="63">
        <f>R24+SUM(R25:R28)</f>
        <v>-47.525999999999996</v>
      </c>
      <c r="S29" s="63"/>
      <c r="T29" s="63"/>
      <c r="U29" s="63"/>
      <c r="V29" s="63"/>
      <c r="W29" s="63"/>
      <c r="X29" s="63"/>
      <c r="Y29" s="63"/>
      <c r="Z29" s="63"/>
      <c r="AA29" s="63"/>
      <c r="AB29" s="63"/>
      <c r="AC29" s="63"/>
      <c r="AD29" s="63"/>
      <c r="AE29" s="63"/>
      <c r="AF29" s="52"/>
      <c r="AG29" s="60" t="str">
        <f t="shared" si="3"/>
        <v xml:space="preserve">  EBT Excl. Unusual Items</v>
      </c>
      <c r="AH29" s="62">
        <v>-398.8</v>
      </c>
      <c r="AI29" s="62">
        <v>-498.9</v>
      </c>
      <c r="AJ29" s="62">
        <f t="shared" si="18"/>
        <v>-229.1</v>
      </c>
      <c r="AK29" s="62">
        <f t="shared" si="19"/>
        <v>-142.69999999999999</v>
      </c>
      <c r="AL29" s="62">
        <f t="shared" si="20"/>
        <v>-143.9</v>
      </c>
      <c r="AM29" s="62">
        <f t="shared" ref="AM29:BB29" si="24">SUM(AM24:AM26)</f>
        <v>-236.30146400000001</v>
      </c>
      <c r="AN29" s="62">
        <f t="shared" si="24"/>
        <v>-277.81486564727277</v>
      </c>
      <c r="AO29" s="62">
        <f t="shared" si="24"/>
        <v>-285.66385548755869</v>
      </c>
      <c r="AP29" s="62">
        <f t="shared" si="24"/>
        <v>-264.87634912480712</v>
      </c>
      <c r="AQ29" s="62">
        <f t="shared" si="24"/>
        <v>434.41071156132841</v>
      </c>
      <c r="AR29" s="62">
        <f t="shared" si="24"/>
        <v>696.76604687228985</v>
      </c>
      <c r="AS29" s="62">
        <f t="shared" si="24"/>
        <v>675.81870232012443</v>
      </c>
      <c r="AT29" s="62">
        <f t="shared" si="24"/>
        <v>896.02860364634125</v>
      </c>
      <c r="AU29" s="62">
        <f t="shared" si="24"/>
        <v>1150.0839023791618</v>
      </c>
      <c r="AV29" s="62">
        <f t="shared" si="24"/>
        <v>1441.9795392536728</v>
      </c>
      <c r="AW29" s="62">
        <f t="shared" si="24"/>
        <v>1776.1228665779984</v>
      </c>
      <c r="AX29" s="62">
        <f t="shared" si="24"/>
        <v>2157.3729534014738</v>
      </c>
      <c r="AY29" s="62">
        <f t="shared" si="24"/>
        <v>2591.0834456482871</v>
      </c>
      <c r="AZ29" s="62">
        <f t="shared" si="24"/>
        <v>3083.1492912201256</v>
      </c>
      <c r="BA29" s="62">
        <f t="shared" si="24"/>
        <v>3640.0576663939587</v>
      </c>
      <c r="BB29" s="62">
        <f t="shared" si="24"/>
        <v>4268.943468354194</v>
      </c>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row>
    <row r="30" spans="2:272" x14ac:dyDescent="0.25">
      <c r="B30" s="53" t="s">
        <v>211</v>
      </c>
      <c r="C30" s="61">
        <v>-1.5</v>
      </c>
      <c r="D30" s="61">
        <v>-106</v>
      </c>
      <c r="E30" s="61">
        <v>-16.8</v>
      </c>
      <c r="F30" s="61">
        <v>-11.6</v>
      </c>
      <c r="G30" s="61">
        <v>-21.2</v>
      </c>
      <c r="H30" s="61">
        <v>-16.600000000000001</v>
      </c>
      <c r="I30" s="61">
        <v>-11.4</v>
      </c>
      <c r="J30" s="61">
        <v>-2.9</v>
      </c>
      <c r="K30" s="61">
        <v>-1</v>
      </c>
      <c r="L30" s="61">
        <v>-13.3</v>
      </c>
      <c r="M30" s="61">
        <v>0</v>
      </c>
      <c r="N30" s="61">
        <v>-1.4</v>
      </c>
      <c r="O30" s="61">
        <v>-0.2</v>
      </c>
      <c r="P30" s="61">
        <v>0</v>
      </c>
      <c r="Q30" s="61">
        <v>0</v>
      </c>
      <c r="R30" s="61">
        <v>0</v>
      </c>
      <c r="S30" s="61"/>
      <c r="T30" s="61"/>
      <c r="U30" s="61"/>
      <c r="V30" s="61"/>
      <c r="W30" s="61"/>
      <c r="X30" s="61"/>
      <c r="Y30" s="61"/>
      <c r="Z30" s="61"/>
      <c r="AA30" s="61"/>
      <c r="AB30" s="61"/>
      <c r="AC30" s="61"/>
      <c r="AD30" s="61"/>
      <c r="AE30" s="61"/>
      <c r="AF30" s="52"/>
      <c r="AG30" s="53" t="str">
        <f t="shared" si="3"/>
        <v>Restructuring Charges</v>
      </c>
      <c r="AH30" s="61" t="s">
        <v>199</v>
      </c>
      <c r="AI30" s="61" t="s">
        <v>199</v>
      </c>
      <c r="AJ30" s="61">
        <f t="shared" si="18"/>
        <v>-135.9</v>
      </c>
      <c r="AK30" s="61">
        <f t="shared" si="19"/>
        <v>-52.099999999999994</v>
      </c>
      <c r="AL30" s="61">
        <f t="shared" si="20"/>
        <v>-15.700000000000001</v>
      </c>
      <c r="AM30" s="52">
        <v>0</v>
      </c>
      <c r="AN30" s="52">
        <v>0</v>
      </c>
      <c r="AO30" s="52">
        <v>0</v>
      </c>
      <c r="AP30" s="52">
        <v>0</v>
      </c>
      <c r="AQ30" s="52">
        <v>0</v>
      </c>
      <c r="AR30" s="52">
        <v>0</v>
      </c>
      <c r="AS30" s="52">
        <v>0</v>
      </c>
      <c r="AT30" s="52">
        <v>0</v>
      </c>
      <c r="AU30" s="52">
        <v>0</v>
      </c>
      <c r="AV30" s="52">
        <v>0</v>
      </c>
      <c r="AW30" s="52">
        <v>0</v>
      </c>
      <c r="AX30" s="52">
        <v>0</v>
      </c>
      <c r="AY30" s="52">
        <v>0</v>
      </c>
      <c r="AZ30" s="52">
        <v>0</v>
      </c>
      <c r="BA30" s="52">
        <v>0</v>
      </c>
      <c r="BB30" s="52">
        <v>0</v>
      </c>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row>
    <row r="31" spans="2:272" x14ac:dyDescent="0.25">
      <c r="B31" s="53" t="s">
        <v>212</v>
      </c>
      <c r="C31" s="61" t="s">
        <v>199</v>
      </c>
      <c r="D31" s="61" t="s">
        <v>199</v>
      </c>
      <c r="E31" s="61" t="s">
        <v>199</v>
      </c>
      <c r="F31" s="61" t="s">
        <v>199</v>
      </c>
      <c r="G31" s="61">
        <v>-76.5</v>
      </c>
      <c r="H31" s="61" t="s">
        <v>199</v>
      </c>
      <c r="I31" s="61" t="s">
        <v>199</v>
      </c>
      <c r="J31" s="61">
        <v>0</v>
      </c>
      <c r="K31" s="61" t="s">
        <v>199</v>
      </c>
      <c r="L31" s="61" t="s">
        <v>199</v>
      </c>
      <c r="M31" s="61" t="s">
        <v>199</v>
      </c>
      <c r="N31" s="61" t="s">
        <v>199</v>
      </c>
      <c r="O31" s="61" t="s">
        <v>199</v>
      </c>
      <c r="P31" s="61">
        <v>0</v>
      </c>
      <c r="Q31" s="61">
        <v>0</v>
      </c>
      <c r="R31" s="61">
        <v>0</v>
      </c>
      <c r="S31" s="61"/>
      <c r="T31" s="61"/>
      <c r="U31" s="61"/>
      <c r="V31" s="61"/>
      <c r="W31" s="61"/>
      <c r="X31" s="61"/>
      <c r="Y31" s="61"/>
      <c r="Z31" s="61"/>
      <c r="AA31" s="61"/>
      <c r="AB31" s="61"/>
      <c r="AC31" s="61"/>
      <c r="AD31" s="61"/>
      <c r="AE31" s="61"/>
      <c r="AF31" s="52"/>
      <c r="AG31" s="53" t="str">
        <f t="shared" si="3"/>
        <v>Impairment of Goodwill</v>
      </c>
      <c r="AH31" s="61" t="s">
        <v>199</v>
      </c>
      <c r="AI31" s="61" t="s">
        <v>199</v>
      </c>
      <c r="AJ31" s="61">
        <f t="shared" si="18"/>
        <v>0</v>
      </c>
      <c r="AK31" s="61">
        <f t="shared" si="19"/>
        <v>-76.5</v>
      </c>
      <c r="AL31" s="61">
        <f t="shared" si="20"/>
        <v>0</v>
      </c>
      <c r="AM31" s="52">
        <v>0</v>
      </c>
      <c r="AN31" s="52">
        <v>0</v>
      </c>
      <c r="AO31" s="52">
        <v>0</v>
      </c>
      <c r="AP31" s="52">
        <v>0</v>
      </c>
      <c r="AQ31" s="52">
        <v>0</v>
      </c>
      <c r="AR31" s="52">
        <v>0</v>
      </c>
      <c r="AS31" s="52">
        <v>0</v>
      </c>
      <c r="AT31" s="52">
        <v>0</v>
      </c>
      <c r="AU31" s="52">
        <v>0</v>
      </c>
      <c r="AV31" s="52">
        <v>0</v>
      </c>
      <c r="AW31" s="52">
        <v>0</v>
      </c>
      <c r="AX31" s="52">
        <v>0</v>
      </c>
      <c r="AY31" s="52">
        <v>0</v>
      </c>
      <c r="AZ31" s="52">
        <v>0</v>
      </c>
      <c r="BA31" s="52">
        <v>0</v>
      </c>
      <c r="BB31" s="52">
        <v>0</v>
      </c>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row>
    <row r="32" spans="2:272" x14ac:dyDescent="0.25">
      <c r="B32" s="53" t="s">
        <v>213</v>
      </c>
      <c r="C32" s="61" t="s">
        <v>199</v>
      </c>
      <c r="D32" s="61" t="s">
        <v>199</v>
      </c>
      <c r="E32" s="61" t="s">
        <v>199</v>
      </c>
      <c r="F32" s="61" t="s">
        <v>199</v>
      </c>
      <c r="G32" s="61" t="s">
        <v>199</v>
      </c>
      <c r="H32" s="61" t="s">
        <v>199</v>
      </c>
      <c r="I32" s="61" t="s">
        <v>199</v>
      </c>
      <c r="J32" s="61">
        <v>-5.0999999999999996</v>
      </c>
      <c r="K32" s="61" t="s">
        <v>199</v>
      </c>
      <c r="L32" s="61" t="s">
        <v>199</v>
      </c>
      <c r="M32" s="61" t="s">
        <v>199</v>
      </c>
      <c r="N32" s="61">
        <v>40.39</v>
      </c>
      <c r="O32" s="61" t="s">
        <v>199</v>
      </c>
      <c r="P32" s="61">
        <v>0</v>
      </c>
      <c r="Q32" s="61">
        <v>0</v>
      </c>
      <c r="R32" s="61">
        <v>0</v>
      </c>
      <c r="S32" s="61"/>
      <c r="T32" s="61"/>
      <c r="U32" s="61"/>
      <c r="V32" s="61"/>
      <c r="W32" s="61"/>
      <c r="X32" s="61"/>
      <c r="Y32" s="61"/>
      <c r="Z32" s="61"/>
      <c r="AA32" s="61"/>
      <c r="AB32" s="61"/>
      <c r="AC32" s="61"/>
      <c r="AD32" s="61"/>
      <c r="AE32" s="61"/>
      <c r="AF32" s="52"/>
      <c r="AG32" s="53" t="str">
        <f t="shared" si="3"/>
        <v>Gain (Loss) On Sale Of Assets</v>
      </c>
      <c r="AH32" s="61" t="s">
        <v>199</v>
      </c>
      <c r="AI32" s="61" t="s">
        <v>199</v>
      </c>
      <c r="AJ32" s="61">
        <f t="shared" si="18"/>
        <v>0</v>
      </c>
      <c r="AK32" s="61">
        <f t="shared" si="19"/>
        <v>-5.0999999999999996</v>
      </c>
      <c r="AL32" s="61">
        <f t="shared" si="20"/>
        <v>40.39</v>
      </c>
      <c r="AM32" s="52">
        <v>0</v>
      </c>
      <c r="AN32" s="52">
        <v>0</v>
      </c>
      <c r="AO32" s="52">
        <v>0</v>
      </c>
      <c r="AP32" s="52">
        <v>0</v>
      </c>
      <c r="AQ32" s="52">
        <v>0</v>
      </c>
      <c r="AR32" s="52">
        <v>0</v>
      </c>
      <c r="AS32" s="52">
        <v>0</v>
      </c>
      <c r="AT32" s="52">
        <v>0</v>
      </c>
      <c r="AU32" s="52">
        <v>0</v>
      </c>
      <c r="AV32" s="52">
        <v>0</v>
      </c>
      <c r="AW32" s="52">
        <v>0</v>
      </c>
      <c r="AX32" s="52">
        <v>0</v>
      </c>
      <c r="AY32" s="52">
        <v>0</v>
      </c>
      <c r="AZ32" s="52">
        <v>0</v>
      </c>
      <c r="BA32" s="52">
        <v>0</v>
      </c>
      <c r="BB32" s="52">
        <v>0</v>
      </c>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row>
    <row r="33" spans="2:272" x14ac:dyDescent="0.25">
      <c r="B33" s="60" t="s">
        <v>214</v>
      </c>
      <c r="C33" s="62">
        <v>-90.3</v>
      </c>
      <c r="D33" s="62">
        <v>-159</v>
      </c>
      <c r="E33" s="62">
        <v>-59.2</v>
      </c>
      <c r="F33" s="62">
        <v>-56.5</v>
      </c>
      <c r="G33" s="62">
        <v>-137.1</v>
      </c>
      <c r="H33" s="62">
        <v>-51.2</v>
      </c>
      <c r="I33" s="62">
        <v>-45.9</v>
      </c>
      <c r="J33" s="62">
        <v>-42.1</v>
      </c>
      <c r="K33" s="62">
        <v>-36.799999999999997</v>
      </c>
      <c r="L33" s="62">
        <v>-52.3</v>
      </c>
      <c r="M33" s="62">
        <v>-37</v>
      </c>
      <c r="N33" s="62">
        <v>7.0019999999999998</v>
      </c>
      <c r="O33" s="62">
        <v>-50.8</v>
      </c>
      <c r="P33" s="103">
        <f>SUM(P29:P32)</f>
        <v>-47.525999999999996</v>
      </c>
      <c r="Q33" s="103">
        <f>SUM(Q29:Q32)</f>
        <v>-47.525999999999996</v>
      </c>
      <c r="R33" s="103">
        <f>SUM(R29:R32)</f>
        <v>-47.525999999999996</v>
      </c>
      <c r="S33" s="63"/>
      <c r="T33" s="63"/>
      <c r="U33" s="63"/>
      <c r="V33" s="63"/>
      <c r="W33" s="63"/>
      <c r="X33" s="63"/>
      <c r="Y33" s="63"/>
      <c r="Z33" s="63"/>
      <c r="AA33" s="63"/>
      <c r="AB33" s="63"/>
      <c r="AC33" s="63"/>
      <c r="AD33" s="63"/>
      <c r="AE33" s="63"/>
      <c r="AF33" s="52"/>
      <c r="AG33" s="60" t="str">
        <f t="shared" si="3"/>
        <v xml:space="preserve">  EBT Incl. Unusual Items</v>
      </c>
      <c r="AH33" s="61">
        <v>-45.2</v>
      </c>
      <c r="AI33" s="61">
        <v>-24.4</v>
      </c>
      <c r="AJ33" s="61">
        <f t="shared" si="18"/>
        <v>-365</v>
      </c>
      <c r="AK33" s="61">
        <f t="shared" si="19"/>
        <v>-276.3</v>
      </c>
      <c r="AL33" s="61">
        <f t="shared" si="20"/>
        <v>-119.098</v>
      </c>
      <c r="AM33" s="61">
        <f t="shared" ref="AM33:BB33" si="25">AM29</f>
        <v>-236.30146400000001</v>
      </c>
      <c r="AN33" s="61">
        <f t="shared" si="25"/>
        <v>-277.81486564727277</v>
      </c>
      <c r="AO33" s="61">
        <f t="shared" si="25"/>
        <v>-285.66385548755869</v>
      </c>
      <c r="AP33" s="61">
        <f t="shared" si="25"/>
        <v>-264.87634912480712</v>
      </c>
      <c r="AQ33" s="61">
        <f t="shared" si="25"/>
        <v>434.41071156132841</v>
      </c>
      <c r="AR33" s="61">
        <f t="shared" si="25"/>
        <v>696.76604687228985</v>
      </c>
      <c r="AS33" s="61">
        <f t="shared" si="25"/>
        <v>675.81870232012443</v>
      </c>
      <c r="AT33" s="61">
        <f t="shared" si="25"/>
        <v>896.02860364634125</v>
      </c>
      <c r="AU33" s="61">
        <f t="shared" si="25"/>
        <v>1150.0839023791618</v>
      </c>
      <c r="AV33" s="61">
        <f t="shared" si="25"/>
        <v>1441.9795392536728</v>
      </c>
      <c r="AW33" s="61">
        <f t="shared" si="25"/>
        <v>1776.1228665779984</v>
      </c>
      <c r="AX33" s="61">
        <f t="shared" si="25"/>
        <v>2157.3729534014738</v>
      </c>
      <c r="AY33" s="61">
        <f t="shared" si="25"/>
        <v>2591.0834456482871</v>
      </c>
      <c r="AZ33" s="61">
        <f t="shared" si="25"/>
        <v>3083.1492912201256</v>
      </c>
      <c r="BA33" s="61">
        <f t="shared" si="25"/>
        <v>3640.0576663939587</v>
      </c>
      <c r="BB33" s="61">
        <f t="shared" si="25"/>
        <v>4268.943468354194</v>
      </c>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row>
    <row r="34" spans="2:272" x14ac:dyDescent="0.25">
      <c r="B34" s="53"/>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2"/>
      <c r="AG34" s="53"/>
      <c r="AH34" s="62">
        <v>-443.9</v>
      </c>
      <c r="AI34" s="62">
        <v>-523.29999999999995</v>
      </c>
      <c r="AJ34" s="62"/>
      <c r="AK34" s="62"/>
      <c r="AL34" s="6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row>
    <row r="35" spans="2:272" x14ac:dyDescent="0.25">
      <c r="B35" s="53" t="s">
        <v>215</v>
      </c>
      <c r="C35" s="61">
        <v>0.126</v>
      </c>
      <c r="D35" s="61">
        <v>0.1</v>
      </c>
      <c r="E35" s="61">
        <v>-0.2</v>
      </c>
      <c r="F35" s="61">
        <v>3.1440000000000001</v>
      </c>
      <c r="G35" s="61">
        <v>-0.1</v>
      </c>
      <c r="H35" s="61">
        <v>0</v>
      </c>
      <c r="I35" s="61">
        <v>-0.1</v>
      </c>
      <c r="J35" s="61">
        <v>0</v>
      </c>
      <c r="K35" s="61">
        <v>0</v>
      </c>
      <c r="L35" s="61">
        <v>4.5999999999999999E-2</v>
      </c>
      <c r="M35" s="61">
        <v>8.9999999999999993E-3</v>
      </c>
      <c r="N35" s="61">
        <v>-0.3</v>
      </c>
      <c r="O35" s="61">
        <v>5.1999999999999998E-2</v>
      </c>
      <c r="P35" s="61"/>
      <c r="Q35" s="61"/>
      <c r="R35" s="61"/>
      <c r="S35" s="61"/>
      <c r="T35" s="61"/>
      <c r="U35" s="61"/>
      <c r="V35" s="61"/>
      <c r="W35" s="61"/>
      <c r="X35" s="61"/>
      <c r="Y35" s="61"/>
      <c r="Z35" s="61"/>
      <c r="AA35" s="61"/>
      <c r="AB35" s="61"/>
      <c r="AC35" s="61"/>
      <c r="AD35" s="61"/>
      <c r="AE35" s="61"/>
      <c r="AF35" s="52"/>
      <c r="AG35" s="53" t="str">
        <f t="shared" si="3"/>
        <v>Income Tax Expense</v>
      </c>
      <c r="AH35" s="61">
        <v>0.49299999999999999</v>
      </c>
      <c r="AI35" s="61">
        <v>0.55700000000000005</v>
      </c>
      <c r="AJ35" s="61">
        <f>SUM(C35:F35)</f>
        <v>3.17</v>
      </c>
      <c r="AK35" s="61">
        <f>SUM(G35:J35)</f>
        <v>-0.2</v>
      </c>
      <c r="AL35" s="61">
        <f>SUM(K35:N35)</f>
        <v>-0.245</v>
      </c>
      <c r="AM35" s="52">
        <f t="shared" ref="AM35:BB35" si="26">IF(AM33&gt;0,AM33*0.2,0)</f>
        <v>0</v>
      </c>
      <c r="AN35" s="52">
        <f t="shared" si="26"/>
        <v>0</v>
      </c>
      <c r="AO35" s="52">
        <f t="shared" si="26"/>
        <v>0</v>
      </c>
      <c r="AP35" s="52">
        <f t="shared" si="26"/>
        <v>0</v>
      </c>
      <c r="AQ35" s="52">
        <f t="shared" si="26"/>
        <v>86.882142312265685</v>
      </c>
      <c r="AR35" s="52">
        <f t="shared" si="26"/>
        <v>139.35320937445798</v>
      </c>
      <c r="AS35" s="52">
        <f t="shared" si="26"/>
        <v>135.1637404640249</v>
      </c>
      <c r="AT35" s="52">
        <f t="shared" si="26"/>
        <v>179.20572072926825</v>
      </c>
      <c r="AU35" s="52">
        <f t="shared" si="26"/>
        <v>230.01678047583238</v>
      </c>
      <c r="AV35" s="52">
        <f t="shared" si="26"/>
        <v>288.39590785073455</v>
      </c>
      <c r="AW35" s="52">
        <f t="shared" si="26"/>
        <v>355.22457331559968</v>
      </c>
      <c r="AX35" s="52">
        <f t="shared" si="26"/>
        <v>431.4745906802948</v>
      </c>
      <c r="AY35" s="52">
        <f t="shared" si="26"/>
        <v>518.21668912965742</v>
      </c>
      <c r="AZ35" s="52">
        <f t="shared" si="26"/>
        <v>616.62985824402517</v>
      </c>
      <c r="BA35" s="52">
        <f t="shared" si="26"/>
        <v>728.01153327879183</v>
      </c>
      <c r="BB35" s="52">
        <f t="shared" si="26"/>
        <v>853.78869367083882</v>
      </c>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row>
    <row r="36" spans="2:272" x14ac:dyDescent="0.25">
      <c r="B36" s="60" t="s">
        <v>216</v>
      </c>
      <c r="C36" s="64">
        <v>-90.4</v>
      </c>
      <c r="D36" s="64">
        <v>-159.1</v>
      </c>
      <c r="E36" s="64">
        <v>-59</v>
      </c>
      <c r="F36" s="64">
        <v>-59.7</v>
      </c>
      <c r="G36" s="64">
        <v>-137</v>
      </c>
      <c r="H36" s="64">
        <v>-51.1</v>
      </c>
      <c r="I36" s="64">
        <v>-45.8</v>
      </c>
      <c r="J36" s="64">
        <v>-42.1</v>
      </c>
      <c r="K36" s="64">
        <v>-36.799999999999997</v>
      </c>
      <c r="L36" s="64">
        <v>-52.4</v>
      </c>
      <c r="M36" s="64">
        <v>-37.1</v>
      </c>
      <c r="N36" s="64">
        <v>7.2610000000000001</v>
      </c>
      <c r="O36" s="64">
        <v>-50.9</v>
      </c>
      <c r="P36" s="74">
        <f>P33</f>
        <v>-47.525999999999996</v>
      </c>
      <c r="Q36" s="74">
        <f>Q33</f>
        <v>-47.525999999999996</v>
      </c>
      <c r="R36" s="74">
        <f>R33</f>
        <v>-47.525999999999996</v>
      </c>
      <c r="S36" s="74"/>
      <c r="T36" s="74"/>
      <c r="U36" s="74"/>
      <c r="V36" s="74"/>
      <c r="W36" s="74"/>
      <c r="X36" s="74"/>
      <c r="Y36" s="74"/>
      <c r="Z36" s="74"/>
      <c r="AA36" s="74"/>
      <c r="AB36" s="74"/>
      <c r="AC36" s="74"/>
      <c r="AD36" s="74"/>
      <c r="AE36" s="74"/>
      <c r="AF36" s="52"/>
      <c r="AG36" s="60" t="str">
        <f t="shared" si="3"/>
        <v xml:space="preserve">  Net Income</v>
      </c>
      <c r="AH36" s="64">
        <v>-444.4</v>
      </c>
      <c r="AI36" s="64">
        <v>-523.79999999999995</v>
      </c>
      <c r="AJ36" s="64">
        <f>SUM(C36:F36)</f>
        <v>-368.2</v>
      </c>
      <c r="AK36" s="64">
        <f>SUM(G36:J36)</f>
        <v>-276</v>
      </c>
      <c r="AL36" s="64">
        <f>SUM(K36:N36)</f>
        <v>-119.03899999999999</v>
      </c>
      <c r="AM36" s="64">
        <f t="shared" ref="AM36:BB36" si="27">AM33-AM35</f>
        <v>-236.30146400000001</v>
      </c>
      <c r="AN36" s="64">
        <f t="shared" si="27"/>
        <v>-277.81486564727277</v>
      </c>
      <c r="AO36" s="64">
        <f t="shared" si="27"/>
        <v>-285.66385548755869</v>
      </c>
      <c r="AP36" s="64">
        <f t="shared" si="27"/>
        <v>-264.87634912480712</v>
      </c>
      <c r="AQ36" s="64">
        <f t="shared" si="27"/>
        <v>347.52856924906274</v>
      </c>
      <c r="AR36" s="64">
        <f t="shared" si="27"/>
        <v>557.4128374978319</v>
      </c>
      <c r="AS36" s="64">
        <f t="shared" si="27"/>
        <v>540.65496185609959</v>
      </c>
      <c r="AT36" s="64">
        <f t="shared" si="27"/>
        <v>716.822882917073</v>
      </c>
      <c r="AU36" s="64">
        <f t="shared" si="27"/>
        <v>920.06712190332951</v>
      </c>
      <c r="AV36" s="64">
        <f t="shared" si="27"/>
        <v>1153.5836314029382</v>
      </c>
      <c r="AW36" s="64">
        <f t="shared" si="27"/>
        <v>1420.8982932623987</v>
      </c>
      <c r="AX36" s="64">
        <f t="shared" si="27"/>
        <v>1725.898362721179</v>
      </c>
      <c r="AY36" s="64">
        <f t="shared" si="27"/>
        <v>2072.8667565186297</v>
      </c>
      <c r="AZ36" s="64">
        <f t="shared" si="27"/>
        <v>2466.5194329761007</v>
      </c>
      <c r="BA36" s="64">
        <f t="shared" si="27"/>
        <v>2912.0461331151669</v>
      </c>
      <c r="BB36" s="64">
        <f t="shared" si="27"/>
        <v>3415.1547746833553</v>
      </c>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row>
    <row r="37" spans="2:272" x14ac:dyDescent="0.25">
      <c r="B37" s="53"/>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2"/>
      <c r="AG37">
        <f t="shared" si="3"/>
        <v>0</v>
      </c>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row>
    <row r="38" spans="2:272" x14ac:dyDescent="0.25">
      <c r="B38" s="86" t="s">
        <v>564</v>
      </c>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2"/>
      <c r="AG38" s="39" t="str">
        <f t="shared" si="3"/>
        <v xml:space="preserve">Additional Items </v>
      </c>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row>
    <row r="39" spans="2:272" x14ac:dyDescent="0.25">
      <c r="B39" s="53" t="s">
        <v>550</v>
      </c>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2"/>
      <c r="AG39" t="str">
        <f t="shared" si="3"/>
        <v xml:space="preserve">Gross Margin </v>
      </c>
      <c r="AH39" s="52"/>
      <c r="AI39" s="52"/>
      <c r="AJ39" s="84">
        <f>AJ18/AJ16</f>
        <v>0.76497745912769544</v>
      </c>
      <c r="AK39" s="84">
        <f>AK18/AK16</f>
        <v>0.62530791593617541</v>
      </c>
      <c r="AL39" s="84">
        <f>AL18/AL16</f>
        <v>0.68823595151736827</v>
      </c>
      <c r="AM39" s="52">
        <v>0</v>
      </c>
      <c r="AN39" s="52">
        <v>0</v>
      </c>
      <c r="AO39" s="52">
        <v>0</v>
      </c>
      <c r="AP39" s="14">
        <v>0</v>
      </c>
      <c r="AQ39" s="14">
        <v>0.8</v>
      </c>
      <c r="AR39" s="14">
        <v>0.8</v>
      </c>
      <c r="AS39" s="14">
        <v>0.8</v>
      </c>
      <c r="AT39" s="14">
        <v>0.8</v>
      </c>
      <c r="AU39" s="14">
        <v>0.8</v>
      </c>
      <c r="AV39" s="14">
        <v>0.8</v>
      </c>
      <c r="AW39" s="14">
        <v>0.8</v>
      </c>
      <c r="AX39" s="14">
        <v>0.8</v>
      </c>
      <c r="AY39" s="14">
        <v>0.8</v>
      </c>
      <c r="AZ39" s="14">
        <v>0.8</v>
      </c>
      <c r="BA39" s="14">
        <v>0.8</v>
      </c>
      <c r="BB39" s="14">
        <v>0.8</v>
      </c>
      <c r="BC39" s="14">
        <v>0.8</v>
      </c>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row>
    <row r="40" spans="2:272" x14ac:dyDescent="0.25">
      <c r="B40" s="53" t="s">
        <v>563</v>
      </c>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2"/>
      <c r="AG40" t="str">
        <f t="shared" si="3"/>
        <v xml:space="preserve">Employees </v>
      </c>
      <c r="AH40" s="52">
        <v>718</v>
      </c>
      <c r="AI40" s="52">
        <v>740</v>
      </c>
      <c r="AJ40" s="92">
        <v>216</v>
      </c>
      <c r="AK40" s="92">
        <v>137</v>
      </c>
      <c r="AL40" s="92">
        <v>61</v>
      </c>
      <c r="AM40" s="52"/>
      <c r="AN40" s="52"/>
      <c r="AO40" s="52"/>
      <c r="AP40" s="14"/>
      <c r="AQ40" s="14"/>
      <c r="AR40" s="14"/>
      <c r="AS40" s="14"/>
      <c r="AT40" s="14"/>
      <c r="AU40" s="14"/>
      <c r="AV40" s="14"/>
      <c r="AW40" s="14"/>
      <c r="AX40" s="14"/>
      <c r="AY40" s="14"/>
      <c r="AZ40" s="14"/>
      <c r="BA40" s="14"/>
      <c r="BB40" s="14"/>
      <c r="BC40" s="14"/>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row>
    <row r="41" spans="2:272" x14ac:dyDescent="0.25">
      <c r="B41" t="s">
        <v>588</v>
      </c>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2"/>
      <c r="AG41" t="str">
        <f t="shared" si="3"/>
        <v xml:space="preserve">SG&amp;A / Head </v>
      </c>
      <c r="AH41" s="99">
        <f>AH20/AH40</f>
        <v>0.1457966573816156</v>
      </c>
      <c r="AI41" s="99">
        <f>AI20/AI40</f>
        <v>0.1660054054054054</v>
      </c>
      <c r="AJ41" s="99">
        <f>AJ20/AJ40</f>
        <v>0.42746759259259259</v>
      </c>
      <c r="AK41" s="99">
        <f>AK20/AK40</f>
        <v>0.56508759124087593</v>
      </c>
      <c r="AL41" s="99">
        <f>AL20/AL40</f>
        <v>1.2582131147540985</v>
      </c>
      <c r="AM41" s="52"/>
      <c r="AN41" s="52"/>
      <c r="AO41" s="52"/>
      <c r="AP41" s="14"/>
      <c r="AQ41" s="14"/>
      <c r="AR41" s="14"/>
      <c r="AS41" s="14"/>
      <c r="AT41" s="14"/>
      <c r="AU41" s="14"/>
      <c r="AV41" s="14"/>
      <c r="AW41" s="14"/>
      <c r="AX41" s="14"/>
      <c r="AY41" s="14"/>
      <c r="AZ41" s="14"/>
      <c r="BA41" s="14"/>
      <c r="BB41" s="14"/>
      <c r="BC41" s="14"/>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row>
    <row r="42" spans="2:272" x14ac:dyDescent="0.25">
      <c r="B42" t="s">
        <v>603</v>
      </c>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2"/>
      <c r="AG42" t="str">
        <f t="shared" si="3"/>
        <v xml:space="preserve">Sales reps </v>
      </c>
      <c r="AH42" s="99"/>
      <c r="AI42" s="99"/>
      <c r="AJ42" s="99"/>
      <c r="AK42" s="99"/>
      <c r="AL42" s="99"/>
      <c r="AM42" s="52"/>
      <c r="AN42" s="52"/>
      <c r="AO42" s="52"/>
      <c r="AP42" s="105"/>
      <c r="AQ42" s="105">
        <v>100</v>
      </c>
      <c r="AR42" s="105">
        <v>100</v>
      </c>
      <c r="AS42" s="105">
        <v>100</v>
      </c>
      <c r="AT42" s="105">
        <v>50</v>
      </c>
      <c r="AU42" s="105">
        <v>50</v>
      </c>
      <c r="AV42" s="105">
        <v>50</v>
      </c>
      <c r="AW42" s="105">
        <v>50</v>
      </c>
      <c r="AX42" s="105">
        <v>50</v>
      </c>
      <c r="AY42" s="105">
        <v>50</v>
      </c>
      <c r="AZ42" s="105">
        <v>50</v>
      </c>
      <c r="BA42" s="105">
        <v>50</v>
      </c>
      <c r="BB42" s="105">
        <v>50</v>
      </c>
      <c r="BC42" s="14"/>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c r="EY42" s="52"/>
      <c r="EZ42" s="52"/>
      <c r="FA42" s="52"/>
      <c r="FB42" s="52"/>
      <c r="FC42" s="52"/>
      <c r="FD42" s="52"/>
      <c r="FE42" s="52"/>
      <c r="FF42" s="52"/>
      <c r="FG42" s="52"/>
      <c r="FH42" s="52"/>
      <c r="FI42" s="52"/>
      <c r="FJ42" s="52"/>
      <c r="FK42" s="52"/>
      <c r="FL42" s="52"/>
      <c r="FM42" s="52"/>
      <c r="FN42" s="52"/>
      <c r="FO42" s="52"/>
      <c r="FP42" s="52"/>
      <c r="FQ42" s="52"/>
      <c r="FR42" s="52"/>
      <c r="FS42" s="52"/>
      <c r="FT42" s="52"/>
      <c r="FU42" s="52"/>
      <c r="FV42" s="52"/>
      <c r="FW42" s="52"/>
      <c r="FX42" s="52"/>
      <c r="FY42" s="52"/>
      <c r="FZ42" s="52"/>
      <c r="GA42" s="52"/>
      <c r="GB42" s="52"/>
      <c r="GC42" s="52"/>
      <c r="GD42" s="52"/>
      <c r="GE42" s="52"/>
      <c r="GF42" s="52"/>
      <c r="GG42" s="52"/>
      <c r="GH42" s="52"/>
      <c r="GI42" s="52"/>
      <c r="GJ42" s="52"/>
      <c r="GK42" s="52"/>
      <c r="GL42" s="52"/>
      <c r="GM42" s="52"/>
      <c r="GN42" s="52"/>
      <c r="GO42" s="52"/>
      <c r="GP42" s="52"/>
      <c r="GQ42" s="52"/>
      <c r="GR42" s="52"/>
      <c r="GS42" s="52"/>
      <c r="GT42" s="52"/>
      <c r="GU42" s="52"/>
      <c r="GV42" s="52"/>
      <c r="GW42" s="52"/>
      <c r="GX42" s="52"/>
      <c r="GY42" s="52"/>
      <c r="GZ42" s="52"/>
      <c r="HA42" s="52"/>
      <c r="HB42" s="52"/>
      <c r="HC42" s="52"/>
      <c r="HD42" s="52"/>
      <c r="HE42" s="52"/>
      <c r="HF42" s="52"/>
      <c r="HG42" s="52"/>
      <c r="HH42" s="52"/>
      <c r="HI42" s="52"/>
      <c r="HJ42" s="52"/>
      <c r="HK42" s="52"/>
      <c r="HL42" s="52"/>
      <c r="HM42" s="52"/>
      <c r="HN42" s="52"/>
      <c r="HO42" s="52"/>
      <c r="HP42" s="52"/>
      <c r="HQ42" s="52"/>
      <c r="HR42" s="52"/>
      <c r="HS42" s="52"/>
      <c r="HT42" s="52"/>
      <c r="HU42" s="52"/>
      <c r="HV42" s="52"/>
      <c r="HW42" s="52"/>
      <c r="HX42" s="52"/>
      <c r="HY42" s="52"/>
      <c r="HZ42" s="52"/>
      <c r="IA42" s="52"/>
      <c r="IB42" s="52"/>
      <c r="IC42" s="52"/>
      <c r="ID42" s="52"/>
      <c r="IE42" s="52"/>
      <c r="IF42" s="52"/>
      <c r="IG42" s="52"/>
      <c r="IH42" s="52"/>
      <c r="II42" s="52"/>
      <c r="IJ42" s="52"/>
      <c r="IK42" s="52"/>
      <c r="IL42" s="52"/>
      <c r="IM42" s="52"/>
      <c r="IN42" s="52"/>
      <c r="IO42" s="52"/>
      <c r="IP42" s="52"/>
      <c r="IQ42" s="52"/>
      <c r="IR42" s="52"/>
      <c r="IS42" s="52"/>
      <c r="IT42" s="52"/>
      <c r="IU42" s="52"/>
      <c r="IV42" s="52"/>
      <c r="IW42" s="52"/>
      <c r="IX42" s="52"/>
      <c r="IY42" s="52"/>
      <c r="IZ42" s="52"/>
      <c r="JA42" s="52"/>
      <c r="JB42" s="52"/>
      <c r="JC42" s="52"/>
      <c r="JD42" s="52"/>
      <c r="JE42" s="52"/>
      <c r="JF42" s="52"/>
      <c r="JG42" s="52"/>
      <c r="JH42" s="52"/>
      <c r="JI42" s="52"/>
      <c r="JJ42" s="52"/>
      <c r="JK42" s="52"/>
      <c r="JL42" s="52"/>
    </row>
    <row r="43" spans="2:272" x14ac:dyDescent="0.25">
      <c r="B43" t="s">
        <v>605</v>
      </c>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2"/>
      <c r="AG43" t="str">
        <f t="shared" si="3"/>
        <v xml:space="preserve">Fully loaded cost per rep </v>
      </c>
      <c r="AH43" s="99"/>
      <c r="AI43" s="99"/>
      <c r="AJ43" s="99"/>
      <c r="AK43" s="99"/>
      <c r="AL43" s="99"/>
      <c r="AM43" s="52"/>
      <c r="AN43" s="52"/>
      <c r="AO43" s="52"/>
      <c r="AP43" s="105"/>
      <c r="AQ43" s="105">
        <v>280</v>
      </c>
      <c r="AR43" s="105">
        <f t="shared" ref="AR43:BB43" si="28">AQ43*1.03</f>
        <v>288.40000000000003</v>
      </c>
      <c r="AS43" s="105">
        <f t="shared" si="28"/>
        <v>297.05200000000002</v>
      </c>
      <c r="AT43" s="105">
        <f t="shared" si="28"/>
        <v>305.96356000000003</v>
      </c>
      <c r="AU43" s="105">
        <f t="shared" si="28"/>
        <v>315.14246680000002</v>
      </c>
      <c r="AV43" s="105">
        <f t="shared" si="28"/>
        <v>324.59674080400004</v>
      </c>
      <c r="AW43" s="105">
        <f t="shared" si="28"/>
        <v>334.33464302812007</v>
      </c>
      <c r="AX43" s="105">
        <f t="shared" si="28"/>
        <v>344.36468231896367</v>
      </c>
      <c r="AY43" s="105">
        <f t="shared" si="28"/>
        <v>354.6956227885326</v>
      </c>
      <c r="AZ43" s="105">
        <f t="shared" si="28"/>
        <v>365.33649147218858</v>
      </c>
      <c r="BA43" s="105">
        <f t="shared" si="28"/>
        <v>376.29658621635423</v>
      </c>
      <c r="BB43" s="105">
        <f t="shared" si="28"/>
        <v>387.58548380284486</v>
      </c>
      <c r="BC43" s="14"/>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c r="FG43" s="52"/>
      <c r="FH43" s="52"/>
      <c r="FI43" s="52"/>
      <c r="FJ43" s="52"/>
      <c r="FK43" s="52"/>
      <c r="FL43" s="52"/>
      <c r="FM43" s="52"/>
      <c r="FN43" s="52"/>
      <c r="FO43" s="52"/>
      <c r="FP43" s="52"/>
      <c r="FQ43" s="52"/>
      <c r="FR43" s="52"/>
      <c r="FS43" s="52"/>
      <c r="FT43" s="52"/>
      <c r="FU43" s="52"/>
      <c r="FV43" s="52"/>
      <c r="FW43" s="52"/>
      <c r="FX43" s="52"/>
      <c r="FY43" s="52"/>
      <c r="FZ43" s="52"/>
      <c r="GA43" s="52"/>
      <c r="GB43" s="52"/>
      <c r="GC43" s="52"/>
      <c r="GD43" s="52"/>
      <c r="GE43" s="52"/>
      <c r="GF43" s="52"/>
      <c r="GG43" s="52"/>
      <c r="GH43" s="52"/>
      <c r="GI43" s="52"/>
      <c r="GJ43" s="52"/>
      <c r="GK43" s="52"/>
      <c r="GL43" s="52"/>
      <c r="GM43" s="52"/>
      <c r="GN43" s="52"/>
      <c r="GO43" s="52"/>
      <c r="GP43" s="52"/>
      <c r="GQ43" s="52"/>
      <c r="GR43" s="52"/>
      <c r="GS43" s="52"/>
      <c r="GT43" s="52"/>
      <c r="GU43" s="52"/>
      <c r="GV43" s="52"/>
      <c r="GW43" s="52"/>
      <c r="GX43" s="52"/>
      <c r="GY43" s="52"/>
      <c r="GZ43" s="52"/>
      <c r="HA43" s="52"/>
      <c r="HB43" s="52"/>
      <c r="HC43" s="52"/>
      <c r="HD43" s="52"/>
      <c r="HE43" s="52"/>
      <c r="HF43" s="52"/>
      <c r="HG43" s="52"/>
      <c r="HH43" s="52"/>
      <c r="HI43" s="52"/>
      <c r="HJ43" s="52"/>
      <c r="HK43" s="52"/>
      <c r="HL43" s="52"/>
      <c r="HM43" s="52"/>
      <c r="HN43" s="52"/>
      <c r="HO43" s="52"/>
      <c r="HP43" s="52"/>
      <c r="HQ43" s="52"/>
      <c r="HR43" s="52"/>
      <c r="HS43" s="52"/>
      <c r="HT43" s="52"/>
      <c r="HU43" s="52"/>
      <c r="HV43" s="52"/>
      <c r="HW43" s="52"/>
      <c r="HX43" s="52"/>
      <c r="HY43" s="52"/>
      <c r="HZ43" s="52"/>
      <c r="IA43" s="52"/>
      <c r="IB43" s="52"/>
      <c r="IC43" s="52"/>
      <c r="ID43" s="52"/>
      <c r="IE43" s="52"/>
      <c r="IF43" s="52"/>
      <c r="IG43" s="52"/>
      <c r="IH43" s="52"/>
      <c r="II43" s="52"/>
      <c r="IJ43" s="52"/>
      <c r="IK43" s="52"/>
      <c r="IL43" s="52"/>
      <c r="IM43" s="52"/>
      <c r="IN43" s="52"/>
      <c r="IO43" s="52"/>
      <c r="IP43" s="52"/>
      <c r="IQ43" s="52"/>
      <c r="IR43" s="52"/>
      <c r="IS43" s="52"/>
      <c r="IT43" s="52"/>
      <c r="IU43" s="52"/>
      <c r="IV43" s="52"/>
      <c r="IW43" s="52"/>
      <c r="IX43" s="52"/>
      <c r="IY43" s="52"/>
      <c r="IZ43" s="52"/>
      <c r="JA43" s="52"/>
      <c r="JB43" s="52"/>
      <c r="JC43" s="52"/>
      <c r="JD43" s="52"/>
      <c r="JE43" s="52"/>
      <c r="JF43" s="52"/>
      <c r="JG43" s="52"/>
      <c r="JH43" s="52"/>
      <c r="JI43" s="52"/>
      <c r="JJ43" s="52"/>
      <c r="JK43" s="52"/>
      <c r="JL43" s="52"/>
    </row>
    <row r="44" spans="2:272" x14ac:dyDescent="0.25">
      <c r="B44" t="s">
        <v>607</v>
      </c>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2"/>
      <c r="AG44" t="str">
        <f t="shared" si="3"/>
        <v>Effective Interest income %</v>
      </c>
      <c r="AH44" s="109">
        <f>AH26/AH46</f>
        <v>1.7216310387042091E-2</v>
      </c>
      <c r="AI44" s="109">
        <f>AI26/AI46</f>
        <v>3.7207084468664849E-3</v>
      </c>
      <c r="AJ44" s="109">
        <f>AJ26/AJ46</f>
        <v>1.3431683168316831E-2</v>
      </c>
      <c r="AK44" s="109">
        <f>AK26/AK46</f>
        <v>6.261198945981554E-2</v>
      </c>
      <c r="AL44" s="109">
        <f>AL26/AL46</f>
        <v>5.6818181818181816E-2</v>
      </c>
      <c r="AM44" s="109">
        <f t="shared" ref="AM44:BB44" si="29">AL44</f>
        <v>5.6818181818181816E-2</v>
      </c>
      <c r="AN44" s="109">
        <f t="shared" si="29"/>
        <v>5.6818181818181816E-2</v>
      </c>
      <c r="AO44" s="109">
        <f t="shared" si="29"/>
        <v>5.6818181818181816E-2</v>
      </c>
      <c r="AP44" s="109">
        <f t="shared" si="29"/>
        <v>5.6818181818181816E-2</v>
      </c>
      <c r="AQ44" s="109">
        <f t="shared" si="29"/>
        <v>5.6818181818181816E-2</v>
      </c>
      <c r="AR44" s="109">
        <f t="shared" si="29"/>
        <v>5.6818181818181816E-2</v>
      </c>
      <c r="AS44" s="109">
        <f t="shared" si="29"/>
        <v>5.6818181818181816E-2</v>
      </c>
      <c r="AT44" s="109">
        <f t="shared" si="29"/>
        <v>5.6818181818181816E-2</v>
      </c>
      <c r="AU44" s="109">
        <f t="shared" si="29"/>
        <v>5.6818181818181816E-2</v>
      </c>
      <c r="AV44" s="109">
        <f t="shared" si="29"/>
        <v>5.6818181818181816E-2</v>
      </c>
      <c r="AW44" s="109">
        <f t="shared" si="29"/>
        <v>5.6818181818181816E-2</v>
      </c>
      <c r="AX44" s="109">
        <f t="shared" si="29"/>
        <v>5.6818181818181816E-2</v>
      </c>
      <c r="AY44" s="109">
        <f t="shared" si="29"/>
        <v>5.6818181818181816E-2</v>
      </c>
      <c r="AZ44" s="109">
        <f t="shared" si="29"/>
        <v>5.6818181818181816E-2</v>
      </c>
      <c r="BA44" s="109">
        <f t="shared" si="29"/>
        <v>5.6818181818181816E-2</v>
      </c>
      <c r="BB44" s="109">
        <f t="shared" si="29"/>
        <v>5.6818181818181816E-2</v>
      </c>
      <c r="BC44" s="14"/>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c r="EY44" s="52"/>
      <c r="EZ44" s="52"/>
      <c r="FA44" s="52"/>
      <c r="FB44" s="52"/>
      <c r="FC44" s="52"/>
      <c r="FD44" s="52"/>
      <c r="FE44" s="52"/>
      <c r="FF44" s="52"/>
      <c r="FG44" s="52"/>
      <c r="FH44" s="52"/>
      <c r="FI44" s="52"/>
      <c r="FJ44" s="52"/>
      <c r="FK44" s="52"/>
      <c r="FL44" s="52"/>
      <c r="FM44" s="52"/>
      <c r="FN44" s="52"/>
      <c r="FO44" s="52"/>
      <c r="FP44" s="52"/>
      <c r="FQ44" s="52"/>
      <c r="FR44" s="52"/>
      <c r="FS44" s="52"/>
      <c r="FT44" s="52"/>
      <c r="FU44" s="52"/>
      <c r="FV44" s="52"/>
      <c r="FW44" s="52"/>
      <c r="FX44" s="52"/>
      <c r="FY44" s="52"/>
      <c r="FZ44" s="52"/>
      <c r="GA44" s="52"/>
      <c r="GB44" s="52"/>
      <c r="GC44" s="52"/>
      <c r="GD44" s="52"/>
      <c r="GE44" s="52"/>
      <c r="GF44" s="52"/>
      <c r="GG44" s="52"/>
      <c r="GH44" s="52"/>
      <c r="GI44" s="52"/>
      <c r="GJ44" s="52"/>
      <c r="GK44" s="52"/>
      <c r="GL44" s="52"/>
      <c r="GM44" s="52"/>
      <c r="GN44" s="52"/>
      <c r="GO44" s="52"/>
      <c r="GP44" s="52"/>
      <c r="GQ44" s="52"/>
      <c r="GR44" s="52"/>
      <c r="GS44" s="52"/>
      <c r="GT44" s="52"/>
      <c r="GU44" s="52"/>
      <c r="GV44" s="52"/>
      <c r="GW44" s="52"/>
      <c r="GX44" s="52"/>
      <c r="GY44" s="52"/>
      <c r="GZ44" s="52"/>
      <c r="HA44" s="52"/>
      <c r="HB44" s="52"/>
      <c r="HC44" s="52"/>
      <c r="HD44" s="52"/>
      <c r="HE44" s="52"/>
      <c r="HF44" s="52"/>
      <c r="HG44" s="52"/>
      <c r="HH44" s="52"/>
      <c r="HI44" s="52"/>
      <c r="HJ44" s="52"/>
      <c r="HK44" s="52"/>
      <c r="HL44" s="52"/>
      <c r="HM44" s="52"/>
      <c r="HN44" s="52"/>
      <c r="HO44" s="52"/>
      <c r="HP44" s="52"/>
      <c r="HQ44" s="52"/>
      <c r="HR44" s="52"/>
      <c r="HS44" s="52"/>
      <c r="HT44" s="52"/>
      <c r="HU44" s="52"/>
      <c r="HV44" s="52"/>
      <c r="HW44" s="52"/>
      <c r="HX44" s="52"/>
      <c r="HY44" s="52"/>
      <c r="HZ44" s="52"/>
      <c r="IA44" s="52"/>
      <c r="IB44" s="52"/>
      <c r="IC44" s="52"/>
      <c r="ID44" s="52"/>
      <c r="IE44" s="52"/>
      <c r="IF44" s="52"/>
      <c r="IG44" s="52"/>
      <c r="IH44" s="52"/>
      <c r="II44" s="52"/>
      <c r="IJ44" s="52"/>
      <c r="IK44" s="52"/>
      <c r="IL44" s="52"/>
      <c r="IM44" s="52"/>
      <c r="IN44" s="52"/>
      <c r="IO44" s="52"/>
      <c r="IP44" s="52"/>
      <c r="IQ44" s="52"/>
      <c r="IR44" s="52"/>
      <c r="IS44" s="52"/>
      <c r="IT44" s="52"/>
      <c r="IU44" s="52"/>
      <c r="IV44" s="52"/>
      <c r="IW44" s="52"/>
      <c r="IX44" s="52"/>
      <c r="IY44" s="52"/>
      <c r="IZ44" s="52"/>
      <c r="JA44" s="52"/>
      <c r="JB44" s="52"/>
      <c r="JC44" s="52"/>
      <c r="JD44" s="52"/>
      <c r="JE44" s="52"/>
      <c r="JF44" s="52"/>
      <c r="JG44" s="52"/>
      <c r="JH44" s="52"/>
      <c r="JI44" s="52"/>
      <c r="JJ44" s="52"/>
      <c r="JK44" s="52"/>
      <c r="JL44" s="52"/>
    </row>
    <row r="45" spans="2:272" x14ac:dyDescent="0.25">
      <c r="B45" s="60"/>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2"/>
      <c r="AH45" s="99"/>
      <c r="AI45" s="99"/>
      <c r="AJ45" s="99"/>
      <c r="AK45" s="99"/>
      <c r="AL45" s="99"/>
      <c r="AM45" s="52"/>
      <c r="AN45" s="52"/>
      <c r="AO45" s="52"/>
      <c r="AP45" s="105"/>
      <c r="AQ45" s="105"/>
      <c r="AR45" s="105"/>
      <c r="AS45" s="105"/>
      <c r="AT45" s="105"/>
      <c r="AU45" s="105"/>
      <c r="AV45" s="105"/>
      <c r="AW45" s="105"/>
      <c r="AX45" s="105"/>
      <c r="AY45" s="105"/>
      <c r="AZ45" s="105"/>
      <c r="BA45" s="105"/>
      <c r="BB45" s="105"/>
      <c r="BC45" s="14"/>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c r="EY45" s="52"/>
      <c r="EZ45" s="52"/>
      <c r="FA45" s="52"/>
      <c r="FB45" s="52"/>
      <c r="FC45" s="52"/>
      <c r="FD45" s="52"/>
      <c r="FE45" s="52"/>
      <c r="FF45" s="52"/>
      <c r="FG45" s="52"/>
      <c r="FH45" s="52"/>
      <c r="FI45" s="52"/>
      <c r="FJ45" s="52"/>
      <c r="FK45" s="52"/>
      <c r="FL45" s="52"/>
      <c r="FM45" s="52"/>
      <c r="FN45" s="52"/>
      <c r="FO45" s="52"/>
      <c r="FP45" s="52"/>
      <c r="FQ45" s="52"/>
      <c r="FR45" s="52"/>
      <c r="FS45" s="52"/>
      <c r="FT45" s="52"/>
      <c r="FU45" s="52"/>
      <c r="FV45" s="52"/>
      <c r="FW45" s="52"/>
      <c r="FX45" s="52"/>
      <c r="FY45" s="52"/>
      <c r="FZ45" s="52"/>
      <c r="GA45" s="52"/>
      <c r="GB45" s="52"/>
      <c r="GC45" s="52"/>
      <c r="GD45" s="52"/>
      <c r="GE45" s="52"/>
      <c r="GF45" s="52"/>
      <c r="GG45" s="52"/>
      <c r="GH45" s="52"/>
      <c r="GI45" s="52"/>
      <c r="GJ45" s="52"/>
      <c r="GK45" s="52"/>
      <c r="GL45" s="52"/>
      <c r="GM45" s="52"/>
      <c r="GN45" s="52"/>
      <c r="GO45" s="52"/>
      <c r="GP45" s="52"/>
      <c r="GQ45" s="52"/>
      <c r="GR45" s="52"/>
      <c r="GS45" s="52"/>
      <c r="GT45" s="52"/>
      <c r="GU45" s="52"/>
      <c r="GV45" s="52"/>
      <c r="GW45" s="52"/>
      <c r="GX45" s="52"/>
      <c r="GY45" s="52"/>
      <c r="GZ45" s="52"/>
      <c r="HA45" s="52"/>
      <c r="HB45" s="52"/>
      <c r="HC45" s="52"/>
      <c r="HD45" s="52"/>
      <c r="HE45" s="52"/>
      <c r="HF45" s="52"/>
      <c r="HG45" s="52"/>
      <c r="HH45" s="52"/>
      <c r="HI45" s="52"/>
      <c r="HJ45" s="52"/>
      <c r="HK45" s="52"/>
      <c r="HL45" s="52"/>
      <c r="HM45" s="52"/>
      <c r="HN45" s="52"/>
      <c r="HO45" s="52"/>
      <c r="HP45" s="52"/>
      <c r="HQ45" s="52"/>
      <c r="HR45" s="52"/>
      <c r="HS45" s="52"/>
      <c r="HT45" s="52"/>
      <c r="HU45" s="52"/>
      <c r="HV45" s="52"/>
      <c r="HW45" s="52"/>
      <c r="HX45" s="52"/>
      <c r="HY45" s="52"/>
      <c r="HZ45" s="52"/>
      <c r="IA45" s="52"/>
      <c r="IB45" s="52"/>
      <c r="IC45" s="52"/>
      <c r="ID45" s="52"/>
      <c r="IE45" s="52"/>
      <c r="IF45" s="52"/>
      <c r="IG45" s="52"/>
      <c r="IH45" s="52"/>
      <c r="II45" s="52"/>
      <c r="IJ45" s="52"/>
      <c r="IK45" s="52"/>
      <c r="IL45" s="52"/>
      <c r="IM45" s="52"/>
      <c r="IN45" s="52"/>
      <c r="IO45" s="52"/>
      <c r="IP45" s="52"/>
      <c r="IQ45" s="52"/>
      <c r="IR45" s="52"/>
      <c r="IS45" s="52"/>
      <c r="IT45" s="52"/>
      <c r="IU45" s="52"/>
      <c r="IV45" s="52"/>
      <c r="IW45" s="52"/>
      <c r="IX45" s="52"/>
      <c r="IY45" s="52"/>
      <c r="IZ45" s="52"/>
      <c r="JA45" s="52"/>
      <c r="JB45" s="52"/>
      <c r="JC45" s="52"/>
      <c r="JD45" s="52"/>
      <c r="JE45" s="52"/>
      <c r="JF45" s="52"/>
      <c r="JG45" s="52"/>
      <c r="JH45" s="52"/>
      <c r="JI45" s="52"/>
      <c r="JJ45" s="52"/>
      <c r="JK45" s="52"/>
      <c r="JL45" s="52"/>
    </row>
    <row r="46" spans="2:272" x14ac:dyDescent="0.25">
      <c r="B46" t="s">
        <v>608</v>
      </c>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2"/>
      <c r="AG46" t="str">
        <f>B46</f>
        <v>Cash &amp; ST Investments</v>
      </c>
      <c r="AH46" s="99">
        <v>1061.9000000000001</v>
      </c>
      <c r="AI46" s="99">
        <v>734</v>
      </c>
      <c r="AJ46" s="99">
        <v>505</v>
      </c>
      <c r="AK46" s="99">
        <v>303.60000000000002</v>
      </c>
      <c r="AL46" s="99">
        <v>255.2</v>
      </c>
      <c r="AM46" s="99">
        <f>296+AM36</f>
        <v>59.69853599999999</v>
      </c>
      <c r="AN46" s="99">
        <f>AM46+AN36 + 300</f>
        <v>81.883670352727222</v>
      </c>
      <c r="AO46" s="99">
        <f>AN46+AO36+AO47</f>
        <v>96.21981486516853</v>
      </c>
      <c r="AP46" s="99">
        <f>AO46+AP36+AP47</f>
        <v>131.34346574036141</v>
      </c>
      <c r="AQ46" s="99">
        <f t="shared" ref="AQ46:BB46" si="30">AP46+AQ36</f>
        <v>478.87203498942415</v>
      </c>
      <c r="AR46" s="99">
        <f t="shared" si="30"/>
        <v>1036.2848724872561</v>
      </c>
      <c r="AS46" s="99">
        <f t="shared" si="30"/>
        <v>1576.9398343433556</v>
      </c>
      <c r="AT46" s="99">
        <f t="shared" si="30"/>
        <v>2293.7627172604289</v>
      </c>
      <c r="AU46" s="99">
        <f t="shared" si="30"/>
        <v>3213.8298391637582</v>
      </c>
      <c r="AV46" s="99">
        <f t="shared" si="30"/>
        <v>4367.4134705666966</v>
      </c>
      <c r="AW46" s="99">
        <f t="shared" si="30"/>
        <v>5788.3117638290951</v>
      </c>
      <c r="AX46" s="99">
        <f t="shared" si="30"/>
        <v>7514.2101265502743</v>
      </c>
      <c r="AY46" s="99">
        <f t="shared" si="30"/>
        <v>9587.0768830689049</v>
      </c>
      <c r="AZ46" s="99">
        <f t="shared" si="30"/>
        <v>12053.596316045005</v>
      </c>
      <c r="BA46" s="99">
        <f t="shared" si="30"/>
        <v>14965.642449160172</v>
      </c>
      <c r="BB46" s="99">
        <f t="shared" si="30"/>
        <v>18380.797223843529</v>
      </c>
      <c r="BC46" s="14"/>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2"/>
      <c r="FV46" s="52"/>
      <c r="FW46" s="52"/>
      <c r="FX46" s="52"/>
      <c r="FY46" s="52"/>
      <c r="FZ46" s="52"/>
      <c r="GA46" s="52"/>
      <c r="GB46" s="52"/>
      <c r="GC46" s="52"/>
      <c r="GD46" s="52"/>
      <c r="GE46" s="52"/>
      <c r="GF46" s="52"/>
      <c r="GG46" s="52"/>
      <c r="GH46" s="52"/>
      <c r="GI46" s="52"/>
      <c r="GJ46" s="52"/>
      <c r="GK46" s="52"/>
      <c r="GL46" s="52"/>
      <c r="GM46" s="52"/>
      <c r="GN46" s="52"/>
      <c r="GO46" s="52"/>
      <c r="GP46" s="52"/>
      <c r="GQ46" s="52"/>
      <c r="GR46" s="52"/>
      <c r="GS46" s="52"/>
      <c r="GT46" s="52"/>
      <c r="GU46" s="52"/>
      <c r="GV46" s="52"/>
      <c r="GW46" s="52"/>
      <c r="GX46" s="52"/>
      <c r="GY46" s="52"/>
      <c r="GZ46" s="52"/>
      <c r="HA46" s="52"/>
      <c r="HB46" s="52"/>
      <c r="HC46" s="52"/>
      <c r="HD46" s="52"/>
      <c r="HE46" s="52"/>
      <c r="HF46" s="52"/>
      <c r="HG46" s="52"/>
      <c r="HH46" s="52"/>
      <c r="HI46" s="52"/>
      <c r="HJ46" s="52"/>
      <c r="HK46" s="52"/>
      <c r="HL46" s="52"/>
      <c r="HM46" s="52"/>
      <c r="HN46" s="52"/>
      <c r="HO46" s="52"/>
      <c r="HP46" s="52"/>
      <c r="HQ46" s="52"/>
      <c r="HR46" s="52"/>
      <c r="HS46" s="52"/>
      <c r="HT46" s="52"/>
      <c r="HU46" s="52"/>
      <c r="HV46" s="52"/>
      <c r="HW46" s="52"/>
      <c r="HX46" s="52"/>
      <c r="HY46" s="52"/>
      <c r="HZ46" s="52"/>
      <c r="IA46" s="52"/>
      <c r="IB46" s="52"/>
      <c r="IC46" s="52"/>
      <c r="ID46" s="52"/>
      <c r="IE46" s="52"/>
      <c r="IF46" s="52"/>
      <c r="IG46" s="52"/>
      <c r="IH46" s="52"/>
      <c r="II46" s="52"/>
      <c r="IJ46" s="52"/>
      <c r="IK46" s="52"/>
      <c r="IL46" s="52"/>
      <c r="IM46" s="52"/>
      <c r="IN46" s="52"/>
      <c r="IO46" s="52"/>
      <c r="IP46" s="52"/>
      <c r="IQ46" s="52"/>
      <c r="IR46" s="52"/>
      <c r="IS46" s="52"/>
      <c r="IT46" s="52"/>
      <c r="IU46" s="52"/>
      <c r="IV46" s="52"/>
      <c r="IW46" s="52"/>
      <c r="IX46" s="52"/>
      <c r="IY46" s="52"/>
      <c r="IZ46" s="52"/>
      <c r="JA46" s="52"/>
      <c r="JB46" s="52"/>
      <c r="JC46" s="52"/>
      <c r="JD46" s="52"/>
      <c r="JE46" s="52"/>
      <c r="JF46" s="52"/>
      <c r="JG46" s="52"/>
      <c r="JH46" s="52"/>
      <c r="JI46" s="52"/>
      <c r="JJ46" s="52"/>
      <c r="JK46" s="52"/>
      <c r="JL46" s="52"/>
    </row>
    <row r="47" spans="2:272" x14ac:dyDescent="0.25">
      <c r="B47" t="s">
        <v>609</v>
      </c>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2"/>
      <c r="AG47" t="str">
        <f t="shared" ref="AG47:AG49" si="31">B47</f>
        <v xml:space="preserve">Equity Raise </v>
      </c>
      <c r="AH47" s="99"/>
      <c r="AI47" s="99"/>
      <c r="AJ47" s="99"/>
      <c r="AK47" s="99"/>
      <c r="AL47" s="99"/>
      <c r="AM47" s="99"/>
      <c r="AN47" s="99">
        <v>300</v>
      </c>
      <c r="AO47" s="99">
        <v>300</v>
      </c>
      <c r="AP47" s="99">
        <v>300</v>
      </c>
      <c r="AQ47" s="99"/>
      <c r="AR47" s="99"/>
      <c r="AS47" s="99"/>
      <c r="AT47" s="99"/>
      <c r="AU47" s="99"/>
      <c r="AV47" s="99"/>
      <c r="AW47" s="99"/>
      <c r="AX47" s="99"/>
      <c r="AY47" s="99"/>
      <c r="AZ47" s="99"/>
      <c r="BA47" s="99"/>
      <c r="BB47" s="99"/>
      <c r="BC47" s="14"/>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c r="EY47" s="52"/>
      <c r="EZ47" s="52"/>
      <c r="FA47" s="52"/>
      <c r="FB47" s="52"/>
      <c r="FC47" s="52"/>
      <c r="FD47" s="52"/>
      <c r="FE47" s="52"/>
      <c r="FF47" s="52"/>
      <c r="FG47" s="52"/>
      <c r="FH47" s="52"/>
      <c r="FI47" s="52"/>
      <c r="FJ47" s="52"/>
      <c r="FK47" s="52"/>
      <c r="FL47" s="52"/>
      <c r="FM47" s="52"/>
      <c r="FN47" s="52"/>
      <c r="FO47" s="52"/>
      <c r="FP47" s="52"/>
      <c r="FQ47" s="52"/>
      <c r="FR47" s="52"/>
      <c r="FS47" s="52"/>
      <c r="FT47" s="52"/>
      <c r="FU47" s="52"/>
      <c r="FV47" s="52"/>
      <c r="FW47" s="52"/>
      <c r="FX47" s="52"/>
      <c r="FY47" s="52"/>
      <c r="FZ47" s="52"/>
      <c r="GA47" s="52"/>
      <c r="GB47" s="52"/>
      <c r="GC47" s="52"/>
      <c r="GD47" s="52"/>
      <c r="GE47" s="52"/>
      <c r="GF47" s="52"/>
      <c r="GG47" s="52"/>
      <c r="GH47" s="52"/>
      <c r="GI47" s="52"/>
      <c r="GJ47" s="52"/>
      <c r="GK47" s="52"/>
      <c r="GL47" s="52"/>
      <c r="GM47" s="52"/>
      <c r="GN47" s="52"/>
      <c r="GO47" s="52"/>
      <c r="GP47" s="52"/>
      <c r="GQ47" s="52"/>
      <c r="GR47" s="52"/>
      <c r="GS47" s="52"/>
      <c r="GT47" s="52"/>
      <c r="GU47" s="52"/>
      <c r="GV47" s="52"/>
      <c r="GW47" s="52"/>
      <c r="GX47" s="52"/>
      <c r="GY47" s="52"/>
      <c r="GZ47" s="52"/>
      <c r="HA47" s="52"/>
      <c r="HB47" s="52"/>
      <c r="HC47" s="52"/>
      <c r="HD47" s="52"/>
      <c r="HE47" s="52"/>
      <c r="HF47" s="52"/>
      <c r="HG47" s="52"/>
      <c r="HH47" s="52"/>
      <c r="HI47" s="52"/>
      <c r="HJ47" s="52"/>
      <c r="HK47" s="52"/>
      <c r="HL47" s="52"/>
      <c r="HM47" s="52"/>
      <c r="HN47" s="52"/>
      <c r="HO47" s="52"/>
      <c r="HP47" s="52"/>
      <c r="HQ47" s="52"/>
      <c r="HR47" s="52"/>
      <c r="HS47" s="52"/>
      <c r="HT47" s="52"/>
      <c r="HU47" s="52"/>
      <c r="HV47" s="52"/>
      <c r="HW47" s="52"/>
      <c r="HX47" s="52"/>
      <c r="HY47" s="52"/>
      <c r="HZ47" s="52"/>
      <c r="IA47" s="52"/>
      <c r="IB47" s="52"/>
      <c r="IC47" s="52"/>
      <c r="ID47" s="52"/>
      <c r="IE47" s="52"/>
      <c r="IF47" s="52"/>
      <c r="IG47" s="52"/>
      <c r="IH47" s="52"/>
      <c r="II47" s="52"/>
      <c r="IJ47" s="52"/>
      <c r="IK47" s="52"/>
      <c r="IL47" s="52"/>
      <c r="IM47" s="52"/>
      <c r="IN47" s="52"/>
      <c r="IO47" s="52"/>
      <c r="IP47" s="52"/>
      <c r="IQ47" s="52"/>
      <c r="IR47" s="52"/>
      <c r="IS47" s="52"/>
      <c r="IT47" s="52"/>
      <c r="IU47" s="52"/>
      <c r="IV47" s="52"/>
      <c r="IW47" s="52"/>
      <c r="IX47" s="52"/>
      <c r="IY47" s="52"/>
      <c r="IZ47" s="52"/>
      <c r="JA47" s="52"/>
      <c r="JB47" s="52"/>
      <c r="JC47" s="52"/>
      <c r="JD47" s="52"/>
      <c r="JE47" s="52"/>
      <c r="JF47" s="52"/>
      <c r="JG47" s="52"/>
      <c r="JH47" s="52"/>
      <c r="JI47" s="52"/>
      <c r="JJ47" s="52"/>
      <c r="JK47" s="52"/>
      <c r="JL47" s="52"/>
    </row>
    <row r="48" spans="2:272" x14ac:dyDescent="0.25">
      <c r="B48" t="s">
        <v>610</v>
      </c>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2"/>
      <c r="AG48" t="str">
        <f t="shared" si="31"/>
        <v xml:space="preserve">Share price </v>
      </c>
      <c r="AH48" s="99"/>
      <c r="AI48" s="99"/>
      <c r="AJ48" s="99"/>
      <c r="AK48" s="99"/>
      <c r="AL48" s="99"/>
      <c r="AM48" s="99" cm="1">
        <f t="array" aca="1" ref="AM48" ca="1">_FV(cover!C1,"Price")</f>
        <v>22.47</v>
      </c>
      <c r="AN48" s="99">
        <f t="shared" ref="AN48:BB48" ca="1" si="32">AM48</f>
        <v>22.47</v>
      </c>
      <c r="AO48" s="99">
        <f t="shared" ca="1" si="32"/>
        <v>22.47</v>
      </c>
      <c r="AP48" s="99">
        <f t="shared" ca="1" si="32"/>
        <v>22.47</v>
      </c>
      <c r="AQ48" s="99">
        <f t="shared" ca="1" si="32"/>
        <v>22.47</v>
      </c>
      <c r="AR48" s="99">
        <f t="shared" ca="1" si="32"/>
        <v>22.47</v>
      </c>
      <c r="AS48" s="99">
        <f t="shared" ca="1" si="32"/>
        <v>22.47</v>
      </c>
      <c r="AT48" s="99">
        <f t="shared" ca="1" si="32"/>
        <v>22.47</v>
      </c>
      <c r="AU48" s="99">
        <f t="shared" ca="1" si="32"/>
        <v>22.47</v>
      </c>
      <c r="AV48" s="99">
        <f t="shared" ca="1" si="32"/>
        <v>22.47</v>
      </c>
      <c r="AW48" s="99">
        <f t="shared" ca="1" si="32"/>
        <v>22.47</v>
      </c>
      <c r="AX48" s="99">
        <f t="shared" ca="1" si="32"/>
        <v>22.47</v>
      </c>
      <c r="AY48" s="99">
        <f t="shared" ca="1" si="32"/>
        <v>22.47</v>
      </c>
      <c r="AZ48" s="99">
        <f t="shared" ca="1" si="32"/>
        <v>22.47</v>
      </c>
      <c r="BA48" s="99">
        <f t="shared" ca="1" si="32"/>
        <v>22.47</v>
      </c>
      <c r="BB48" s="99">
        <f t="shared" ca="1" si="32"/>
        <v>22.47</v>
      </c>
      <c r="BC48" s="14"/>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row>
    <row r="49" spans="2:272" x14ac:dyDescent="0.25">
      <c r="B49" t="s">
        <v>611</v>
      </c>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2"/>
      <c r="AG49" t="str">
        <f t="shared" si="31"/>
        <v xml:space="preserve">TSO </v>
      </c>
      <c r="AH49" s="79">
        <v>12</v>
      </c>
      <c r="AI49" s="79">
        <v>12.4</v>
      </c>
      <c r="AJ49" s="92">
        <v>12.6</v>
      </c>
      <c r="AK49" s="92">
        <v>12.8</v>
      </c>
      <c r="AL49" s="110">
        <v>12.4</v>
      </c>
      <c r="AM49" s="79">
        <f>AL49+4.89</f>
        <v>17.29</v>
      </c>
      <c r="AN49" s="52">
        <f ca="1">AM49+AN47/AN48</f>
        <v>30.641134846461949</v>
      </c>
      <c r="AO49" s="52">
        <f ca="1">AN49+AO47/AO48</f>
        <v>43.992269692923898</v>
      </c>
      <c r="AP49" s="52">
        <f ca="1">AO49+AP47/AP48</f>
        <v>57.343404539385844</v>
      </c>
      <c r="AQ49" s="105">
        <v>56</v>
      </c>
      <c r="AR49" s="105">
        <v>56</v>
      </c>
      <c r="AS49" s="105">
        <v>56</v>
      </c>
      <c r="AT49" s="105">
        <v>56</v>
      </c>
      <c r="AU49" s="105">
        <v>56</v>
      </c>
      <c r="AV49" s="105">
        <v>56</v>
      </c>
      <c r="AW49" s="105">
        <v>56</v>
      </c>
      <c r="AX49" s="105">
        <v>56</v>
      </c>
      <c r="AY49" s="105">
        <v>56</v>
      </c>
      <c r="AZ49" s="105">
        <v>56</v>
      </c>
      <c r="BA49" s="105">
        <v>56</v>
      </c>
      <c r="BB49" s="105">
        <v>56</v>
      </c>
      <c r="BC49" s="14"/>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row>
    <row r="50" spans="2:272" x14ac:dyDescent="0.25">
      <c r="B50" s="60"/>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2"/>
      <c r="AH50" s="79"/>
      <c r="AI50" s="79"/>
      <c r="AJ50" s="92"/>
      <c r="AK50" s="92"/>
      <c r="AL50" s="110"/>
      <c r="AM50" s="79"/>
      <c r="AN50" s="52"/>
      <c r="AO50" s="52"/>
      <c r="AP50" s="52"/>
      <c r="AQ50" s="105"/>
      <c r="AR50" s="105"/>
      <c r="AS50" s="105"/>
      <c r="AT50" s="105"/>
      <c r="AU50" s="105"/>
      <c r="AV50" s="105"/>
      <c r="AW50" s="105"/>
      <c r="AX50" s="105"/>
      <c r="AY50" s="105"/>
      <c r="AZ50" s="105"/>
      <c r="BA50" s="105"/>
      <c r="BB50" s="105"/>
      <c r="BC50" s="14"/>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row>
    <row r="51" spans="2:272" x14ac:dyDescent="0.25">
      <c r="B51" s="60"/>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2"/>
      <c r="AG51" t="s">
        <v>612</v>
      </c>
      <c r="AH51" s="79"/>
      <c r="AI51" s="79"/>
      <c r="AJ51" s="92">
        <v>-368.2</v>
      </c>
      <c r="AK51" s="92">
        <v>-276</v>
      </c>
      <c r="AL51" s="110">
        <v>-119.03899999999999</v>
      </c>
      <c r="AM51" s="79">
        <f t="shared" ref="AM51:BB51" si="33">AM36</f>
        <v>-236.30146400000001</v>
      </c>
      <c r="AN51" s="79">
        <f t="shared" si="33"/>
        <v>-277.81486564727277</v>
      </c>
      <c r="AO51" s="79">
        <f t="shared" si="33"/>
        <v>-285.66385548755869</v>
      </c>
      <c r="AP51" s="79">
        <f t="shared" si="33"/>
        <v>-264.87634912480712</v>
      </c>
      <c r="AQ51" s="79">
        <f t="shared" si="33"/>
        <v>347.52856924906274</v>
      </c>
      <c r="AR51" s="79">
        <f t="shared" si="33"/>
        <v>557.4128374978319</v>
      </c>
      <c r="AS51" s="79">
        <f t="shared" si="33"/>
        <v>540.65496185609959</v>
      </c>
      <c r="AT51" s="79">
        <f t="shared" si="33"/>
        <v>716.822882917073</v>
      </c>
      <c r="AU51" s="79">
        <f t="shared" si="33"/>
        <v>920.06712190332951</v>
      </c>
      <c r="AV51" s="79">
        <f t="shared" si="33"/>
        <v>1153.5836314029382</v>
      </c>
      <c r="AW51" s="79">
        <f t="shared" si="33"/>
        <v>1420.8982932623987</v>
      </c>
      <c r="AX51" s="79">
        <f t="shared" si="33"/>
        <v>1725.898362721179</v>
      </c>
      <c r="AY51" s="79">
        <f t="shared" si="33"/>
        <v>2072.8667565186297</v>
      </c>
      <c r="AZ51" s="79">
        <f t="shared" si="33"/>
        <v>2466.5194329761007</v>
      </c>
      <c r="BA51" s="79">
        <f t="shared" si="33"/>
        <v>2912.0461331151669</v>
      </c>
      <c r="BB51" s="79">
        <f t="shared" si="33"/>
        <v>3415.1547746833553</v>
      </c>
      <c r="BC51" s="14"/>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row>
    <row r="52" spans="2:272" x14ac:dyDescent="0.25">
      <c r="B52" s="60"/>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2"/>
      <c r="AG52" t="s">
        <v>618</v>
      </c>
      <c r="AH52" s="79"/>
      <c r="AI52" s="79"/>
      <c r="AJ52" s="79">
        <f>-AJ25</f>
        <v>28.9</v>
      </c>
      <c r="AK52" s="79">
        <f t="shared" ref="AK52:AL52" si="34">-AK25</f>
        <v>25.700000000000003</v>
      </c>
      <c r="AL52" s="79">
        <f t="shared" si="34"/>
        <v>28.099999999999998</v>
      </c>
      <c r="AM52" s="79">
        <f t="shared" ref="AM52:BB52" si="35">-AM25</f>
        <v>28</v>
      </c>
      <c r="AN52" s="79">
        <f t="shared" si="35"/>
        <v>28</v>
      </c>
      <c r="AO52" s="79">
        <f t="shared" si="35"/>
        <v>28</v>
      </c>
      <c r="AP52" s="79">
        <f t="shared" si="35"/>
        <v>28</v>
      </c>
      <c r="AQ52" s="79">
        <f t="shared" si="35"/>
        <v>28</v>
      </c>
      <c r="AR52" s="79">
        <f t="shared" si="35"/>
        <v>28</v>
      </c>
      <c r="AS52" s="79">
        <f t="shared" si="35"/>
        <v>28</v>
      </c>
      <c r="AT52" s="79">
        <f t="shared" si="35"/>
        <v>28</v>
      </c>
      <c r="AU52" s="79">
        <f t="shared" si="35"/>
        <v>28</v>
      </c>
      <c r="AV52" s="79">
        <f t="shared" si="35"/>
        <v>28</v>
      </c>
      <c r="AW52" s="79">
        <f t="shared" si="35"/>
        <v>28</v>
      </c>
      <c r="AX52" s="79">
        <f t="shared" si="35"/>
        <v>28</v>
      </c>
      <c r="AY52" s="79">
        <f t="shared" si="35"/>
        <v>28</v>
      </c>
      <c r="AZ52" s="79">
        <f t="shared" si="35"/>
        <v>28</v>
      </c>
      <c r="BA52" s="79">
        <f t="shared" si="35"/>
        <v>28</v>
      </c>
      <c r="BB52" s="79">
        <f t="shared" si="35"/>
        <v>28</v>
      </c>
      <c r="BC52" s="14"/>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row>
    <row r="53" spans="2:272" x14ac:dyDescent="0.25">
      <c r="B53" s="60"/>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2"/>
      <c r="AG53" t="s">
        <v>614</v>
      </c>
      <c r="AH53" s="79"/>
      <c r="AI53" s="79"/>
      <c r="AJ53" s="79">
        <v>0</v>
      </c>
      <c r="AK53" s="79">
        <v>0</v>
      </c>
      <c r="AL53" s="79">
        <v>0</v>
      </c>
      <c r="AM53" s="79">
        <v>0</v>
      </c>
      <c r="AN53" s="79">
        <v>0</v>
      </c>
      <c r="AO53" s="79">
        <v>0</v>
      </c>
      <c r="AP53" s="79">
        <v>0</v>
      </c>
      <c r="AQ53" s="79">
        <v>0</v>
      </c>
      <c r="AR53" s="79">
        <v>0</v>
      </c>
      <c r="AS53" s="79">
        <v>0</v>
      </c>
      <c r="AT53" s="79">
        <v>0</v>
      </c>
      <c r="AU53" s="79">
        <v>0</v>
      </c>
      <c r="AV53" s="79">
        <v>0</v>
      </c>
      <c r="AW53" s="79">
        <v>0</v>
      </c>
      <c r="AX53" s="79">
        <v>0</v>
      </c>
      <c r="AY53" s="79">
        <v>0</v>
      </c>
      <c r="AZ53" s="79">
        <v>0</v>
      </c>
      <c r="BA53" s="79">
        <v>0</v>
      </c>
      <c r="BB53" s="79">
        <v>0</v>
      </c>
      <c r="BC53" s="14"/>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row>
    <row r="54" spans="2:272" x14ac:dyDescent="0.25">
      <c r="B54" s="60"/>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2"/>
      <c r="AG54" t="s">
        <v>615</v>
      </c>
      <c r="AH54" s="79"/>
      <c r="AI54" s="61"/>
      <c r="AJ54" s="61">
        <v>6.7829999999999995</v>
      </c>
      <c r="AK54" s="61">
        <v>19.009</v>
      </c>
      <c r="AL54" s="61">
        <v>14.499999999999998</v>
      </c>
      <c r="AM54" s="79">
        <f t="shared" ref="AM54:BB54" si="36">-AM26*0.8</f>
        <v>-11.6</v>
      </c>
      <c r="AN54" s="79">
        <f t="shared" si="36"/>
        <v>-2.713569818181818</v>
      </c>
      <c r="AO54" s="79">
        <f t="shared" si="36"/>
        <v>-3.7219850160330554</v>
      </c>
      <c r="AP54" s="79">
        <f t="shared" si="36"/>
        <v>-4.3736279484167513</v>
      </c>
      <c r="AQ54" s="79">
        <f t="shared" si="36"/>
        <v>-5.9701575336527917</v>
      </c>
      <c r="AR54" s="79">
        <f t="shared" si="36"/>
        <v>-21.766910681337464</v>
      </c>
      <c r="AS54" s="79">
        <f t="shared" si="36"/>
        <v>-47.103857840329823</v>
      </c>
      <c r="AT54" s="79">
        <f t="shared" si="36"/>
        <v>-71.679083379243437</v>
      </c>
      <c r="AU54" s="79">
        <f t="shared" si="36"/>
        <v>-104.26194169365586</v>
      </c>
      <c r="AV54" s="79">
        <f t="shared" si="36"/>
        <v>-146.08317450744354</v>
      </c>
      <c r="AW54" s="79">
        <f t="shared" si="36"/>
        <v>-198.51879411666803</v>
      </c>
      <c r="AX54" s="79">
        <f t="shared" si="36"/>
        <v>-263.10508017404976</v>
      </c>
      <c r="AY54" s="79">
        <f t="shared" si="36"/>
        <v>-341.55500575228518</v>
      </c>
      <c r="AZ54" s="79">
        <f t="shared" si="36"/>
        <v>-435.77622195767748</v>
      </c>
      <c r="BA54" s="79">
        <f t="shared" si="36"/>
        <v>-547.89074163840939</v>
      </c>
      <c r="BB54" s="79">
        <f t="shared" si="36"/>
        <v>-680.25647496182603</v>
      </c>
      <c r="BC54" s="14"/>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row>
    <row r="55" spans="2:272" x14ac:dyDescent="0.25">
      <c r="B55" s="60"/>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2"/>
      <c r="AG55" t="s">
        <v>613</v>
      </c>
      <c r="AH55" s="79"/>
      <c r="AI55" s="79"/>
      <c r="AJ55" s="92">
        <v>5.7</v>
      </c>
      <c r="AK55" s="92">
        <v>0.8</v>
      </c>
      <c r="AL55" s="110">
        <v>1.6</v>
      </c>
      <c r="AM55" s="79">
        <v>5</v>
      </c>
      <c r="AN55" s="79">
        <v>5</v>
      </c>
      <c r="AO55" s="79">
        <v>5</v>
      </c>
      <c r="AP55" s="79">
        <v>5</v>
      </c>
      <c r="AQ55" s="79">
        <v>50</v>
      </c>
      <c r="AR55" s="79">
        <v>50</v>
      </c>
      <c r="AS55" s="79">
        <v>50</v>
      </c>
      <c r="AT55" s="79">
        <v>10</v>
      </c>
      <c r="AU55" s="79">
        <v>10</v>
      </c>
      <c r="AV55" s="79">
        <v>10</v>
      </c>
      <c r="AW55" s="79">
        <v>10</v>
      </c>
      <c r="AX55" s="79">
        <v>10</v>
      </c>
      <c r="AY55" s="79">
        <v>10</v>
      </c>
      <c r="AZ55" s="79">
        <v>10</v>
      </c>
      <c r="BA55" s="79">
        <v>10</v>
      </c>
      <c r="BB55" s="79">
        <v>10</v>
      </c>
      <c r="BC55" s="14"/>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row>
    <row r="56" spans="2:272" x14ac:dyDescent="0.25">
      <c r="B56" s="60"/>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2"/>
      <c r="AG56" t="s">
        <v>616</v>
      </c>
      <c r="AH56" s="79"/>
      <c r="AI56" s="79"/>
      <c r="AJ56" s="92">
        <v>13.03</v>
      </c>
      <c r="AK56" s="92">
        <v>7.8150000000000004</v>
      </c>
      <c r="AL56" s="110">
        <v>4.391</v>
      </c>
      <c r="AM56" s="79">
        <v>5</v>
      </c>
      <c r="AN56" s="79">
        <v>5</v>
      </c>
      <c r="AO56" s="79">
        <v>5</v>
      </c>
      <c r="AP56" s="79">
        <v>5</v>
      </c>
      <c r="AQ56" s="79">
        <v>5</v>
      </c>
      <c r="AR56" s="79">
        <v>5</v>
      </c>
      <c r="AS56" s="79">
        <v>5</v>
      </c>
      <c r="AT56" s="79">
        <v>5</v>
      </c>
      <c r="AU56" s="79">
        <v>5</v>
      </c>
      <c r="AV56" s="79">
        <v>5</v>
      </c>
      <c r="AW56" s="79">
        <v>5</v>
      </c>
      <c r="AX56" s="79">
        <v>5</v>
      </c>
      <c r="AY56" s="79">
        <v>5</v>
      </c>
      <c r="AZ56" s="79">
        <v>5</v>
      </c>
      <c r="BA56" s="79">
        <v>5</v>
      </c>
      <c r="BB56" s="79">
        <v>5</v>
      </c>
      <c r="BC56" s="14"/>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row>
    <row r="57" spans="2:272" x14ac:dyDescent="0.25">
      <c r="B57" s="60"/>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2"/>
      <c r="AG57" t="s">
        <v>617</v>
      </c>
      <c r="AH57" s="79"/>
      <c r="AI57" s="79"/>
      <c r="AJ57" s="83">
        <v>57.32</v>
      </c>
      <c r="AK57" s="83">
        <v>33.387999999999998</v>
      </c>
      <c r="AL57" s="83">
        <v>21.611999999999998</v>
      </c>
      <c r="AM57" s="79">
        <f t="shared" ref="AM57:BB57" si="37">AQ201/1000</f>
        <v>7.1335740000000003</v>
      </c>
      <c r="AN57" s="79">
        <f t="shared" si="37"/>
        <v>7.3475812200000004</v>
      </c>
      <c r="AO57" s="79">
        <f t="shared" si="37"/>
        <v>7.5680086566</v>
      </c>
      <c r="AP57" s="79">
        <f t="shared" si="37"/>
        <v>7.7950489162980006</v>
      </c>
      <c r="AQ57" s="79">
        <f t="shared" si="37"/>
        <v>8.0289003837869402</v>
      </c>
      <c r="AR57" s="79">
        <f t="shared" si="37"/>
        <v>8.2697673953005495</v>
      </c>
      <c r="AS57" s="79">
        <f t="shared" si="37"/>
        <v>8.5178604171595644</v>
      </c>
      <c r="AT57" s="79">
        <f t="shared" si="37"/>
        <v>8.7733962296743542</v>
      </c>
      <c r="AU57" s="79">
        <f t="shared" si="37"/>
        <v>9.0365981165645852</v>
      </c>
      <c r="AV57" s="79">
        <f t="shared" si="37"/>
        <v>9.3076960600615219</v>
      </c>
      <c r="AW57" s="79">
        <f t="shared" si="37"/>
        <v>9.5869269418633678</v>
      </c>
      <c r="AX57" s="79">
        <f t="shared" si="37"/>
        <v>9.8745347501192704</v>
      </c>
      <c r="AY57" s="79">
        <f t="shared" si="37"/>
        <v>10.170770792622848</v>
      </c>
      <c r="AZ57" s="79">
        <f t="shared" si="37"/>
        <v>10.475893916401533</v>
      </c>
      <c r="BA57" s="79">
        <f t="shared" si="37"/>
        <v>10.79017073389358</v>
      </c>
      <c r="BB57" s="79">
        <f t="shared" si="37"/>
        <v>11.113875855910388</v>
      </c>
      <c r="BC57" s="14"/>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row>
    <row r="58" spans="2:272" x14ac:dyDescent="0.25">
      <c r="B58" s="60"/>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2"/>
      <c r="AG58" t="s">
        <v>656</v>
      </c>
      <c r="AH58" s="79"/>
      <c r="AI58" s="79"/>
      <c r="AJ58" s="92"/>
      <c r="AK58" s="92"/>
      <c r="AL58" s="110"/>
      <c r="AM58" s="116">
        <f t="shared" ref="AM58:BB58" si="38">SUM(AM51:AM57)</f>
        <v>-202.76788999999999</v>
      </c>
      <c r="AN58" s="116">
        <f t="shared" si="38"/>
        <v>-235.18085424545458</v>
      </c>
      <c r="AO58" s="116">
        <f t="shared" si="38"/>
        <v>-243.81783184699174</v>
      </c>
      <c r="AP58" s="116">
        <f t="shared" si="38"/>
        <v>-223.45492815692586</v>
      </c>
      <c r="AQ58" s="116">
        <f t="shared" si="38"/>
        <v>432.58731209919688</v>
      </c>
      <c r="AR58" s="116">
        <f t="shared" si="38"/>
        <v>626.91569421179497</v>
      </c>
      <c r="AS58" s="116">
        <f t="shared" si="38"/>
        <v>585.06896443292931</v>
      </c>
      <c r="AT58" s="116">
        <f t="shared" si="38"/>
        <v>696.91719576750393</v>
      </c>
      <c r="AU58" s="116">
        <f t="shared" si="38"/>
        <v>867.84177832623823</v>
      </c>
      <c r="AV58" s="116">
        <f t="shared" si="38"/>
        <v>1059.8081529555561</v>
      </c>
      <c r="AW58" s="116">
        <f t="shared" si="38"/>
        <v>1274.9664260875941</v>
      </c>
      <c r="AX58" s="116">
        <f t="shared" si="38"/>
        <v>1515.6678172972483</v>
      </c>
      <c r="AY58" s="116">
        <f t="shared" si="38"/>
        <v>1784.4825215589674</v>
      </c>
      <c r="AZ58" s="116">
        <f t="shared" si="38"/>
        <v>2084.2191049348248</v>
      </c>
      <c r="BA58" s="116">
        <f t="shared" si="38"/>
        <v>2417.9455622106511</v>
      </c>
      <c r="BB58" s="116">
        <f t="shared" si="38"/>
        <v>2789.0121755774398</v>
      </c>
      <c r="BC58" s="14"/>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row>
    <row r="59" spans="2:272" x14ac:dyDescent="0.25">
      <c r="B59" s="60"/>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2"/>
      <c r="AH59" s="79"/>
      <c r="AI59" s="79"/>
      <c r="AJ59" s="92"/>
      <c r="AK59" s="92"/>
      <c r="AL59" s="110"/>
      <c r="AM59" s="79"/>
      <c r="AN59" s="79"/>
      <c r="AO59" s="79"/>
      <c r="AP59" s="79"/>
      <c r="AQ59" s="79"/>
      <c r="AR59" s="79"/>
      <c r="AS59" s="79"/>
      <c r="AT59" s="79"/>
      <c r="AU59" s="79"/>
      <c r="AV59" s="79"/>
      <c r="AW59" s="79"/>
      <c r="AX59" s="79"/>
      <c r="AY59" s="79"/>
      <c r="AZ59" s="79"/>
      <c r="BA59" s="79"/>
      <c r="BB59" s="79"/>
      <c r="BC59" s="14"/>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row>
    <row r="60" spans="2:272" x14ac:dyDescent="0.25">
      <c r="B60" s="60"/>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2"/>
      <c r="AH60" s="79"/>
      <c r="AI60" s="79"/>
      <c r="AJ60" s="92"/>
      <c r="AK60" s="92"/>
      <c r="AL60" s="110"/>
      <c r="AM60" s="79"/>
      <c r="AN60" s="79"/>
      <c r="AO60" s="79"/>
      <c r="AP60" s="79"/>
      <c r="AQ60" s="79"/>
      <c r="AR60" s="79"/>
      <c r="AS60" s="79"/>
      <c r="AT60" s="79"/>
      <c r="AU60" s="79"/>
      <c r="AV60" s="79"/>
      <c r="AW60" s="79"/>
      <c r="AX60" s="79"/>
      <c r="AY60" s="79"/>
      <c r="AZ60" s="79"/>
      <c r="BA60" s="79"/>
      <c r="BB60" s="79"/>
      <c r="BC60" s="14"/>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row>
    <row r="61" spans="2:272" x14ac:dyDescent="0.25">
      <c r="B61" s="60"/>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2"/>
      <c r="AG61" t="s">
        <v>619</v>
      </c>
      <c r="AH61" s="84">
        <v>0.2</v>
      </c>
      <c r="AI61" s="79"/>
      <c r="AJ61" s="92"/>
      <c r="AK61" s="92"/>
      <c r="AL61" s="110"/>
      <c r="AM61" s="79"/>
      <c r="AN61" s="79"/>
      <c r="AO61" s="79"/>
      <c r="AP61" s="79"/>
      <c r="AQ61" s="79"/>
      <c r="AR61" s="79"/>
      <c r="AS61" s="79"/>
      <c r="AT61" s="79"/>
      <c r="AU61" s="79"/>
      <c r="AV61" s="79"/>
      <c r="AW61" s="79"/>
      <c r="AX61" s="79"/>
      <c r="AY61" s="79"/>
      <c r="AZ61" s="79"/>
      <c r="BA61" s="79"/>
      <c r="BB61" s="79"/>
      <c r="BC61" s="14"/>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row>
    <row r="62" spans="2:272" x14ac:dyDescent="0.25">
      <c r="B62" s="60"/>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2"/>
      <c r="AG62" t="s">
        <v>622</v>
      </c>
      <c r="AH62" s="79">
        <f>NPV(AH61,AM58:BB58)</f>
        <v>1445.8621171902507</v>
      </c>
      <c r="AI62" s="79"/>
      <c r="AJ62" s="92"/>
      <c r="AK62" s="92"/>
      <c r="AL62" s="110"/>
      <c r="AM62" s="79"/>
      <c r="AN62" s="79"/>
      <c r="AO62" s="79"/>
      <c r="AP62" s="79"/>
      <c r="AQ62" s="79"/>
      <c r="AR62" s="79"/>
      <c r="AS62" s="79"/>
      <c r="AT62" s="79"/>
      <c r="AU62" s="79"/>
      <c r="AV62" s="79"/>
      <c r="AW62" s="79"/>
      <c r="AX62" s="79"/>
      <c r="AY62" s="79"/>
      <c r="AZ62" s="79"/>
      <c r="BA62" s="79"/>
      <c r="BB62" s="79"/>
      <c r="BC62" s="14"/>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row>
    <row r="63" spans="2:272" x14ac:dyDescent="0.25">
      <c r="B63" s="60"/>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2"/>
      <c r="AG63" t="s">
        <v>3</v>
      </c>
      <c r="AH63" s="79">
        <v>296</v>
      </c>
      <c r="AI63" s="79"/>
      <c r="AJ63" s="92"/>
      <c r="AK63" s="92"/>
      <c r="AL63" s="110"/>
      <c r="AM63" s="79"/>
      <c r="AN63" s="79"/>
      <c r="AO63" s="79"/>
      <c r="AP63" s="79"/>
      <c r="AQ63" s="79"/>
      <c r="AR63" s="79"/>
      <c r="AS63" s="79"/>
      <c r="AT63" s="79"/>
      <c r="AU63" s="79"/>
      <c r="AV63" s="79"/>
      <c r="AW63" s="79"/>
      <c r="AX63" s="79"/>
      <c r="AY63" s="79"/>
      <c r="AZ63" s="79"/>
      <c r="BA63" s="79"/>
      <c r="BB63" s="79"/>
      <c r="BC63" s="14"/>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row>
    <row r="64" spans="2:272" x14ac:dyDescent="0.25">
      <c r="B64" s="60"/>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2"/>
      <c r="AG64" t="s">
        <v>4</v>
      </c>
      <c r="AH64" s="52">
        <v>0</v>
      </c>
      <c r="AI64" s="52"/>
      <c r="AJ64" s="84"/>
      <c r="AK64" s="84"/>
      <c r="AL64" s="93"/>
      <c r="AM64" s="52"/>
      <c r="AN64" s="52"/>
      <c r="AO64" s="52"/>
      <c r="AP64" s="14"/>
      <c r="AQ64" s="14"/>
      <c r="AR64" s="14"/>
      <c r="AS64" s="14"/>
      <c r="AT64" s="14"/>
      <c r="AU64" s="14"/>
      <c r="AV64" s="14"/>
      <c r="AW64" s="14"/>
      <c r="AX64" s="14"/>
      <c r="AY64" s="14"/>
      <c r="AZ64" s="14"/>
      <c r="BA64" s="14"/>
      <c r="BB64" s="14"/>
      <c r="BC64" s="14"/>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row>
    <row r="65" spans="2:272" x14ac:dyDescent="0.25">
      <c r="B65" s="60"/>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2"/>
      <c r="AG65" t="s">
        <v>620</v>
      </c>
      <c r="AH65" s="79">
        <f>SUM(AH62:AH64)</f>
        <v>1741.8621171902507</v>
      </c>
      <c r="AI65" s="52"/>
      <c r="AJ65" s="84"/>
      <c r="AK65" s="84"/>
      <c r="AL65" s="93"/>
      <c r="AM65" s="52"/>
      <c r="AN65" s="52"/>
      <c r="AO65" s="52"/>
      <c r="AP65" s="14"/>
      <c r="AQ65" s="14"/>
      <c r="AR65" s="14"/>
      <c r="AS65" s="14"/>
      <c r="AT65" s="14"/>
      <c r="AU65" s="14"/>
      <c r="AV65" s="14"/>
      <c r="AW65" s="14"/>
      <c r="AX65" s="14"/>
      <c r="AY65" s="14"/>
      <c r="AZ65" s="14"/>
      <c r="BA65" s="14"/>
      <c r="BB65" s="14"/>
      <c r="BC65" s="14"/>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row>
    <row r="66" spans="2:272" x14ac:dyDescent="0.25">
      <c r="B66" s="60"/>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2"/>
      <c r="AG66" t="s">
        <v>621</v>
      </c>
      <c r="AH66" s="52">
        <v>56</v>
      </c>
      <c r="AI66" s="52"/>
      <c r="AJ66" s="84"/>
      <c r="AK66" s="84"/>
      <c r="AL66" s="93"/>
      <c r="AM66" s="52"/>
      <c r="AN66" s="52"/>
      <c r="AO66" s="52"/>
      <c r="AP66" s="14"/>
      <c r="AQ66" s="14"/>
      <c r="AR66" s="14"/>
      <c r="AS66" s="14"/>
      <c r="AT66" s="14"/>
      <c r="AU66" s="14"/>
      <c r="AV66" s="14"/>
      <c r="AW66" s="14"/>
      <c r="AX66" s="14"/>
      <c r="AY66" s="14"/>
      <c r="AZ66" s="14"/>
      <c r="BA66" s="14"/>
      <c r="BB66" s="14"/>
      <c r="BC66" s="14"/>
      <c r="BD66" s="52"/>
      <c r="BE66" s="52"/>
      <c r="BF66" s="52"/>
      <c r="BG66" s="52"/>
      <c r="BH66" s="52"/>
      <c r="BI66" s="52"/>
      <c r="BJ66" s="52"/>
      <c r="BK66" s="52"/>
      <c r="BL66" s="52"/>
      <c r="BM66" s="52"/>
      <c r="BN66" s="52"/>
      <c r="BO66" s="52"/>
      <c r="BP66" s="52"/>
      <c r="BQ66" s="52"/>
      <c r="BR66" s="52"/>
      <c r="BS66" s="52"/>
      <c r="BT66" s="52"/>
      <c r="BU66" s="52"/>
      <c r="BV66" s="52"/>
      <c r="BW66" s="52"/>
      <c r="BX66" s="52"/>
      <c r="BY66" s="52"/>
      <c r="BZ66" s="52"/>
      <c r="CA66" s="52"/>
      <c r="CB66" s="52"/>
      <c r="CC66" s="52"/>
      <c r="CD66" s="52"/>
      <c r="CE66" s="52"/>
      <c r="CF66" s="52"/>
      <c r="CG66" s="52"/>
      <c r="CH66" s="52"/>
      <c r="CI66" s="52"/>
      <c r="CJ66" s="52"/>
      <c r="CK66" s="52"/>
      <c r="CL66" s="52"/>
      <c r="CM66" s="52"/>
      <c r="CN66" s="52"/>
      <c r="CO66" s="52"/>
      <c r="CP66" s="52"/>
      <c r="CQ66" s="52"/>
      <c r="CR66" s="52"/>
      <c r="CS66" s="52"/>
      <c r="CT66" s="52"/>
      <c r="CU66" s="52"/>
      <c r="CV66" s="52"/>
      <c r="CW66" s="52"/>
      <c r="CX66" s="52"/>
      <c r="CY66" s="52"/>
      <c r="CZ66" s="52"/>
      <c r="DA66" s="52"/>
      <c r="DB66" s="52"/>
      <c r="DC66" s="52"/>
      <c r="DD66" s="52"/>
      <c r="DE66" s="52"/>
      <c r="DF66" s="52"/>
      <c r="DG66" s="52"/>
      <c r="DH66" s="52"/>
      <c r="DI66" s="52"/>
      <c r="DJ66" s="52"/>
      <c r="DK66" s="52"/>
      <c r="DL66" s="52"/>
      <c r="DM66" s="52"/>
      <c r="DN66" s="52"/>
      <c r="DO66" s="52"/>
      <c r="DP66" s="52"/>
      <c r="DQ66" s="52"/>
      <c r="DR66" s="52"/>
      <c r="DS66" s="52"/>
      <c r="DT66" s="52"/>
      <c r="DU66" s="52"/>
      <c r="DV66" s="52"/>
      <c r="DW66" s="52"/>
      <c r="DX66" s="52"/>
      <c r="DY66" s="52"/>
      <c r="DZ66" s="52"/>
      <c r="EA66" s="52"/>
      <c r="EB66" s="52"/>
      <c r="EC66" s="52"/>
      <c r="ED66" s="52"/>
      <c r="EE66" s="52"/>
      <c r="EF66" s="52"/>
      <c r="EG66" s="52"/>
      <c r="EH66" s="52"/>
      <c r="EI66" s="52"/>
      <c r="EJ66" s="52"/>
      <c r="EK66" s="52"/>
      <c r="EL66" s="52"/>
      <c r="EM66" s="52"/>
      <c r="EN66" s="52"/>
      <c r="EO66" s="52"/>
      <c r="EP66" s="52"/>
      <c r="EQ66" s="52"/>
      <c r="ER66" s="52"/>
      <c r="ES66" s="52"/>
      <c r="ET66" s="52"/>
      <c r="EU66" s="52"/>
      <c r="EV66" s="52"/>
      <c r="EW66" s="52"/>
      <c r="EX66" s="52"/>
      <c r="EY66" s="52"/>
      <c r="EZ66" s="52"/>
      <c r="FA66" s="52"/>
      <c r="FB66" s="52"/>
      <c r="FC66" s="52"/>
      <c r="FD66" s="52"/>
      <c r="FE66" s="52"/>
      <c r="FF66" s="52"/>
      <c r="FG66" s="52"/>
      <c r="FH66" s="52"/>
      <c r="FI66" s="52"/>
      <c r="FJ66" s="52"/>
      <c r="FK66" s="52"/>
      <c r="FL66" s="52"/>
      <c r="FM66" s="52"/>
      <c r="FN66" s="52"/>
      <c r="FO66" s="52"/>
      <c r="FP66" s="52"/>
      <c r="FQ66" s="52"/>
      <c r="FR66" s="52"/>
      <c r="FS66" s="52"/>
      <c r="FT66" s="52"/>
      <c r="FU66" s="52"/>
      <c r="FV66" s="52"/>
      <c r="FW66" s="52"/>
      <c r="FX66" s="52"/>
      <c r="FY66" s="52"/>
      <c r="FZ66" s="52"/>
      <c r="GA66" s="52"/>
      <c r="GB66" s="52"/>
      <c r="GC66" s="52"/>
      <c r="GD66" s="52"/>
      <c r="GE66" s="52"/>
      <c r="GF66" s="52"/>
      <c r="GG66" s="52"/>
      <c r="GH66" s="52"/>
      <c r="GI66" s="52"/>
      <c r="GJ66" s="52"/>
      <c r="GK66" s="52"/>
      <c r="GL66" s="52"/>
      <c r="GM66" s="52"/>
      <c r="GN66" s="52"/>
      <c r="GO66" s="52"/>
      <c r="GP66" s="52"/>
      <c r="GQ66" s="52"/>
      <c r="GR66" s="52"/>
      <c r="GS66" s="52"/>
      <c r="GT66" s="52"/>
      <c r="GU66" s="52"/>
      <c r="GV66" s="52"/>
      <c r="GW66" s="52"/>
      <c r="GX66" s="52"/>
      <c r="GY66" s="52"/>
      <c r="GZ66" s="52"/>
      <c r="HA66" s="52"/>
      <c r="HB66" s="52"/>
      <c r="HC66" s="52"/>
      <c r="HD66" s="52"/>
      <c r="HE66" s="52"/>
      <c r="HF66" s="52"/>
      <c r="HG66" s="52"/>
      <c r="HH66" s="52"/>
      <c r="HI66" s="52"/>
      <c r="HJ66" s="52"/>
      <c r="HK66" s="52"/>
      <c r="HL66" s="52"/>
      <c r="HM66" s="52"/>
      <c r="HN66" s="52"/>
      <c r="HO66" s="52"/>
      <c r="HP66" s="52"/>
      <c r="HQ66" s="52"/>
      <c r="HR66" s="52"/>
      <c r="HS66" s="52"/>
      <c r="HT66" s="52"/>
      <c r="HU66" s="52"/>
      <c r="HV66" s="52"/>
      <c r="HW66" s="52"/>
      <c r="HX66" s="52"/>
      <c r="HY66" s="52"/>
      <c r="HZ66" s="52"/>
      <c r="IA66" s="52"/>
      <c r="IB66" s="52"/>
      <c r="IC66" s="52"/>
      <c r="ID66" s="52"/>
      <c r="IE66" s="52"/>
      <c r="IF66" s="52"/>
      <c r="IG66" s="52"/>
      <c r="IH66" s="52"/>
      <c r="II66" s="52"/>
      <c r="IJ66" s="52"/>
      <c r="IK66" s="52"/>
      <c r="IL66" s="52"/>
      <c r="IM66" s="52"/>
      <c r="IN66" s="52"/>
      <c r="IO66" s="52"/>
      <c r="IP66" s="52"/>
      <c r="IQ66" s="52"/>
      <c r="IR66" s="52"/>
      <c r="IS66" s="52"/>
      <c r="IT66" s="52"/>
      <c r="IU66" s="52"/>
      <c r="IV66" s="52"/>
      <c r="IW66" s="52"/>
      <c r="IX66" s="52"/>
      <c r="IY66" s="52"/>
      <c r="IZ66" s="52"/>
      <c r="JA66" s="52"/>
      <c r="JB66" s="52"/>
      <c r="JC66" s="52"/>
      <c r="JD66" s="52"/>
      <c r="JE66" s="52"/>
      <c r="JF66" s="52"/>
      <c r="JG66" s="52"/>
      <c r="JH66" s="52"/>
      <c r="JI66" s="52"/>
      <c r="JJ66" s="52"/>
      <c r="JK66" s="52"/>
      <c r="JL66" s="52"/>
    </row>
    <row r="67" spans="2:272" x14ac:dyDescent="0.25">
      <c r="B67" s="60"/>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2"/>
      <c r="AG67" s="4" t="s">
        <v>651</v>
      </c>
      <c r="AH67" s="114">
        <f>AH65/AH66</f>
        <v>31.104680664111619</v>
      </c>
      <c r="AI67" s="52"/>
      <c r="AJ67" s="92"/>
      <c r="AK67" s="84"/>
      <c r="AL67" s="93"/>
      <c r="AM67" s="52"/>
      <c r="AN67" s="52"/>
      <c r="AO67" s="52"/>
      <c r="AP67" s="14"/>
      <c r="AQ67" s="14"/>
      <c r="AR67" s="14"/>
      <c r="AS67" s="14"/>
      <c r="AT67" s="14"/>
      <c r="AU67" s="14"/>
      <c r="AV67" s="14"/>
      <c r="AW67" s="14"/>
      <c r="AX67" s="14"/>
      <c r="AY67" s="14"/>
      <c r="AZ67" s="14"/>
      <c r="BA67" s="14"/>
      <c r="BB67" s="14"/>
      <c r="BC67" s="14"/>
      <c r="BD67" s="52"/>
      <c r="BE67" s="52"/>
      <c r="BF67" s="52"/>
      <c r="BG67" s="52"/>
      <c r="BH67" s="52"/>
      <c r="BI67" s="52"/>
      <c r="BJ67" s="52"/>
      <c r="BK67" s="52"/>
      <c r="BL67" s="52"/>
      <c r="BM67" s="52"/>
      <c r="BN67" s="52"/>
      <c r="BO67" s="52"/>
      <c r="BP67" s="52"/>
      <c r="BQ67" s="52"/>
      <c r="BR67" s="52"/>
      <c r="BS67" s="52"/>
      <c r="BT67" s="52"/>
      <c r="BU67" s="52"/>
      <c r="BV67" s="52"/>
      <c r="BW67" s="52"/>
      <c r="BX67" s="52"/>
      <c r="BY67" s="52"/>
      <c r="BZ67" s="52"/>
      <c r="CA67" s="52"/>
      <c r="CB67" s="52"/>
      <c r="CC67" s="52"/>
      <c r="CD67" s="52"/>
      <c r="CE67" s="52"/>
      <c r="CF67" s="52"/>
      <c r="CG67" s="52"/>
      <c r="CH67" s="52"/>
      <c r="CI67" s="52"/>
      <c r="CJ67" s="52"/>
      <c r="CK67" s="52"/>
      <c r="CL67" s="52"/>
      <c r="CM67" s="52"/>
      <c r="CN67" s="52"/>
      <c r="CO67" s="52"/>
      <c r="CP67" s="52"/>
      <c r="CQ67" s="52"/>
      <c r="CR67" s="52"/>
      <c r="CS67" s="52"/>
      <c r="CT67" s="52"/>
      <c r="CU67" s="52"/>
      <c r="CV67" s="52"/>
      <c r="CW67" s="52"/>
      <c r="CX67" s="52"/>
      <c r="CY67" s="52"/>
      <c r="CZ67" s="52"/>
      <c r="DA67" s="52"/>
      <c r="DB67" s="52"/>
      <c r="DC67" s="52"/>
      <c r="DD67" s="52"/>
      <c r="DE67" s="52"/>
      <c r="DF67" s="52"/>
      <c r="DG67" s="52"/>
      <c r="DH67" s="52"/>
      <c r="DI67" s="52"/>
      <c r="DJ67" s="52"/>
      <c r="DK67" s="52"/>
      <c r="DL67" s="52"/>
      <c r="DM67" s="52"/>
      <c r="DN67" s="52"/>
      <c r="DO67" s="52"/>
      <c r="DP67" s="52"/>
      <c r="DQ67" s="52"/>
      <c r="DR67" s="52"/>
      <c r="DS67" s="52"/>
      <c r="DT67" s="52"/>
      <c r="DU67" s="52"/>
      <c r="DV67" s="52"/>
      <c r="DW67" s="52"/>
      <c r="DX67" s="52"/>
      <c r="DY67" s="52"/>
      <c r="DZ67" s="52"/>
      <c r="EA67" s="52"/>
      <c r="EB67" s="52"/>
      <c r="EC67" s="52"/>
      <c r="ED67" s="52"/>
      <c r="EE67" s="52"/>
      <c r="EF67" s="52"/>
      <c r="EG67" s="52"/>
      <c r="EH67" s="52"/>
      <c r="EI67" s="52"/>
      <c r="EJ67" s="52"/>
      <c r="EK67" s="52"/>
      <c r="EL67" s="52"/>
      <c r="EM67" s="52"/>
      <c r="EN67" s="52"/>
      <c r="EO67" s="52"/>
      <c r="EP67" s="52"/>
      <c r="EQ67" s="52"/>
      <c r="ER67" s="52"/>
      <c r="ES67" s="52"/>
      <c r="ET67" s="52"/>
      <c r="EU67" s="52"/>
      <c r="EV67" s="52"/>
      <c r="EW67" s="52"/>
      <c r="EX67" s="52"/>
      <c r="EY67" s="52"/>
      <c r="EZ67" s="52"/>
      <c r="FA67" s="52"/>
      <c r="FB67" s="52"/>
      <c r="FC67" s="52"/>
      <c r="FD67" s="52"/>
      <c r="FE67" s="52"/>
      <c r="FF67" s="52"/>
      <c r="FG67" s="52"/>
      <c r="FH67" s="52"/>
      <c r="FI67" s="52"/>
      <c r="FJ67" s="52"/>
      <c r="FK67" s="52"/>
      <c r="FL67" s="52"/>
      <c r="FM67" s="52"/>
      <c r="FN67" s="52"/>
      <c r="FO67" s="52"/>
      <c r="FP67" s="52"/>
      <c r="FQ67" s="52"/>
      <c r="FR67" s="52"/>
      <c r="FS67" s="52"/>
      <c r="FT67" s="52"/>
      <c r="FU67" s="52"/>
      <c r="FV67" s="52"/>
      <c r="FW67" s="52"/>
      <c r="FX67" s="52"/>
      <c r="FY67" s="52"/>
      <c r="FZ67" s="52"/>
      <c r="GA67" s="52"/>
      <c r="GB67" s="52"/>
      <c r="GC67" s="52"/>
      <c r="GD67" s="52"/>
      <c r="GE67" s="52"/>
      <c r="GF67" s="52"/>
      <c r="GG67" s="52"/>
      <c r="GH67" s="52"/>
      <c r="GI67" s="52"/>
      <c r="GJ67" s="52"/>
      <c r="GK67" s="52"/>
      <c r="GL67" s="52"/>
      <c r="GM67" s="52"/>
      <c r="GN67" s="52"/>
      <c r="GO67" s="52"/>
      <c r="GP67" s="52"/>
      <c r="GQ67" s="52"/>
      <c r="GR67" s="52"/>
      <c r="GS67" s="52"/>
      <c r="GT67" s="52"/>
      <c r="GU67" s="52"/>
      <c r="GV67" s="52"/>
      <c r="GW67" s="52"/>
      <c r="GX67" s="52"/>
      <c r="GY67" s="52"/>
      <c r="GZ67" s="52"/>
      <c r="HA67" s="52"/>
      <c r="HB67" s="52"/>
      <c r="HC67" s="52"/>
      <c r="HD67" s="52"/>
      <c r="HE67" s="52"/>
      <c r="HF67" s="52"/>
      <c r="HG67" s="52"/>
      <c r="HH67" s="52"/>
      <c r="HI67" s="52"/>
      <c r="HJ67" s="52"/>
      <c r="HK67" s="52"/>
      <c r="HL67" s="52"/>
      <c r="HM67" s="52"/>
      <c r="HN67" s="52"/>
      <c r="HO67" s="52"/>
      <c r="HP67" s="52"/>
      <c r="HQ67" s="52"/>
      <c r="HR67" s="52"/>
      <c r="HS67" s="52"/>
      <c r="HT67" s="52"/>
      <c r="HU67" s="52"/>
      <c r="HV67" s="52"/>
      <c r="HW67" s="52"/>
      <c r="HX67" s="52"/>
      <c r="HY67" s="52"/>
      <c r="HZ67" s="52"/>
      <c r="IA67" s="52"/>
      <c r="IB67" s="52"/>
      <c r="IC67" s="52"/>
      <c r="ID67" s="52"/>
      <c r="IE67" s="52"/>
      <c r="IF67" s="52"/>
      <c r="IG67" s="52"/>
      <c r="IH67" s="52"/>
      <c r="II67" s="52"/>
      <c r="IJ67" s="52"/>
      <c r="IK67" s="52"/>
      <c r="IL67" s="52"/>
      <c r="IM67" s="52"/>
      <c r="IN67" s="52"/>
      <c r="IO67" s="52"/>
      <c r="IP67" s="52"/>
      <c r="IQ67" s="52"/>
      <c r="IR67" s="52"/>
      <c r="IS67" s="52"/>
      <c r="IT67" s="52"/>
      <c r="IU67" s="52"/>
      <c r="IV67" s="52"/>
      <c r="IW67" s="52"/>
      <c r="IX67" s="52"/>
      <c r="IY67" s="52"/>
      <c r="IZ67" s="52"/>
      <c r="JA67" s="52"/>
      <c r="JB67" s="52"/>
      <c r="JC67" s="52"/>
      <c r="JD67" s="52"/>
      <c r="JE67" s="52"/>
      <c r="JF67" s="52"/>
      <c r="JG67" s="52"/>
      <c r="JH67" s="52"/>
      <c r="JI67" s="52"/>
      <c r="JJ67" s="52"/>
      <c r="JK67" s="52"/>
      <c r="JL67" s="52"/>
    </row>
    <row r="68" spans="2:272" x14ac:dyDescent="0.25">
      <c r="B68" s="60"/>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2"/>
      <c r="AG68" t="s">
        <v>648</v>
      </c>
      <c r="AH68" s="80">
        <v>0.8</v>
      </c>
      <c r="AI68" s="52"/>
      <c r="AJ68" s="92"/>
      <c r="AK68" s="84"/>
      <c r="AL68" s="93"/>
      <c r="AM68" s="52"/>
      <c r="AN68" s="52"/>
      <c r="AO68" s="52"/>
      <c r="AP68" s="14"/>
      <c r="AQ68" s="14"/>
      <c r="AR68" s="14"/>
      <c r="AS68" s="14"/>
      <c r="AT68" s="14"/>
      <c r="AU68" s="14"/>
      <c r="AV68" s="14"/>
      <c r="AW68" s="14"/>
      <c r="AX68" s="14"/>
      <c r="AY68" s="14"/>
      <c r="AZ68" s="14"/>
      <c r="BA68" s="14"/>
      <c r="BB68" s="14"/>
      <c r="BC68" s="14"/>
      <c r="BD68" s="52"/>
      <c r="BE68" s="52"/>
      <c r="BF68" s="52"/>
      <c r="BG68" s="52"/>
      <c r="BH68" s="52"/>
      <c r="BI68" s="52"/>
      <c r="BJ68" s="52"/>
      <c r="BK68" s="52"/>
      <c r="BL68" s="52"/>
      <c r="BM68" s="52"/>
      <c r="BN68" s="52"/>
      <c r="BO68" s="52"/>
      <c r="BP68" s="52"/>
      <c r="BQ68" s="52"/>
      <c r="BR68" s="52"/>
      <c r="BS68" s="52"/>
      <c r="BT68" s="52"/>
      <c r="BU68" s="52"/>
      <c r="BV68" s="52"/>
      <c r="BW68" s="52"/>
      <c r="BX68" s="52"/>
      <c r="BY68" s="52"/>
      <c r="BZ68" s="52"/>
      <c r="CA68" s="52"/>
      <c r="CB68" s="52"/>
      <c r="CC68" s="52"/>
      <c r="CD68" s="52"/>
      <c r="CE68" s="52"/>
      <c r="CF68" s="52"/>
      <c r="CG68" s="52"/>
      <c r="CH68" s="52"/>
      <c r="CI68" s="52"/>
      <c r="CJ68" s="52"/>
      <c r="CK68" s="52"/>
      <c r="CL68" s="52"/>
      <c r="CM68" s="52"/>
      <c r="CN68" s="52"/>
      <c r="CO68" s="52"/>
      <c r="CP68" s="52"/>
      <c r="CQ68" s="52"/>
      <c r="CR68" s="52"/>
      <c r="CS68" s="52"/>
      <c r="CT68" s="52"/>
      <c r="CU68" s="52"/>
      <c r="CV68" s="52"/>
      <c r="CW68" s="52"/>
      <c r="CX68" s="52"/>
      <c r="CY68" s="52"/>
      <c r="CZ68" s="52"/>
      <c r="DA68" s="52"/>
      <c r="DB68" s="52"/>
      <c r="DC68" s="52"/>
      <c r="DD68" s="52"/>
      <c r="DE68" s="52"/>
      <c r="DF68" s="52"/>
      <c r="DG68" s="52"/>
      <c r="DH68" s="52"/>
      <c r="DI68" s="52"/>
      <c r="DJ68" s="52"/>
      <c r="DK68" s="52"/>
      <c r="DL68" s="52"/>
      <c r="DM68" s="52"/>
      <c r="DN68" s="52"/>
      <c r="DO68" s="52"/>
      <c r="DP68" s="52"/>
      <c r="DQ68" s="52"/>
      <c r="DR68" s="52"/>
      <c r="DS68" s="52"/>
      <c r="DT68" s="52"/>
      <c r="DU68" s="52"/>
      <c r="DV68" s="52"/>
      <c r="DW68" s="52"/>
      <c r="DX68" s="52"/>
      <c r="DY68" s="52"/>
      <c r="DZ68" s="52"/>
      <c r="EA68" s="52"/>
      <c r="EB68" s="52"/>
      <c r="EC68" s="52"/>
      <c r="ED68" s="52"/>
      <c r="EE68" s="52"/>
      <c r="EF68" s="52"/>
      <c r="EG68" s="52"/>
      <c r="EH68" s="52"/>
      <c r="EI68" s="52"/>
      <c r="EJ68" s="52"/>
      <c r="EK68" s="52"/>
      <c r="EL68" s="52"/>
      <c r="EM68" s="52"/>
      <c r="EN68" s="52"/>
      <c r="EO68" s="52"/>
      <c r="EP68" s="52"/>
      <c r="EQ68" s="52"/>
      <c r="ER68" s="52"/>
      <c r="ES68" s="52"/>
      <c r="ET68" s="52"/>
      <c r="EU68" s="52"/>
      <c r="EV68" s="52"/>
      <c r="EW68" s="52"/>
      <c r="EX68" s="52"/>
      <c r="EY68" s="52"/>
      <c r="EZ68" s="52"/>
      <c r="FA68" s="52"/>
      <c r="FB68" s="52"/>
      <c r="FC68" s="52"/>
      <c r="FD68" s="52"/>
      <c r="FE68" s="52"/>
      <c r="FF68" s="52"/>
      <c r="FG68" s="52"/>
      <c r="FH68" s="52"/>
      <c r="FI68" s="52"/>
      <c r="FJ68" s="52"/>
      <c r="FK68" s="52"/>
      <c r="FL68" s="52"/>
      <c r="FM68" s="52"/>
      <c r="FN68" s="52"/>
      <c r="FO68" s="52"/>
      <c r="FP68" s="52"/>
      <c r="FQ68" s="52"/>
      <c r="FR68" s="52"/>
      <c r="FS68" s="52"/>
      <c r="FT68" s="52"/>
      <c r="FU68" s="52"/>
      <c r="FV68" s="52"/>
      <c r="FW68" s="52"/>
      <c r="FX68" s="52"/>
      <c r="FY68" s="52"/>
      <c r="FZ68" s="52"/>
      <c r="GA68" s="52"/>
      <c r="GB68" s="52"/>
      <c r="GC68" s="52"/>
      <c r="GD68" s="52"/>
      <c r="GE68" s="52"/>
      <c r="GF68" s="52"/>
      <c r="GG68" s="52"/>
      <c r="GH68" s="52"/>
      <c r="GI68" s="52"/>
      <c r="GJ68" s="52"/>
      <c r="GK68" s="52"/>
      <c r="GL68" s="52"/>
      <c r="GM68" s="52"/>
      <c r="GN68" s="52"/>
      <c r="GO68" s="52"/>
      <c r="GP68" s="52"/>
      <c r="GQ68" s="52"/>
      <c r="GR68" s="52"/>
      <c r="GS68" s="52"/>
      <c r="GT68" s="52"/>
      <c r="GU68" s="52"/>
      <c r="GV68" s="52"/>
      <c r="GW68" s="52"/>
      <c r="GX68" s="52"/>
      <c r="GY68" s="52"/>
      <c r="GZ68" s="52"/>
      <c r="HA68" s="52"/>
      <c r="HB68" s="52"/>
      <c r="HC68" s="52"/>
      <c r="HD68" s="52"/>
      <c r="HE68" s="52"/>
      <c r="HF68" s="52"/>
      <c r="HG68" s="52"/>
      <c r="HH68" s="52"/>
      <c r="HI68" s="52"/>
      <c r="HJ68" s="52"/>
      <c r="HK68" s="52"/>
      <c r="HL68" s="52"/>
      <c r="HM68" s="52"/>
      <c r="HN68" s="52"/>
      <c r="HO68" s="52"/>
      <c r="HP68" s="52"/>
      <c r="HQ68" s="52"/>
      <c r="HR68" s="52"/>
      <c r="HS68" s="52"/>
      <c r="HT68" s="52"/>
      <c r="HU68" s="52"/>
      <c r="HV68" s="52"/>
      <c r="HW68" s="52"/>
      <c r="HX68" s="52"/>
      <c r="HY68" s="52"/>
      <c r="HZ68" s="52"/>
      <c r="IA68" s="52"/>
      <c r="IB68" s="52"/>
      <c r="IC68" s="52"/>
      <c r="ID68" s="52"/>
      <c r="IE68" s="52"/>
      <c r="IF68" s="52"/>
      <c r="IG68" s="52"/>
      <c r="IH68" s="52"/>
      <c r="II68" s="52"/>
      <c r="IJ68" s="52"/>
      <c r="IK68" s="52"/>
      <c r="IL68" s="52"/>
      <c r="IM68" s="52"/>
      <c r="IN68" s="52"/>
      <c r="IO68" s="52"/>
      <c r="IP68" s="52"/>
      <c r="IQ68" s="52"/>
      <c r="IR68" s="52"/>
      <c r="IS68" s="52"/>
      <c r="IT68" s="52"/>
      <c r="IU68" s="52"/>
      <c r="IV68" s="52"/>
      <c r="IW68" s="52"/>
      <c r="IX68" s="52"/>
      <c r="IY68" s="52"/>
      <c r="IZ68" s="52"/>
      <c r="JA68" s="52"/>
      <c r="JB68" s="52"/>
      <c r="JC68" s="52"/>
      <c r="JD68" s="52"/>
      <c r="JE68" s="52"/>
      <c r="JF68" s="52"/>
      <c r="JG68" s="52"/>
      <c r="JH68" s="52"/>
      <c r="JI68" s="52"/>
      <c r="JJ68" s="52"/>
      <c r="JK68" s="52"/>
      <c r="JL68" s="52"/>
    </row>
    <row r="69" spans="2:272" x14ac:dyDescent="0.25">
      <c r="B69" s="60"/>
      <c r="C69" s="5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2"/>
      <c r="AG69" t="s">
        <v>649</v>
      </c>
      <c r="AH69" s="80">
        <v>0.8</v>
      </c>
      <c r="AI69" s="52"/>
      <c r="AJ69" s="92"/>
      <c r="AK69" s="84"/>
      <c r="AL69" s="93"/>
      <c r="AM69" s="52"/>
      <c r="AN69" s="52"/>
      <c r="AO69" s="52"/>
      <c r="AP69" s="14"/>
      <c r="AQ69" s="14"/>
      <c r="AR69" s="14"/>
      <c r="AS69" s="14"/>
      <c r="AT69" s="14"/>
      <c r="AU69" s="14"/>
      <c r="AV69" s="14"/>
      <c r="AW69" s="14"/>
      <c r="AX69" s="14"/>
      <c r="AY69" s="14"/>
      <c r="AZ69" s="14"/>
      <c r="BA69" s="14"/>
      <c r="BB69" s="14"/>
      <c r="BC69" s="14"/>
      <c r="BD69" s="52"/>
      <c r="BE69" s="52"/>
      <c r="BF69" s="52"/>
      <c r="BG69" s="52"/>
      <c r="BH69" s="52"/>
      <c r="BI69" s="52"/>
      <c r="BJ69" s="52"/>
      <c r="BK69" s="52"/>
      <c r="BL69" s="52"/>
      <c r="BM69" s="52"/>
      <c r="BN69" s="52"/>
      <c r="BO69" s="52"/>
      <c r="BP69" s="52"/>
      <c r="BQ69" s="52"/>
      <c r="BR69" s="52"/>
      <c r="BS69" s="52"/>
      <c r="BT69" s="52"/>
      <c r="BU69" s="52"/>
      <c r="BV69" s="52"/>
      <c r="BW69" s="52"/>
      <c r="BX69" s="52"/>
      <c r="BY69" s="52"/>
      <c r="BZ69" s="52"/>
      <c r="CA69" s="52"/>
      <c r="CB69" s="52"/>
      <c r="CC69" s="52"/>
      <c r="CD69" s="52"/>
      <c r="CE69" s="52"/>
      <c r="CF69" s="52"/>
      <c r="CG69" s="52"/>
      <c r="CH69" s="52"/>
      <c r="CI69" s="52"/>
      <c r="CJ69" s="52"/>
      <c r="CK69" s="52"/>
      <c r="CL69" s="52"/>
      <c r="CM69" s="52"/>
      <c r="CN69" s="52"/>
      <c r="CO69" s="52"/>
      <c r="CP69" s="52"/>
      <c r="CQ69" s="52"/>
      <c r="CR69" s="52"/>
      <c r="CS69" s="52"/>
      <c r="CT69" s="52"/>
      <c r="CU69" s="52"/>
      <c r="CV69" s="52"/>
      <c r="CW69" s="52"/>
      <c r="CX69" s="52"/>
      <c r="CY69" s="52"/>
      <c r="CZ69" s="52"/>
      <c r="DA69" s="52"/>
      <c r="DB69" s="52"/>
      <c r="DC69" s="52"/>
      <c r="DD69" s="52"/>
      <c r="DE69" s="52"/>
      <c r="DF69" s="52"/>
      <c r="DG69" s="52"/>
      <c r="DH69" s="52"/>
      <c r="DI69" s="52"/>
      <c r="DJ69" s="52"/>
      <c r="DK69" s="52"/>
      <c r="DL69" s="52"/>
      <c r="DM69" s="52"/>
      <c r="DN69" s="52"/>
      <c r="DO69" s="52"/>
      <c r="DP69" s="52"/>
      <c r="DQ69" s="52"/>
      <c r="DR69" s="52"/>
      <c r="DS69" s="52"/>
      <c r="DT69" s="52"/>
      <c r="DU69" s="52"/>
      <c r="DV69" s="52"/>
      <c r="DW69" s="52"/>
      <c r="DX69" s="52"/>
      <c r="DY69" s="52"/>
      <c r="DZ69" s="52"/>
      <c r="EA69" s="52"/>
      <c r="EB69" s="52"/>
      <c r="EC69" s="52"/>
      <c r="ED69" s="52"/>
      <c r="EE69" s="52"/>
      <c r="EF69" s="52"/>
      <c r="EG69" s="52"/>
      <c r="EH69" s="52"/>
      <c r="EI69" s="52"/>
      <c r="EJ69" s="52"/>
      <c r="EK69" s="52"/>
      <c r="EL69" s="52"/>
      <c r="EM69" s="52"/>
      <c r="EN69" s="52"/>
      <c r="EO69" s="52"/>
      <c r="EP69" s="52"/>
      <c r="EQ69" s="52"/>
      <c r="ER69" s="52"/>
      <c r="ES69" s="52"/>
      <c r="ET69" s="52"/>
      <c r="EU69" s="52"/>
      <c r="EV69" s="52"/>
      <c r="EW69" s="52"/>
      <c r="EX69" s="52"/>
      <c r="EY69" s="52"/>
      <c r="EZ69" s="52"/>
      <c r="FA69" s="52"/>
      <c r="FB69" s="52"/>
      <c r="FC69" s="52"/>
      <c r="FD69" s="52"/>
      <c r="FE69" s="52"/>
      <c r="FF69" s="52"/>
      <c r="FG69" s="52"/>
      <c r="FH69" s="52"/>
      <c r="FI69" s="52"/>
      <c r="FJ69" s="52"/>
      <c r="FK69" s="52"/>
      <c r="FL69" s="52"/>
      <c r="FM69" s="52"/>
      <c r="FN69" s="52"/>
      <c r="FO69" s="52"/>
      <c r="FP69" s="52"/>
      <c r="FQ69" s="52"/>
      <c r="FR69" s="52"/>
      <c r="FS69" s="52"/>
      <c r="FT69" s="52"/>
      <c r="FU69" s="52"/>
      <c r="FV69" s="52"/>
      <c r="FW69" s="52"/>
      <c r="FX69" s="52"/>
      <c r="FY69" s="52"/>
      <c r="FZ69" s="52"/>
      <c r="GA69" s="52"/>
      <c r="GB69" s="52"/>
      <c r="GC69" s="52"/>
      <c r="GD69" s="52"/>
      <c r="GE69" s="52"/>
      <c r="GF69" s="52"/>
      <c r="GG69" s="52"/>
      <c r="GH69" s="52"/>
      <c r="GI69" s="52"/>
      <c r="GJ69" s="52"/>
      <c r="GK69" s="52"/>
      <c r="GL69" s="52"/>
      <c r="GM69" s="52"/>
      <c r="GN69" s="52"/>
      <c r="GO69" s="52"/>
      <c r="GP69" s="52"/>
      <c r="GQ69" s="52"/>
      <c r="GR69" s="52"/>
      <c r="GS69" s="52"/>
      <c r="GT69" s="52"/>
      <c r="GU69" s="52"/>
      <c r="GV69" s="52"/>
      <c r="GW69" s="52"/>
      <c r="GX69" s="52"/>
      <c r="GY69" s="52"/>
      <c r="GZ69" s="52"/>
      <c r="HA69" s="52"/>
      <c r="HB69" s="52"/>
      <c r="HC69" s="52"/>
      <c r="HD69" s="52"/>
      <c r="HE69" s="52"/>
      <c r="HF69" s="52"/>
      <c r="HG69" s="52"/>
      <c r="HH69" s="52"/>
      <c r="HI69" s="52"/>
      <c r="HJ69" s="52"/>
      <c r="HK69" s="52"/>
      <c r="HL69" s="52"/>
      <c r="HM69" s="52"/>
      <c r="HN69" s="52"/>
      <c r="HO69" s="52"/>
      <c r="HP69" s="52"/>
      <c r="HQ69" s="52"/>
      <c r="HR69" s="52"/>
      <c r="HS69" s="52"/>
      <c r="HT69" s="52"/>
      <c r="HU69" s="52"/>
      <c r="HV69" s="52"/>
      <c r="HW69" s="52"/>
      <c r="HX69" s="52"/>
      <c r="HY69" s="52"/>
      <c r="HZ69" s="52"/>
      <c r="IA69" s="52"/>
      <c r="IB69" s="52"/>
      <c r="IC69" s="52"/>
      <c r="ID69" s="52"/>
      <c r="IE69" s="52"/>
      <c r="IF69" s="52"/>
      <c r="IG69" s="52"/>
      <c r="IH69" s="52"/>
      <c r="II69" s="52"/>
      <c r="IJ69" s="52"/>
      <c r="IK69" s="52"/>
      <c r="IL69" s="52"/>
      <c r="IM69" s="52"/>
      <c r="IN69" s="52"/>
      <c r="IO69" s="52"/>
      <c r="IP69" s="52"/>
      <c r="IQ69" s="52"/>
      <c r="IR69" s="52"/>
      <c r="IS69" s="52"/>
      <c r="IT69" s="52"/>
      <c r="IU69" s="52"/>
      <c r="IV69" s="52"/>
      <c r="IW69" s="52"/>
      <c r="IX69" s="52"/>
      <c r="IY69" s="52"/>
      <c r="IZ69" s="52"/>
      <c r="JA69" s="52"/>
      <c r="JB69" s="52"/>
      <c r="JC69" s="52"/>
      <c r="JD69" s="52"/>
      <c r="JE69" s="52"/>
      <c r="JF69" s="52"/>
      <c r="JG69" s="52"/>
      <c r="JH69" s="52"/>
      <c r="JI69" s="52"/>
      <c r="JJ69" s="52"/>
      <c r="JK69" s="52"/>
      <c r="JL69" s="52"/>
    </row>
    <row r="70" spans="2:272" x14ac:dyDescent="0.25">
      <c r="B70" s="60"/>
      <c r="C70" s="5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2"/>
      <c r="AI70" s="52"/>
      <c r="AJ70" s="92"/>
      <c r="AK70" s="84"/>
      <c r="AL70" s="93"/>
      <c r="AM70" s="52"/>
      <c r="AN70" s="52"/>
      <c r="AO70" s="52"/>
      <c r="AP70" s="14"/>
      <c r="AQ70" s="14"/>
      <c r="AR70" s="14"/>
      <c r="AS70" s="14"/>
      <c r="AT70" s="14"/>
      <c r="AU70" s="14"/>
      <c r="AV70" s="14"/>
      <c r="AW70" s="14"/>
      <c r="AX70" s="14"/>
      <c r="AY70" s="14"/>
      <c r="AZ70" s="14"/>
      <c r="BA70" s="14"/>
      <c r="BB70" s="14"/>
      <c r="BC70" s="14"/>
      <c r="BD70" s="52"/>
      <c r="BE70" s="52"/>
      <c r="BF70" s="52"/>
      <c r="BG70" s="52"/>
      <c r="BH70" s="52"/>
      <c r="BI70" s="52"/>
      <c r="BJ70" s="52"/>
      <c r="BK70" s="52"/>
      <c r="BL70" s="52"/>
      <c r="BM70" s="52"/>
      <c r="BN70" s="52"/>
      <c r="BO70" s="52"/>
      <c r="BP70" s="52"/>
      <c r="BQ70" s="52"/>
      <c r="BR70" s="52"/>
      <c r="BS70" s="52"/>
      <c r="BT70" s="52"/>
      <c r="BU70" s="52"/>
      <c r="BV70" s="52"/>
      <c r="BW70" s="52"/>
      <c r="BX70" s="52"/>
      <c r="BY70" s="52"/>
      <c r="BZ70" s="52"/>
      <c r="CA70" s="52"/>
      <c r="CB70" s="52"/>
      <c r="CC70" s="52"/>
      <c r="CD70" s="52"/>
      <c r="CE70" s="52"/>
      <c r="CF70" s="52"/>
      <c r="CG70" s="52"/>
      <c r="CH70" s="52"/>
      <c r="CI70" s="52"/>
      <c r="CJ70" s="52"/>
      <c r="CK70" s="52"/>
      <c r="CL70" s="52"/>
      <c r="CM70" s="52"/>
      <c r="CN70" s="52"/>
      <c r="CO70" s="52"/>
      <c r="CP70" s="52"/>
      <c r="CQ70" s="52"/>
      <c r="CR70" s="52"/>
      <c r="CS70" s="52"/>
      <c r="CT70" s="52"/>
      <c r="CU70" s="52"/>
      <c r="CV70" s="52"/>
      <c r="CW70" s="52"/>
      <c r="CX70" s="52"/>
      <c r="CY70" s="52"/>
      <c r="CZ70" s="52"/>
      <c r="DA70" s="52"/>
      <c r="DB70" s="52"/>
      <c r="DC70" s="52"/>
      <c r="DD70" s="52"/>
      <c r="DE70" s="52"/>
      <c r="DF70" s="52"/>
      <c r="DG70" s="52"/>
      <c r="DH70" s="52"/>
      <c r="DI70" s="52"/>
      <c r="DJ70" s="52"/>
      <c r="DK70" s="52"/>
      <c r="DL70" s="52"/>
      <c r="DM70" s="52"/>
      <c r="DN70" s="52"/>
      <c r="DO70" s="52"/>
      <c r="DP70" s="52"/>
      <c r="DQ70" s="52"/>
      <c r="DR70" s="52"/>
      <c r="DS70" s="52"/>
      <c r="DT70" s="52"/>
      <c r="DU70" s="52"/>
      <c r="DV70" s="52"/>
      <c r="DW70" s="52"/>
      <c r="DX70" s="52"/>
      <c r="DY70" s="52"/>
      <c r="DZ70" s="52"/>
      <c r="EA70" s="52"/>
      <c r="EB70" s="52"/>
      <c r="EC70" s="52"/>
      <c r="ED70" s="52"/>
      <c r="EE70" s="52"/>
      <c r="EF70" s="52"/>
      <c r="EG70" s="52"/>
      <c r="EH70" s="52"/>
      <c r="EI70" s="52"/>
      <c r="EJ70" s="52"/>
      <c r="EK70" s="52"/>
      <c r="EL70" s="52"/>
      <c r="EM70" s="52"/>
      <c r="EN70" s="52"/>
      <c r="EO70" s="52"/>
      <c r="EP70" s="52"/>
      <c r="EQ70" s="52"/>
      <c r="ER70" s="52"/>
      <c r="ES70" s="52"/>
      <c r="ET70" s="52"/>
      <c r="EU70" s="52"/>
      <c r="EV70" s="52"/>
      <c r="EW70" s="52"/>
      <c r="EX70" s="52"/>
      <c r="EY70" s="52"/>
      <c r="EZ70" s="52"/>
      <c r="FA70" s="52"/>
      <c r="FB70" s="52"/>
      <c r="FC70" s="52"/>
      <c r="FD70" s="52"/>
      <c r="FE70" s="52"/>
      <c r="FF70" s="52"/>
      <c r="FG70" s="52"/>
      <c r="FH70" s="52"/>
      <c r="FI70" s="52"/>
      <c r="FJ70" s="52"/>
      <c r="FK70" s="52"/>
      <c r="FL70" s="52"/>
      <c r="FM70" s="52"/>
      <c r="FN70" s="52"/>
      <c r="FO70" s="52"/>
      <c r="FP70" s="52"/>
      <c r="FQ70" s="52"/>
      <c r="FR70" s="52"/>
      <c r="FS70" s="52"/>
      <c r="FT70" s="52"/>
      <c r="FU70" s="52"/>
      <c r="FV70" s="52"/>
      <c r="FW70" s="52"/>
      <c r="FX70" s="52"/>
      <c r="FY70" s="52"/>
      <c r="FZ70" s="52"/>
      <c r="GA70" s="52"/>
      <c r="GB70" s="52"/>
      <c r="GC70" s="52"/>
      <c r="GD70" s="52"/>
      <c r="GE70" s="52"/>
      <c r="GF70" s="52"/>
      <c r="GG70" s="52"/>
      <c r="GH70" s="52"/>
      <c r="GI70" s="52"/>
      <c r="GJ70" s="52"/>
      <c r="GK70" s="52"/>
      <c r="GL70" s="52"/>
      <c r="GM70" s="52"/>
      <c r="GN70" s="52"/>
      <c r="GO70" s="52"/>
      <c r="GP70" s="52"/>
      <c r="GQ70" s="52"/>
      <c r="GR70" s="52"/>
      <c r="GS70" s="52"/>
      <c r="GT70" s="52"/>
      <c r="GU70" s="52"/>
      <c r="GV70" s="52"/>
      <c r="GW70" s="52"/>
      <c r="GX70" s="52"/>
      <c r="GY70" s="52"/>
      <c r="GZ70" s="52"/>
      <c r="HA70" s="52"/>
      <c r="HB70" s="52"/>
      <c r="HC70" s="52"/>
      <c r="HD70" s="52"/>
      <c r="HE70" s="52"/>
      <c r="HF70" s="52"/>
      <c r="HG70" s="52"/>
      <c r="HH70" s="52"/>
      <c r="HI70" s="52"/>
      <c r="HJ70" s="52"/>
      <c r="HK70" s="52"/>
      <c r="HL70" s="52"/>
      <c r="HM70" s="52"/>
      <c r="HN70" s="52"/>
      <c r="HO70" s="52"/>
      <c r="HP70" s="52"/>
      <c r="HQ70" s="52"/>
      <c r="HR70" s="52"/>
      <c r="HS70" s="52"/>
      <c r="HT70" s="52"/>
      <c r="HU70" s="52"/>
      <c r="HV70" s="52"/>
      <c r="HW70" s="52"/>
      <c r="HX70" s="52"/>
      <c r="HY70" s="52"/>
      <c r="HZ70" s="52"/>
      <c r="IA70" s="52"/>
      <c r="IB70" s="52"/>
      <c r="IC70" s="52"/>
      <c r="ID70" s="52"/>
      <c r="IE70" s="52"/>
      <c r="IF70" s="52"/>
      <c r="IG70" s="52"/>
      <c r="IH70" s="52"/>
      <c r="II70" s="52"/>
      <c r="IJ70" s="52"/>
      <c r="IK70" s="52"/>
      <c r="IL70" s="52"/>
      <c r="IM70" s="52"/>
      <c r="IN70" s="52"/>
      <c r="IO70" s="52"/>
      <c r="IP70" s="52"/>
      <c r="IQ70" s="52"/>
      <c r="IR70" s="52"/>
      <c r="IS70" s="52"/>
      <c r="IT70" s="52"/>
      <c r="IU70" s="52"/>
      <c r="IV70" s="52"/>
      <c r="IW70" s="52"/>
      <c r="IX70" s="52"/>
      <c r="IY70" s="52"/>
      <c r="IZ70" s="52"/>
      <c r="JA70" s="52"/>
      <c r="JB70" s="52"/>
      <c r="JC70" s="52"/>
      <c r="JD70" s="52"/>
      <c r="JE70" s="52"/>
      <c r="JF70" s="52"/>
      <c r="JG70" s="52"/>
      <c r="JH70" s="52"/>
      <c r="JI70" s="52"/>
      <c r="JJ70" s="52"/>
      <c r="JK70" s="52"/>
      <c r="JL70" s="52"/>
    </row>
    <row r="71" spans="2:272" x14ac:dyDescent="0.25">
      <c r="B71" s="60"/>
      <c r="C71" s="53"/>
      <c r="D71" s="53"/>
      <c r="E71" s="53"/>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2"/>
      <c r="AG71" t="s">
        <v>650</v>
      </c>
      <c r="AH71" s="84">
        <f>1-AH68*AH69</f>
        <v>0.35999999999999988</v>
      </c>
      <c r="AI71" s="112"/>
      <c r="AJ71" s="92"/>
      <c r="AK71" s="84"/>
      <c r="AL71" s="93"/>
      <c r="AM71" s="52"/>
      <c r="AN71" s="52"/>
      <c r="AO71" s="52"/>
      <c r="AP71" s="14"/>
      <c r="AQ71" s="14"/>
      <c r="AR71" s="14"/>
      <c r="AS71" s="14"/>
      <c r="AT71" s="14"/>
      <c r="AU71" s="14"/>
      <c r="AV71" s="14"/>
      <c r="AW71" s="14"/>
      <c r="AX71" s="14"/>
      <c r="AY71" s="14"/>
      <c r="AZ71" s="14"/>
      <c r="BA71" s="14"/>
      <c r="BB71" s="14"/>
      <c r="BC71" s="14"/>
      <c r="BD71" s="52"/>
      <c r="BE71" s="52"/>
      <c r="BF71" s="52"/>
      <c r="BG71" s="52"/>
      <c r="BH71" s="52"/>
      <c r="BI71" s="52"/>
      <c r="BJ71" s="52"/>
      <c r="BK71" s="52"/>
      <c r="BL71" s="52"/>
      <c r="BM71" s="52"/>
      <c r="BN71" s="52"/>
      <c r="BO71" s="52"/>
      <c r="BP71" s="52"/>
      <c r="BQ71" s="52"/>
      <c r="BR71" s="52"/>
      <c r="BS71" s="52"/>
      <c r="BT71" s="52"/>
      <c r="BU71" s="52"/>
      <c r="BV71" s="52"/>
      <c r="BW71" s="52"/>
      <c r="BX71" s="52"/>
      <c r="BY71" s="52"/>
      <c r="BZ71" s="52"/>
      <c r="CA71" s="52"/>
      <c r="CB71" s="52"/>
      <c r="CC71" s="52"/>
      <c r="CD71" s="52"/>
      <c r="CE71" s="52"/>
      <c r="CF71" s="52"/>
      <c r="CG71" s="52"/>
      <c r="CH71" s="52"/>
      <c r="CI71" s="52"/>
      <c r="CJ71" s="52"/>
      <c r="CK71" s="52"/>
      <c r="CL71" s="52"/>
      <c r="CM71" s="52"/>
      <c r="CN71" s="52"/>
      <c r="CO71" s="52"/>
      <c r="CP71" s="52"/>
      <c r="CQ71" s="52"/>
      <c r="CR71" s="52"/>
      <c r="CS71" s="52"/>
      <c r="CT71" s="52"/>
      <c r="CU71" s="52"/>
      <c r="CV71" s="52"/>
      <c r="CW71" s="52"/>
      <c r="CX71" s="52"/>
      <c r="CY71" s="52"/>
      <c r="CZ71" s="52"/>
      <c r="DA71" s="52"/>
      <c r="DB71" s="52"/>
      <c r="DC71" s="52"/>
      <c r="DD71" s="52"/>
      <c r="DE71" s="52"/>
      <c r="DF71" s="52"/>
      <c r="DG71" s="52"/>
      <c r="DH71" s="52"/>
      <c r="DI71" s="52"/>
      <c r="DJ71" s="52"/>
      <c r="DK71" s="52"/>
      <c r="DL71" s="52"/>
      <c r="DM71" s="52"/>
      <c r="DN71" s="52"/>
      <c r="DO71" s="52"/>
      <c r="DP71" s="52"/>
      <c r="DQ71" s="52"/>
      <c r="DR71" s="52"/>
      <c r="DS71" s="52"/>
      <c r="DT71" s="52"/>
      <c r="DU71" s="52"/>
      <c r="DV71" s="52"/>
      <c r="DW71" s="52"/>
      <c r="DX71" s="52"/>
      <c r="DY71" s="52"/>
      <c r="DZ71" s="52"/>
      <c r="EA71" s="52"/>
      <c r="EB71" s="52"/>
      <c r="EC71" s="52"/>
      <c r="ED71" s="52"/>
      <c r="EE71" s="52"/>
      <c r="EF71" s="52"/>
      <c r="EG71" s="52"/>
      <c r="EH71" s="52"/>
      <c r="EI71" s="52"/>
      <c r="EJ71" s="52"/>
      <c r="EK71" s="52"/>
      <c r="EL71" s="52"/>
      <c r="EM71" s="52"/>
      <c r="EN71" s="52"/>
      <c r="EO71" s="52"/>
      <c r="EP71" s="52"/>
      <c r="EQ71" s="52"/>
      <c r="ER71" s="52"/>
      <c r="ES71" s="52"/>
      <c r="ET71" s="52"/>
      <c r="EU71" s="52"/>
      <c r="EV71" s="52"/>
      <c r="EW71" s="52"/>
      <c r="EX71" s="52"/>
      <c r="EY71" s="52"/>
      <c r="EZ71" s="52"/>
      <c r="FA71" s="52"/>
      <c r="FB71" s="52"/>
      <c r="FC71" s="52"/>
      <c r="FD71" s="52"/>
      <c r="FE71" s="52"/>
      <c r="FF71" s="52"/>
      <c r="FG71" s="52"/>
      <c r="FH71" s="52"/>
      <c r="FI71" s="52"/>
      <c r="FJ71" s="52"/>
      <c r="FK71" s="52"/>
      <c r="FL71" s="52"/>
      <c r="FM71" s="52"/>
      <c r="FN71" s="52"/>
      <c r="FO71" s="52"/>
      <c r="FP71" s="52"/>
      <c r="FQ71" s="52"/>
      <c r="FR71" s="52"/>
      <c r="FS71" s="52"/>
      <c r="FT71" s="52"/>
      <c r="FU71" s="52"/>
      <c r="FV71" s="52"/>
      <c r="FW71" s="52"/>
      <c r="FX71" s="52"/>
      <c r="FY71" s="52"/>
      <c r="FZ71" s="52"/>
      <c r="GA71" s="52"/>
      <c r="GB71" s="52"/>
      <c r="GC71" s="52"/>
      <c r="GD71" s="52"/>
      <c r="GE71" s="52"/>
      <c r="GF71" s="52"/>
      <c r="GG71" s="52"/>
      <c r="GH71" s="52"/>
      <c r="GI71" s="52"/>
      <c r="GJ71" s="52"/>
      <c r="GK71" s="52"/>
      <c r="GL71" s="52"/>
      <c r="GM71" s="52"/>
      <c r="GN71" s="52"/>
      <c r="GO71" s="52"/>
      <c r="GP71" s="52"/>
      <c r="GQ71" s="52"/>
      <c r="GR71" s="52"/>
      <c r="GS71" s="52"/>
      <c r="GT71" s="52"/>
      <c r="GU71" s="52"/>
      <c r="GV71" s="52"/>
      <c r="GW71" s="52"/>
      <c r="GX71" s="52"/>
      <c r="GY71" s="52"/>
      <c r="GZ71" s="52"/>
      <c r="HA71" s="52"/>
      <c r="HB71" s="52"/>
      <c r="HC71" s="52"/>
      <c r="HD71" s="52"/>
      <c r="HE71" s="52"/>
      <c r="HF71" s="52"/>
      <c r="HG71" s="52"/>
      <c r="HH71" s="52"/>
      <c r="HI71" s="52"/>
      <c r="HJ71" s="52"/>
      <c r="HK71" s="52"/>
      <c r="HL71" s="52"/>
      <c r="HM71" s="52"/>
      <c r="HN71" s="52"/>
      <c r="HO71" s="52"/>
      <c r="HP71" s="52"/>
      <c r="HQ71" s="52"/>
      <c r="HR71" s="52"/>
      <c r="HS71" s="52"/>
      <c r="HT71" s="52"/>
      <c r="HU71" s="52"/>
      <c r="HV71" s="52"/>
      <c r="HW71" s="52"/>
      <c r="HX71" s="52"/>
      <c r="HY71" s="52"/>
      <c r="HZ71" s="52"/>
      <c r="IA71" s="52"/>
      <c r="IB71" s="52"/>
      <c r="IC71" s="52"/>
      <c r="ID71" s="52"/>
      <c r="IE71" s="52"/>
      <c r="IF71" s="52"/>
      <c r="IG71" s="52"/>
      <c r="IH71" s="52"/>
      <c r="II71" s="52"/>
      <c r="IJ71" s="52"/>
      <c r="IK71" s="52"/>
      <c r="IL71" s="52"/>
      <c r="IM71" s="52"/>
      <c r="IN71" s="52"/>
      <c r="IO71" s="52"/>
      <c r="IP71" s="52"/>
      <c r="IQ71" s="52"/>
      <c r="IR71" s="52"/>
      <c r="IS71" s="52"/>
      <c r="IT71" s="52"/>
      <c r="IU71" s="52"/>
      <c r="IV71" s="52"/>
      <c r="IW71" s="52"/>
      <c r="IX71" s="52"/>
      <c r="IY71" s="52"/>
      <c r="IZ71" s="52"/>
      <c r="JA71" s="52"/>
      <c r="JB71" s="52"/>
      <c r="JC71" s="52"/>
      <c r="JD71" s="52"/>
      <c r="JE71" s="52"/>
      <c r="JF71" s="52"/>
      <c r="JG71" s="52"/>
      <c r="JH71" s="52"/>
      <c r="JI71" s="52"/>
      <c r="JJ71" s="52"/>
      <c r="JK71" s="52"/>
      <c r="JL71" s="52"/>
    </row>
    <row r="72" spans="2:272" x14ac:dyDescent="0.25">
      <c r="B72" s="60"/>
      <c r="C72" s="53"/>
      <c r="D72" s="53"/>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2"/>
      <c r="AG72" t="s">
        <v>652</v>
      </c>
      <c r="AH72" s="92">
        <f>296/17.3</f>
        <v>17.109826589595375</v>
      </c>
      <c r="AI72" s="112"/>
      <c r="AJ72" s="92"/>
      <c r="AK72" s="84"/>
      <c r="AL72" s="93"/>
      <c r="AM72" s="52"/>
      <c r="AN72" s="52"/>
      <c r="AO72" s="52"/>
      <c r="AP72" s="14"/>
      <c r="AQ72" s="14"/>
      <c r="AR72" s="14"/>
      <c r="AS72" s="14"/>
      <c r="AT72" s="14"/>
      <c r="AU72" s="14"/>
      <c r="AV72" s="14"/>
      <c r="AW72" s="14"/>
      <c r="AX72" s="14"/>
      <c r="AY72" s="14"/>
      <c r="AZ72" s="14"/>
      <c r="BA72" s="14"/>
      <c r="BB72" s="14"/>
      <c r="BC72" s="14"/>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row>
    <row r="73" spans="2:272" x14ac:dyDescent="0.25">
      <c r="B73" s="60"/>
      <c r="C73" s="5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2"/>
      <c r="AH73" s="92"/>
      <c r="AI73" s="112"/>
      <c r="AJ73" s="92"/>
      <c r="AK73" s="84"/>
      <c r="AL73" s="93"/>
      <c r="AM73" s="52"/>
      <c r="AN73" s="52"/>
      <c r="AO73" s="52"/>
      <c r="AP73" s="14"/>
      <c r="AQ73" s="14"/>
      <c r="AR73" s="14"/>
      <c r="AS73" s="14"/>
      <c r="AT73" s="14"/>
      <c r="AU73" s="14"/>
      <c r="AV73" s="14"/>
      <c r="AW73" s="14"/>
      <c r="AX73" s="14"/>
      <c r="AY73" s="14"/>
      <c r="AZ73" s="14"/>
      <c r="BA73" s="14"/>
      <c r="BB73" s="14"/>
      <c r="BC73" s="14"/>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row>
    <row r="74" spans="2:272" x14ac:dyDescent="0.25">
      <c r="B74" s="60"/>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2"/>
      <c r="AG74" s="4" t="s">
        <v>653</v>
      </c>
      <c r="AH74" s="92">
        <f>AH67*AH68*AH69+AH72*AH71</f>
        <v>26.066533197285771</v>
      </c>
      <c r="AI74" s="112"/>
      <c r="AJ74" s="92"/>
      <c r="AK74" s="84"/>
      <c r="AL74" s="93"/>
      <c r="AM74" s="52"/>
      <c r="AN74" s="52"/>
      <c r="AO74" s="52"/>
      <c r="AP74" s="14"/>
      <c r="AQ74" s="14"/>
      <c r="AR74" s="14"/>
      <c r="AS74" s="14"/>
      <c r="AT74" s="14"/>
      <c r="AU74" s="14"/>
      <c r="AV74" s="14"/>
      <c r="AW74" s="14"/>
      <c r="AX74" s="14"/>
      <c r="AY74" s="14"/>
      <c r="AZ74" s="14"/>
      <c r="BA74" s="14"/>
      <c r="BB74" s="14"/>
      <c r="BC74" s="14"/>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row>
    <row r="75" spans="2:272" x14ac:dyDescent="0.25">
      <c r="B75" s="60"/>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2"/>
      <c r="AG75" s="4" t="s">
        <v>654</v>
      </c>
      <c r="AH75" s="92" cm="1">
        <f t="array" aca="1" ref="AH75" ca="1">_FV(cover!C1,"Price")</f>
        <v>22.47</v>
      </c>
      <c r="AI75" s="112"/>
      <c r="AJ75" s="92"/>
      <c r="AK75" s="84"/>
      <c r="AL75" s="93"/>
      <c r="AM75" s="52"/>
      <c r="AN75" s="52"/>
      <c r="AO75" s="52"/>
      <c r="AP75" s="14"/>
      <c r="AQ75" s="14"/>
      <c r="AR75" s="14"/>
      <c r="AS75" s="14"/>
      <c r="AT75" s="14"/>
      <c r="AU75" s="14"/>
      <c r="AV75" s="14"/>
      <c r="AW75" s="14"/>
      <c r="AX75" s="14"/>
      <c r="AY75" s="14"/>
      <c r="AZ75" s="14"/>
      <c r="BA75" s="14"/>
      <c r="BB75" s="14"/>
      <c r="BC75" s="14"/>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row>
    <row r="76" spans="2:272" x14ac:dyDescent="0.25">
      <c r="B76" s="60"/>
      <c r="C76" s="53"/>
      <c r="D76" s="53"/>
      <c r="E76" s="53"/>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2"/>
      <c r="AG76" t="s">
        <v>655</v>
      </c>
      <c r="AH76" s="111">
        <f ca="1">AH74/AH75-1</f>
        <v>0.16005933232246439</v>
      </c>
      <c r="AI76" s="112"/>
      <c r="AJ76" s="92"/>
      <c r="AK76" s="84"/>
      <c r="AL76" s="93"/>
      <c r="AM76" s="52"/>
      <c r="AN76" s="52"/>
      <c r="AO76" s="52"/>
      <c r="AP76" s="14"/>
      <c r="AQ76" s="14"/>
      <c r="AR76" s="14"/>
      <c r="AS76" s="14"/>
      <c r="AT76" s="14"/>
      <c r="AU76" s="14"/>
      <c r="AV76" s="14"/>
      <c r="AW76" s="14"/>
      <c r="AX76" s="14"/>
      <c r="AY76" s="14"/>
      <c r="AZ76" s="14"/>
      <c r="BA76" s="14"/>
      <c r="BB76" s="14"/>
      <c r="BC76" s="14"/>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row>
    <row r="77" spans="2:272" x14ac:dyDescent="0.25">
      <c r="B77" s="60"/>
      <c r="C77" s="5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2"/>
      <c r="AH77" s="52"/>
      <c r="AI77" s="52"/>
      <c r="AJ77" s="84"/>
      <c r="AK77" s="84"/>
      <c r="AL77" s="93"/>
      <c r="AM77" s="52"/>
      <c r="AN77" s="52"/>
      <c r="AO77" s="52"/>
      <c r="AP77" s="14"/>
      <c r="AQ77" s="14"/>
      <c r="AR77" s="14"/>
      <c r="AS77" s="14"/>
      <c r="AT77" s="14"/>
      <c r="AU77" s="14"/>
      <c r="AV77" s="14"/>
      <c r="AW77" s="14"/>
      <c r="AX77" s="14"/>
      <c r="AY77" s="14"/>
      <c r="AZ77" s="14"/>
      <c r="BA77" s="14"/>
      <c r="BB77" s="14"/>
      <c r="BC77" s="14"/>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row>
    <row r="78" spans="2:272" x14ac:dyDescent="0.25">
      <c r="B78" t="s">
        <v>256</v>
      </c>
      <c r="C78" s="5" t="s">
        <v>184</v>
      </c>
      <c r="D78" s="5" t="s">
        <v>185</v>
      </c>
      <c r="E78" s="5" t="s">
        <v>186</v>
      </c>
      <c r="F78" s="5" t="s">
        <v>187</v>
      </c>
      <c r="G78" s="5" t="s">
        <v>188</v>
      </c>
      <c r="H78" s="5" t="s">
        <v>189</v>
      </c>
      <c r="I78" s="5" t="s">
        <v>190</v>
      </c>
      <c r="J78" s="5" t="s">
        <v>191</v>
      </c>
      <c r="K78" s="5" t="s">
        <v>192</v>
      </c>
      <c r="L78" s="5" t="s">
        <v>193</v>
      </c>
      <c r="M78" s="5" t="s">
        <v>194</v>
      </c>
      <c r="N78" s="5" t="s">
        <v>28</v>
      </c>
      <c r="O78" s="5" t="s">
        <v>195</v>
      </c>
      <c r="P78" s="5" t="s">
        <v>600</v>
      </c>
      <c r="Q78" s="5" t="s">
        <v>601</v>
      </c>
      <c r="R78" s="5" t="s">
        <v>553</v>
      </c>
      <c r="S78" s="4"/>
      <c r="T78" s="4"/>
      <c r="U78" s="4"/>
      <c r="V78" s="4"/>
      <c r="W78" s="4"/>
      <c r="X78" s="4"/>
      <c r="Y78" s="4"/>
      <c r="Z78" s="4"/>
      <c r="AA78" s="4"/>
      <c r="AB78" s="4"/>
      <c r="AC78" s="4"/>
      <c r="AD78" s="4"/>
      <c r="AE78" s="4"/>
      <c r="AF78" s="52"/>
      <c r="AG78" t="str">
        <f t="shared" ref="AG78:AG127" si="39">B78</f>
        <v xml:space="preserve">CASH FLOW </v>
      </c>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row>
    <row r="79" spans="2:272" x14ac:dyDescent="0.25">
      <c r="B79" s="60" t="s">
        <v>257</v>
      </c>
      <c r="C79" s="63">
        <v>-90.4</v>
      </c>
      <c r="D79" s="63">
        <v>-159.1</v>
      </c>
      <c r="E79" s="63">
        <v>-59</v>
      </c>
      <c r="F79" s="63">
        <v>-59.7</v>
      </c>
      <c r="G79" s="63">
        <v>-137</v>
      </c>
      <c r="H79" s="63">
        <v>-51.1</v>
      </c>
      <c r="I79" s="63">
        <v>-45.8</v>
      </c>
      <c r="J79" s="63">
        <v>-42.1</v>
      </c>
      <c r="K79" s="63">
        <v>-36.799999999999997</v>
      </c>
      <c r="L79" s="63">
        <v>-52.4</v>
      </c>
      <c r="M79" s="63">
        <v>-37.1</v>
      </c>
      <c r="N79" s="63">
        <v>7.2610000000000001</v>
      </c>
      <c r="O79" s="63">
        <v>-50.9</v>
      </c>
      <c r="P79" s="63"/>
      <c r="Q79" s="63"/>
      <c r="R79" s="63"/>
      <c r="S79" s="63"/>
      <c r="T79" s="63"/>
      <c r="U79" s="63"/>
      <c r="V79" s="63"/>
      <c r="W79" s="63"/>
      <c r="X79" s="63"/>
      <c r="Y79" s="63"/>
      <c r="Z79" s="63"/>
      <c r="AA79" s="63"/>
      <c r="AB79" s="63"/>
      <c r="AC79" s="63"/>
      <c r="AD79" s="63"/>
      <c r="AE79" s="63"/>
      <c r="AF79" s="52"/>
      <c r="AG79" t="str">
        <f t="shared" si="39"/>
        <v>Net Income</v>
      </c>
      <c r="AH79" s="52"/>
      <c r="AI79" s="52"/>
      <c r="AJ79" s="83">
        <f t="shared" ref="AJ79:AJ92" si="40">SUM(C79:F79)</f>
        <v>-368.2</v>
      </c>
      <c r="AK79" s="83">
        <f t="shared" ref="AK79:AK92" si="41">SUM(G79:J79)</f>
        <v>-276</v>
      </c>
      <c r="AL79" s="83">
        <f t="shared" ref="AL79:AL92" si="42">SUM(K79:N79)</f>
        <v>-119.03899999999999</v>
      </c>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row>
    <row r="80" spans="2:272" x14ac:dyDescent="0.25">
      <c r="B80" s="53" t="s">
        <v>258</v>
      </c>
      <c r="C80" s="61">
        <v>3.73</v>
      </c>
      <c r="D80" s="61">
        <v>3.4409999999999998</v>
      </c>
      <c r="E80" s="61">
        <v>2.677</v>
      </c>
      <c r="F80" s="61">
        <v>3.1819999999999999</v>
      </c>
      <c r="G80" s="61">
        <v>2.302</v>
      </c>
      <c r="H80" s="61">
        <v>2.1659999999999999</v>
      </c>
      <c r="I80" s="61">
        <v>1.6950000000000001</v>
      </c>
      <c r="J80" s="61">
        <v>1.6519999999999999</v>
      </c>
      <c r="K80" s="61">
        <v>1.607</v>
      </c>
      <c r="L80" s="61">
        <v>1.4590000000000001</v>
      </c>
      <c r="M80" s="61">
        <v>0.99299999999999999</v>
      </c>
      <c r="N80" s="61">
        <v>0.33200000000000002</v>
      </c>
      <c r="O80" s="61">
        <v>0.42599999999999999</v>
      </c>
      <c r="P80" s="61"/>
      <c r="Q80" s="61"/>
      <c r="R80" s="61"/>
      <c r="S80" s="61"/>
      <c r="T80" s="61"/>
      <c r="U80" s="61"/>
      <c r="V80" s="61"/>
      <c r="W80" s="61"/>
      <c r="X80" s="61"/>
      <c r="Y80" s="61"/>
      <c r="Z80" s="61"/>
      <c r="AA80" s="61"/>
      <c r="AB80" s="61"/>
      <c r="AC80" s="61"/>
      <c r="AD80" s="61"/>
      <c r="AE80" s="61"/>
      <c r="AF80" s="52"/>
      <c r="AG80" t="str">
        <f t="shared" si="39"/>
        <v>Depreciation &amp; Amort.</v>
      </c>
      <c r="AH80" s="52"/>
      <c r="AI80" s="52"/>
      <c r="AJ80" s="83">
        <f t="shared" si="40"/>
        <v>13.03</v>
      </c>
      <c r="AK80" s="83">
        <f t="shared" si="41"/>
        <v>7.8150000000000004</v>
      </c>
      <c r="AL80" s="83">
        <f t="shared" si="42"/>
        <v>4.391</v>
      </c>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row>
    <row r="81" spans="2:272" x14ac:dyDescent="0.25">
      <c r="B81" s="60" t="s">
        <v>259</v>
      </c>
      <c r="C81" s="62">
        <v>3.73</v>
      </c>
      <c r="D81" s="62">
        <v>3.4409999999999998</v>
      </c>
      <c r="E81" s="62">
        <v>2.677</v>
      </c>
      <c r="F81" s="62">
        <v>3.1819999999999999</v>
      </c>
      <c r="G81" s="62">
        <v>2.302</v>
      </c>
      <c r="H81" s="62">
        <v>2.1659999999999999</v>
      </c>
      <c r="I81" s="62">
        <v>1.6950000000000001</v>
      </c>
      <c r="J81" s="62">
        <v>1.6519999999999999</v>
      </c>
      <c r="K81" s="62">
        <v>1.607</v>
      </c>
      <c r="L81" s="62">
        <v>1.4590000000000001</v>
      </c>
      <c r="M81" s="62">
        <v>0.99299999999999999</v>
      </c>
      <c r="N81" s="62">
        <v>0.33200000000000002</v>
      </c>
      <c r="O81" s="62">
        <v>0.42599999999999999</v>
      </c>
      <c r="P81" s="63"/>
      <c r="Q81" s="63"/>
      <c r="R81" s="63"/>
      <c r="S81" s="63"/>
      <c r="T81" s="63"/>
      <c r="U81" s="63"/>
      <c r="V81" s="63"/>
      <c r="W81" s="63"/>
      <c r="X81" s="63"/>
      <c r="Y81" s="63"/>
      <c r="Z81" s="63"/>
      <c r="AA81" s="63"/>
      <c r="AB81" s="63"/>
      <c r="AC81" s="63"/>
      <c r="AD81" s="63"/>
      <c r="AE81" s="63"/>
      <c r="AF81" s="52"/>
      <c r="AG81" t="str">
        <f t="shared" si="39"/>
        <v>Depreciation &amp; Amort., Total</v>
      </c>
      <c r="AH81" s="52"/>
      <c r="AI81" s="52"/>
      <c r="AJ81" s="83">
        <f t="shared" si="40"/>
        <v>13.03</v>
      </c>
      <c r="AK81" s="83">
        <f t="shared" si="41"/>
        <v>7.8150000000000004</v>
      </c>
      <c r="AL81" s="83">
        <f t="shared" si="42"/>
        <v>4.391</v>
      </c>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row>
    <row r="82" spans="2:272" x14ac:dyDescent="0.25">
      <c r="B82" s="53"/>
      <c r="C82" s="53"/>
      <c r="D82" s="53"/>
      <c r="E82" s="53"/>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2"/>
      <c r="AG82">
        <f t="shared" si="39"/>
        <v>0</v>
      </c>
      <c r="AJ82" s="83">
        <f t="shared" si="40"/>
        <v>0</v>
      </c>
      <c r="AK82" s="83">
        <f t="shared" si="41"/>
        <v>0</v>
      </c>
      <c r="AL82" s="83">
        <f t="shared" si="42"/>
        <v>0</v>
      </c>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row>
    <row r="83" spans="2:272" x14ac:dyDescent="0.25">
      <c r="B83" s="53" t="s">
        <v>260</v>
      </c>
      <c r="C83" s="61" t="s">
        <v>199</v>
      </c>
      <c r="D83" s="61" t="s">
        <v>199</v>
      </c>
      <c r="E83" s="61" t="s">
        <v>199</v>
      </c>
      <c r="F83" s="61">
        <v>-3.3</v>
      </c>
      <c r="G83" s="61" t="s">
        <v>199</v>
      </c>
      <c r="H83" s="61" t="s">
        <v>199</v>
      </c>
      <c r="I83" s="61" t="s">
        <v>199</v>
      </c>
      <c r="J83" s="61">
        <v>1.3</v>
      </c>
      <c r="K83" s="61" t="s">
        <v>199</v>
      </c>
      <c r="L83" s="61" t="s">
        <v>199</v>
      </c>
      <c r="M83" s="61" t="s">
        <v>199</v>
      </c>
      <c r="N83" s="61">
        <v>-40.4</v>
      </c>
      <c r="O83" s="61" t="s">
        <v>199</v>
      </c>
      <c r="P83" s="61"/>
      <c r="Q83" s="61"/>
      <c r="R83" s="61"/>
      <c r="S83" s="61"/>
      <c r="T83" s="61"/>
      <c r="U83" s="61"/>
      <c r="V83" s="61"/>
      <c r="W83" s="61"/>
      <c r="X83" s="61"/>
      <c r="Y83" s="61"/>
      <c r="Z83" s="61"/>
      <c r="AA83" s="61"/>
      <c r="AB83" s="61"/>
      <c r="AC83" s="61"/>
      <c r="AD83" s="61"/>
      <c r="AE83" s="61"/>
      <c r="AG83" t="str">
        <f t="shared" si="39"/>
        <v>(Gain) Loss From Sale Of Assets</v>
      </c>
      <c r="AJ83" s="83">
        <f t="shared" si="40"/>
        <v>-3.3</v>
      </c>
      <c r="AK83" s="83">
        <f t="shared" si="41"/>
        <v>1.3</v>
      </c>
      <c r="AL83" s="83">
        <f t="shared" si="42"/>
        <v>-40.4</v>
      </c>
    </row>
    <row r="84" spans="2:272" x14ac:dyDescent="0.25">
      <c r="B84" s="53" t="s">
        <v>261</v>
      </c>
      <c r="C84" s="61">
        <v>4.9509999999999996</v>
      </c>
      <c r="D84" s="61">
        <v>57.320999999999998</v>
      </c>
      <c r="E84" s="61">
        <v>1.2</v>
      </c>
      <c r="F84" s="61">
        <v>7.24</v>
      </c>
      <c r="G84" s="61">
        <v>89.700999999999993</v>
      </c>
      <c r="H84" s="61">
        <v>13.255000000000001</v>
      </c>
      <c r="I84" s="61">
        <v>10.173</v>
      </c>
      <c r="J84" s="61">
        <v>-1.3</v>
      </c>
      <c r="K84" s="61" t="s">
        <v>199</v>
      </c>
      <c r="L84" s="61">
        <v>8.3290000000000006</v>
      </c>
      <c r="M84" s="61">
        <v>0</v>
      </c>
      <c r="N84" s="61">
        <v>0</v>
      </c>
      <c r="O84" s="61" t="s">
        <v>199</v>
      </c>
      <c r="P84" s="61"/>
      <c r="Q84" s="61"/>
      <c r="R84" s="61"/>
      <c r="S84" s="61"/>
      <c r="T84" s="61"/>
      <c r="U84" s="61"/>
      <c r="V84" s="61"/>
      <c r="W84" s="61"/>
      <c r="X84" s="61"/>
      <c r="Y84" s="61"/>
      <c r="Z84" s="61"/>
      <c r="AA84" s="61"/>
      <c r="AB84" s="61"/>
      <c r="AC84" s="61"/>
      <c r="AD84" s="61"/>
      <c r="AE84" s="61"/>
      <c r="AG84" t="str">
        <f t="shared" si="39"/>
        <v>Asset Writedown &amp; Restructuring Costs</v>
      </c>
      <c r="AJ84" s="83">
        <f t="shared" si="40"/>
        <v>70.712000000000003</v>
      </c>
      <c r="AK84" s="83">
        <f t="shared" si="41"/>
        <v>111.82899999999999</v>
      </c>
      <c r="AL84" s="83">
        <f t="shared" si="42"/>
        <v>8.3290000000000006</v>
      </c>
    </row>
    <row r="85" spans="2:272" x14ac:dyDescent="0.25">
      <c r="B85" s="53" t="s">
        <v>262</v>
      </c>
      <c r="C85" s="61" t="s">
        <v>199</v>
      </c>
      <c r="D85" s="61" t="s">
        <v>199</v>
      </c>
      <c r="E85" s="61" t="s">
        <v>199</v>
      </c>
      <c r="F85" s="61" t="s">
        <v>199</v>
      </c>
      <c r="G85" s="61" t="s">
        <v>199</v>
      </c>
      <c r="H85" s="61" t="s">
        <v>199</v>
      </c>
      <c r="I85" s="61" t="s">
        <v>199</v>
      </c>
      <c r="J85" s="61" t="s">
        <v>199</v>
      </c>
      <c r="K85" s="61" t="s">
        <v>199</v>
      </c>
      <c r="L85" s="61" t="s">
        <v>199</v>
      </c>
      <c r="M85" s="61" t="s">
        <v>199</v>
      </c>
      <c r="N85" s="61" t="s">
        <v>199</v>
      </c>
      <c r="O85" s="61">
        <v>4.4610000000000003</v>
      </c>
      <c r="P85" s="61"/>
      <c r="Q85" s="61"/>
      <c r="R85" s="61"/>
      <c r="S85" s="61"/>
      <c r="T85" s="61"/>
      <c r="U85" s="61"/>
      <c r="V85" s="61"/>
      <c r="W85" s="61"/>
      <c r="X85" s="61"/>
      <c r="Y85" s="61"/>
      <c r="Z85" s="61"/>
      <c r="AA85" s="61"/>
      <c r="AB85" s="61"/>
      <c r="AC85" s="61"/>
      <c r="AD85" s="61"/>
      <c r="AE85" s="61"/>
      <c r="AG85" t="str">
        <f t="shared" si="39"/>
        <v>(Income) Loss on Equity Invest.</v>
      </c>
      <c r="AJ85" s="83">
        <f t="shared" si="40"/>
        <v>0</v>
      </c>
      <c r="AK85" s="83">
        <f t="shared" si="41"/>
        <v>0</v>
      </c>
      <c r="AL85" s="83">
        <f t="shared" si="42"/>
        <v>0</v>
      </c>
    </row>
    <row r="86" spans="2:272" x14ac:dyDescent="0.25">
      <c r="B86" s="53" t="s">
        <v>263</v>
      </c>
      <c r="C86" s="61">
        <v>20.960999999999999</v>
      </c>
      <c r="D86" s="61">
        <v>11.103</v>
      </c>
      <c r="E86" s="61">
        <v>12.518000000000001</v>
      </c>
      <c r="F86" s="61">
        <v>12.738</v>
      </c>
      <c r="G86" s="61">
        <v>10.019</v>
      </c>
      <c r="H86" s="61">
        <v>7.9660000000000002</v>
      </c>
      <c r="I86" s="61">
        <v>8.1489999999999991</v>
      </c>
      <c r="J86" s="61">
        <v>7.2539999999999996</v>
      </c>
      <c r="K86" s="61">
        <v>6</v>
      </c>
      <c r="L86" s="61">
        <v>5.4180000000000001</v>
      </c>
      <c r="M86" s="61">
        <v>5.391</v>
      </c>
      <c r="N86" s="61">
        <v>4.8029999999999999</v>
      </c>
      <c r="O86" s="61">
        <v>3.8980000000000001</v>
      </c>
      <c r="P86" s="61"/>
      <c r="Q86" s="61"/>
      <c r="R86" s="61"/>
      <c r="S86" s="61"/>
      <c r="T86" s="61"/>
      <c r="U86" s="61"/>
      <c r="V86" s="61"/>
      <c r="W86" s="61"/>
      <c r="X86" s="61"/>
      <c r="Y86" s="61"/>
      <c r="Z86" s="61"/>
      <c r="AA86" s="61"/>
      <c r="AB86" s="61"/>
      <c r="AC86" s="61"/>
      <c r="AD86" s="61"/>
      <c r="AE86" s="61"/>
      <c r="AG86" t="str">
        <f t="shared" si="39"/>
        <v>Stock-Based Compensation</v>
      </c>
      <c r="AJ86" s="83">
        <f t="shared" si="40"/>
        <v>57.32</v>
      </c>
      <c r="AK86" s="83">
        <f t="shared" si="41"/>
        <v>33.387999999999998</v>
      </c>
      <c r="AL86" s="83">
        <f t="shared" si="42"/>
        <v>21.611999999999998</v>
      </c>
    </row>
    <row r="87" spans="2:272" x14ac:dyDescent="0.25">
      <c r="B87" s="53" t="s">
        <v>264</v>
      </c>
      <c r="C87" s="61">
        <v>-42.2</v>
      </c>
      <c r="D87" s="61">
        <v>-9.6</v>
      </c>
      <c r="E87" s="61">
        <v>-12.5</v>
      </c>
      <c r="F87" s="61">
        <v>-9.8000000000000007</v>
      </c>
      <c r="G87" s="61">
        <v>-14.4</v>
      </c>
      <c r="H87" s="61">
        <v>-14.4</v>
      </c>
      <c r="I87" s="61">
        <v>-13.1</v>
      </c>
      <c r="J87" s="61">
        <v>-9</v>
      </c>
      <c r="K87" s="61">
        <v>-12</v>
      </c>
      <c r="L87" s="61">
        <v>-11.3</v>
      </c>
      <c r="M87" s="61">
        <v>-14.4</v>
      </c>
      <c r="N87" s="61">
        <v>-6.7</v>
      </c>
      <c r="O87" s="61">
        <v>-6.8</v>
      </c>
      <c r="P87" s="61"/>
      <c r="Q87" s="61"/>
      <c r="R87" s="61"/>
      <c r="S87" s="61"/>
      <c r="T87" s="61"/>
      <c r="U87" s="61"/>
      <c r="V87" s="61"/>
      <c r="W87" s="61"/>
      <c r="X87" s="61"/>
      <c r="Y87" s="61"/>
      <c r="Z87" s="61"/>
      <c r="AA87" s="61"/>
      <c r="AB87" s="61"/>
      <c r="AC87" s="61"/>
      <c r="AD87" s="61"/>
      <c r="AE87" s="61"/>
      <c r="AG87" t="str">
        <f t="shared" si="39"/>
        <v>Other Operating Activities</v>
      </c>
      <c r="AJ87" s="83">
        <f t="shared" si="40"/>
        <v>-74.100000000000009</v>
      </c>
      <c r="AK87" s="83">
        <f t="shared" si="41"/>
        <v>-50.9</v>
      </c>
      <c r="AL87" s="83">
        <f t="shared" si="42"/>
        <v>-44.400000000000006</v>
      </c>
    </row>
    <row r="88" spans="2:272" x14ac:dyDescent="0.25">
      <c r="B88" s="53" t="s">
        <v>265</v>
      </c>
      <c r="C88" s="61">
        <v>-7.7</v>
      </c>
      <c r="D88" s="61">
        <v>20.213999999999999</v>
      </c>
      <c r="E88" s="61">
        <v>-1.5</v>
      </c>
      <c r="F88" s="61">
        <v>5.5510000000000002</v>
      </c>
      <c r="G88" s="61">
        <v>2.9860000000000002</v>
      </c>
      <c r="H88" s="61">
        <v>1.66</v>
      </c>
      <c r="I88" s="61">
        <v>-0.9</v>
      </c>
      <c r="J88" s="61">
        <v>0.999</v>
      </c>
      <c r="K88" s="61">
        <v>-2.4</v>
      </c>
      <c r="L88" s="61">
        <v>2.4209999999999998</v>
      </c>
      <c r="M88" s="61">
        <v>-0.9</v>
      </c>
      <c r="N88" s="61">
        <v>-2.2000000000000002</v>
      </c>
      <c r="O88" s="61" t="s">
        <v>199</v>
      </c>
      <c r="P88" s="61"/>
      <c r="Q88" s="61"/>
      <c r="R88" s="61"/>
      <c r="S88" s="61"/>
      <c r="T88" s="61"/>
      <c r="U88" s="61"/>
      <c r="V88" s="61"/>
      <c r="W88" s="61"/>
      <c r="X88" s="61"/>
      <c r="Y88" s="61"/>
      <c r="Z88" s="61"/>
      <c r="AA88" s="61"/>
      <c r="AB88" s="61"/>
      <c r="AC88" s="61"/>
      <c r="AD88" s="61"/>
      <c r="AE88" s="61"/>
      <c r="AG88" t="str">
        <f t="shared" si="39"/>
        <v>Change in Acc. Receivable</v>
      </c>
      <c r="AJ88" s="83">
        <f t="shared" si="40"/>
        <v>16.564999999999998</v>
      </c>
      <c r="AK88" s="83">
        <f t="shared" si="41"/>
        <v>4.7450000000000001</v>
      </c>
      <c r="AL88" s="83">
        <f t="shared" si="42"/>
        <v>-3.0790000000000002</v>
      </c>
    </row>
    <row r="89" spans="2:272" x14ac:dyDescent="0.25">
      <c r="B89" s="53" t="s">
        <v>266</v>
      </c>
      <c r="C89" s="61">
        <v>0.42199999999999999</v>
      </c>
      <c r="D89" s="61">
        <v>-1.6</v>
      </c>
      <c r="E89" s="61">
        <v>-2.1</v>
      </c>
      <c r="F89" s="61">
        <v>-0.1</v>
      </c>
      <c r="G89" s="61">
        <v>-2</v>
      </c>
      <c r="H89" s="61">
        <v>-0.8</v>
      </c>
      <c r="I89" s="61">
        <v>2.367</v>
      </c>
      <c r="J89" s="61">
        <v>1.071</v>
      </c>
      <c r="K89" s="61">
        <v>-1.1000000000000001</v>
      </c>
      <c r="L89" s="61">
        <v>0.21199999999999999</v>
      </c>
      <c r="M89" s="61">
        <v>0.123</v>
      </c>
      <c r="N89" s="61">
        <v>1.3049999999999999</v>
      </c>
      <c r="O89" s="61" t="s">
        <v>199</v>
      </c>
      <c r="P89" s="61"/>
      <c r="Q89" s="61"/>
      <c r="R89" s="61"/>
      <c r="S89" s="61"/>
      <c r="T89" s="61"/>
      <c r="U89" s="61"/>
      <c r="V89" s="61"/>
      <c r="W89" s="61"/>
      <c r="X89" s="61"/>
      <c r="Y89" s="61"/>
      <c r="Z89" s="61"/>
      <c r="AA89" s="61"/>
      <c r="AB89" s="61"/>
      <c r="AC89" s="61"/>
      <c r="AD89" s="61"/>
      <c r="AE89" s="61"/>
      <c r="AG89" t="str">
        <f t="shared" si="39"/>
        <v>Change In Inventories</v>
      </c>
      <c r="AJ89" s="83">
        <f t="shared" si="40"/>
        <v>-3.3780000000000006</v>
      </c>
      <c r="AK89" s="83">
        <f t="shared" si="41"/>
        <v>0.63800000000000012</v>
      </c>
      <c r="AL89" s="83">
        <f t="shared" si="42"/>
        <v>0.53999999999999981</v>
      </c>
    </row>
    <row r="90" spans="2:272" x14ac:dyDescent="0.25">
      <c r="B90" s="53" t="s">
        <v>267</v>
      </c>
      <c r="C90" s="61">
        <v>2.9980000000000002</v>
      </c>
      <c r="D90" s="61">
        <v>-0.2</v>
      </c>
      <c r="E90" s="61">
        <v>-7</v>
      </c>
      <c r="F90" s="61">
        <v>7.2869999999999999</v>
      </c>
      <c r="G90" s="61">
        <v>-8.9</v>
      </c>
      <c r="H90" s="61">
        <v>-1.1000000000000001</v>
      </c>
      <c r="I90" s="61">
        <v>0.66900000000000004</v>
      </c>
      <c r="J90" s="61">
        <v>6.444</v>
      </c>
      <c r="K90" s="61">
        <v>-1</v>
      </c>
      <c r="L90" s="61">
        <v>-2.2999999999999998</v>
      </c>
      <c r="M90" s="61">
        <v>2.2429999999999999</v>
      </c>
      <c r="N90" s="61">
        <v>3.6909999999999998</v>
      </c>
      <c r="O90" s="61">
        <v>6.41</v>
      </c>
      <c r="P90" s="61"/>
      <c r="Q90" s="61"/>
      <c r="R90" s="61"/>
      <c r="S90" s="61"/>
      <c r="T90" s="61"/>
      <c r="U90" s="61"/>
      <c r="V90" s="61"/>
      <c r="W90" s="61"/>
      <c r="X90" s="61"/>
      <c r="Y90" s="61"/>
      <c r="Z90" s="61"/>
      <c r="AA90" s="61"/>
      <c r="AB90" s="61"/>
      <c r="AC90" s="61"/>
      <c r="AD90" s="61"/>
      <c r="AE90" s="61"/>
      <c r="AG90" t="str">
        <f t="shared" si="39"/>
        <v>Change in Acc. Payable</v>
      </c>
      <c r="AJ90" s="83">
        <f t="shared" si="40"/>
        <v>3.085</v>
      </c>
      <c r="AK90" s="83">
        <f t="shared" si="41"/>
        <v>-2.8869999999999996</v>
      </c>
      <c r="AL90" s="83">
        <f t="shared" si="42"/>
        <v>2.6339999999999999</v>
      </c>
    </row>
    <row r="91" spans="2:272" x14ac:dyDescent="0.25">
      <c r="B91" s="53" t="s">
        <v>268</v>
      </c>
      <c r="C91" s="61">
        <v>18.818000000000001</v>
      </c>
      <c r="D91" s="61">
        <v>3.363</v>
      </c>
      <c r="E91" s="61">
        <v>-17.100000000000001</v>
      </c>
      <c r="F91" s="61">
        <v>-20.8</v>
      </c>
      <c r="G91" s="61">
        <v>5.4450000000000003</v>
      </c>
      <c r="H91" s="61">
        <v>-9.1999999999999993</v>
      </c>
      <c r="I91" s="61">
        <v>-5.4</v>
      </c>
      <c r="J91" s="61">
        <v>-13.4</v>
      </c>
      <c r="K91" s="61">
        <v>-2.1</v>
      </c>
      <c r="L91" s="61">
        <v>10.448</v>
      </c>
      <c r="M91" s="61">
        <v>-0.4</v>
      </c>
      <c r="N91" s="61">
        <v>-14.3</v>
      </c>
      <c r="O91" s="61">
        <v>-6.6</v>
      </c>
      <c r="P91" s="61"/>
      <c r="Q91" s="61"/>
      <c r="R91" s="61"/>
      <c r="S91" s="61"/>
      <c r="T91" s="61"/>
      <c r="U91" s="61"/>
      <c r="V91" s="61"/>
      <c r="W91" s="61"/>
      <c r="X91" s="61"/>
      <c r="Y91" s="61"/>
      <c r="Z91" s="61"/>
      <c r="AA91" s="61"/>
      <c r="AB91" s="61"/>
      <c r="AC91" s="61"/>
      <c r="AD91" s="61"/>
      <c r="AE91" s="61"/>
      <c r="AG91" t="str">
        <f t="shared" si="39"/>
        <v>Change in Other Net Operating Assets</v>
      </c>
      <c r="AJ91" s="83">
        <f t="shared" si="40"/>
        <v>-15.719000000000001</v>
      </c>
      <c r="AK91" s="83">
        <f t="shared" si="41"/>
        <v>-22.555</v>
      </c>
      <c r="AL91" s="83">
        <f t="shared" si="42"/>
        <v>-6.3520000000000003</v>
      </c>
    </row>
    <row r="92" spans="2:272" x14ac:dyDescent="0.25">
      <c r="B92" s="60" t="s">
        <v>269</v>
      </c>
      <c r="C92" s="62">
        <v>-88.4</v>
      </c>
      <c r="D92" s="62">
        <v>-75</v>
      </c>
      <c r="E92" s="62">
        <v>-82.9</v>
      </c>
      <c r="F92" s="62">
        <v>-57.7</v>
      </c>
      <c r="G92" s="62">
        <v>-51.9</v>
      </c>
      <c r="H92" s="62">
        <v>-51.5</v>
      </c>
      <c r="I92" s="62">
        <v>-42.1</v>
      </c>
      <c r="J92" s="62">
        <v>-47</v>
      </c>
      <c r="K92" s="62">
        <v>-47.9</v>
      </c>
      <c r="L92" s="62">
        <v>-37.700000000000003</v>
      </c>
      <c r="M92" s="62">
        <v>-43.9</v>
      </c>
      <c r="N92" s="62">
        <v>-46.2</v>
      </c>
      <c r="O92" s="62">
        <v>-49.1</v>
      </c>
      <c r="P92" s="63"/>
      <c r="Q92" s="63"/>
      <c r="R92" s="63"/>
      <c r="S92" s="63"/>
      <c r="T92" s="63"/>
      <c r="U92" s="63"/>
      <c r="V92" s="63"/>
      <c r="W92" s="63"/>
      <c r="X92" s="63"/>
      <c r="Y92" s="63"/>
      <c r="Z92" s="63"/>
      <c r="AA92" s="63"/>
      <c r="AB92" s="63"/>
      <c r="AC92" s="63"/>
      <c r="AD92" s="63"/>
      <c r="AE92" s="63"/>
      <c r="AG92" t="str">
        <f t="shared" si="39"/>
        <v xml:space="preserve">  Cash from Ops.</v>
      </c>
      <c r="AJ92" s="89">
        <f t="shared" si="40"/>
        <v>-304</v>
      </c>
      <c r="AK92" s="89">
        <f t="shared" si="41"/>
        <v>-192.5</v>
      </c>
      <c r="AL92" s="89">
        <f t="shared" si="42"/>
        <v>-175.7</v>
      </c>
    </row>
    <row r="93" spans="2:272" x14ac:dyDescent="0.25">
      <c r="B93" s="53"/>
      <c r="C93" s="5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J93" s="83"/>
      <c r="AK93" s="83"/>
      <c r="AL93" s="83"/>
    </row>
    <row r="94" spans="2:272" x14ac:dyDescent="0.25">
      <c r="B94" s="53" t="s">
        <v>270</v>
      </c>
      <c r="C94" s="61">
        <v>-4.2</v>
      </c>
      <c r="D94" s="61">
        <v>-0.8</v>
      </c>
      <c r="E94" s="61">
        <v>-0.2</v>
      </c>
      <c r="F94" s="61">
        <v>-0.5</v>
      </c>
      <c r="G94" s="61">
        <v>-0.4</v>
      </c>
      <c r="H94" s="61">
        <v>-0.2</v>
      </c>
      <c r="I94" s="61">
        <v>0</v>
      </c>
      <c r="J94" s="61">
        <v>-0.2</v>
      </c>
      <c r="K94" s="61">
        <v>-0.2</v>
      </c>
      <c r="L94" s="61">
        <v>-0.2</v>
      </c>
      <c r="M94" s="61">
        <v>-0.7</v>
      </c>
      <c r="N94" s="61">
        <v>-0.5</v>
      </c>
      <c r="O94" s="61">
        <v>0</v>
      </c>
      <c r="P94" s="61"/>
      <c r="Q94" s="61"/>
      <c r="R94" s="61"/>
      <c r="S94" s="61"/>
      <c r="T94" s="61"/>
      <c r="U94" s="61"/>
      <c r="V94" s="61"/>
      <c r="W94" s="61"/>
      <c r="X94" s="61"/>
      <c r="Y94" s="61"/>
      <c r="Z94" s="61"/>
      <c r="AA94" s="61"/>
      <c r="AB94" s="61"/>
      <c r="AC94" s="61"/>
      <c r="AD94" s="61"/>
      <c r="AE94" s="61"/>
      <c r="AG94" t="str">
        <f t="shared" si="39"/>
        <v>Capital Expenditure</v>
      </c>
      <c r="AJ94" s="83">
        <f t="shared" ref="AJ94:AJ111" si="43">SUM(C94:F94)</f>
        <v>-5.7</v>
      </c>
      <c r="AK94" s="83">
        <f t="shared" ref="AK94:AK111" si="44">SUM(G94:J94)</f>
        <v>-0.8</v>
      </c>
      <c r="AL94" s="83">
        <f t="shared" ref="AL94:AL111" si="45">SUM(K94:N94)</f>
        <v>-1.6</v>
      </c>
    </row>
    <row r="95" spans="2:272" x14ac:dyDescent="0.25">
      <c r="B95" s="53" t="s">
        <v>271</v>
      </c>
      <c r="C95" s="61" t="s">
        <v>199</v>
      </c>
      <c r="D95" s="61" t="s">
        <v>199</v>
      </c>
      <c r="E95" s="61" t="s">
        <v>199</v>
      </c>
      <c r="F95" s="61">
        <v>13.196</v>
      </c>
      <c r="G95" s="61" t="s">
        <v>199</v>
      </c>
      <c r="H95" s="61" t="s">
        <v>199</v>
      </c>
      <c r="I95" s="61">
        <v>1.2450000000000001</v>
      </c>
      <c r="J95" s="61">
        <v>0</v>
      </c>
      <c r="K95" s="61" t="s">
        <v>199</v>
      </c>
      <c r="L95" s="61" t="s">
        <v>199</v>
      </c>
      <c r="M95" s="61" t="s">
        <v>199</v>
      </c>
      <c r="N95" s="61">
        <v>65.385999999999996</v>
      </c>
      <c r="O95" s="61" t="s">
        <v>199</v>
      </c>
      <c r="P95" s="61"/>
      <c r="Q95" s="61"/>
      <c r="R95" s="61"/>
      <c r="S95" s="61"/>
      <c r="T95" s="61"/>
      <c r="U95" s="61"/>
      <c r="V95" s="61"/>
      <c r="W95" s="61"/>
      <c r="X95" s="61"/>
      <c r="Y95" s="61"/>
      <c r="Z95" s="61"/>
      <c r="AA95" s="61"/>
      <c r="AB95" s="61"/>
      <c r="AC95" s="61"/>
      <c r="AD95" s="61"/>
      <c r="AE95" s="61"/>
      <c r="AG95" t="str">
        <f t="shared" si="39"/>
        <v>Sale of Property, Plant, and Equipment</v>
      </c>
      <c r="AJ95" s="83">
        <f t="shared" si="43"/>
        <v>13.196</v>
      </c>
      <c r="AK95" s="83">
        <f t="shared" si="44"/>
        <v>1.2450000000000001</v>
      </c>
      <c r="AL95" s="83">
        <f t="shared" si="45"/>
        <v>65.385999999999996</v>
      </c>
    </row>
    <row r="96" spans="2:272" x14ac:dyDescent="0.25">
      <c r="B96" s="53" t="s">
        <v>272</v>
      </c>
      <c r="C96" s="61" t="s">
        <v>199</v>
      </c>
      <c r="D96" s="61" t="s">
        <v>199</v>
      </c>
      <c r="E96" s="61" t="s">
        <v>199</v>
      </c>
      <c r="F96" s="61" t="s">
        <v>199</v>
      </c>
      <c r="G96" s="61" t="s">
        <v>199</v>
      </c>
      <c r="H96" s="61" t="s">
        <v>199</v>
      </c>
      <c r="I96" s="61" t="s">
        <v>199</v>
      </c>
      <c r="J96" s="61" t="s">
        <v>199</v>
      </c>
      <c r="K96" s="61" t="s">
        <v>199</v>
      </c>
      <c r="L96" s="61" t="s">
        <v>199</v>
      </c>
      <c r="M96" s="61" t="s">
        <v>199</v>
      </c>
      <c r="N96" s="61" t="s">
        <v>199</v>
      </c>
      <c r="O96" s="61" t="s">
        <v>199</v>
      </c>
      <c r="P96" s="61"/>
      <c r="Q96" s="61"/>
      <c r="R96" s="61"/>
      <c r="S96" s="61"/>
      <c r="T96" s="61"/>
      <c r="U96" s="61"/>
      <c r="V96" s="61"/>
      <c r="W96" s="61"/>
      <c r="X96" s="61"/>
      <c r="Y96" s="61"/>
      <c r="Z96" s="61"/>
      <c r="AA96" s="61"/>
      <c r="AB96" s="61"/>
      <c r="AC96" s="61"/>
      <c r="AD96" s="61"/>
      <c r="AE96" s="61"/>
      <c r="AG96" t="str">
        <f t="shared" si="39"/>
        <v>Cash Acquisitions</v>
      </c>
      <c r="AJ96" s="83">
        <f t="shared" si="43"/>
        <v>0</v>
      </c>
      <c r="AK96" s="83">
        <f t="shared" si="44"/>
        <v>0</v>
      </c>
      <c r="AL96" s="83">
        <f t="shared" si="45"/>
        <v>0</v>
      </c>
    </row>
    <row r="97" spans="2:38" x14ac:dyDescent="0.25">
      <c r="B97" s="53" t="s">
        <v>273</v>
      </c>
      <c r="C97" s="61" t="s">
        <v>199</v>
      </c>
      <c r="D97" s="61" t="s">
        <v>199</v>
      </c>
      <c r="E97" s="61" t="s">
        <v>199</v>
      </c>
      <c r="F97" s="61" t="s">
        <v>199</v>
      </c>
      <c r="G97" s="61" t="s">
        <v>199</v>
      </c>
      <c r="H97" s="61" t="s">
        <v>199</v>
      </c>
      <c r="I97" s="61" t="s">
        <v>199</v>
      </c>
      <c r="J97" s="61" t="s">
        <v>199</v>
      </c>
      <c r="K97" s="61" t="s">
        <v>199</v>
      </c>
      <c r="L97" s="61" t="s">
        <v>199</v>
      </c>
      <c r="M97" s="61" t="s">
        <v>199</v>
      </c>
      <c r="N97" s="61" t="s">
        <v>199</v>
      </c>
      <c r="O97" s="61" t="s">
        <v>199</v>
      </c>
      <c r="P97" s="61"/>
      <c r="Q97" s="61"/>
      <c r="R97" s="61"/>
      <c r="S97" s="61"/>
      <c r="T97" s="61"/>
      <c r="U97" s="61"/>
      <c r="V97" s="61"/>
      <c r="W97" s="61"/>
      <c r="X97" s="61"/>
      <c r="Y97" s="61"/>
      <c r="Z97" s="61"/>
      <c r="AA97" s="61"/>
      <c r="AB97" s="61"/>
      <c r="AC97" s="61"/>
      <c r="AD97" s="61"/>
      <c r="AE97" s="61"/>
      <c r="AG97" t="str">
        <f t="shared" si="39"/>
        <v>Divestitures</v>
      </c>
      <c r="AJ97" s="83">
        <f t="shared" si="43"/>
        <v>0</v>
      </c>
      <c r="AK97" s="83">
        <f t="shared" si="44"/>
        <v>0</v>
      </c>
      <c r="AL97" s="83">
        <f t="shared" si="45"/>
        <v>0</v>
      </c>
    </row>
    <row r="98" spans="2:38" x14ac:dyDescent="0.25">
      <c r="B98" s="53" t="s">
        <v>274</v>
      </c>
      <c r="C98" s="61">
        <v>134.48099999999999</v>
      </c>
      <c r="D98" s="61">
        <v>84.927999999999997</v>
      </c>
      <c r="E98" s="61">
        <v>111.57599999999999</v>
      </c>
      <c r="F98" s="61">
        <v>27.33</v>
      </c>
      <c r="G98" s="61">
        <v>41.030999999999999</v>
      </c>
      <c r="H98" s="61">
        <v>25.332999999999998</v>
      </c>
      <c r="I98" s="61">
        <v>55.2</v>
      </c>
      <c r="J98" s="61">
        <v>17.62</v>
      </c>
      <c r="K98" s="61">
        <v>19.414999999999999</v>
      </c>
      <c r="L98" s="61">
        <v>17.167999999999999</v>
      </c>
      <c r="M98" s="61">
        <v>46.781999999999996</v>
      </c>
      <c r="N98" s="61">
        <v>-4.7</v>
      </c>
      <c r="O98" s="61">
        <v>44.387999999999998</v>
      </c>
      <c r="P98" s="61"/>
      <c r="Q98" s="61"/>
      <c r="R98" s="61"/>
      <c r="S98" s="61"/>
      <c r="T98" s="61"/>
      <c r="U98" s="61"/>
      <c r="V98" s="61"/>
      <c r="W98" s="61"/>
      <c r="X98" s="61"/>
      <c r="Y98" s="61"/>
      <c r="Z98" s="61"/>
      <c r="AA98" s="61"/>
      <c r="AB98" s="61"/>
      <c r="AC98" s="61"/>
      <c r="AD98" s="61"/>
      <c r="AE98" s="61"/>
      <c r="AG98" t="str">
        <f t="shared" si="39"/>
        <v>Invest. in Marketable &amp; Equity Securt.</v>
      </c>
      <c r="AJ98" s="83">
        <f t="shared" si="43"/>
        <v>358.315</v>
      </c>
      <c r="AK98" s="83">
        <f t="shared" si="44"/>
        <v>139.184</v>
      </c>
      <c r="AL98" s="83">
        <f t="shared" si="45"/>
        <v>78.664999999999992</v>
      </c>
    </row>
    <row r="99" spans="2:38" x14ac:dyDescent="0.25">
      <c r="B99" s="53" t="s">
        <v>275</v>
      </c>
      <c r="C99" s="61" t="s">
        <v>199</v>
      </c>
      <c r="D99" s="61" t="s">
        <v>199</v>
      </c>
      <c r="E99" s="61" t="s">
        <v>199</v>
      </c>
      <c r="F99" s="61" t="s">
        <v>199</v>
      </c>
      <c r="G99" s="61" t="s">
        <v>199</v>
      </c>
      <c r="H99" s="61" t="s">
        <v>199</v>
      </c>
      <c r="I99" s="61" t="s">
        <v>199</v>
      </c>
      <c r="J99" s="61" t="s">
        <v>199</v>
      </c>
      <c r="K99" s="61" t="s">
        <v>199</v>
      </c>
      <c r="L99" s="61" t="s">
        <v>199</v>
      </c>
      <c r="M99" s="61" t="s">
        <v>199</v>
      </c>
      <c r="N99" s="61" t="s">
        <v>199</v>
      </c>
      <c r="O99" s="61" t="s">
        <v>199</v>
      </c>
      <c r="P99" s="61"/>
      <c r="Q99" s="61"/>
      <c r="R99" s="61"/>
      <c r="S99" s="61"/>
      <c r="T99" s="61"/>
      <c r="U99" s="61"/>
      <c r="V99" s="61"/>
      <c r="W99" s="61"/>
      <c r="X99" s="61"/>
      <c r="Y99" s="61"/>
      <c r="Z99" s="61"/>
      <c r="AA99" s="61"/>
      <c r="AB99" s="61"/>
      <c r="AC99" s="61"/>
      <c r="AD99" s="61"/>
      <c r="AE99" s="61"/>
      <c r="AG99" t="str">
        <f t="shared" si="39"/>
        <v>Net (Inc.) Dec. in Loans Originated/Sold</v>
      </c>
      <c r="AJ99" s="83">
        <f t="shared" si="43"/>
        <v>0</v>
      </c>
      <c r="AK99" s="83">
        <f t="shared" si="44"/>
        <v>0</v>
      </c>
      <c r="AL99" s="83">
        <f t="shared" si="45"/>
        <v>0</v>
      </c>
    </row>
    <row r="100" spans="2:38" x14ac:dyDescent="0.25">
      <c r="B100" s="53" t="s">
        <v>276</v>
      </c>
      <c r="C100" s="61" t="s">
        <v>199</v>
      </c>
      <c r="D100" s="61" t="s">
        <v>199</v>
      </c>
      <c r="E100" s="61" t="s">
        <v>199</v>
      </c>
      <c r="F100" s="61" t="s">
        <v>199</v>
      </c>
      <c r="G100" s="61" t="s">
        <v>199</v>
      </c>
      <c r="H100" s="61" t="s">
        <v>199</v>
      </c>
      <c r="I100" s="61" t="s">
        <v>199</v>
      </c>
      <c r="J100" s="61" t="s">
        <v>199</v>
      </c>
      <c r="K100" s="61" t="s">
        <v>199</v>
      </c>
      <c r="L100" s="61" t="s">
        <v>199</v>
      </c>
      <c r="M100" s="61" t="s">
        <v>199</v>
      </c>
      <c r="N100" s="61" t="s">
        <v>199</v>
      </c>
      <c r="O100" s="61">
        <v>-0.7</v>
      </c>
      <c r="P100" s="61"/>
      <c r="Q100" s="61"/>
      <c r="R100" s="61"/>
      <c r="S100" s="61"/>
      <c r="T100" s="61"/>
      <c r="U100" s="61"/>
      <c r="V100" s="61"/>
      <c r="W100" s="61"/>
      <c r="X100" s="61"/>
      <c r="Y100" s="61"/>
      <c r="Z100" s="61"/>
      <c r="AA100" s="61"/>
      <c r="AB100" s="61"/>
      <c r="AC100" s="61"/>
      <c r="AD100" s="61"/>
      <c r="AE100" s="61"/>
      <c r="AG100" t="str">
        <f t="shared" si="39"/>
        <v>Other Investing Activities</v>
      </c>
      <c r="AJ100" s="83">
        <f t="shared" si="43"/>
        <v>0</v>
      </c>
      <c r="AK100" s="83">
        <f t="shared" si="44"/>
        <v>0</v>
      </c>
      <c r="AL100" s="83">
        <f t="shared" si="45"/>
        <v>0</v>
      </c>
    </row>
    <row r="101" spans="2:38" x14ac:dyDescent="0.25">
      <c r="B101" s="60" t="s">
        <v>277</v>
      </c>
      <c r="C101" s="62">
        <v>130.27799999999999</v>
      </c>
      <c r="D101" s="62">
        <v>84.147999999999996</v>
      </c>
      <c r="E101" s="62">
        <v>111.395</v>
      </c>
      <c r="F101" s="62">
        <v>40.014000000000003</v>
      </c>
      <c r="G101" s="62">
        <v>40.597999999999999</v>
      </c>
      <c r="H101" s="62">
        <v>25.170999999999999</v>
      </c>
      <c r="I101" s="62">
        <v>56.411999999999999</v>
      </c>
      <c r="J101" s="62">
        <v>17.382999999999999</v>
      </c>
      <c r="K101" s="62">
        <v>19.257999999999999</v>
      </c>
      <c r="L101" s="62">
        <v>16.981999999999999</v>
      </c>
      <c r="M101" s="62">
        <v>46.116</v>
      </c>
      <c r="N101" s="62">
        <v>60.213999999999999</v>
      </c>
      <c r="O101" s="62">
        <v>43.689</v>
      </c>
      <c r="P101" s="63"/>
      <c r="Q101" s="63"/>
      <c r="R101" s="63"/>
      <c r="S101" s="63"/>
      <c r="T101" s="63"/>
      <c r="U101" s="63"/>
      <c r="V101" s="63"/>
      <c r="W101" s="63"/>
      <c r="X101" s="63"/>
      <c r="Y101" s="63"/>
      <c r="Z101" s="63"/>
      <c r="AA101" s="63"/>
      <c r="AB101" s="63"/>
      <c r="AC101" s="63"/>
      <c r="AD101" s="63"/>
      <c r="AE101" s="63"/>
      <c r="AG101" t="str">
        <f t="shared" si="39"/>
        <v xml:space="preserve">  Cash from Investing</v>
      </c>
      <c r="AJ101" s="87">
        <f t="shared" si="43"/>
        <v>365.83499999999998</v>
      </c>
      <c r="AK101" s="87">
        <f t="shared" si="44"/>
        <v>139.56400000000002</v>
      </c>
      <c r="AL101" s="87">
        <f t="shared" si="45"/>
        <v>142.57</v>
      </c>
    </row>
    <row r="102" spans="2:38" x14ac:dyDescent="0.25">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J102" s="83">
        <f t="shared" si="43"/>
        <v>0</v>
      </c>
      <c r="AK102" s="83">
        <f t="shared" si="44"/>
        <v>0</v>
      </c>
      <c r="AL102" s="83">
        <f t="shared" si="45"/>
        <v>0</v>
      </c>
    </row>
    <row r="103" spans="2:38" x14ac:dyDescent="0.25">
      <c r="B103" s="53" t="s">
        <v>278</v>
      </c>
      <c r="C103" s="61" t="s">
        <v>199</v>
      </c>
      <c r="D103" s="61" t="s">
        <v>199</v>
      </c>
      <c r="E103" s="61" t="s">
        <v>199</v>
      </c>
      <c r="F103" s="61" t="s">
        <v>199</v>
      </c>
      <c r="G103" s="61" t="s">
        <v>199</v>
      </c>
      <c r="H103" s="61" t="s">
        <v>199</v>
      </c>
      <c r="I103" s="61" t="s">
        <v>199</v>
      </c>
      <c r="J103" s="61" t="s">
        <v>199</v>
      </c>
      <c r="K103" s="61" t="s">
        <v>199</v>
      </c>
      <c r="L103" s="61" t="s">
        <v>199</v>
      </c>
      <c r="M103" s="61" t="s">
        <v>199</v>
      </c>
      <c r="N103" s="61" t="s">
        <v>199</v>
      </c>
      <c r="O103" s="61" t="s">
        <v>199</v>
      </c>
      <c r="P103" s="61"/>
      <c r="Q103" s="61"/>
      <c r="R103" s="61"/>
      <c r="S103" s="61"/>
      <c r="T103" s="61"/>
      <c r="U103" s="61"/>
      <c r="V103" s="61"/>
      <c r="W103" s="61"/>
      <c r="X103" s="61"/>
      <c r="Y103" s="61"/>
      <c r="Z103" s="61"/>
      <c r="AA103" s="61"/>
      <c r="AB103" s="61"/>
      <c r="AC103" s="61"/>
      <c r="AD103" s="61"/>
      <c r="AE103" s="61"/>
      <c r="AG103" t="str">
        <f t="shared" si="39"/>
        <v>Short Term Debt Issued</v>
      </c>
      <c r="AJ103" s="83">
        <f t="shared" si="43"/>
        <v>0</v>
      </c>
      <c r="AK103" s="83">
        <f t="shared" si="44"/>
        <v>0</v>
      </c>
      <c r="AL103" s="83">
        <f t="shared" si="45"/>
        <v>0</v>
      </c>
    </row>
    <row r="104" spans="2:38" x14ac:dyDescent="0.25">
      <c r="B104" s="53" t="s">
        <v>279</v>
      </c>
      <c r="C104" s="61" t="s">
        <v>199</v>
      </c>
      <c r="D104" s="61" t="s">
        <v>199</v>
      </c>
      <c r="E104" s="61" t="s">
        <v>199</v>
      </c>
      <c r="F104" s="61" t="s">
        <v>199</v>
      </c>
      <c r="G104" s="61" t="s">
        <v>199</v>
      </c>
      <c r="H104" s="61" t="s">
        <v>199</v>
      </c>
      <c r="I104" s="61" t="s">
        <v>199</v>
      </c>
      <c r="J104" s="61" t="s">
        <v>199</v>
      </c>
      <c r="K104" s="61" t="s">
        <v>199</v>
      </c>
      <c r="L104" s="61" t="s">
        <v>199</v>
      </c>
      <c r="M104" s="61" t="s">
        <v>199</v>
      </c>
      <c r="N104" s="61" t="s">
        <v>199</v>
      </c>
      <c r="O104" s="61" t="s">
        <v>199</v>
      </c>
      <c r="P104" s="61"/>
      <c r="Q104" s="61"/>
      <c r="R104" s="61"/>
      <c r="S104" s="61"/>
      <c r="T104" s="61"/>
      <c r="U104" s="61"/>
      <c r="V104" s="61"/>
      <c r="W104" s="61"/>
      <c r="X104" s="61"/>
      <c r="Y104" s="61"/>
      <c r="Z104" s="61"/>
      <c r="AA104" s="61"/>
      <c r="AB104" s="61"/>
      <c r="AC104" s="61"/>
      <c r="AD104" s="61"/>
      <c r="AE104" s="61"/>
      <c r="AG104" t="str">
        <f t="shared" si="39"/>
        <v>Long-Term Debt Issued</v>
      </c>
      <c r="AJ104" s="83">
        <f t="shared" si="43"/>
        <v>0</v>
      </c>
      <c r="AK104" s="83">
        <f t="shared" si="44"/>
        <v>0</v>
      </c>
      <c r="AL104" s="83">
        <f t="shared" si="45"/>
        <v>0</v>
      </c>
    </row>
    <row r="105" spans="2:38" x14ac:dyDescent="0.25">
      <c r="B105" s="60" t="s">
        <v>280</v>
      </c>
      <c r="C105" s="62" t="s">
        <v>199</v>
      </c>
      <c r="D105" s="62" t="s">
        <v>199</v>
      </c>
      <c r="E105" s="62" t="s">
        <v>199</v>
      </c>
      <c r="F105" s="62" t="s">
        <v>199</v>
      </c>
      <c r="G105" s="62" t="s">
        <v>199</v>
      </c>
      <c r="H105" s="62" t="s">
        <v>199</v>
      </c>
      <c r="I105" s="62" t="s">
        <v>199</v>
      </c>
      <c r="J105" s="62" t="s">
        <v>199</v>
      </c>
      <c r="K105" s="62" t="s">
        <v>199</v>
      </c>
      <c r="L105" s="62" t="s">
        <v>199</v>
      </c>
      <c r="M105" s="62" t="s">
        <v>199</v>
      </c>
      <c r="N105" s="62" t="s">
        <v>199</v>
      </c>
      <c r="O105" s="62" t="s">
        <v>199</v>
      </c>
      <c r="P105" s="63"/>
      <c r="Q105" s="63"/>
      <c r="R105" s="63"/>
      <c r="S105" s="63"/>
      <c r="T105" s="63"/>
      <c r="U105" s="63"/>
      <c r="V105" s="63"/>
      <c r="W105" s="63"/>
      <c r="X105" s="63"/>
      <c r="Y105" s="63"/>
      <c r="Z105" s="63"/>
      <c r="AA105" s="63"/>
      <c r="AB105" s="63"/>
      <c r="AC105" s="63"/>
      <c r="AD105" s="63"/>
      <c r="AE105" s="63"/>
      <c r="AG105" t="str">
        <f t="shared" si="39"/>
        <v>Total Debt Issued</v>
      </c>
      <c r="AJ105" s="83">
        <f t="shared" si="43"/>
        <v>0</v>
      </c>
      <c r="AK105" s="83">
        <f t="shared" si="44"/>
        <v>0</v>
      </c>
      <c r="AL105" s="83">
        <f t="shared" si="45"/>
        <v>0</v>
      </c>
    </row>
    <row r="106" spans="2:38" x14ac:dyDescent="0.25">
      <c r="B106" s="53" t="s">
        <v>281</v>
      </c>
      <c r="C106" s="61" t="s">
        <v>199</v>
      </c>
      <c r="D106" s="61" t="s">
        <v>199</v>
      </c>
      <c r="E106" s="61" t="s">
        <v>199</v>
      </c>
      <c r="F106" s="61" t="s">
        <v>199</v>
      </c>
      <c r="G106" s="61" t="s">
        <v>199</v>
      </c>
      <c r="H106" s="61" t="s">
        <v>199</v>
      </c>
      <c r="I106" s="61" t="s">
        <v>199</v>
      </c>
      <c r="J106" s="61" t="s">
        <v>199</v>
      </c>
      <c r="K106" s="61" t="s">
        <v>199</v>
      </c>
      <c r="L106" s="61" t="s">
        <v>199</v>
      </c>
      <c r="M106" s="61" t="s">
        <v>199</v>
      </c>
      <c r="N106" s="61" t="s">
        <v>199</v>
      </c>
      <c r="O106" s="61" t="s">
        <v>199</v>
      </c>
      <c r="P106" s="61"/>
      <c r="Q106" s="61"/>
      <c r="R106" s="61"/>
      <c r="S106" s="61"/>
      <c r="T106" s="61"/>
      <c r="U106" s="61"/>
      <c r="V106" s="61"/>
      <c r="W106" s="61"/>
      <c r="X106" s="61"/>
      <c r="Y106" s="61"/>
      <c r="Z106" s="61"/>
      <c r="AA106" s="61"/>
      <c r="AB106" s="61"/>
      <c r="AC106" s="61"/>
      <c r="AD106" s="61"/>
      <c r="AE106" s="61"/>
      <c r="AG106" t="str">
        <f t="shared" si="39"/>
        <v>Short Term Debt Repaid</v>
      </c>
      <c r="AJ106" s="83">
        <f t="shared" si="43"/>
        <v>0</v>
      </c>
      <c r="AK106" s="83">
        <f t="shared" si="44"/>
        <v>0</v>
      </c>
      <c r="AL106" s="83">
        <f t="shared" si="45"/>
        <v>0</v>
      </c>
    </row>
    <row r="107" spans="2:38" x14ac:dyDescent="0.25">
      <c r="B107" s="53" t="s">
        <v>282</v>
      </c>
      <c r="C107" s="61" t="s">
        <v>199</v>
      </c>
      <c r="D107" s="61" t="s">
        <v>199</v>
      </c>
      <c r="E107" s="61" t="s">
        <v>199</v>
      </c>
      <c r="F107" s="61" t="s">
        <v>199</v>
      </c>
      <c r="G107" s="61" t="s">
        <v>199</v>
      </c>
      <c r="H107" s="61" t="s">
        <v>199</v>
      </c>
      <c r="I107" s="61" t="s">
        <v>199</v>
      </c>
      <c r="J107" s="61" t="s">
        <v>199</v>
      </c>
      <c r="K107" s="61" t="s">
        <v>199</v>
      </c>
      <c r="L107" s="61" t="s">
        <v>199</v>
      </c>
      <c r="M107" s="61" t="s">
        <v>199</v>
      </c>
      <c r="N107" s="61" t="s">
        <v>199</v>
      </c>
      <c r="O107" s="61" t="s">
        <v>199</v>
      </c>
      <c r="P107" s="61"/>
      <c r="Q107" s="61"/>
      <c r="R107" s="61"/>
      <c r="S107" s="61"/>
      <c r="T107" s="61"/>
      <c r="U107" s="61"/>
      <c r="V107" s="61"/>
      <c r="W107" s="61"/>
      <c r="X107" s="61"/>
      <c r="Y107" s="61"/>
      <c r="Z107" s="61"/>
      <c r="AA107" s="61"/>
      <c r="AB107" s="61"/>
      <c r="AC107" s="61"/>
      <c r="AD107" s="61"/>
      <c r="AE107" s="61"/>
      <c r="AG107" t="str">
        <f t="shared" si="39"/>
        <v>Long-Term Debt Repaid</v>
      </c>
      <c r="AJ107" s="83">
        <f t="shared" si="43"/>
        <v>0</v>
      </c>
      <c r="AK107" s="83">
        <f t="shared" si="44"/>
        <v>0</v>
      </c>
      <c r="AL107" s="83">
        <f t="shared" si="45"/>
        <v>0</v>
      </c>
    </row>
    <row r="108" spans="2:38" x14ac:dyDescent="0.25">
      <c r="B108" s="60" t="s">
        <v>283</v>
      </c>
      <c r="C108" s="62" t="s">
        <v>199</v>
      </c>
      <c r="D108" s="62" t="s">
        <v>199</v>
      </c>
      <c r="E108" s="62" t="s">
        <v>199</v>
      </c>
      <c r="F108" s="62" t="s">
        <v>199</v>
      </c>
      <c r="G108" s="62" t="s">
        <v>199</v>
      </c>
      <c r="H108" s="62" t="s">
        <v>199</v>
      </c>
      <c r="I108" s="62" t="s">
        <v>199</v>
      </c>
      <c r="J108" s="62" t="s">
        <v>199</v>
      </c>
      <c r="K108" s="62" t="s">
        <v>199</v>
      </c>
      <c r="L108" s="62" t="s">
        <v>199</v>
      </c>
      <c r="M108" s="62" t="s">
        <v>199</v>
      </c>
      <c r="N108" s="62" t="s">
        <v>199</v>
      </c>
      <c r="O108" s="62" t="s">
        <v>199</v>
      </c>
      <c r="P108" s="63"/>
      <c r="Q108" s="63"/>
      <c r="R108" s="63"/>
      <c r="S108" s="63"/>
      <c r="T108" s="63"/>
      <c r="U108" s="63"/>
      <c r="V108" s="63"/>
      <c r="W108" s="63"/>
      <c r="X108" s="63"/>
      <c r="Y108" s="63"/>
      <c r="Z108" s="63"/>
      <c r="AA108" s="63"/>
      <c r="AB108" s="63"/>
      <c r="AC108" s="63"/>
      <c r="AD108" s="63"/>
      <c r="AE108" s="63"/>
      <c r="AG108" t="str">
        <f t="shared" si="39"/>
        <v>Total Debt Repaid</v>
      </c>
      <c r="AJ108" s="83">
        <f t="shared" si="43"/>
        <v>0</v>
      </c>
      <c r="AK108" s="83">
        <f t="shared" si="44"/>
        <v>0</v>
      </c>
      <c r="AL108" s="83">
        <f t="shared" si="45"/>
        <v>0</v>
      </c>
    </row>
    <row r="109" spans="2:38" x14ac:dyDescent="0.25">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J109" s="83">
        <f t="shared" si="43"/>
        <v>0</v>
      </c>
      <c r="AK109" s="83">
        <f t="shared" si="44"/>
        <v>0</v>
      </c>
      <c r="AL109" s="83">
        <f t="shared" si="45"/>
        <v>0</v>
      </c>
    </row>
    <row r="110" spans="2:38" x14ac:dyDescent="0.25">
      <c r="B110" s="53" t="s">
        <v>284</v>
      </c>
      <c r="C110" s="61">
        <v>0.188</v>
      </c>
      <c r="D110" s="61">
        <v>0.46700000000000003</v>
      </c>
      <c r="E110" s="61">
        <v>0</v>
      </c>
      <c r="F110" s="61">
        <v>0.10299999999999999</v>
      </c>
      <c r="G110" s="61" t="s">
        <v>199</v>
      </c>
      <c r="H110" s="61">
        <v>1.7999999999999999E-2</v>
      </c>
      <c r="I110" s="61">
        <v>0</v>
      </c>
      <c r="J110" s="61">
        <v>1.2E-2</v>
      </c>
      <c r="K110" s="61">
        <v>3.0000000000000001E-3</v>
      </c>
      <c r="L110" s="61">
        <v>1.9E-2</v>
      </c>
      <c r="M110" s="61">
        <v>1.2999999999999999E-2</v>
      </c>
      <c r="N110" s="61">
        <v>8.3000000000000004E-2</v>
      </c>
      <c r="O110" s="61">
        <v>7.0000000000000001E-3</v>
      </c>
      <c r="P110" s="61"/>
      <c r="Q110" s="61"/>
      <c r="R110" s="61"/>
      <c r="S110" s="61"/>
      <c r="T110" s="61"/>
      <c r="U110" s="61"/>
      <c r="V110" s="61"/>
      <c r="W110" s="61"/>
      <c r="X110" s="61"/>
      <c r="Y110" s="61"/>
      <c r="Z110" s="61"/>
      <c r="AA110" s="61"/>
      <c r="AB110" s="61"/>
      <c r="AC110" s="61"/>
      <c r="AD110" s="61"/>
      <c r="AE110" s="61"/>
      <c r="AG110" t="str">
        <f t="shared" si="39"/>
        <v>Issuance of Common Stock</v>
      </c>
      <c r="AJ110" s="83">
        <f t="shared" si="43"/>
        <v>0.75800000000000001</v>
      </c>
      <c r="AK110" s="83">
        <f t="shared" si="44"/>
        <v>0.03</v>
      </c>
      <c r="AL110" s="83">
        <f t="shared" si="45"/>
        <v>0.11799999999999999</v>
      </c>
    </row>
    <row r="111" spans="2:38" x14ac:dyDescent="0.25">
      <c r="B111" s="53" t="s">
        <v>285</v>
      </c>
      <c r="C111" s="61" t="s">
        <v>199</v>
      </c>
      <c r="D111" s="61" t="s">
        <v>199</v>
      </c>
      <c r="E111" s="61" t="s">
        <v>199</v>
      </c>
      <c r="F111" s="61" t="s">
        <v>199</v>
      </c>
      <c r="G111" s="61" t="s">
        <v>199</v>
      </c>
      <c r="H111" s="61" t="s">
        <v>199</v>
      </c>
      <c r="I111" s="61" t="s">
        <v>199</v>
      </c>
      <c r="J111" s="61" t="s">
        <v>199</v>
      </c>
      <c r="K111" s="61">
        <v>-3</v>
      </c>
      <c r="L111" s="61" t="s">
        <v>199</v>
      </c>
      <c r="M111" s="61">
        <v>-3</v>
      </c>
      <c r="N111" s="61">
        <v>0</v>
      </c>
      <c r="O111" s="61" t="s">
        <v>199</v>
      </c>
      <c r="P111" s="61"/>
      <c r="Q111" s="61"/>
      <c r="R111" s="61"/>
      <c r="S111" s="61"/>
      <c r="T111" s="61"/>
      <c r="U111" s="61"/>
      <c r="V111" s="61"/>
      <c r="W111" s="61"/>
      <c r="X111" s="61"/>
      <c r="Y111" s="61"/>
      <c r="Z111" s="61"/>
      <c r="AA111" s="61"/>
      <c r="AB111" s="61"/>
      <c r="AC111" s="61"/>
      <c r="AD111" s="61"/>
      <c r="AE111" s="61"/>
      <c r="AG111" t="str">
        <f t="shared" si="39"/>
        <v>Repurchase of Common Stock</v>
      </c>
      <c r="AJ111" s="83">
        <f t="shared" si="43"/>
        <v>0</v>
      </c>
      <c r="AK111" s="83">
        <f t="shared" si="44"/>
        <v>0</v>
      </c>
      <c r="AL111" s="83">
        <f t="shared" si="45"/>
        <v>-6</v>
      </c>
    </row>
    <row r="112" spans="2:38" x14ac:dyDescent="0.25">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J112" s="83"/>
      <c r="AK112" s="83"/>
      <c r="AL112" s="83"/>
    </row>
    <row r="113" spans="2:38" x14ac:dyDescent="0.25">
      <c r="B113" s="60" t="s">
        <v>286</v>
      </c>
      <c r="C113" s="62" t="s">
        <v>199</v>
      </c>
      <c r="D113" s="62" t="s">
        <v>199</v>
      </c>
      <c r="E113" s="62" t="s">
        <v>199</v>
      </c>
      <c r="F113" s="62" t="s">
        <v>199</v>
      </c>
      <c r="G113" s="62" t="s">
        <v>199</v>
      </c>
      <c r="H113" s="62" t="s">
        <v>199</v>
      </c>
      <c r="I113" s="62" t="s">
        <v>199</v>
      </c>
      <c r="J113" s="62" t="s">
        <v>199</v>
      </c>
      <c r="K113" s="62" t="s">
        <v>199</v>
      </c>
      <c r="L113" s="62" t="s">
        <v>199</v>
      </c>
      <c r="M113" s="62" t="s">
        <v>199</v>
      </c>
      <c r="N113" s="62" t="s">
        <v>199</v>
      </c>
      <c r="O113" s="62" t="s">
        <v>199</v>
      </c>
      <c r="P113" s="63"/>
      <c r="Q113" s="63"/>
      <c r="R113" s="63"/>
      <c r="S113" s="63"/>
      <c r="T113" s="63"/>
      <c r="U113" s="63"/>
      <c r="V113" s="63"/>
      <c r="W113" s="63"/>
      <c r="X113" s="63"/>
      <c r="Y113" s="63"/>
      <c r="Z113" s="63"/>
      <c r="AA113" s="63"/>
      <c r="AB113" s="63"/>
      <c r="AC113" s="63"/>
      <c r="AD113" s="63"/>
      <c r="AE113" s="63"/>
      <c r="AG113" t="str">
        <f t="shared" si="39"/>
        <v>Total Dividends Paid</v>
      </c>
      <c r="AJ113" s="83">
        <f>SUM(C113:F113)</f>
        <v>0</v>
      </c>
      <c r="AK113" s="83">
        <f>SUM(G113:J113)</f>
        <v>0</v>
      </c>
      <c r="AL113" s="83">
        <f>SUM(K113:N113)</f>
        <v>0</v>
      </c>
    </row>
    <row r="114" spans="2:38" x14ac:dyDescent="0.25">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J114" s="83"/>
      <c r="AK114" s="83"/>
      <c r="AL114" s="83"/>
    </row>
    <row r="115" spans="2:38" x14ac:dyDescent="0.25">
      <c r="B115" s="53" t="s">
        <v>287</v>
      </c>
      <c r="C115" s="61" t="s">
        <v>199</v>
      </c>
      <c r="D115" s="61" t="s">
        <v>199</v>
      </c>
      <c r="E115" s="61" t="s">
        <v>199</v>
      </c>
      <c r="F115" s="61" t="s">
        <v>199</v>
      </c>
      <c r="G115" s="61" t="s">
        <v>199</v>
      </c>
      <c r="H115" s="61" t="s">
        <v>199</v>
      </c>
      <c r="I115" s="61" t="s">
        <v>199</v>
      </c>
      <c r="J115" s="61" t="s">
        <v>199</v>
      </c>
      <c r="K115" s="61" t="s">
        <v>199</v>
      </c>
      <c r="L115" s="61" t="s">
        <v>199</v>
      </c>
      <c r="M115" s="61" t="s">
        <v>199</v>
      </c>
      <c r="N115" s="61" t="s">
        <v>199</v>
      </c>
      <c r="O115" s="61" t="s">
        <v>199</v>
      </c>
      <c r="P115" s="61"/>
      <c r="Q115" s="61"/>
      <c r="R115" s="61"/>
      <c r="S115" s="61"/>
      <c r="T115" s="61"/>
      <c r="U115" s="61"/>
      <c r="V115" s="61"/>
      <c r="W115" s="61"/>
      <c r="X115" s="61"/>
      <c r="Y115" s="61"/>
      <c r="Z115" s="61"/>
      <c r="AA115" s="61"/>
      <c r="AB115" s="61"/>
      <c r="AC115" s="61"/>
      <c r="AD115" s="61"/>
      <c r="AE115" s="61"/>
      <c r="AG115" t="str">
        <f t="shared" si="39"/>
        <v>Special Dividend Paid</v>
      </c>
      <c r="AJ115" s="83">
        <f>SUM(C115:F115)</f>
        <v>0</v>
      </c>
      <c r="AK115" s="83">
        <f>SUM(G115:J115)</f>
        <v>0</v>
      </c>
      <c r="AL115" s="83">
        <f>SUM(K115:N115)</f>
        <v>0</v>
      </c>
    </row>
    <row r="116" spans="2:38" x14ac:dyDescent="0.25">
      <c r="B116" s="53" t="s">
        <v>288</v>
      </c>
      <c r="C116" s="61">
        <v>0.75</v>
      </c>
      <c r="D116" s="61">
        <v>0</v>
      </c>
      <c r="E116" s="61">
        <v>0</v>
      </c>
      <c r="F116" s="61">
        <v>0</v>
      </c>
      <c r="G116" s="61" t="s">
        <v>199</v>
      </c>
      <c r="H116" s="61" t="s">
        <v>199</v>
      </c>
      <c r="I116" s="61" t="s">
        <v>199</v>
      </c>
      <c r="J116" s="61" t="s">
        <v>199</v>
      </c>
      <c r="K116" s="61">
        <v>45</v>
      </c>
      <c r="L116" s="61">
        <v>0</v>
      </c>
      <c r="M116" s="61">
        <v>3</v>
      </c>
      <c r="N116" s="61">
        <v>0</v>
      </c>
      <c r="O116" s="61" t="s">
        <v>199</v>
      </c>
      <c r="P116" s="61"/>
      <c r="Q116" s="61"/>
      <c r="R116" s="61"/>
      <c r="S116" s="61"/>
      <c r="T116" s="61"/>
      <c r="U116" s="61"/>
      <c r="V116" s="61"/>
      <c r="W116" s="61"/>
      <c r="X116" s="61"/>
      <c r="Y116" s="61"/>
      <c r="Z116" s="61"/>
      <c r="AA116" s="61"/>
      <c r="AB116" s="61"/>
      <c r="AC116" s="61"/>
      <c r="AD116" s="61"/>
      <c r="AE116" s="61"/>
      <c r="AG116" t="str">
        <f t="shared" si="39"/>
        <v>Other Financing Activities</v>
      </c>
      <c r="AJ116" s="83">
        <f>SUM(C116:F116)</f>
        <v>0.75</v>
      </c>
      <c r="AK116" s="83">
        <f>SUM(G116:J116)</f>
        <v>0</v>
      </c>
      <c r="AL116" s="83">
        <f>SUM(K116:N116)</f>
        <v>48</v>
      </c>
    </row>
    <row r="117" spans="2:38" x14ac:dyDescent="0.25">
      <c r="B117" s="60" t="s">
        <v>289</v>
      </c>
      <c r="C117" s="62">
        <v>0.93799999999999994</v>
      </c>
      <c r="D117" s="62">
        <v>0.46700000000000003</v>
      </c>
      <c r="E117" s="62">
        <v>0</v>
      </c>
      <c r="F117" s="62">
        <v>0.10299999999999999</v>
      </c>
      <c r="G117" s="62" t="s">
        <v>199</v>
      </c>
      <c r="H117" s="62">
        <v>1.7999999999999999E-2</v>
      </c>
      <c r="I117" s="62">
        <v>0</v>
      </c>
      <c r="J117" s="62">
        <v>1.2E-2</v>
      </c>
      <c r="K117" s="62">
        <v>42.003</v>
      </c>
      <c r="L117" s="62">
        <v>1.9E-2</v>
      </c>
      <c r="M117" s="62">
        <v>1.2999999999999999E-2</v>
      </c>
      <c r="N117" s="62">
        <v>8.3000000000000004E-2</v>
      </c>
      <c r="O117" s="62">
        <v>7.0000000000000001E-3</v>
      </c>
      <c r="P117" s="63"/>
      <c r="Q117" s="63"/>
      <c r="R117" s="63"/>
      <c r="S117" s="63"/>
      <c r="T117" s="63"/>
      <c r="U117" s="63"/>
      <c r="V117" s="63"/>
      <c r="W117" s="63"/>
      <c r="X117" s="63"/>
      <c r="Y117" s="63"/>
      <c r="Z117" s="63"/>
      <c r="AA117" s="63"/>
      <c r="AB117" s="63"/>
      <c r="AC117" s="63"/>
      <c r="AD117" s="63"/>
      <c r="AE117" s="63"/>
      <c r="AG117" t="str">
        <f t="shared" si="39"/>
        <v xml:space="preserve">  Cash from Financing</v>
      </c>
      <c r="AJ117" s="87">
        <f>SUM(C117:F117)</f>
        <v>1.508</v>
      </c>
      <c r="AK117" s="87">
        <f>SUM(G117:J117)</f>
        <v>0.03</v>
      </c>
      <c r="AL117" s="87">
        <f>SUM(K117:N117)</f>
        <v>42.117999999999995</v>
      </c>
    </row>
    <row r="118" spans="2:38" x14ac:dyDescent="0.25">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J118" s="83"/>
      <c r="AK118" s="83"/>
      <c r="AL118" s="83"/>
    </row>
    <row r="119" spans="2:38" x14ac:dyDescent="0.25">
      <c r="B119" s="53" t="s">
        <v>290</v>
      </c>
      <c r="C119" s="61">
        <v>0</v>
      </c>
      <c r="D119" s="61">
        <v>-0.1</v>
      </c>
      <c r="E119" s="61">
        <v>-0.3</v>
      </c>
      <c r="F119" s="61">
        <v>5.5E-2</v>
      </c>
      <c r="G119" s="61">
        <v>4.4999999999999998E-2</v>
      </c>
      <c r="H119" s="61">
        <v>0.107</v>
      </c>
      <c r="I119" s="61">
        <v>-0.1</v>
      </c>
      <c r="J119" s="61">
        <v>8.0000000000000002E-3</v>
      </c>
      <c r="K119" s="61">
        <v>0</v>
      </c>
      <c r="L119" s="61">
        <v>0</v>
      </c>
      <c r="M119" s="61">
        <v>0</v>
      </c>
      <c r="N119" s="61">
        <v>3.3000000000000002E-2</v>
      </c>
      <c r="O119" s="61">
        <v>0</v>
      </c>
      <c r="P119" s="61"/>
      <c r="Q119" s="61"/>
      <c r="R119" s="61"/>
      <c r="S119" s="61"/>
      <c r="T119" s="61"/>
      <c r="U119" s="61"/>
      <c r="V119" s="61"/>
      <c r="W119" s="61"/>
      <c r="X119" s="61"/>
      <c r="Y119" s="61"/>
      <c r="Z119" s="61"/>
      <c r="AA119" s="61"/>
      <c r="AB119" s="61"/>
      <c r="AC119" s="61"/>
      <c r="AD119" s="61"/>
      <c r="AE119" s="61"/>
      <c r="AG119" t="str">
        <f t="shared" si="39"/>
        <v>Foreign Exchange Rate Adj.</v>
      </c>
      <c r="AJ119" s="83">
        <f>SUM(C119:F119)</f>
        <v>-0.34500000000000003</v>
      </c>
      <c r="AK119" s="83">
        <f>SUM(G119:J119)</f>
        <v>5.9999999999999991E-2</v>
      </c>
      <c r="AL119" s="83">
        <f>SUM(K119:N119)</f>
        <v>3.3000000000000002E-2</v>
      </c>
    </row>
    <row r="120" spans="2:38" x14ac:dyDescent="0.25">
      <c r="B120" s="60" t="s">
        <v>291</v>
      </c>
      <c r="C120" s="64">
        <v>42.774999999999999</v>
      </c>
      <c r="D120" s="64">
        <v>9.5519999999999996</v>
      </c>
      <c r="E120" s="64">
        <v>28.213000000000001</v>
      </c>
      <c r="F120" s="64">
        <v>-17.5</v>
      </c>
      <c r="G120" s="64">
        <v>-11.3</v>
      </c>
      <c r="H120" s="64">
        <v>-26.2</v>
      </c>
      <c r="I120" s="64">
        <v>14.193</v>
      </c>
      <c r="J120" s="64">
        <v>-29.6</v>
      </c>
      <c r="K120" s="64">
        <v>13.365</v>
      </c>
      <c r="L120" s="64">
        <v>-20.7</v>
      </c>
      <c r="M120" s="64">
        <v>2.169</v>
      </c>
      <c r="N120" s="64">
        <v>14.143000000000001</v>
      </c>
      <c r="O120" s="64">
        <v>-5.4</v>
      </c>
      <c r="P120" s="74"/>
      <c r="Q120" s="74"/>
      <c r="R120" s="74"/>
      <c r="S120" s="74"/>
      <c r="T120" s="74"/>
      <c r="U120" s="74"/>
      <c r="V120" s="74"/>
      <c r="W120" s="74"/>
      <c r="X120" s="74"/>
      <c r="Y120" s="74"/>
      <c r="Z120" s="74"/>
      <c r="AA120" s="74"/>
      <c r="AB120" s="74"/>
      <c r="AC120" s="74"/>
      <c r="AD120" s="74"/>
      <c r="AE120" s="74"/>
      <c r="AG120" t="str">
        <f t="shared" si="39"/>
        <v xml:space="preserve">  Net Change in Cash</v>
      </c>
      <c r="AJ120" s="88">
        <f>SUM(C120:F120)</f>
        <v>63.039999999999992</v>
      </c>
      <c r="AK120" s="88">
        <f>SUM(G120:J120)</f>
        <v>-52.907000000000004</v>
      </c>
      <c r="AL120" s="88">
        <f>SUM(K120:N120)</f>
        <v>8.9770000000000021</v>
      </c>
    </row>
    <row r="121" spans="2:38" x14ac:dyDescent="0.25">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row>
    <row r="122" spans="2:38" x14ac:dyDescent="0.25">
      <c r="B122" s="60" t="s">
        <v>228</v>
      </c>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G122" t="str">
        <f t="shared" si="39"/>
        <v>Supplemental Items</v>
      </c>
    </row>
    <row r="123" spans="2:38" x14ac:dyDescent="0.25">
      <c r="B123" s="53" t="s">
        <v>292</v>
      </c>
      <c r="C123" s="61" t="s">
        <v>227</v>
      </c>
      <c r="D123" s="61" t="s">
        <v>227</v>
      </c>
      <c r="E123" s="61" t="s">
        <v>227</v>
      </c>
      <c r="F123" s="61" t="s">
        <v>227</v>
      </c>
      <c r="G123" s="61" t="s">
        <v>227</v>
      </c>
      <c r="H123" s="61" t="s">
        <v>227</v>
      </c>
      <c r="I123" s="61" t="s">
        <v>227</v>
      </c>
      <c r="J123" s="61" t="s">
        <v>227</v>
      </c>
      <c r="K123" s="61" t="s">
        <v>227</v>
      </c>
      <c r="L123" s="61" t="s">
        <v>227</v>
      </c>
      <c r="M123" s="61" t="s">
        <v>227</v>
      </c>
      <c r="N123" s="61" t="s">
        <v>227</v>
      </c>
      <c r="O123" s="61" t="s">
        <v>227</v>
      </c>
      <c r="P123" s="61"/>
      <c r="Q123" s="61"/>
      <c r="R123" s="61"/>
      <c r="S123" s="61"/>
      <c r="T123" s="61"/>
      <c r="U123" s="61"/>
      <c r="V123" s="61"/>
      <c r="W123" s="61"/>
      <c r="X123" s="61"/>
      <c r="Y123" s="61"/>
      <c r="Z123" s="61"/>
      <c r="AA123" s="61"/>
      <c r="AB123" s="61"/>
      <c r="AC123" s="61"/>
      <c r="AD123" s="61"/>
      <c r="AE123" s="61"/>
      <c r="AG123" t="str">
        <f t="shared" si="39"/>
        <v>Cash Interest Paid</v>
      </c>
    </row>
    <row r="124" spans="2:38" x14ac:dyDescent="0.25">
      <c r="B124" s="53" t="s">
        <v>293</v>
      </c>
      <c r="C124" s="61" t="s">
        <v>227</v>
      </c>
      <c r="D124" s="61" t="s">
        <v>227</v>
      </c>
      <c r="E124" s="61" t="s">
        <v>227</v>
      </c>
      <c r="F124" s="61">
        <v>0.27200000000000002</v>
      </c>
      <c r="G124" s="61" t="s">
        <v>227</v>
      </c>
      <c r="H124" s="61" t="s">
        <v>227</v>
      </c>
      <c r="I124" s="61">
        <v>2.6560000000000001</v>
      </c>
      <c r="J124" s="61">
        <v>0</v>
      </c>
      <c r="K124" s="61" t="s">
        <v>227</v>
      </c>
      <c r="L124" s="61" t="s">
        <v>227</v>
      </c>
      <c r="M124" s="61" t="s">
        <v>227</v>
      </c>
      <c r="N124" s="61">
        <v>7.5999999999999998E-2</v>
      </c>
      <c r="O124" s="61" t="s">
        <v>227</v>
      </c>
      <c r="P124" s="61"/>
      <c r="Q124" s="61"/>
      <c r="R124" s="61"/>
      <c r="S124" s="61"/>
      <c r="T124" s="61"/>
      <c r="U124" s="61"/>
      <c r="V124" s="61"/>
      <c r="W124" s="61"/>
      <c r="X124" s="61"/>
      <c r="Y124" s="61"/>
      <c r="Z124" s="61"/>
      <c r="AA124" s="61"/>
      <c r="AB124" s="61"/>
      <c r="AC124" s="61"/>
      <c r="AD124" s="61"/>
      <c r="AE124" s="61"/>
      <c r="AG124" t="str">
        <f t="shared" si="39"/>
        <v>Cash Taxes Paid</v>
      </c>
    </row>
    <row r="125" spans="2:38" x14ac:dyDescent="0.25">
      <c r="B125" s="53" t="s">
        <v>294</v>
      </c>
      <c r="C125" s="61">
        <v>-43</v>
      </c>
      <c r="D125" s="61">
        <v>-0.5</v>
      </c>
      <c r="E125" s="61">
        <v>-39.1</v>
      </c>
      <c r="F125" s="61">
        <v>-18.5</v>
      </c>
      <c r="G125" s="61">
        <v>-17.100000000000001</v>
      </c>
      <c r="H125" s="61">
        <v>-21.9</v>
      </c>
      <c r="I125" s="61">
        <v>-8.3000000000000007</v>
      </c>
      <c r="J125" s="61">
        <v>-16.5</v>
      </c>
      <c r="K125" s="61">
        <v>-20</v>
      </c>
      <c r="L125" s="61">
        <v>-10.5</v>
      </c>
      <c r="M125" s="61">
        <v>-27.4</v>
      </c>
      <c r="N125" s="61">
        <v>14.277125</v>
      </c>
      <c r="O125" s="61">
        <v>-24.2</v>
      </c>
      <c r="P125" s="61"/>
      <c r="Q125" s="61"/>
      <c r="R125" s="61"/>
      <c r="S125" s="61"/>
      <c r="T125" s="61"/>
      <c r="U125" s="61"/>
      <c r="V125" s="61"/>
      <c r="W125" s="61"/>
      <c r="X125" s="61"/>
      <c r="Y125" s="61"/>
      <c r="Z125" s="61"/>
      <c r="AA125" s="61"/>
      <c r="AB125" s="61"/>
      <c r="AC125" s="61"/>
      <c r="AD125" s="61"/>
      <c r="AE125" s="61"/>
      <c r="AG125" t="str">
        <f t="shared" si="39"/>
        <v>Levered Free Cash Flow</v>
      </c>
    </row>
    <row r="126" spans="2:38" x14ac:dyDescent="0.25">
      <c r="B126" s="53" t="s">
        <v>295</v>
      </c>
      <c r="C126" s="61">
        <v>-38.299999999999997</v>
      </c>
      <c r="D126" s="61">
        <v>3.983625</v>
      </c>
      <c r="E126" s="61">
        <v>-34.700000000000003</v>
      </c>
      <c r="F126" s="61">
        <v>-14</v>
      </c>
      <c r="G126" s="61">
        <v>-12.9</v>
      </c>
      <c r="H126" s="61">
        <v>-18</v>
      </c>
      <c r="I126" s="61">
        <v>-4.5999999999999996</v>
      </c>
      <c r="J126" s="61">
        <v>-12.2</v>
      </c>
      <c r="K126" s="61">
        <v>-16.600000000000001</v>
      </c>
      <c r="L126" s="61">
        <v>-6.5</v>
      </c>
      <c r="M126" s="61">
        <v>-23.7</v>
      </c>
      <c r="N126" s="61">
        <v>20.62275</v>
      </c>
      <c r="O126" s="61">
        <v>-21.1</v>
      </c>
      <c r="P126" s="61"/>
      <c r="Q126" s="61"/>
      <c r="R126" s="61"/>
      <c r="S126" s="61"/>
      <c r="T126" s="61"/>
      <c r="U126" s="61"/>
      <c r="V126" s="61"/>
      <c r="W126" s="61"/>
      <c r="X126" s="61"/>
      <c r="Y126" s="61"/>
      <c r="Z126" s="61"/>
      <c r="AA126" s="61"/>
      <c r="AB126" s="61"/>
      <c r="AC126" s="61"/>
      <c r="AD126" s="61"/>
      <c r="AE126" s="61"/>
      <c r="AG126" t="str">
        <f t="shared" si="39"/>
        <v>Unlevered Free Cash Flow</v>
      </c>
    </row>
    <row r="127" spans="2:38" x14ac:dyDescent="0.25">
      <c r="B127" s="53" t="s">
        <v>296</v>
      </c>
      <c r="C127" s="61">
        <v>-13.1</v>
      </c>
      <c r="D127" s="61">
        <v>-19.5</v>
      </c>
      <c r="E127" s="61">
        <v>26.332999999999998</v>
      </c>
      <c r="F127" s="61">
        <v>3.839</v>
      </c>
      <c r="G127" s="61">
        <v>1.679</v>
      </c>
      <c r="H127" s="61">
        <v>6.7320000000000002</v>
      </c>
      <c r="I127" s="61">
        <v>-6.5</v>
      </c>
      <c r="J127" s="61">
        <v>1.7250000000000001</v>
      </c>
      <c r="K127" s="61">
        <v>2.4849999999999999</v>
      </c>
      <c r="L127" s="61">
        <v>-9.6</v>
      </c>
      <c r="M127" s="61">
        <v>7.9429999999999996</v>
      </c>
      <c r="N127" s="61">
        <v>-31.4</v>
      </c>
      <c r="O127" s="61">
        <v>-2.2999999999999998</v>
      </c>
      <c r="P127" s="61"/>
      <c r="Q127" s="61"/>
      <c r="R127" s="61"/>
      <c r="S127" s="61"/>
      <c r="T127" s="61"/>
      <c r="U127" s="61"/>
      <c r="V127" s="61"/>
      <c r="W127" s="61"/>
      <c r="X127" s="61"/>
      <c r="Y127" s="61"/>
      <c r="Z127" s="61"/>
      <c r="AA127" s="61"/>
      <c r="AB127" s="61"/>
      <c r="AC127" s="61"/>
      <c r="AD127" s="61"/>
      <c r="AE127" s="61"/>
      <c r="AG127" t="str">
        <f t="shared" si="39"/>
        <v>Change in Net Working Capital</v>
      </c>
    </row>
    <row r="128" spans="2:38" x14ac:dyDescent="0.25">
      <c r="B128" s="4" t="s">
        <v>299</v>
      </c>
      <c r="C128" s="5" t="s">
        <v>184</v>
      </c>
      <c r="D128" s="5" t="s">
        <v>185</v>
      </c>
      <c r="E128" s="5" t="s">
        <v>186</v>
      </c>
      <c r="F128" s="5" t="s">
        <v>187</v>
      </c>
      <c r="G128" s="5" t="s">
        <v>188</v>
      </c>
      <c r="H128" s="5" t="s">
        <v>189</v>
      </c>
      <c r="I128" s="5" t="s">
        <v>190</v>
      </c>
      <c r="J128" s="5" t="s">
        <v>191</v>
      </c>
      <c r="K128" s="5" t="s">
        <v>192</v>
      </c>
      <c r="L128" s="5" t="s">
        <v>193</v>
      </c>
      <c r="M128" s="5" t="s">
        <v>194</v>
      </c>
      <c r="N128" s="5" t="s">
        <v>28</v>
      </c>
      <c r="O128" s="5" t="s">
        <v>195</v>
      </c>
      <c r="P128" s="4"/>
      <c r="Q128" s="4"/>
      <c r="R128" s="4"/>
      <c r="S128" s="4"/>
      <c r="T128" s="4"/>
      <c r="U128" s="4"/>
      <c r="V128" s="4"/>
      <c r="W128" s="4"/>
      <c r="X128" s="4"/>
      <c r="Y128" s="4"/>
      <c r="Z128" s="4"/>
      <c r="AA128" s="4"/>
      <c r="AB128" s="4"/>
      <c r="AC128" s="4"/>
      <c r="AD128" s="4"/>
      <c r="AE128" s="4"/>
      <c r="AG128" t="str">
        <f t="shared" ref="AG128:AG181" si="46">B128</f>
        <v xml:space="preserve">Balance Sheet </v>
      </c>
    </row>
    <row r="129" spans="2:33" x14ac:dyDescent="0.25">
      <c r="B129" s="53" t="s">
        <v>300</v>
      </c>
      <c r="C129" s="61">
        <v>67.992999999999995</v>
      </c>
      <c r="D129" s="61">
        <v>77.545000000000002</v>
      </c>
      <c r="E129" s="61">
        <v>105.758</v>
      </c>
      <c r="F129" s="61">
        <v>88.227000000000004</v>
      </c>
      <c r="G129" s="61">
        <v>76.954999999999998</v>
      </c>
      <c r="H129" s="61">
        <v>50.728000000000002</v>
      </c>
      <c r="I129" s="61">
        <v>64.921000000000006</v>
      </c>
      <c r="J129" s="61">
        <v>35.277000000000001</v>
      </c>
      <c r="K129" s="61">
        <v>48.642000000000003</v>
      </c>
      <c r="L129" s="61">
        <v>27.94</v>
      </c>
      <c r="M129" s="61">
        <v>30.109000000000002</v>
      </c>
      <c r="N129" s="61">
        <v>44.252000000000002</v>
      </c>
      <c r="O129" s="61">
        <v>38.893999999999998</v>
      </c>
      <c r="P129" s="61"/>
      <c r="Q129" s="61"/>
      <c r="R129" s="61"/>
      <c r="S129" s="61"/>
      <c r="T129" s="61"/>
      <c r="U129" s="61"/>
      <c r="V129" s="61"/>
      <c r="W129" s="61"/>
      <c r="X129" s="61"/>
      <c r="Y129" s="61"/>
      <c r="Z129" s="61"/>
      <c r="AA129" s="61"/>
      <c r="AB129" s="61"/>
      <c r="AC129" s="61"/>
      <c r="AD129" s="61"/>
      <c r="AE129" s="61"/>
      <c r="AG129" t="str">
        <f t="shared" si="46"/>
        <v>Cash And Equivalents</v>
      </c>
    </row>
    <row r="130" spans="2:33" x14ac:dyDescent="0.25">
      <c r="B130" s="53" t="s">
        <v>301</v>
      </c>
      <c r="C130" s="61">
        <v>599.03200000000004</v>
      </c>
      <c r="D130" s="61">
        <v>541.77099999999996</v>
      </c>
      <c r="E130" s="61">
        <v>440.62900000000002</v>
      </c>
      <c r="F130" s="61">
        <v>416.75</v>
      </c>
      <c r="G130" s="61">
        <v>379.87200000000001</v>
      </c>
      <c r="H130" s="61">
        <v>358.70400000000001</v>
      </c>
      <c r="I130" s="61">
        <v>307.73700000000002</v>
      </c>
      <c r="J130" s="61">
        <v>268.339</v>
      </c>
      <c r="K130" s="61">
        <v>240.596</v>
      </c>
      <c r="L130" s="61">
        <v>243.29499999999999</v>
      </c>
      <c r="M130" s="61">
        <v>214.386</v>
      </c>
      <c r="N130" s="61">
        <v>210.97399999999999</v>
      </c>
      <c r="O130" s="61">
        <v>179.738</v>
      </c>
      <c r="P130" s="61"/>
      <c r="Q130" s="61"/>
      <c r="R130" s="61"/>
      <c r="S130" s="61"/>
      <c r="T130" s="61"/>
      <c r="U130" s="61"/>
      <c r="V130" s="61"/>
      <c r="W130" s="61"/>
      <c r="X130" s="61"/>
      <c r="Y130" s="61"/>
      <c r="Z130" s="61"/>
      <c r="AA130" s="61"/>
      <c r="AB130" s="61"/>
      <c r="AC130" s="61"/>
      <c r="AD130" s="61"/>
      <c r="AE130" s="61"/>
      <c r="AG130" t="str">
        <f t="shared" si="46"/>
        <v>Short Term Investments</v>
      </c>
    </row>
    <row r="131" spans="2:33" x14ac:dyDescent="0.25">
      <c r="B131" s="60" t="s">
        <v>302</v>
      </c>
      <c r="C131" s="62">
        <v>667.02499999999998</v>
      </c>
      <c r="D131" s="62">
        <v>619.31600000000003</v>
      </c>
      <c r="E131" s="62">
        <v>546.38699999999994</v>
      </c>
      <c r="F131" s="62">
        <v>504.97699999999998</v>
      </c>
      <c r="G131" s="62">
        <v>456.827</v>
      </c>
      <c r="H131" s="62">
        <v>409.43200000000002</v>
      </c>
      <c r="I131" s="62">
        <v>372.65800000000002</v>
      </c>
      <c r="J131" s="62">
        <v>303.61599999999999</v>
      </c>
      <c r="K131" s="62">
        <v>289.238</v>
      </c>
      <c r="L131" s="62">
        <v>271.23500000000001</v>
      </c>
      <c r="M131" s="62">
        <v>244.495</v>
      </c>
      <c r="N131" s="62">
        <v>255.226</v>
      </c>
      <c r="O131" s="62">
        <v>218.63200000000001</v>
      </c>
      <c r="P131" s="63"/>
      <c r="Q131" s="63"/>
      <c r="R131" s="63"/>
      <c r="S131" s="63"/>
      <c r="T131" s="63"/>
      <c r="U131" s="63"/>
      <c r="V131" s="63"/>
      <c r="W131" s="63"/>
      <c r="X131" s="63"/>
      <c r="Y131" s="63"/>
      <c r="Z131" s="63"/>
      <c r="AA131" s="63"/>
      <c r="AB131" s="63"/>
      <c r="AC131" s="63"/>
      <c r="AD131" s="63"/>
      <c r="AE131" s="63"/>
      <c r="AG131" t="str">
        <f t="shared" si="46"/>
        <v xml:space="preserve">  Total Cash &amp; ST Investments</v>
      </c>
    </row>
    <row r="132" spans="2:33" x14ac:dyDescent="0.25">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row>
    <row r="133" spans="2:33" x14ac:dyDescent="0.25">
      <c r="B133" s="53" t="s">
        <v>303</v>
      </c>
      <c r="C133" s="61">
        <v>30.22</v>
      </c>
      <c r="D133" s="61">
        <v>10.006</v>
      </c>
      <c r="E133" s="61">
        <v>11.532</v>
      </c>
      <c r="F133" s="61">
        <v>5.9809999999999999</v>
      </c>
      <c r="G133" s="61">
        <v>2.9950000000000001</v>
      </c>
      <c r="H133" s="61">
        <v>1.335</v>
      </c>
      <c r="I133" s="61">
        <v>2.2040000000000002</v>
      </c>
      <c r="J133" s="61">
        <v>1.2050000000000001</v>
      </c>
      <c r="K133" s="61">
        <v>3.617</v>
      </c>
      <c r="L133" s="61">
        <v>1.196</v>
      </c>
      <c r="M133" s="61" t="s">
        <v>199</v>
      </c>
      <c r="N133" s="61" t="s">
        <v>199</v>
      </c>
      <c r="O133" s="61" t="s">
        <v>199</v>
      </c>
      <c r="P133" s="61"/>
      <c r="Q133" s="61"/>
      <c r="R133" s="61"/>
      <c r="S133" s="61"/>
      <c r="T133" s="61"/>
      <c r="U133" s="61"/>
      <c r="V133" s="61"/>
      <c r="W133" s="61"/>
      <c r="X133" s="61"/>
      <c r="Y133" s="61"/>
      <c r="Z133" s="61"/>
      <c r="AA133" s="61"/>
      <c r="AB133" s="61"/>
      <c r="AC133" s="61"/>
      <c r="AD133" s="61"/>
      <c r="AE133" s="61"/>
      <c r="AG133" t="str">
        <f t="shared" si="46"/>
        <v>Accounts Receivable</v>
      </c>
    </row>
    <row r="134" spans="2:33" x14ac:dyDescent="0.25">
      <c r="B134" s="53" t="s">
        <v>304</v>
      </c>
      <c r="C134" s="61" t="s">
        <v>199</v>
      </c>
      <c r="D134" s="61" t="s">
        <v>199</v>
      </c>
      <c r="E134" s="61" t="s">
        <v>199</v>
      </c>
      <c r="F134" s="61">
        <v>2.423</v>
      </c>
      <c r="G134" s="61" t="s">
        <v>199</v>
      </c>
      <c r="H134" s="61">
        <v>2.5329999999999999</v>
      </c>
      <c r="I134" s="61">
        <v>1.226</v>
      </c>
      <c r="J134" s="61">
        <v>1.0469999999999999</v>
      </c>
      <c r="K134" s="61">
        <v>1.8160000000000001</v>
      </c>
      <c r="L134" s="61">
        <v>1.7030000000000001</v>
      </c>
      <c r="M134" s="61">
        <v>2.1230000000000002</v>
      </c>
      <c r="N134" s="61">
        <v>1.609</v>
      </c>
      <c r="O134" s="61">
        <v>1.714</v>
      </c>
      <c r="P134" s="61"/>
      <c r="Q134" s="61"/>
      <c r="R134" s="61"/>
      <c r="S134" s="61"/>
      <c r="T134" s="61"/>
      <c r="U134" s="61"/>
      <c r="V134" s="61"/>
      <c r="W134" s="61"/>
      <c r="X134" s="61"/>
      <c r="Y134" s="61"/>
      <c r="Z134" s="61"/>
      <c r="AA134" s="61"/>
      <c r="AB134" s="61"/>
      <c r="AC134" s="61"/>
      <c r="AD134" s="61"/>
      <c r="AE134" s="61"/>
      <c r="AG134" t="str">
        <f t="shared" si="46"/>
        <v>Other Receivables</v>
      </c>
    </row>
    <row r="135" spans="2:33" x14ac:dyDescent="0.25">
      <c r="B135" s="60" t="s">
        <v>305</v>
      </c>
      <c r="C135" s="62">
        <v>30.22</v>
      </c>
      <c r="D135" s="62">
        <v>10.006</v>
      </c>
      <c r="E135" s="62">
        <v>11.532</v>
      </c>
      <c r="F135" s="62">
        <v>8.4039999999999999</v>
      </c>
      <c r="G135" s="62">
        <v>2.9950000000000001</v>
      </c>
      <c r="H135" s="62">
        <v>3.8679999999999999</v>
      </c>
      <c r="I135" s="62">
        <v>3.43</v>
      </c>
      <c r="J135" s="62">
        <v>2.2519999999999998</v>
      </c>
      <c r="K135" s="62">
        <v>5.4329999999999998</v>
      </c>
      <c r="L135" s="62">
        <v>2.899</v>
      </c>
      <c r="M135" s="62">
        <v>2.1230000000000002</v>
      </c>
      <c r="N135" s="62">
        <v>1.609</v>
      </c>
      <c r="O135" s="62">
        <v>1.714</v>
      </c>
      <c r="P135" s="63"/>
      <c r="Q135" s="63"/>
      <c r="R135" s="63"/>
      <c r="S135" s="63"/>
      <c r="T135" s="63"/>
      <c r="U135" s="63"/>
      <c r="V135" s="63"/>
      <c r="W135" s="63"/>
      <c r="X135" s="63"/>
      <c r="Y135" s="63"/>
      <c r="Z135" s="63"/>
      <c r="AA135" s="63"/>
      <c r="AB135" s="63"/>
      <c r="AC135" s="63"/>
      <c r="AD135" s="63"/>
      <c r="AE135" s="63"/>
      <c r="AG135" t="str">
        <f t="shared" si="46"/>
        <v xml:space="preserve">  Total Receivables</v>
      </c>
    </row>
    <row r="136" spans="2:33" x14ac:dyDescent="0.25">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row>
    <row r="137" spans="2:33" x14ac:dyDescent="0.25">
      <c r="B137" s="53" t="s">
        <v>306</v>
      </c>
      <c r="C137" s="61">
        <v>15.379</v>
      </c>
      <c r="D137" s="61">
        <v>16.969000000000001</v>
      </c>
      <c r="E137" s="61">
        <v>19.056999999999999</v>
      </c>
      <c r="F137" s="61">
        <v>19.202000000000002</v>
      </c>
      <c r="G137" s="61">
        <v>20.234999999999999</v>
      </c>
      <c r="H137" s="61">
        <v>20.689</v>
      </c>
      <c r="I137" s="61">
        <v>15.13</v>
      </c>
      <c r="J137" s="61">
        <v>16.100999999999999</v>
      </c>
      <c r="K137" s="61">
        <v>16.238</v>
      </c>
      <c r="L137" s="61">
        <v>14.465</v>
      </c>
      <c r="M137" s="61" t="s">
        <v>199</v>
      </c>
      <c r="N137" s="61" t="s">
        <v>199</v>
      </c>
      <c r="O137" s="61" t="s">
        <v>199</v>
      </c>
      <c r="P137" s="61"/>
      <c r="Q137" s="61"/>
      <c r="R137" s="61"/>
      <c r="S137" s="61"/>
      <c r="T137" s="61"/>
      <c r="U137" s="61"/>
      <c r="V137" s="61"/>
      <c r="W137" s="61"/>
      <c r="X137" s="61"/>
      <c r="Y137" s="61"/>
      <c r="Z137" s="61"/>
      <c r="AA137" s="61"/>
      <c r="AB137" s="61"/>
      <c r="AC137" s="61"/>
      <c r="AD137" s="61"/>
      <c r="AE137" s="61"/>
      <c r="AG137" t="str">
        <f t="shared" si="46"/>
        <v>Inventory</v>
      </c>
    </row>
    <row r="138" spans="2:33" x14ac:dyDescent="0.25">
      <c r="B138" s="53" t="s">
        <v>307</v>
      </c>
      <c r="C138" s="61" t="s">
        <v>199</v>
      </c>
      <c r="D138" s="61" t="s">
        <v>199</v>
      </c>
      <c r="E138" s="61" t="s">
        <v>199</v>
      </c>
      <c r="F138" s="61">
        <v>5.9870000000000001</v>
      </c>
      <c r="G138" s="61" t="s">
        <v>199</v>
      </c>
      <c r="H138" s="61">
        <v>3.8039999999999998</v>
      </c>
      <c r="I138" s="61">
        <v>5.7930000000000001</v>
      </c>
      <c r="J138" s="61">
        <v>4.407</v>
      </c>
      <c r="K138" s="61">
        <v>4.16</v>
      </c>
      <c r="L138" s="61">
        <v>2.375</v>
      </c>
      <c r="M138" s="61">
        <v>2.85</v>
      </c>
      <c r="N138" s="61">
        <v>2.5099999999999998</v>
      </c>
      <c r="O138" s="61">
        <v>2.2080000000000002</v>
      </c>
      <c r="P138" s="61"/>
      <c r="Q138" s="61"/>
      <c r="R138" s="61"/>
      <c r="S138" s="61"/>
      <c r="T138" s="61"/>
      <c r="U138" s="61"/>
      <c r="V138" s="61"/>
      <c r="W138" s="61"/>
      <c r="X138" s="61"/>
      <c r="Y138" s="61"/>
      <c r="Z138" s="61"/>
      <c r="AA138" s="61"/>
      <c r="AB138" s="61"/>
      <c r="AC138" s="61"/>
      <c r="AD138" s="61"/>
      <c r="AE138" s="61"/>
      <c r="AG138" t="str">
        <f t="shared" si="46"/>
        <v>Prepaid Exp.</v>
      </c>
    </row>
    <row r="139" spans="2:33" x14ac:dyDescent="0.25">
      <c r="B139" s="53" t="s">
        <v>308</v>
      </c>
      <c r="C139" s="61">
        <v>20.831</v>
      </c>
      <c r="D139" s="61">
        <v>19.245000000000001</v>
      </c>
      <c r="E139" s="61">
        <v>22.507000000000001</v>
      </c>
      <c r="F139" s="61">
        <v>7.3979999999999997</v>
      </c>
      <c r="G139" s="61">
        <v>11.009</v>
      </c>
      <c r="H139" s="61">
        <v>3.2650000000000001</v>
      </c>
      <c r="I139" s="61">
        <v>2.0139999999999998</v>
      </c>
      <c r="J139" s="61">
        <v>4.3250000000000002</v>
      </c>
      <c r="K139" s="61">
        <v>4.7670000000000003</v>
      </c>
      <c r="L139" s="61">
        <v>4.2140000000000004</v>
      </c>
      <c r="M139" s="61">
        <v>37.012999999999998</v>
      </c>
      <c r="N139" s="61">
        <v>1.9470000000000001</v>
      </c>
      <c r="O139" s="61">
        <v>7.359</v>
      </c>
      <c r="P139" s="61"/>
      <c r="Q139" s="61"/>
      <c r="R139" s="61"/>
      <c r="S139" s="61"/>
      <c r="T139" s="61"/>
      <c r="U139" s="61"/>
      <c r="V139" s="61"/>
      <c r="W139" s="61"/>
      <c r="X139" s="61"/>
      <c r="Y139" s="61"/>
      <c r="Z139" s="61"/>
      <c r="AA139" s="61"/>
      <c r="AB139" s="61"/>
      <c r="AC139" s="61"/>
      <c r="AD139" s="61"/>
      <c r="AE139" s="61"/>
      <c r="AG139" t="str">
        <f t="shared" si="46"/>
        <v>Other Current Assets</v>
      </c>
    </row>
    <row r="140" spans="2:33" x14ac:dyDescent="0.25">
      <c r="B140" s="60" t="s">
        <v>309</v>
      </c>
      <c r="C140" s="62">
        <v>733.45500000000004</v>
      </c>
      <c r="D140" s="62">
        <v>665.53599999999994</v>
      </c>
      <c r="E140" s="62">
        <v>599.48299999999995</v>
      </c>
      <c r="F140" s="62">
        <v>545.96799999999996</v>
      </c>
      <c r="G140" s="62">
        <v>491.06599999999997</v>
      </c>
      <c r="H140" s="62">
        <v>441.05799999999999</v>
      </c>
      <c r="I140" s="62">
        <v>399.02499999999998</v>
      </c>
      <c r="J140" s="62">
        <v>330.70100000000002</v>
      </c>
      <c r="K140" s="62">
        <v>319.83600000000001</v>
      </c>
      <c r="L140" s="62">
        <v>295.18799999999999</v>
      </c>
      <c r="M140" s="62">
        <v>286.48099999999999</v>
      </c>
      <c r="N140" s="62">
        <v>261.29199999999997</v>
      </c>
      <c r="O140" s="62">
        <v>229.91300000000001</v>
      </c>
      <c r="P140" s="63"/>
      <c r="Q140" s="63"/>
      <c r="R140" s="63"/>
      <c r="S140" s="63"/>
      <c r="T140" s="63"/>
      <c r="U140" s="63"/>
      <c r="V140" s="63"/>
      <c r="W140" s="63"/>
      <c r="X140" s="63"/>
      <c r="Y140" s="63"/>
      <c r="Z140" s="63"/>
      <c r="AA140" s="63"/>
      <c r="AB140" s="63"/>
      <c r="AC140" s="63"/>
      <c r="AD140" s="63"/>
      <c r="AE140" s="63"/>
      <c r="AG140" t="str">
        <f t="shared" si="46"/>
        <v xml:space="preserve">  Total Current Assets</v>
      </c>
    </row>
    <row r="141" spans="2:33" x14ac:dyDescent="0.25">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row>
    <row r="142" spans="2:33" x14ac:dyDescent="0.25">
      <c r="B142" s="53" t="s">
        <v>310</v>
      </c>
      <c r="C142" s="61" t="s">
        <v>199</v>
      </c>
      <c r="D142" s="61" t="s">
        <v>199</v>
      </c>
      <c r="E142" s="61">
        <v>237.76300000000001</v>
      </c>
      <c r="F142" s="61">
        <v>210.61699999999999</v>
      </c>
      <c r="G142" s="61">
        <v>179.92400000000001</v>
      </c>
      <c r="H142" s="61">
        <v>159.20599999999999</v>
      </c>
      <c r="I142" s="61">
        <v>126.93899999999999</v>
      </c>
      <c r="J142" s="61">
        <v>123.761</v>
      </c>
      <c r="K142" s="61" t="s">
        <v>199</v>
      </c>
      <c r="L142" s="61">
        <v>112.855</v>
      </c>
      <c r="M142" s="61">
        <v>28.088000000000001</v>
      </c>
      <c r="N142" s="61">
        <v>27.734000000000002</v>
      </c>
      <c r="O142" s="61" t="s">
        <v>199</v>
      </c>
      <c r="P142" s="61"/>
      <c r="Q142" s="61"/>
      <c r="R142" s="61"/>
      <c r="S142" s="61"/>
      <c r="T142" s="61"/>
      <c r="U142" s="61"/>
      <c r="V142" s="61"/>
      <c r="W142" s="61"/>
      <c r="X142" s="61"/>
      <c r="Y142" s="61"/>
      <c r="Z142" s="61"/>
      <c r="AA142" s="61"/>
      <c r="AB142" s="61"/>
      <c r="AC142" s="61"/>
      <c r="AD142" s="61"/>
      <c r="AE142" s="61"/>
      <c r="AG142" t="str">
        <f t="shared" si="46"/>
        <v>Gross Property, Plant &amp; Equipment</v>
      </c>
    </row>
    <row r="143" spans="2:33" x14ac:dyDescent="0.25">
      <c r="B143" s="53" t="s">
        <v>311</v>
      </c>
      <c r="C143" s="61" t="s">
        <v>199</v>
      </c>
      <c r="D143" s="61" t="s">
        <v>199</v>
      </c>
      <c r="E143" s="61">
        <v>-135.1</v>
      </c>
      <c r="F143" s="61">
        <v>-124.7</v>
      </c>
      <c r="G143" s="61">
        <v>-110.7</v>
      </c>
      <c r="H143" s="61">
        <v>-107.6</v>
      </c>
      <c r="I143" s="61">
        <v>-88.2</v>
      </c>
      <c r="J143" s="61">
        <v>-86.9</v>
      </c>
      <c r="K143" s="61" t="s">
        <v>199</v>
      </c>
      <c r="L143" s="61">
        <v>-88.4</v>
      </c>
      <c r="M143" s="61">
        <v>-15.7</v>
      </c>
      <c r="N143" s="61">
        <v>-15.9</v>
      </c>
      <c r="O143" s="61" t="s">
        <v>199</v>
      </c>
      <c r="P143" s="61"/>
      <c r="Q143" s="61"/>
      <c r="R143" s="61"/>
      <c r="S143" s="61"/>
      <c r="T143" s="61"/>
      <c r="U143" s="61"/>
      <c r="V143" s="61"/>
      <c r="W143" s="61"/>
      <c r="X143" s="61"/>
      <c r="Y143" s="61"/>
      <c r="Z143" s="61"/>
      <c r="AA143" s="61"/>
      <c r="AB143" s="61"/>
      <c r="AC143" s="61"/>
      <c r="AD143" s="61"/>
      <c r="AE143" s="61"/>
      <c r="AG143" t="str">
        <f t="shared" si="46"/>
        <v>Accumulated Depreciation</v>
      </c>
    </row>
    <row r="144" spans="2:33" x14ac:dyDescent="0.25">
      <c r="B144" s="60" t="s">
        <v>312</v>
      </c>
      <c r="C144" s="62">
        <v>175.27600000000001</v>
      </c>
      <c r="D144" s="62">
        <v>108.788</v>
      </c>
      <c r="E144" s="62">
        <v>102.699</v>
      </c>
      <c r="F144" s="62">
        <v>85.885999999999996</v>
      </c>
      <c r="G144" s="62">
        <v>69.271000000000001</v>
      </c>
      <c r="H144" s="62">
        <v>51.569000000000003</v>
      </c>
      <c r="I144" s="62">
        <v>38.695999999999998</v>
      </c>
      <c r="J144" s="62">
        <v>36.863</v>
      </c>
      <c r="K144" s="62">
        <v>34.741999999999997</v>
      </c>
      <c r="L144" s="62">
        <v>24.427</v>
      </c>
      <c r="M144" s="62">
        <v>12.429</v>
      </c>
      <c r="N144" s="62">
        <v>11.824</v>
      </c>
      <c r="O144" s="62">
        <v>11.161</v>
      </c>
      <c r="P144" s="63"/>
      <c r="Q144" s="63"/>
      <c r="R144" s="63"/>
      <c r="S144" s="63"/>
      <c r="T144" s="63"/>
      <c r="U144" s="63"/>
      <c r="V144" s="63"/>
      <c r="W144" s="63"/>
      <c r="X144" s="63"/>
      <c r="Y144" s="63"/>
      <c r="Z144" s="63"/>
      <c r="AA144" s="63"/>
      <c r="AB144" s="63"/>
      <c r="AC144" s="63"/>
      <c r="AD144" s="63"/>
      <c r="AE144" s="63"/>
      <c r="AG144" t="str">
        <f t="shared" si="46"/>
        <v xml:space="preserve">  Net Property, Plant &amp; Equipment</v>
      </c>
    </row>
    <row r="145" spans="2:33" x14ac:dyDescent="0.25">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row>
    <row r="146" spans="2:33" x14ac:dyDescent="0.25">
      <c r="B146" s="53" t="s">
        <v>313</v>
      </c>
      <c r="C146" s="61">
        <v>37.363</v>
      </c>
      <c r="D146" s="61">
        <v>8.9280000000000008</v>
      </c>
      <c r="E146" s="61" t="s">
        <v>199</v>
      </c>
      <c r="F146" s="61" t="s">
        <v>199</v>
      </c>
      <c r="G146" s="61" t="s">
        <v>199</v>
      </c>
      <c r="H146" s="61" t="s">
        <v>199</v>
      </c>
      <c r="I146" s="61" t="s">
        <v>199</v>
      </c>
      <c r="J146" s="61">
        <v>25.824999999999999</v>
      </c>
      <c r="K146" s="61">
        <v>36.777999999999999</v>
      </c>
      <c r="L146" s="61">
        <v>19.405000000000001</v>
      </c>
      <c r="M146" s="61">
        <v>4.5369999999999999</v>
      </c>
      <c r="N146" s="61">
        <v>26.087</v>
      </c>
      <c r="O146" s="61">
        <v>9.7759999999999998</v>
      </c>
      <c r="P146" s="61"/>
      <c r="Q146" s="61"/>
      <c r="R146" s="61"/>
      <c r="S146" s="61"/>
      <c r="T146" s="61"/>
      <c r="U146" s="61"/>
      <c r="V146" s="61"/>
      <c r="W146" s="61"/>
      <c r="X146" s="61"/>
      <c r="Y146" s="61"/>
      <c r="Z146" s="61"/>
      <c r="AA146" s="61"/>
      <c r="AB146" s="61"/>
      <c r="AC146" s="61"/>
      <c r="AD146" s="61"/>
      <c r="AE146" s="61"/>
      <c r="AG146" t="str">
        <f t="shared" si="46"/>
        <v>Long-term Investments</v>
      </c>
    </row>
    <row r="147" spans="2:33" x14ac:dyDescent="0.25">
      <c r="B147" s="53" t="s">
        <v>314</v>
      </c>
      <c r="C147" s="61">
        <v>76.501000000000005</v>
      </c>
      <c r="D147" s="61">
        <v>76.501000000000005</v>
      </c>
      <c r="E147" s="61">
        <v>76.501000000000005</v>
      </c>
      <c r="F147" s="61">
        <v>76.501000000000005</v>
      </c>
      <c r="G147" s="61" t="s">
        <v>199</v>
      </c>
      <c r="H147" s="61" t="s">
        <v>199</v>
      </c>
      <c r="I147" s="61" t="s">
        <v>199</v>
      </c>
      <c r="J147" s="61" t="s">
        <v>199</v>
      </c>
      <c r="K147" s="61" t="s">
        <v>199</v>
      </c>
      <c r="L147" s="61" t="s">
        <v>199</v>
      </c>
      <c r="M147" s="61" t="s">
        <v>199</v>
      </c>
      <c r="N147" s="61" t="s">
        <v>199</v>
      </c>
      <c r="O147" s="61" t="s">
        <v>199</v>
      </c>
      <c r="P147" s="61"/>
      <c r="Q147" s="61"/>
      <c r="R147" s="61"/>
      <c r="S147" s="61"/>
      <c r="T147" s="61"/>
      <c r="U147" s="61"/>
      <c r="V147" s="61"/>
      <c r="W147" s="61"/>
      <c r="X147" s="61"/>
      <c r="Y147" s="61"/>
      <c r="Z147" s="61"/>
      <c r="AA147" s="61"/>
      <c r="AB147" s="61"/>
      <c r="AC147" s="61"/>
      <c r="AD147" s="61"/>
      <c r="AE147" s="61"/>
      <c r="AG147" t="str">
        <f t="shared" si="46"/>
        <v>Goodwill</v>
      </c>
    </row>
    <row r="148" spans="2:33" x14ac:dyDescent="0.25">
      <c r="B148" s="53" t="s">
        <v>315</v>
      </c>
      <c r="C148" s="61">
        <v>1.5209999999999999</v>
      </c>
      <c r="D148" s="61">
        <v>2.234</v>
      </c>
      <c r="E148" s="61">
        <v>2.323</v>
      </c>
      <c r="F148" s="61">
        <v>2.2450000000000001</v>
      </c>
      <c r="G148" s="61">
        <v>1.4059999999999999</v>
      </c>
      <c r="H148" s="61">
        <v>1.6519999999999999</v>
      </c>
      <c r="I148" s="61">
        <v>4.5229999999999997</v>
      </c>
      <c r="J148" s="61">
        <v>4.6440000000000001</v>
      </c>
      <c r="K148" s="61">
        <v>4.6559999999999997</v>
      </c>
      <c r="L148" s="61">
        <v>4.3140000000000001</v>
      </c>
      <c r="M148" s="61">
        <v>4.5190000000000001</v>
      </c>
      <c r="N148" s="61">
        <v>4.6470000000000002</v>
      </c>
      <c r="O148" s="61">
        <v>5.391</v>
      </c>
      <c r="P148" s="61"/>
      <c r="Q148" s="61"/>
      <c r="R148" s="61"/>
      <c r="S148" s="61"/>
      <c r="T148" s="61"/>
      <c r="U148" s="61"/>
      <c r="V148" s="61"/>
      <c r="W148" s="61"/>
      <c r="X148" s="61"/>
      <c r="Y148" s="61"/>
      <c r="Z148" s="61"/>
      <c r="AA148" s="61"/>
      <c r="AB148" s="61"/>
      <c r="AC148" s="61"/>
      <c r="AD148" s="61"/>
      <c r="AE148" s="61"/>
      <c r="AG148" t="str">
        <f t="shared" si="46"/>
        <v>Other Long-Term Assets</v>
      </c>
    </row>
    <row r="149" spans="2:33" x14ac:dyDescent="0.25">
      <c r="B149" s="60" t="s">
        <v>316</v>
      </c>
      <c r="C149" s="64">
        <v>1024.116</v>
      </c>
      <c r="D149" s="64">
        <v>861.98699999999997</v>
      </c>
      <c r="E149" s="64">
        <v>781.00599999999997</v>
      </c>
      <c r="F149" s="64">
        <v>710.6</v>
      </c>
      <c r="G149" s="64">
        <v>561.74300000000005</v>
      </c>
      <c r="H149" s="64">
        <v>494.279</v>
      </c>
      <c r="I149" s="64">
        <v>442.24400000000003</v>
      </c>
      <c r="J149" s="64">
        <v>398.03300000000002</v>
      </c>
      <c r="K149" s="64">
        <v>396.012</v>
      </c>
      <c r="L149" s="64">
        <v>343.334</v>
      </c>
      <c r="M149" s="64">
        <v>307.96600000000001</v>
      </c>
      <c r="N149" s="64">
        <v>303.85000000000002</v>
      </c>
      <c r="O149" s="64">
        <v>256.24099999999999</v>
      </c>
      <c r="P149" s="74"/>
      <c r="Q149" s="74"/>
      <c r="R149" s="74"/>
      <c r="S149" s="74"/>
      <c r="T149" s="74"/>
      <c r="U149" s="74"/>
      <c r="V149" s="74"/>
      <c r="W149" s="74"/>
      <c r="X149" s="74"/>
      <c r="Y149" s="74"/>
      <c r="Z149" s="74"/>
      <c r="AA149" s="74"/>
      <c r="AB149" s="74"/>
      <c r="AC149" s="74"/>
      <c r="AD149" s="74"/>
      <c r="AE149" s="74"/>
      <c r="AG149" t="str">
        <f t="shared" si="46"/>
        <v>Total Assets</v>
      </c>
    </row>
    <row r="150" spans="2:33" x14ac:dyDescent="0.25">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row>
    <row r="151" spans="2:33" x14ac:dyDescent="0.25">
      <c r="B151" s="60" t="s">
        <v>317</v>
      </c>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G151" t="str">
        <f t="shared" si="46"/>
        <v>LIABILITIES</v>
      </c>
    </row>
    <row r="152" spans="2:33" x14ac:dyDescent="0.25">
      <c r="B152" s="53" t="s">
        <v>318</v>
      </c>
      <c r="C152" s="61">
        <v>12.617000000000001</v>
      </c>
      <c r="D152" s="61">
        <v>12.346</v>
      </c>
      <c r="E152" s="61">
        <v>5.3289999999999997</v>
      </c>
      <c r="F152" s="61">
        <v>12.98</v>
      </c>
      <c r="G152" s="61">
        <v>3.6960000000000002</v>
      </c>
      <c r="H152" s="61">
        <v>2.6190000000000002</v>
      </c>
      <c r="I152" s="61">
        <v>3.2879999999999998</v>
      </c>
      <c r="J152" s="61">
        <v>9.8480000000000008</v>
      </c>
      <c r="K152" s="61">
        <v>8.7569999999999997</v>
      </c>
      <c r="L152" s="61">
        <v>6.4749999999999996</v>
      </c>
      <c r="M152" s="61">
        <v>8.577</v>
      </c>
      <c r="N152" s="61">
        <v>11.56</v>
      </c>
      <c r="O152" s="61">
        <v>17.834</v>
      </c>
      <c r="P152" s="61"/>
      <c r="Q152" s="61"/>
      <c r="R152" s="61"/>
      <c r="S152" s="61"/>
      <c r="T152" s="61"/>
      <c r="U152" s="61"/>
      <c r="V152" s="61"/>
      <c r="W152" s="61"/>
      <c r="X152" s="61"/>
      <c r="Y152" s="61"/>
      <c r="Z152" s="61"/>
      <c r="AA152" s="61"/>
      <c r="AB152" s="61"/>
      <c r="AC152" s="61"/>
      <c r="AD152" s="61"/>
      <c r="AE152" s="61"/>
      <c r="AG152" t="str">
        <f t="shared" si="46"/>
        <v>Accounts Payable</v>
      </c>
    </row>
    <row r="153" spans="2:33" x14ac:dyDescent="0.25">
      <c r="B153" s="53" t="s">
        <v>319</v>
      </c>
      <c r="C153" s="61">
        <v>73.066999999999993</v>
      </c>
      <c r="D153" s="61">
        <v>72.591999999999999</v>
      </c>
      <c r="E153" s="61">
        <v>60.152000000000001</v>
      </c>
      <c r="F153" s="61">
        <v>28.847000000000001</v>
      </c>
      <c r="G153" s="61">
        <v>30.454000000000001</v>
      </c>
      <c r="H153" s="61">
        <v>21.585999999999999</v>
      </c>
      <c r="I153" s="61">
        <v>22.661000000000001</v>
      </c>
      <c r="J153" s="61">
        <v>19.141999999999999</v>
      </c>
      <c r="K153" s="61">
        <v>19.928000000000001</v>
      </c>
      <c r="L153" s="61">
        <v>26.157</v>
      </c>
      <c r="M153" s="61">
        <v>29.225999999999999</v>
      </c>
      <c r="N153" s="61">
        <v>27.204999999999998</v>
      </c>
      <c r="O153" s="61">
        <v>28.428999999999998</v>
      </c>
      <c r="P153" s="61"/>
      <c r="Q153" s="61"/>
      <c r="R153" s="61"/>
      <c r="S153" s="61"/>
      <c r="T153" s="61"/>
      <c r="U153" s="61"/>
      <c r="V153" s="61"/>
      <c r="W153" s="61"/>
      <c r="X153" s="61"/>
      <c r="Y153" s="61"/>
      <c r="Z153" s="61"/>
      <c r="AA153" s="61"/>
      <c r="AB153" s="61"/>
      <c r="AC153" s="61"/>
      <c r="AD153" s="61"/>
      <c r="AE153" s="61"/>
      <c r="AG153" t="str">
        <f t="shared" si="46"/>
        <v>Accrued Exp.</v>
      </c>
    </row>
    <row r="154" spans="2:33" x14ac:dyDescent="0.25">
      <c r="B154" s="53" t="s">
        <v>320</v>
      </c>
      <c r="C154" s="61">
        <v>19.597000000000001</v>
      </c>
      <c r="D154" s="61">
        <v>20.047000000000001</v>
      </c>
      <c r="E154" s="61">
        <v>18.507999999999999</v>
      </c>
      <c r="F154" s="61">
        <v>18.667000000000002</v>
      </c>
      <c r="G154" s="61">
        <v>18.773</v>
      </c>
      <c r="H154" s="61">
        <v>18.933</v>
      </c>
      <c r="I154" s="61">
        <v>19.094999999999999</v>
      </c>
      <c r="J154" s="61">
        <v>19.259</v>
      </c>
      <c r="K154" s="61">
        <v>19.367999999999999</v>
      </c>
      <c r="L154" s="61">
        <v>21.337</v>
      </c>
      <c r="M154" s="61">
        <v>21.504000000000001</v>
      </c>
      <c r="N154" s="61">
        <v>19.867999999999999</v>
      </c>
      <c r="O154" s="61">
        <v>21.841999999999999</v>
      </c>
      <c r="P154" s="61"/>
      <c r="Q154" s="61"/>
      <c r="R154" s="61"/>
      <c r="S154" s="61"/>
      <c r="T154" s="61"/>
      <c r="U154" s="61"/>
      <c r="V154" s="61"/>
      <c r="W154" s="61"/>
      <c r="X154" s="61"/>
      <c r="Y154" s="61"/>
      <c r="Z154" s="61"/>
      <c r="AA154" s="61"/>
      <c r="AB154" s="61"/>
      <c r="AC154" s="61"/>
      <c r="AD154" s="61"/>
      <c r="AE154" s="61"/>
      <c r="AG154" t="str">
        <f t="shared" si="46"/>
        <v>Curr. Port. of Leases</v>
      </c>
    </row>
    <row r="155" spans="2:33" x14ac:dyDescent="0.25">
      <c r="B155" s="53" t="s">
        <v>321</v>
      </c>
      <c r="C155" s="61" t="s">
        <v>199</v>
      </c>
      <c r="D155" s="61" t="s">
        <v>199</v>
      </c>
      <c r="E155" s="61" t="s">
        <v>199</v>
      </c>
      <c r="F155" s="61">
        <v>7.71</v>
      </c>
      <c r="G155" s="61">
        <v>6.9560000000000004</v>
      </c>
      <c r="H155" s="61">
        <v>7.556</v>
      </c>
      <c r="I155" s="61">
        <v>7.0679999999999996</v>
      </c>
      <c r="J155" s="61">
        <v>3.02</v>
      </c>
      <c r="K155" s="61">
        <v>4.3529999999999998</v>
      </c>
      <c r="L155" s="61">
        <v>3.3570000000000002</v>
      </c>
      <c r="M155" s="61">
        <v>8.2759999999999998</v>
      </c>
      <c r="N155" s="61">
        <v>2.7669999999999999</v>
      </c>
      <c r="O155" s="61">
        <v>2.8250000000000002</v>
      </c>
      <c r="P155" s="61"/>
      <c r="Q155" s="61"/>
      <c r="R155" s="61"/>
      <c r="S155" s="61"/>
      <c r="T155" s="61"/>
      <c r="U155" s="61"/>
      <c r="V155" s="61"/>
      <c r="W155" s="61"/>
      <c r="X155" s="61"/>
      <c r="Y155" s="61"/>
      <c r="Z155" s="61"/>
      <c r="AA155" s="61"/>
      <c r="AB155" s="61"/>
      <c r="AC155" s="61"/>
      <c r="AD155" s="61"/>
      <c r="AE155" s="61"/>
      <c r="AG155" t="str">
        <f t="shared" si="46"/>
        <v>Other Current Liabilities</v>
      </c>
    </row>
    <row r="156" spans="2:33" x14ac:dyDescent="0.25">
      <c r="B156" s="60" t="s">
        <v>322</v>
      </c>
      <c r="C156" s="62">
        <v>105.28100000000001</v>
      </c>
      <c r="D156" s="62">
        <v>104.985</v>
      </c>
      <c r="E156" s="62">
        <v>83.989000000000004</v>
      </c>
      <c r="F156" s="62">
        <v>68.203999999999994</v>
      </c>
      <c r="G156" s="62">
        <v>59.878999999999998</v>
      </c>
      <c r="H156" s="62">
        <v>50.694000000000003</v>
      </c>
      <c r="I156" s="62">
        <v>52.112000000000002</v>
      </c>
      <c r="J156" s="62">
        <v>51.268999999999998</v>
      </c>
      <c r="K156" s="62">
        <v>52.405999999999999</v>
      </c>
      <c r="L156" s="62">
        <v>57.326000000000001</v>
      </c>
      <c r="M156" s="62">
        <v>67.582999999999998</v>
      </c>
      <c r="N156" s="62">
        <v>61.4</v>
      </c>
      <c r="O156" s="62">
        <v>70.930000000000007</v>
      </c>
      <c r="P156" s="63"/>
      <c r="Q156" s="63"/>
      <c r="R156" s="63"/>
      <c r="S156" s="63"/>
      <c r="T156" s="63"/>
      <c r="U156" s="63"/>
      <c r="V156" s="63"/>
      <c r="W156" s="63"/>
      <c r="X156" s="63"/>
      <c r="Y156" s="63"/>
      <c r="Z156" s="63"/>
      <c r="AA156" s="63"/>
      <c r="AB156" s="63"/>
      <c r="AC156" s="63"/>
      <c r="AD156" s="63"/>
      <c r="AE156" s="63"/>
      <c r="AG156" t="str">
        <f t="shared" si="46"/>
        <v xml:space="preserve">  Total Current Liabilities</v>
      </c>
    </row>
    <row r="157" spans="2:33" x14ac:dyDescent="0.25">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row>
    <row r="158" spans="2:33" x14ac:dyDescent="0.25">
      <c r="B158" s="53" t="s">
        <v>323</v>
      </c>
      <c r="C158" s="61">
        <v>185.60400000000001</v>
      </c>
      <c r="D158" s="61">
        <v>176.77500000000001</v>
      </c>
      <c r="E158" s="61">
        <v>165.595</v>
      </c>
      <c r="F158" s="61">
        <v>155.37799999999999</v>
      </c>
      <c r="G158" s="61">
        <v>145.131</v>
      </c>
      <c r="H158" s="61">
        <v>135.65899999999999</v>
      </c>
      <c r="I158" s="61">
        <v>123.61</v>
      </c>
      <c r="J158" s="61">
        <v>112.625</v>
      </c>
      <c r="K158" s="61">
        <v>117.857</v>
      </c>
      <c r="L158" s="61">
        <v>107.506</v>
      </c>
      <c r="M158" s="61">
        <v>97.828999999999994</v>
      </c>
      <c r="N158" s="61">
        <v>91.775999999999996</v>
      </c>
      <c r="O158" s="61">
        <v>86.322000000000003</v>
      </c>
      <c r="P158" s="61"/>
      <c r="Q158" s="61"/>
      <c r="R158" s="61"/>
      <c r="S158" s="61"/>
      <c r="T158" s="61"/>
      <c r="U158" s="61"/>
      <c r="V158" s="61"/>
      <c r="W158" s="61"/>
      <c r="X158" s="61"/>
      <c r="Y158" s="61"/>
      <c r="Z158" s="61"/>
      <c r="AA158" s="61"/>
      <c r="AB158" s="61"/>
      <c r="AC158" s="61"/>
      <c r="AD158" s="61"/>
      <c r="AE158" s="61"/>
      <c r="AG158" t="str">
        <f t="shared" si="46"/>
        <v>Long-Term Debt</v>
      </c>
    </row>
    <row r="159" spans="2:33" x14ac:dyDescent="0.25">
      <c r="B159" s="53" t="s">
        <v>324</v>
      </c>
      <c r="C159" s="61">
        <v>122.63800000000001</v>
      </c>
      <c r="D159" s="61">
        <v>119.41500000000001</v>
      </c>
      <c r="E159" s="61">
        <v>116.145</v>
      </c>
      <c r="F159" s="61">
        <v>112.82899999999999</v>
      </c>
      <c r="G159" s="61">
        <v>109.389</v>
      </c>
      <c r="H159" s="61">
        <v>105.81699999999999</v>
      </c>
      <c r="I159" s="61">
        <v>102.193</v>
      </c>
      <c r="J159" s="61">
        <v>98.516999999999996</v>
      </c>
      <c r="K159" s="61">
        <v>94.71</v>
      </c>
      <c r="L159" s="61">
        <v>90.763000000000005</v>
      </c>
      <c r="M159" s="61">
        <v>86.757999999999996</v>
      </c>
      <c r="N159" s="61">
        <v>82.695999999999998</v>
      </c>
      <c r="O159" s="61">
        <v>78.495000000000005</v>
      </c>
      <c r="P159" s="61"/>
      <c r="Q159" s="61"/>
      <c r="R159" s="61"/>
      <c r="S159" s="61"/>
      <c r="T159" s="61"/>
      <c r="U159" s="61"/>
      <c r="V159" s="61"/>
      <c r="W159" s="61"/>
      <c r="X159" s="61"/>
      <c r="Y159" s="61"/>
      <c r="Z159" s="61"/>
      <c r="AA159" s="61"/>
      <c r="AB159" s="61"/>
      <c r="AC159" s="61"/>
      <c r="AD159" s="61"/>
      <c r="AE159" s="61"/>
      <c r="AG159" t="str">
        <f t="shared" si="46"/>
        <v>Long-Term Leases</v>
      </c>
    </row>
    <row r="160" spans="2:33" x14ac:dyDescent="0.25">
      <c r="B160" s="53" t="s">
        <v>325</v>
      </c>
      <c r="C160" s="61">
        <v>2.7040000000000002</v>
      </c>
      <c r="D160" s="61">
        <v>2.08</v>
      </c>
      <c r="E160" s="61">
        <v>3.0539999999999998</v>
      </c>
      <c r="F160" s="61">
        <v>7.5510000000000002</v>
      </c>
      <c r="G160" s="61">
        <v>6.4790000000000001</v>
      </c>
      <c r="H160" s="61">
        <v>5.1509999999999998</v>
      </c>
      <c r="I160" s="61">
        <v>4.9610000000000003</v>
      </c>
      <c r="J160" s="61">
        <v>4.6349999999999998</v>
      </c>
      <c r="K160" s="61">
        <v>4.3339999999999996</v>
      </c>
      <c r="L160" s="61">
        <v>8.0510000000000002</v>
      </c>
      <c r="M160" s="61">
        <v>6.9119999999999999</v>
      </c>
      <c r="N160" s="61">
        <v>7.2409999999999997</v>
      </c>
      <c r="O160" s="61">
        <v>6.7560000000000002</v>
      </c>
      <c r="P160" s="61"/>
      <c r="Q160" s="61"/>
      <c r="R160" s="61"/>
      <c r="S160" s="61"/>
      <c r="T160" s="61"/>
      <c r="U160" s="61"/>
      <c r="V160" s="61"/>
      <c r="W160" s="61"/>
      <c r="X160" s="61"/>
      <c r="Y160" s="61"/>
      <c r="Z160" s="61"/>
      <c r="AA160" s="61"/>
      <c r="AB160" s="61"/>
      <c r="AC160" s="61"/>
      <c r="AD160" s="61"/>
      <c r="AE160" s="61"/>
      <c r="AG160" t="str">
        <f t="shared" si="46"/>
        <v>Other Non-Current Liabilities</v>
      </c>
    </row>
    <row r="161" spans="2:33" x14ac:dyDescent="0.25">
      <c r="B161" s="60" t="s">
        <v>326</v>
      </c>
      <c r="C161" s="62">
        <v>416.22699999999998</v>
      </c>
      <c r="D161" s="62">
        <v>403.255</v>
      </c>
      <c r="E161" s="62">
        <v>368.78300000000002</v>
      </c>
      <c r="F161" s="62">
        <v>343.96199999999999</v>
      </c>
      <c r="G161" s="62">
        <v>320.87799999999999</v>
      </c>
      <c r="H161" s="62">
        <v>297.32100000000003</v>
      </c>
      <c r="I161" s="62">
        <v>282.87599999999998</v>
      </c>
      <c r="J161" s="62">
        <v>267.04599999999999</v>
      </c>
      <c r="K161" s="62">
        <v>269.30700000000002</v>
      </c>
      <c r="L161" s="62">
        <v>263.64600000000002</v>
      </c>
      <c r="M161" s="62">
        <v>259.08199999999999</v>
      </c>
      <c r="N161" s="62">
        <v>243.113</v>
      </c>
      <c r="O161" s="62">
        <v>242.50299999999999</v>
      </c>
      <c r="P161" s="63"/>
      <c r="Q161" s="63"/>
      <c r="R161" s="63"/>
      <c r="S161" s="63"/>
      <c r="T161" s="63"/>
      <c r="U161" s="63"/>
      <c r="V161" s="63"/>
      <c r="W161" s="63"/>
      <c r="X161" s="63"/>
      <c r="Y161" s="63"/>
      <c r="Z161" s="63"/>
      <c r="AA161" s="63"/>
      <c r="AB161" s="63"/>
      <c r="AC161" s="63"/>
      <c r="AD161" s="63"/>
      <c r="AE161" s="63"/>
      <c r="AG161" t="str">
        <f t="shared" si="46"/>
        <v>Total Liabilities</v>
      </c>
    </row>
    <row r="162" spans="2:33" x14ac:dyDescent="0.25">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c r="AE162" s="53"/>
    </row>
    <row r="163" spans="2:33" x14ac:dyDescent="0.25">
      <c r="B163" s="53" t="s">
        <v>327</v>
      </c>
      <c r="C163" s="61">
        <v>1.9E-2</v>
      </c>
      <c r="D163" s="61">
        <v>1.9E-2</v>
      </c>
      <c r="E163" s="61">
        <v>1.9E-2</v>
      </c>
      <c r="F163" s="61">
        <v>1.9E-2</v>
      </c>
      <c r="G163" s="61">
        <v>1.9E-2</v>
      </c>
      <c r="H163" s="61">
        <v>1.9E-2</v>
      </c>
      <c r="I163" s="61">
        <v>1.9E-2</v>
      </c>
      <c r="J163" s="61">
        <v>1.9E-2</v>
      </c>
      <c r="K163" s="61">
        <v>1.9E-2</v>
      </c>
      <c r="L163" s="61">
        <v>1.9E-2</v>
      </c>
      <c r="M163" s="61">
        <v>1.9E-2</v>
      </c>
      <c r="N163" s="61">
        <v>1.9E-2</v>
      </c>
      <c r="O163" s="61">
        <v>1.9E-2</v>
      </c>
      <c r="P163" s="61"/>
      <c r="Q163" s="61"/>
      <c r="R163" s="61"/>
      <c r="S163" s="61"/>
      <c r="T163" s="61"/>
      <c r="U163" s="61"/>
      <c r="V163" s="61"/>
      <c r="W163" s="61"/>
      <c r="X163" s="61"/>
      <c r="Y163" s="61"/>
      <c r="Z163" s="61"/>
      <c r="AA163" s="61"/>
      <c r="AB163" s="61"/>
      <c r="AC163" s="61"/>
      <c r="AD163" s="61"/>
      <c r="AE163" s="61"/>
      <c r="AG163" t="str">
        <f t="shared" si="46"/>
        <v>Common Stock</v>
      </c>
    </row>
    <row r="164" spans="2:33" x14ac:dyDescent="0.25">
      <c r="B164" s="53" t="s">
        <v>328</v>
      </c>
      <c r="C164" s="61">
        <v>3537.79</v>
      </c>
      <c r="D164" s="61">
        <v>3549.36</v>
      </c>
      <c r="E164" s="61">
        <v>3561.8780000000002</v>
      </c>
      <c r="F164" s="61">
        <v>3574.7190000000001</v>
      </c>
      <c r="G164" s="61">
        <v>3584.7379999999998</v>
      </c>
      <c r="H164" s="61">
        <v>3592.7220000000002</v>
      </c>
      <c r="I164" s="61">
        <v>3600.8710000000001</v>
      </c>
      <c r="J164" s="61">
        <v>3608.1370000000002</v>
      </c>
      <c r="K164" s="61">
        <v>3644.14</v>
      </c>
      <c r="L164" s="61">
        <v>3649.5770000000002</v>
      </c>
      <c r="M164" s="61">
        <v>3654.9810000000002</v>
      </c>
      <c r="N164" s="61">
        <v>3659.8670000000002</v>
      </c>
      <c r="O164" s="61">
        <v>3663.7719999999999</v>
      </c>
      <c r="P164" s="61"/>
      <c r="Q164" s="61"/>
      <c r="R164" s="61"/>
      <c r="S164" s="61"/>
      <c r="T164" s="61"/>
      <c r="U164" s="61"/>
      <c r="V164" s="61"/>
      <c r="W164" s="61"/>
      <c r="X164" s="61"/>
      <c r="Y164" s="61"/>
      <c r="Z164" s="61"/>
      <c r="AA164" s="61"/>
      <c r="AB164" s="61"/>
      <c r="AC164" s="61"/>
      <c r="AD164" s="61"/>
      <c r="AE164" s="61"/>
      <c r="AG164" t="str">
        <f t="shared" si="46"/>
        <v>Additional Paid In Capital</v>
      </c>
    </row>
    <row r="165" spans="2:33" x14ac:dyDescent="0.25">
      <c r="B165" s="53" t="s">
        <v>329</v>
      </c>
      <c r="C165" s="61">
        <v>-2923.4</v>
      </c>
      <c r="D165" s="61">
        <v>-3082.5</v>
      </c>
      <c r="E165" s="61">
        <v>-3141.5</v>
      </c>
      <c r="F165" s="61">
        <v>-3201.2</v>
      </c>
      <c r="G165" s="61">
        <v>-3338.2</v>
      </c>
      <c r="H165" s="61">
        <v>-3389.3</v>
      </c>
      <c r="I165" s="61">
        <v>-3435.2</v>
      </c>
      <c r="J165" s="61">
        <v>-3477.2</v>
      </c>
      <c r="K165" s="61">
        <v>-3514.1</v>
      </c>
      <c r="L165" s="61">
        <v>-3566.4</v>
      </c>
      <c r="M165" s="61">
        <v>-3603.5</v>
      </c>
      <c r="N165" s="61">
        <v>-3596.2</v>
      </c>
      <c r="O165" s="61">
        <v>-3647.1</v>
      </c>
      <c r="P165" s="61"/>
      <c r="Q165" s="61"/>
      <c r="R165" s="61"/>
      <c r="S165" s="61"/>
      <c r="T165" s="61"/>
      <c r="U165" s="61"/>
      <c r="V165" s="61"/>
      <c r="W165" s="61"/>
      <c r="X165" s="61"/>
      <c r="Y165" s="61"/>
      <c r="Z165" s="61"/>
      <c r="AA165" s="61"/>
      <c r="AB165" s="61"/>
      <c r="AC165" s="61"/>
      <c r="AD165" s="61"/>
      <c r="AE165" s="61"/>
      <c r="AG165" t="str">
        <f t="shared" si="46"/>
        <v>Retained Earnings</v>
      </c>
    </row>
    <row r="166" spans="2:33" x14ac:dyDescent="0.25">
      <c r="B166" s="53" t="s">
        <v>330</v>
      </c>
      <c r="C166" s="61" t="s">
        <v>199</v>
      </c>
      <c r="D166" s="61" t="s">
        <v>199</v>
      </c>
      <c r="E166" s="61" t="s">
        <v>199</v>
      </c>
      <c r="F166" s="61" t="s">
        <v>199</v>
      </c>
      <c r="G166" s="61" t="s">
        <v>199</v>
      </c>
      <c r="H166" s="61" t="s">
        <v>199</v>
      </c>
      <c r="I166" s="61" t="s">
        <v>199</v>
      </c>
      <c r="J166" s="61" t="s">
        <v>199</v>
      </c>
      <c r="K166" s="61">
        <v>-3</v>
      </c>
      <c r="L166" s="61">
        <v>-3</v>
      </c>
      <c r="M166" s="61">
        <v>-3</v>
      </c>
      <c r="N166" s="61">
        <v>-3</v>
      </c>
      <c r="O166" s="61">
        <v>-3</v>
      </c>
      <c r="P166" s="61"/>
      <c r="Q166" s="61"/>
      <c r="R166" s="61"/>
      <c r="S166" s="61"/>
      <c r="T166" s="61"/>
      <c r="U166" s="61"/>
      <c r="V166" s="61"/>
      <c r="W166" s="61"/>
      <c r="X166" s="61"/>
      <c r="Y166" s="61"/>
      <c r="Z166" s="61"/>
      <c r="AA166" s="61"/>
      <c r="AB166" s="61"/>
      <c r="AC166" s="61"/>
      <c r="AD166" s="61"/>
      <c r="AE166" s="61"/>
      <c r="AG166" t="str">
        <f t="shared" si="46"/>
        <v>Treasury Stock</v>
      </c>
    </row>
    <row r="167" spans="2:33" x14ac:dyDescent="0.25">
      <c r="B167" s="53" t="s">
        <v>331</v>
      </c>
      <c r="C167" s="61">
        <v>-6.5</v>
      </c>
      <c r="D167" s="61">
        <v>-8.1999999999999993</v>
      </c>
      <c r="E167" s="61">
        <v>-8.1999999999999993</v>
      </c>
      <c r="F167" s="61">
        <v>-6.9</v>
      </c>
      <c r="G167" s="61">
        <v>-5.7</v>
      </c>
      <c r="H167" s="61">
        <v>-6.5</v>
      </c>
      <c r="I167" s="61">
        <v>-6.4</v>
      </c>
      <c r="J167" s="61">
        <v>0.08</v>
      </c>
      <c r="K167" s="61">
        <v>-0.4</v>
      </c>
      <c r="L167" s="61">
        <v>-0.5</v>
      </c>
      <c r="M167" s="61">
        <v>0.35499999999999998</v>
      </c>
      <c r="N167" s="61">
        <v>6.0999999999999999E-2</v>
      </c>
      <c r="O167" s="61">
        <v>3.9E-2</v>
      </c>
      <c r="P167" s="61"/>
      <c r="Q167" s="61"/>
      <c r="R167" s="61"/>
      <c r="S167" s="61"/>
      <c r="T167" s="61"/>
      <c r="U167" s="61"/>
      <c r="V167" s="61"/>
      <c r="W167" s="61"/>
      <c r="X167" s="61"/>
      <c r="Y167" s="61"/>
      <c r="Z167" s="61"/>
      <c r="AA167" s="61"/>
      <c r="AB167" s="61"/>
      <c r="AC167" s="61"/>
      <c r="AD167" s="61"/>
      <c r="AE167" s="61"/>
      <c r="AG167" t="str">
        <f t="shared" si="46"/>
        <v>Comprehensive Inc. and Other</v>
      </c>
    </row>
    <row r="168" spans="2:33" x14ac:dyDescent="0.25">
      <c r="B168" s="60" t="s">
        <v>332</v>
      </c>
      <c r="C168" s="62">
        <v>607.88900000000001</v>
      </c>
      <c r="D168" s="62">
        <v>458.73200000000003</v>
      </c>
      <c r="E168" s="62">
        <v>412.22300000000001</v>
      </c>
      <c r="F168" s="62">
        <v>366.63799999999998</v>
      </c>
      <c r="G168" s="62">
        <v>240.86500000000001</v>
      </c>
      <c r="H168" s="62">
        <v>196.958</v>
      </c>
      <c r="I168" s="62">
        <v>159.36799999999999</v>
      </c>
      <c r="J168" s="62">
        <v>130.98699999999999</v>
      </c>
      <c r="K168" s="62">
        <v>126.705</v>
      </c>
      <c r="L168" s="62">
        <v>79.688000000000002</v>
      </c>
      <c r="M168" s="62">
        <v>48.884</v>
      </c>
      <c r="N168" s="62">
        <v>60.737000000000002</v>
      </c>
      <c r="O168" s="62">
        <v>13.738</v>
      </c>
      <c r="P168" s="63"/>
      <c r="Q168" s="63"/>
      <c r="R168" s="63"/>
      <c r="S168" s="63"/>
      <c r="T168" s="63"/>
      <c r="U168" s="63"/>
      <c r="V168" s="63"/>
      <c r="W168" s="63"/>
      <c r="X168" s="63"/>
      <c r="Y168" s="63"/>
      <c r="Z168" s="63"/>
      <c r="AA168" s="63"/>
      <c r="AB168" s="63"/>
      <c r="AC168" s="63"/>
      <c r="AD168" s="63"/>
      <c r="AE168" s="63"/>
      <c r="AG168" s="4" t="str">
        <f t="shared" si="46"/>
        <v xml:space="preserve">  Total Common Equity</v>
      </c>
    </row>
    <row r="169" spans="2:33" x14ac:dyDescent="0.25">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row>
    <row r="170" spans="2:33" x14ac:dyDescent="0.25">
      <c r="B170" s="60" t="s">
        <v>333</v>
      </c>
      <c r="C170" s="73">
        <v>607.88900000000001</v>
      </c>
      <c r="D170" s="73">
        <v>458.73200000000003</v>
      </c>
      <c r="E170" s="73">
        <v>412.22300000000001</v>
      </c>
      <c r="F170" s="73">
        <v>366.63799999999998</v>
      </c>
      <c r="G170" s="73">
        <v>240.86500000000001</v>
      </c>
      <c r="H170" s="73">
        <v>196.958</v>
      </c>
      <c r="I170" s="73">
        <v>159.36799999999999</v>
      </c>
      <c r="J170" s="73">
        <v>130.98699999999999</v>
      </c>
      <c r="K170" s="73">
        <v>126.705</v>
      </c>
      <c r="L170" s="73">
        <v>79.688000000000002</v>
      </c>
      <c r="M170" s="73">
        <v>48.884</v>
      </c>
      <c r="N170" s="73">
        <v>60.737000000000002</v>
      </c>
      <c r="O170" s="73">
        <v>13.738</v>
      </c>
      <c r="P170" s="73"/>
      <c r="Q170" s="73"/>
      <c r="R170" s="73"/>
      <c r="S170" s="73"/>
      <c r="T170" s="73"/>
      <c r="U170" s="73"/>
      <c r="V170" s="73"/>
      <c r="W170" s="73"/>
      <c r="X170" s="73"/>
      <c r="Y170" s="73"/>
      <c r="Z170" s="73"/>
      <c r="AA170" s="73"/>
      <c r="AB170" s="73"/>
      <c r="AC170" s="73"/>
      <c r="AD170" s="73"/>
      <c r="AE170" s="73"/>
      <c r="AG170" s="4" t="str">
        <f t="shared" si="46"/>
        <v>Total Equity</v>
      </c>
    </row>
    <row r="171" spans="2:33" x14ac:dyDescent="0.25">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row>
    <row r="172" spans="2:33" x14ac:dyDescent="0.25">
      <c r="B172" s="60" t="s">
        <v>334</v>
      </c>
      <c r="C172" s="74">
        <v>1024.116</v>
      </c>
      <c r="D172" s="74">
        <v>861.98699999999997</v>
      </c>
      <c r="E172" s="74">
        <v>781.00599999999997</v>
      </c>
      <c r="F172" s="74">
        <v>710.6</v>
      </c>
      <c r="G172" s="74">
        <v>561.74300000000005</v>
      </c>
      <c r="H172" s="74">
        <v>494.279</v>
      </c>
      <c r="I172" s="74">
        <v>442.24400000000003</v>
      </c>
      <c r="J172" s="74">
        <v>398.03300000000002</v>
      </c>
      <c r="K172" s="74">
        <v>396.012</v>
      </c>
      <c r="L172" s="74">
        <v>343.334</v>
      </c>
      <c r="M172" s="74">
        <v>307.96600000000001</v>
      </c>
      <c r="N172" s="74">
        <v>303.85000000000002</v>
      </c>
      <c r="O172" s="74">
        <v>256.24099999999999</v>
      </c>
      <c r="P172" s="74"/>
      <c r="Q172" s="74"/>
      <c r="R172" s="74"/>
      <c r="S172" s="74"/>
      <c r="T172" s="74"/>
      <c r="U172" s="74"/>
      <c r="V172" s="74"/>
      <c r="W172" s="74"/>
      <c r="X172" s="74"/>
      <c r="Y172" s="74"/>
      <c r="Z172" s="74"/>
      <c r="AA172" s="74"/>
      <c r="AB172" s="74"/>
      <c r="AC172" s="74"/>
      <c r="AD172" s="74"/>
      <c r="AE172" s="74"/>
      <c r="AG172" s="4" t="str">
        <f t="shared" si="46"/>
        <v>Total Liabilities And Equity</v>
      </c>
    </row>
    <row r="173" spans="2:33" x14ac:dyDescent="0.25">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row>
    <row r="174" spans="2:33" x14ac:dyDescent="0.25">
      <c r="B174" s="60" t="s">
        <v>228</v>
      </c>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G174" t="str">
        <f t="shared" si="46"/>
        <v>Supplemental Items</v>
      </c>
    </row>
    <row r="175" spans="2:33" x14ac:dyDescent="0.25">
      <c r="B175" s="53" t="s">
        <v>335</v>
      </c>
      <c r="C175" s="61">
        <v>12.418283000000001</v>
      </c>
      <c r="D175" s="61">
        <v>12.493658</v>
      </c>
      <c r="E175" s="61">
        <v>12.530305</v>
      </c>
      <c r="F175" s="61">
        <v>12.615682</v>
      </c>
      <c r="G175" s="61">
        <v>12.615683000000001</v>
      </c>
      <c r="H175" s="61">
        <v>12.674585</v>
      </c>
      <c r="I175" s="61">
        <v>12.718044000000001</v>
      </c>
      <c r="J175" s="61">
        <v>12.241194</v>
      </c>
      <c r="K175" s="61">
        <v>12.241647</v>
      </c>
      <c r="L175" s="61">
        <v>12.271971000000001</v>
      </c>
      <c r="M175" s="61">
        <v>12.297224999999999</v>
      </c>
      <c r="N175" s="61">
        <v>12.406912</v>
      </c>
      <c r="O175" s="61">
        <v>12.406912</v>
      </c>
      <c r="P175" s="61"/>
      <c r="Q175" s="61"/>
      <c r="R175" s="61"/>
      <c r="S175" s="61"/>
      <c r="T175" s="61"/>
      <c r="U175" s="61"/>
      <c r="V175" s="61"/>
      <c r="W175" s="61"/>
      <c r="X175" s="61"/>
      <c r="Y175" s="61"/>
      <c r="Z175" s="61"/>
      <c r="AA175" s="61"/>
      <c r="AB175" s="61"/>
      <c r="AC175" s="61"/>
      <c r="AD175" s="61"/>
      <c r="AE175" s="61"/>
      <c r="AG175" t="str">
        <f t="shared" si="46"/>
        <v>Total Shares Out. on Filing Date</v>
      </c>
    </row>
    <row r="176" spans="2:33" x14ac:dyDescent="0.25">
      <c r="B176" s="53" t="s">
        <v>336</v>
      </c>
      <c r="C176" s="61">
        <v>12.418272999999999</v>
      </c>
      <c r="D176" s="61">
        <v>12.493672999999999</v>
      </c>
      <c r="E176" s="61">
        <v>12.530272999999999</v>
      </c>
      <c r="F176" s="61">
        <v>12.570672999999999</v>
      </c>
      <c r="G176" s="61">
        <v>12.615672999999999</v>
      </c>
      <c r="H176" s="61">
        <v>12.674606000000001</v>
      </c>
      <c r="I176" s="61">
        <v>12.718073</v>
      </c>
      <c r="J176" s="61">
        <v>12.758940000000001</v>
      </c>
      <c r="K176" s="61">
        <v>12.241606000000001</v>
      </c>
      <c r="L176" s="61">
        <v>12.270739000000001</v>
      </c>
      <c r="M176" s="61">
        <v>12.297205999999999</v>
      </c>
      <c r="N176" s="61">
        <v>12.38514</v>
      </c>
      <c r="O176" s="61">
        <v>12.406872999999999</v>
      </c>
      <c r="P176" s="61"/>
      <c r="Q176" s="61"/>
      <c r="R176" s="61"/>
      <c r="S176" s="61"/>
      <c r="T176" s="61"/>
      <c r="U176" s="61"/>
      <c r="V176" s="61"/>
      <c r="W176" s="61"/>
      <c r="X176" s="61"/>
      <c r="Y176" s="61"/>
      <c r="Z176" s="61"/>
      <c r="AA176" s="61"/>
      <c r="AB176" s="61"/>
      <c r="AC176" s="61"/>
      <c r="AD176" s="61"/>
      <c r="AE176" s="61"/>
      <c r="AG176" t="str">
        <f t="shared" si="46"/>
        <v>Total Shares Out. on Balance Sheet Date</v>
      </c>
    </row>
    <row r="177" spans="2:58" x14ac:dyDescent="0.25">
      <c r="B177" s="53" t="s">
        <v>337</v>
      </c>
      <c r="C177" s="65">
        <v>48.95</v>
      </c>
      <c r="D177" s="65">
        <v>36.72</v>
      </c>
      <c r="E177" s="65">
        <v>32.9</v>
      </c>
      <c r="F177" s="65">
        <v>29.17</v>
      </c>
      <c r="G177" s="65">
        <v>19.09</v>
      </c>
      <c r="H177" s="65">
        <v>15.54</v>
      </c>
      <c r="I177" s="65">
        <v>12.53</v>
      </c>
      <c r="J177" s="65">
        <v>10.27</v>
      </c>
      <c r="K177" s="65">
        <v>10.35</v>
      </c>
      <c r="L177" s="65">
        <v>6.49</v>
      </c>
      <c r="M177" s="65">
        <v>3.98</v>
      </c>
      <c r="N177" s="65">
        <v>4.9000000000000004</v>
      </c>
      <c r="O177" s="65">
        <v>1.1100000000000001</v>
      </c>
      <c r="P177" s="65"/>
      <c r="Q177" s="65"/>
      <c r="R177" s="65"/>
      <c r="S177" s="65"/>
      <c r="T177" s="65"/>
      <c r="U177" s="65"/>
      <c r="V177" s="65"/>
      <c r="W177" s="65"/>
      <c r="X177" s="65"/>
      <c r="Y177" s="65"/>
      <c r="Z177" s="65"/>
      <c r="AA177" s="65"/>
      <c r="AB177" s="65"/>
      <c r="AC177" s="65"/>
      <c r="AD177" s="65"/>
      <c r="AE177" s="65"/>
      <c r="AG177" t="str">
        <f t="shared" si="46"/>
        <v>Book Value/Share</v>
      </c>
    </row>
    <row r="178" spans="2:58" x14ac:dyDescent="0.25">
      <c r="B178" s="53" t="s">
        <v>338</v>
      </c>
      <c r="C178" s="61">
        <v>531.38800000000003</v>
      </c>
      <c r="D178" s="61">
        <v>382.23099999999999</v>
      </c>
      <c r="E178" s="61">
        <v>335.72199999999998</v>
      </c>
      <c r="F178" s="61">
        <v>290.137</v>
      </c>
      <c r="G178" s="61">
        <v>240.86500000000001</v>
      </c>
      <c r="H178" s="61">
        <v>196.958</v>
      </c>
      <c r="I178" s="61">
        <v>159.36799999999999</v>
      </c>
      <c r="J178" s="61">
        <v>130.98699999999999</v>
      </c>
      <c r="K178" s="61">
        <v>126.705</v>
      </c>
      <c r="L178" s="61">
        <v>79.688000000000002</v>
      </c>
      <c r="M178" s="61">
        <v>48.884</v>
      </c>
      <c r="N178" s="61">
        <v>60.737000000000002</v>
      </c>
      <c r="O178" s="61">
        <v>13.738</v>
      </c>
      <c r="P178" s="61"/>
      <c r="Q178" s="61"/>
      <c r="R178" s="61"/>
      <c r="S178" s="61"/>
      <c r="T178" s="61"/>
      <c r="U178" s="61"/>
      <c r="V178" s="61"/>
      <c r="W178" s="61"/>
      <c r="X178" s="61"/>
      <c r="Y178" s="61"/>
      <c r="Z178" s="61"/>
      <c r="AA178" s="61"/>
      <c r="AB178" s="61"/>
      <c r="AC178" s="61"/>
      <c r="AD178" s="61"/>
      <c r="AE178" s="61"/>
      <c r="AG178" t="str">
        <f t="shared" si="46"/>
        <v>Tangible Book Value</v>
      </c>
    </row>
    <row r="179" spans="2:58" x14ac:dyDescent="0.25">
      <c r="B179" s="53" t="s">
        <v>339</v>
      </c>
      <c r="C179" s="65">
        <v>42.79</v>
      </c>
      <c r="D179" s="65">
        <v>30.59</v>
      </c>
      <c r="E179" s="65">
        <v>26.79</v>
      </c>
      <c r="F179" s="65">
        <v>23.08</v>
      </c>
      <c r="G179" s="65">
        <v>19.09</v>
      </c>
      <c r="H179" s="65">
        <v>15.54</v>
      </c>
      <c r="I179" s="65">
        <v>12.53</v>
      </c>
      <c r="J179" s="65">
        <v>10.27</v>
      </c>
      <c r="K179" s="65">
        <v>10.35</v>
      </c>
      <c r="L179" s="65">
        <v>6.49</v>
      </c>
      <c r="M179" s="65">
        <v>3.98</v>
      </c>
      <c r="N179" s="65">
        <v>4.9000000000000004</v>
      </c>
      <c r="O179" s="65">
        <v>1.1100000000000001</v>
      </c>
      <c r="P179" s="65"/>
      <c r="Q179" s="65"/>
      <c r="R179" s="65"/>
      <c r="S179" s="65"/>
      <c r="T179" s="65"/>
      <c r="U179" s="65"/>
      <c r="V179" s="65"/>
      <c r="W179" s="65"/>
      <c r="X179" s="65"/>
      <c r="Y179" s="65"/>
      <c r="Z179" s="65"/>
      <c r="AA179" s="65"/>
      <c r="AB179" s="65"/>
      <c r="AC179" s="65"/>
      <c r="AD179" s="65"/>
      <c r="AE179" s="65"/>
      <c r="AG179" t="str">
        <f t="shared" si="46"/>
        <v>Tangible Book Value/Share</v>
      </c>
    </row>
    <row r="180" spans="2:58" x14ac:dyDescent="0.25">
      <c r="B180" s="53" t="s">
        <v>340</v>
      </c>
      <c r="C180" s="61">
        <v>327.839</v>
      </c>
      <c r="D180" s="61">
        <v>316.23700000000002</v>
      </c>
      <c r="E180" s="61">
        <v>300.24799999999999</v>
      </c>
      <c r="F180" s="61">
        <v>286.87400000000002</v>
      </c>
      <c r="G180" s="61">
        <v>273.29300000000001</v>
      </c>
      <c r="H180" s="61">
        <v>260.40899999999999</v>
      </c>
      <c r="I180" s="61">
        <v>244.898</v>
      </c>
      <c r="J180" s="61">
        <v>230.40100000000001</v>
      </c>
      <c r="K180" s="61">
        <v>231.935</v>
      </c>
      <c r="L180" s="61">
        <v>219.60599999999999</v>
      </c>
      <c r="M180" s="61">
        <v>206.09100000000001</v>
      </c>
      <c r="N180" s="61">
        <v>194.34</v>
      </c>
      <c r="O180" s="61">
        <v>186.65899999999999</v>
      </c>
      <c r="P180" s="61"/>
      <c r="Q180" s="61"/>
      <c r="R180" s="61"/>
      <c r="S180" s="61"/>
      <c r="T180" s="61"/>
      <c r="U180" s="61"/>
      <c r="V180" s="61"/>
      <c r="W180" s="61"/>
      <c r="X180" s="61"/>
      <c r="Y180" s="61"/>
      <c r="Z180" s="61"/>
      <c r="AA180" s="61"/>
      <c r="AB180" s="61"/>
      <c r="AC180" s="61"/>
      <c r="AD180" s="61"/>
      <c r="AE180" s="61"/>
      <c r="AG180" t="str">
        <f t="shared" si="46"/>
        <v>Total Debt</v>
      </c>
    </row>
    <row r="181" spans="2:58" x14ac:dyDescent="0.25">
      <c r="B181" s="53" t="s">
        <v>341</v>
      </c>
      <c r="C181" s="61">
        <v>-376.5</v>
      </c>
      <c r="D181" s="61">
        <v>-312</v>
      </c>
      <c r="E181" s="61">
        <v>-246.1</v>
      </c>
      <c r="F181" s="61">
        <v>-218.1</v>
      </c>
      <c r="G181" s="61">
        <v>-183.5</v>
      </c>
      <c r="H181" s="61">
        <v>-149</v>
      </c>
      <c r="I181" s="61">
        <v>-127.8</v>
      </c>
      <c r="J181" s="61">
        <v>-99</v>
      </c>
      <c r="K181" s="61">
        <v>-94.1</v>
      </c>
      <c r="L181" s="61">
        <v>-71</v>
      </c>
      <c r="M181" s="61">
        <v>-42.9</v>
      </c>
      <c r="N181" s="61">
        <v>-74.8</v>
      </c>
      <c r="O181" s="61">
        <v>-34</v>
      </c>
      <c r="P181" s="61"/>
      <c r="Q181" s="61"/>
      <c r="R181" s="61"/>
      <c r="S181" s="61"/>
      <c r="T181" s="61"/>
      <c r="U181" s="61"/>
      <c r="V181" s="61"/>
      <c r="W181" s="61"/>
      <c r="X181" s="61"/>
      <c r="Y181" s="61"/>
      <c r="Z181" s="61"/>
      <c r="AA181" s="61"/>
      <c r="AB181" s="61"/>
      <c r="AC181" s="61"/>
      <c r="AD181" s="61"/>
      <c r="AE181" s="61"/>
      <c r="AG181" t="str">
        <f t="shared" si="46"/>
        <v>Net Debt</v>
      </c>
    </row>
    <row r="182" spans="2:58" x14ac:dyDescent="0.25">
      <c r="B182" s="53"/>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c r="AA182" s="61"/>
      <c r="AB182" s="61"/>
      <c r="AC182" s="61"/>
      <c r="AD182" s="61"/>
      <c r="AE182" s="61"/>
    </row>
    <row r="183" spans="2:58" x14ac:dyDescent="0.25">
      <c r="B183" t="s">
        <v>562</v>
      </c>
      <c r="C183" s="61"/>
      <c r="D183" s="61"/>
      <c r="E183" s="61"/>
      <c r="F183" s="61"/>
      <c r="G183" s="61"/>
      <c r="H183" s="61"/>
      <c r="I183" s="61"/>
      <c r="J183" s="61"/>
      <c r="K183" s="61"/>
      <c r="L183" s="61"/>
      <c r="M183" s="61"/>
      <c r="N183" s="61"/>
      <c r="P183" s="61"/>
      <c r="Q183" s="61"/>
      <c r="R183" s="61"/>
      <c r="S183" s="61"/>
      <c r="T183" s="61"/>
      <c r="U183" s="61"/>
      <c r="V183" s="61"/>
      <c r="W183" s="61"/>
      <c r="X183" s="61"/>
      <c r="Y183" s="61"/>
      <c r="Z183" s="61"/>
      <c r="AA183" s="61"/>
      <c r="AB183" s="61"/>
      <c r="AC183" s="61"/>
      <c r="AD183" s="61"/>
      <c r="AE183" s="61"/>
      <c r="AG183" s="90" t="s">
        <v>565</v>
      </c>
      <c r="AH183" s="90">
        <v>2016</v>
      </c>
      <c r="AI183" s="90">
        <v>2017</v>
      </c>
      <c r="AJ183" s="90">
        <v>2018</v>
      </c>
      <c r="AK183" s="90">
        <v>2019</v>
      </c>
      <c r="AL183" s="90">
        <v>2020</v>
      </c>
      <c r="AM183" s="90">
        <v>2021</v>
      </c>
      <c r="AN183" s="90">
        <v>2022</v>
      </c>
      <c r="AO183" s="90">
        <v>2023</v>
      </c>
      <c r="AP183" s="90">
        <v>2024</v>
      </c>
      <c r="AQ183" s="90">
        <f>AP183+1</f>
        <v>2025</v>
      </c>
      <c r="AR183" s="90">
        <f t="shared" ref="AR183:AU183" si="47">AQ183+1</f>
        <v>2026</v>
      </c>
      <c r="AS183" s="90">
        <f t="shared" si="47"/>
        <v>2027</v>
      </c>
      <c r="AT183" s="90">
        <f t="shared" si="47"/>
        <v>2028</v>
      </c>
      <c r="AU183" s="90">
        <f t="shared" si="47"/>
        <v>2029</v>
      </c>
      <c r="AV183" s="90">
        <f t="shared" ref="AV183:BF183" si="48">AU183+1</f>
        <v>2030</v>
      </c>
      <c r="AW183" s="90">
        <f t="shared" si="48"/>
        <v>2031</v>
      </c>
      <c r="AX183" s="90">
        <f t="shared" si="48"/>
        <v>2032</v>
      </c>
      <c r="AY183" s="90">
        <f t="shared" si="48"/>
        <v>2033</v>
      </c>
      <c r="AZ183" s="90">
        <f t="shared" si="48"/>
        <v>2034</v>
      </c>
      <c r="BA183" s="90">
        <f t="shared" si="48"/>
        <v>2035</v>
      </c>
      <c r="BB183" s="90">
        <f t="shared" si="48"/>
        <v>2036</v>
      </c>
      <c r="BC183" s="90">
        <f t="shared" si="48"/>
        <v>2037</v>
      </c>
      <c r="BD183" s="90">
        <f t="shared" si="48"/>
        <v>2038</v>
      </c>
      <c r="BE183" s="90">
        <f t="shared" si="48"/>
        <v>2039</v>
      </c>
      <c r="BF183" s="90">
        <f t="shared" si="48"/>
        <v>2040</v>
      </c>
    </row>
    <row r="184" spans="2:58" x14ac:dyDescent="0.25">
      <c r="B184" t="s">
        <v>566</v>
      </c>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c r="AA184" s="61"/>
      <c r="AB184" s="61"/>
      <c r="AC184" s="61"/>
      <c r="AD184" s="61"/>
      <c r="AE184" s="61"/>
      <c r="AG184" t="s">
        <v>566</v>
      </c>
      <c r="AH184">
        <v>16118</v>
      </c>
      <c r="AI184">
        <v>33834</v>
      </c>
      <c r="AJ184">
        <v>98024</v>
      </c>
      <c r="AK184">
        <v>109355</v>
      </c>
      <c r="AL184">
        <v>131900</v>
      </c>
      <c r="AM184">
        <v>107928</v>
      </c>
      <c r="AN184">
        <v>29614</v>
      </c>
    </row>
    <row r="185" spans="2:58" x14ac:dyDescent="0.25">
      <c r="B185" s="94" t="s">
        <v>577</v>
      </c>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c r="AA185" s="61"/>
      <c r="AB185" s="61"/>
      <c r="AC185" s="61"/>
      <c r="AD185" s="61"/>
      <c r="AE185" s="61"/>
      <c r="AG185" s="94" t="s">
        <v>577</v>
      </c>
      <c r="AH185" s="97" t="s">
        <v>578</v>
      </c>
      <c r="AI185" s="97" t="s">
        <v>578</v>
      </c>
      <c r="AJ185" s="98" t="s">
        <v>583</v>
      </c>
      <c r="AK185" s="98" t="s">
        <v>583</v>
      </c>
      <c r="AL185" s="98" t="s">
        <v>583</v>
      </c>
      <c r="AM185" s="98" t="s">
        <v>583</v>
      </c>
      <c r="AN185" s="98" t="s">
        <v>583</v>
      </c>
      <c r="AO185" s="98" t="s">
        <v>582</v>
      </c>
    </row>
    <row r="186" spans="2:58" x14ac:dyDescent="0.25">
      <c r="B186" t="s">
        <v>88</v>
      </c>
      <c r="C186" s="61"/>
      <c r="D186" s="61"/>
      <c r="E186" s="61"/>
      <c r="F186" s="61"/>
      <c r="G186" s="61"/>
      <c r="H186" s="61"/>
      <c r="I186" s="61"/>
      <c r="J186" s="61"/>
      <c r="K186" s="61">
        <v>8884</v>
      </c>
      <c r="L186" s="61"/>
      <c r="M186" s="61"/>
      <c r="N186" s="61"/>
      <c r="O186" s="61">
        <v>13803</v>
      </c>
      <c r="P186" s="61">
        <v>13803</v>
      </c>
      <c r="Q186" s="61">
        <v>13803</v>
      </c>
      <c r="R186" s="61">
        <v>13803</v>
      </c>
      <c r="S186" s="61"/>
      <c r="T186" s="61"/>
      <c r="U186" s="61"/>
      <c r="V186" s="61"/>
      <c r="W186" s="61"/>
      <c r="X186" s="61"/>
      <c r="Y186" s="61"/>
      <c r="Z186" s="61"/>
      <c r="AA186" s="61"/>
      <c r="AB186" s="61"/>
      <c r="AC186" s="61"/>
      <c r="AD186" s="61"/>
      <c r="AE186" s="61"/>
      <c r="AG186" t="s">
        <v>88</v>
      </c>
      <c r="AH186">
        <v>5695</v>
      </c>
      <c r="AI186">
        <v>10607</v>
      </c>
      <c r="AJ186">
        <v>17002</v>
      </c>
      <c r="AK186">
        <v>27319</v>
      </c>
      <c r="AL186">
        <v>20153</v>
      </c>
      <c r="AM186">
        <v>9376</v>
      </c>
      <c r="AN186">
        <v>11148</v>
      </c>
      <c r="AO186">
        <v>14554</v>
      </c>
      <c r="AP186">
        <v>49382</v>
      </c>
      <c r="AQ186" s="100">
        <f>SUM(O186:R186)</f>
        <v>55212</v>
      </c>
      <c r="AR186" s="101">
        <f>AQ186+2*(600*40.3)/2</f>
        <v>79392</v>
      </c>
      <c r="AS186" s="101">
        <f>AR186+2600</f>
        <v>81992</v>
      </c>
      <c r="AT186" s="100">
        <f>AQ186</f>
        <v>55212</v>
      </c>
      <c r="AU186" t="s">
        <v>598</v>
      </c>
    </row>
    <row r="187" spans="2:58" x14ac:dyDescent="0.25">
      <c r="B187" s="94" t="s">
        <v>577</v>
      </c>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c r="AA187" s="61"/>
      <c r="AB187" s="61"/>
      <c r="AC187" s="61"/>
      <c r="AD187" s="61"/>
      <c r="AE187" s="61"/>
      <c r="AG187" s="94" t="s">
        <v>577</v>
      </c>
      <c r="AH187" s="97" t="s">
        <v>579</v>
      </c>
      <c r="AI187" s="97" t="s">
        <v>579</v>
      </c>
      <c r="AJ187" s="97" t="s">
        <v>579</v>
      </c>
      <c r="AK187" s="97" t="s">
        <v>580</v>
      </c>
      <c r="AL187" s="97" t="s">
        <v>581</v>
      </c>
      <c r="AM187" s="97" t="s">
        <v>584</v>
      </c>
      <c r="AN187" s="97" t="s">
        <v>584</v>
      </c>
      <c r="AO187" s="97" t="s">
        <v>584</v>
      </c>
      <c r="AP187" s="97" t="s">
        <v>584</v>
      </c>
      <c r="AQ187" s="97" t="s">
        <v>584</v>
      </c>
      <c r="AR187" s="97" t="s">
        <v>590</v>
      </c>
      <c r="AS187" s="97" t="s">
        <v>591</v>
      </c>
      <c r="AT187" s="97" t="s">
        <v>592</v>
      </c>
      <c r="AU187" s="97" t="s">
        <v>593</v>
      </c>
    </row>
    <row r="188" spans="2:58" x14ac:dyDescent="0.25">
      <c r="B188" t="s">
        <v>37</v>
      </c>
      <c r="C188" s="61"/>
      <c r="D188" s="61"/>
      <c r="E188" s="61"/>
      <c r="F188" s="61"/>
      <c r="G188" s="61"/>
      <c r="H188" s="61"/>
      <c r="I188" s="61"/>
      <c r="J188" s="61"/>
      <c r="K188" s="61">
        <v>3486</v>
      </c>
      <c r="L188" s="61"/>
      <c r="M188" s="61"/>
      <c r="N188" s="61"/>
      <c r="O188" s="61">
        <v>1389</v>
      </c>
      <c r="P188" s="61">
        <v>1389</v>
      </c>
      <c r="Q188" s="61">
        <v>1389</v>
      </c>
      <c r="R188" s="61">
        <v>1389</v>
      </c>
      <c r="S188" s="61"/>
      <c r="T188" s="61"/>
      <c r="U188" s="61"/>
      <c r="V188" s="61"/>
      <c r="W188" s="61"/>
      <c r="X188" s="61"/>
      <c r="Y188" s="61"/>
      <c r="Z188" s="61"/>
      <c r="AA188" s="61"/>
      <c r="AB188" s="61"/>
      <c r="AC188" s="61"/>
      <c r="AD188" s="61"/>
      <c r="AE188" s="61"/>
      <c r="AG188" t="s">
        <v>37</v>
      </c>
      <c r="AH188">
        <v>1297</v>
      </c>
      <c r="AI188">
        <v>4881</v>
      </c>
      <c r="AJ188">
        <v>12981</v>
      </c>
      <c r="AK188">
        <v>12278</v>
      </c>
      <c r="AL188">
        <v>14542</v>
      </c>
      <c r="AM188">
        <v>25390</v>
      </c>
      <c r="AN188">
        <v>27670</v>
      </c>
      <c r="AO188">
        <v>26132</v>
      </c>
      <c r="AP188">
        <v>15795</v>
      </c>
      <c r="AQ188">
        <v>15000</v>
      </c>
      <c r="AR188">
        <v>15000</v>
      </c>
      <c r="AS188">
        <v>15000</v>
      </c>
      <c r="AT188">
        <v>15000</v>
      </c>
      <c r="AU188">
        <v>15000</v>
      </c>
      <c r="AV188">
        <v>15000</v>
      </c>
      <c r="AW188">
        <v>15000</v>
      </c>
      <c r="AX188">
        <v>15000</v>
      </c>
      <c r="AY188">
        <v>15000</v>
      </c>
      <c r="AZ188">
        <v>15000</v>
      </c>
      <c r="BA188">
        <v>15000</v>
      </c>
      <c r="BB188">
        <v>15000</v>
      </c>
      <c r="BC188">
        <v>15000</v>
      </c>
      <c r="BD188">
        <v>15000</v>
      </c>
      <c r="BE188">
        <v>15000</v>
      </c>
      <c r="BF188">
        <v>15000</v>
      </c>
    </row>
    <row r="189" spans="2:58" x14ac:dyDescent="0.25">
      <c r="B189" s="94" t="s">
        <v>577</v>
      </c>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c r="AA189" s="61"/>
      <c r="AB189" s="61"/>
      <c r="AC189" s="61"/>
      <c r="AD189" s="61"/>
      <c r="AE189" s="61"/>
      <c r="AG189" s="94" t="s">
        <v>577</v>
      </c>
      <c r="AH189" s="95" t="s">
        <v>579</v>
      </c>
      <c r="AI189" s="95" t="s">
        <v>579</v>
      </c>
      <c r="AJ189" s="95" t="s">
        <v>579</v>
      </c>
      <c r="AK189" s="97" t="s">
        <v>585</v>
      </c>
      <c r="AL189" s="95" t="s">
        <v>585</v>
      </c>
      <c r="AM189" s="95" t="s">
        <v>585</v>
      </c>
      <c r="AN189" s="96" t="s">
        <v>586</v>
      </c>
      <c r="AO189" s="96" t="s">
        <v>586</v>
      </c>
      <c r="AP189" s="96" t="s">
        <v>586</v>
      </c>
      <c r="AQ189" s="96" t="s">
        <v>586</v>
      </c>
      <c r="AR189" s="96"/>
      <c r="AS189" s="96"/>
      <c r="AT189" s="96"/>
    </row>
    <row r="190" spans="2:58" x14ac:dyDescent="0.25">
      <c r="B190" t="s">
        <v>567</v>
      </c>
      <c r="C190" s="61"/>
      <c r="D190" s="61"/>
      <c r="E190" s="61"/>
      <c r="F190" s="61"/>
      <c r="G190" s="61"/>
      <c r="H190" s="61"/>
      <c r="I190" s="61"/>
      <c r="J190" s="61"/>
      <c r="L190" s="61"/>
      <c r="M190" s="61"/>
      <c r="N190" s="61"/>
      <c r="O190" s="61"/>
      <c r="P190" s="61"/>
      <c r="Q190" s="61"/>
      <c r="R190" s="61"/>
      <c r="S190" s="61"/>
      <c r="T190" s="61"/>
      <c r="U190" s="61"/>
      <c r="V190" s="61"/>
      <c r="W190" s="61"/>
      <c r="X190" s="61"/>
      <c r="Y190" s="61"/>
      <c r="Z190" s="61"/>
      <c r="AA190" s="61"/>
      <c r="AB190" s="61"/>
      <c r="AC190" s="61"/>
      <c r="AD190" s="61"/>
      <c r="AE190" s="61"/>
      <c r="AG190" t="s">
        <v>567</v>
      </c>
      <c r="AH190">
        <v>11</v>
      </c>
      <c r="AI190">
        <v>4837</v>
      </c>
      <c r="AJ190">
        <v>9847</v>
      </c>
      <c r="AK190">
        <v>11379</v>
      </c>
      <c r="AL190">
        <v>8928</v>
      </c>
    </row>
    <row r="191" spans="2:58" x14ac:dyDescent="0.25">
      <c r="B191" s="94" t="s">
        <v>577</v>
      </c>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c r="AA191" s="61"/>
      <c r="AB191" s="61"/>
      <c r="AC191" s="61"/>
      <c r="AD191" s="61"/>
      <c r="AE191" s="61"/>
      <c r="AG191" s="94" t="s">
        <v>577</v>
      </c>
      <c r="AI191" s="95" t="s">
        <v>579</v>
      </c>
      <c r="AJ191" s="96" t="s">
        <v>586</v>
      </c>
      <c r="AK191" s="96" t="s">
        <v>586</v>
      </c>
      <c r="AL191" s="96" t="s">
        <v>586</v>
      </c>
      <c r="AM191" s="96"/>
      <c r="AN191" s="96"/>
      <c r="AO191" s="96"/>
      <c r="AP191" s="96"/>
      <c r="AQ191" s="96"/>
      <c r="AR191" s="96"/>
      <c r="AS191" s="96"/>
      <c r="AT191" s="96"/>
    </row>
    <row r="192" spans="2:58" x14ac:dyDescent="0.25">
      <c r="B192" t="s">
        <v>568</v>
      </c>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c r="AA192" s="61"/>
      <c r="AB192" s="61"/>
      <c r="AC192" s="61"/>
      <c r="AD192" s="61"/>
      <c r="AE192" s="61"/>
      <c r="AG192" t="s">
        <v>568</v>
      </c>
      <c r="AH192">
        <v>14940</v>
      </c>
      <c r="AI192">
        <v>15052</v>
      </c>
      <c r="AJ192">
        <v>9205</v>
      </c>
      <c r="AK192">
        <v>12733</v>
      </c>
      <c r="AL192">
        <v>4313</v>
      </c>
    </row>
    <row r="193" spans="1:58" x14ac:dyDescent="0.25">
      <c r="B193" s="94" t="s">
        <v>577</v>
      </c>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c r="AA193" s="61"/>
      <c r="AB193" s="61"/>
      <c r="AC193" s="61"/>
      <c r="AD193" s="61"/>
      <c r="AE193" s="61"/>
      <c r="AG193" s="94" t="s">
        <v>577</v>
      </c>
      <c r="AH193" s="98" t="s">
        <v>583</v>
      </c>
      <c r="AJ193" s="98" t="s">
        <v>589</v>
      </c>
    </row>
    <row r="194" spans="1:58" x14ac:dyDescent="0.25">
      <c r="B194" t="s">
        <v>569</v>
      </c>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c r="AA194" s="61"/>
      <c r="AB194" s="61"/>
      <c r="AC194" s="61"/>
      <c r="AD194" s="61"/>
      <c r="AE194" s="61"/>
      <c r="AG194" t="s">
        <v>569</v>
      </c>
      <c r="AH194">
        <v>46783</v>
      </c>
      <c r="AI194">
        <v>41680</v>
      </c>
      <c r="AJ194">
        <v>56272</v>
      </c>
      <c r="AK194">
        <v>29830</v>
      </c>
      <c r="AL194">
        <v>1931</v>
      </c>
    </row>
    <row r="195" spans="1:58" x14ac:dyDescent="0.25">
      <c r="B195" s="94" t="s">
        <v>577</v>
      </c>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c r="AA195" s="61"/>
      <c r="AB195" s="61"/>
      <c r="AC195" s="61"/>
      <c r="AD195" s="61"/>
      <c r="AE195" s="61"/>
      <c r="AG195" s="94" t="s">
        <v>577</v>
      </c>
    </row>
    <row r="196" spans="1:58" x14ac:dyDescent="0.25">
      <c r="B196" t="s">
        <v>573</v>
      </c>
      <c r="C196" s="61"/>
      <c r="D196" s="61"/>
      <c r="E196" s="61"/>
      <c r="F196" s="61"/>
      <c r="G196" s="61"/>
      <c r="H196" s="61"/>
      <c r="I196" s="61"/>
      <c r="J196" s="61"/>
      <c r="K196" s="61">
        <v>2018</v>
      </c>
      <c r="L196" s="61"/>
      <c r="M196" s="61"/>
      <c r="N196" s="61"/>
      <c r="O196" s="61">
        <v>2281</v>
      </c>
      <c r="P196" s="61">
        <v>2281</v>
      </c>
      <c r="Q196" s="61">
        <v>2281</v>
      </c>
      <c r="R196" s="61">
        <v>2281</v>
      </c>
      <c r="S196" s="61"/>
      <c r="T196" s="61"/>
      <c r="U196" s="61"/>
      <c r="V196" s="61"/>
      <c r="W196" s="61"/>
      <c r="X196" s="61"/>
      <c r="Y196" s="61"/>
      <c r="Z196" s="61"/>
      <c r="AA196" s="61"/>
      <c r="AB196" s="61"/>
      <c r="AC196" s="61"/>
      <c r="AD196" s="61"/>
      <c r="AE196" s="61"/>
      <c r="AG196" t="s">
        <v>573</v>
      </c>
      <c r="AN196">
        <v>1804</v>
      </c>
      <c r="AO196">
        <v>9435</v>
      </c>
      <c r="AP196">
        <v>9339</v>
      </c>
      <c r="AQ196">
        <v>10000</v>
      </c>
      <c r="AR196">
        <v>10000</v>
      </c>
      <c r="AS196">
        <v>10000</v>
      </c>
      <c r="AT196">
        <v>10000</v>
      </c>
      <c r="AU196">
        <v>10000</v>
      </c>
      <c r="AV196">
        <v>10000</v>
      </c>
      <c r="AW196">
        <v>10000</v>
      </c>
      <c r="AX196">
        <v>10000</v>
      </c>
      <c r="AY196">
        <v>10000</v>
      </c>
      <c r="AZ196">
        <v>10000</v>
      </c>
      <c r="BA196">
        <v>10000</v>
      </c>
      <c r="BB196">
        <v>10000</v>
      </c>
      <c r="BC196">
        <v>10000</v>
      </c>
      <c r="BD196">
        <v>10000</v>
      </c>
      <c r="BE196">
        <v>10000</v>
      </c>
      <c r="BF196">
        <v>10000</v>
      </c>
    </row>
    <row r="197" spans="1:58" x14ac:dyDescent="0.25">
      <c r="B197" s="94" t="s">
        <v>577</v>
      </c>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c r="AA197" s="61"/>
      <c r="AB197" s="61"/>
      <c r="AC197" s="61"/>
      <c r="AD197" s="61"/>
      <c r="AE197" s="61"/>
      <c r="AG197" s="94" t="s">
        <v>577</v>
      </c>
      <c r="AN197" s="95" t="s">
        <v>579</v>
      </c>
      <c r="AO197" s="95" t="s">
        <v>579</v>
      </c>
      <c r="AP197" s="95" t="s">
        <v>579</v>
      </c>
      <c r="AQ197" s="95" t="s">
        <v>579</v>
      </c>
      <c r="AR197" s="95" t="s">
        <v>579</v>
      </c>
      <c r="AS197" s="95" t="s">
        <v>579</v>
      </c>
      <c r="AT197" s="95" t="s">
        <v>579</v>
      </c>
      <c r="AU197" s="95"/>
    </row>
    <row r="198" spans="1:58" x14ac:dyDescent="0.25">
      <c r="B198" t="s">
        <v>574</v>
      </c>
      <c r="C198" s="61"/>
      <c r="D198" s="61"/>
      <c r="E198" s="61"/>
      <c r="F198" s="61"/>
      <c r="G198" s="61"/>
      <c r="H198" s="61"/>
      <c r="I198" s="61"/>
      <c r="J198" s="61"/>
      <c r="K198" s="61">
        <v>1067</v>
      </c>
      <c r="L198" s="61"/>
      <c r="M198" s="61"/>
      <c r="N198" s="61"/>
      <c r="O198" s="61">
        <v>469</v>
      </c>
      <c r="P198" s="61">
        <v>469</v>
      </c>
      <c r="Q198" s="61">
        <v>469</v>
      </c>
      <c r="R198" s="61">
        <v>469</v>
      </c>
      <c r="S198" s="61"/>
      <c r="T198" s="61"/>
      <c r="U198" s="61"/>
      <c r="V198" s="61"/>
      <c r="W198" s="61"/>
      <c r="X198" s="61"/>
      <c r="Y198" s="61"/>
      <c r="Z198" s="61"/>
      <c r="AA198" s="61"/>
      <c r="AB198" s="61"/>
      <c r="AC198" s="61"/>
      <c r="AD198" s="61"/>
      <c r="AE198" s="61"/>
      <c r="AG198" t="s">
        <v>574</v>
      </c>
      <c r="AH198">
        <v>13353</v>
      </c>
      <c r="AI198">
        <v>14477</v>
      </c>
      <c r="AJ198">
        <v>3608</v>
      </c>
      <c r="AK198">
        <v>18585</v>
      </c>
      <c r="AL198">
        <v>13332</v>
      </c>
      <c r="AM198">
        <v>34200</v>
      </c>
      <c r="AN198">
        <v>10812</v>
      </c>
      <c r="AO198">
        <v>1862</v>
      </c>
      <c r="AP198">
        <v>2334</v>
      </c>
      <c r="AQ198" s="82">
        <f>AP198*1.03</f>
        <v>2404.02</v>
      </c>
      <c r="AR198" s="82">
        <f t="shared" ref="AR198:AT198" si="49">AQ198*1.03</f>
        <v>2476.1406000000002</v>
      </c>
      <c r="AS198" s="82">
        <f t="shared" si="49"/>
        <v>2550.4248180000004</v>
      </c>
      <c r="AT198" s="82">
        <f t="shared" si="49"/>
        <v>2626.9375625400003</v>
      </c>
      <c r="AU198" s="82">
        <f t="shared" ref="AU198:BF198" si="50">AT198*1.03</f>
        <v>2705.7456894162005</v>
      </c>
      <c r="AV198" s="82">
        <f t="shared" si="50"/>
        <v>2786.9180600986865</v>
      </c>
      <c r="AW198" s="82">
        <f t="shared" si="50"/>
        <v>2870.5256019016474</v>
      </c>
      <c r="AX198" s="82">
        <f t="shared" si="50"/>
        <v>2956.6413699586969</v>
      </c>
      <c r="AY198" s="82">
        <f t="shared" si="50"/>
        <v>3045.3406110574579</v>
      </c>
      <c r="AZ198" s="82">
        <f t="shared" si="50"/>
        <v>3136.7008293891818</v>
      </c>
      <c r="BA198" s="82">
        <f t="shared" si="50"/>
        <v>3230.8018542708573</v>
      </c>
      <c r="BB198" s="82">
        <f t="shared" si="50"/>
        <v>3327.725909898983</v>
      </c>
      <c r="BC198" s="82">
        <f t="shared" si="50"/>
        <v>3427.5576871959524</v>
      </c>
      <c r="BD198" s="82">
        <f t="shared" si="50"/>
        <v>3530.3844178118311</v>
      </c>
      <c r="BE198" s="82">
        <f t="shared" si="50"/>
        <v>3636.2959503461861</v>
      </c>
      <c r="BF198" s="82">
        <f t="shared" si="50"/>
        <v>3745.3848288565719</v>
      </c>
    </row>
    <row r="199" spans="1:58" x14ac:dyDescent="0.25">
      <c r="B199" s="4" t="s">
        <v>575</v>
      </c>
      <c r="C199" s="61"/>
      <c r="D199" s="61"/>
      <c r="E199" s="61"/>
      <c r="F199" s="61"/>
      <c r="G199" s="61"/>
      <c r="H199" s="61"/>
      <c r="I199" s="61"/>
      <c r="J199" s="61"/>
      <c r="K199" s="61"/>
      <c r="L199" s="61"/>
      <c r="M199" s="61"/>
      <c r="N199" s="61"/>
      <c r="O199" s="61">
        <f>SUM(O198,O196,O188,O186)</f>
        <v>17942</v>
      </c>
      <c r="P199" s="61">
        <f t="shared" ref="P199:R199" si="51">SUM(P198,P196,P188,P186)</f>
        <v>17942</v>
      </c>
      <c r="Q199" s="61">
        <f t="shared" si="51"/>
        <v>17942</v>
      </c>
      <c r="R199" s="61">
        <f t="shared" si="51"/>
        <v>17942</v>
      </c>
      <c r="S199" s="61"/>
      <c r="T199" s="61"/>
      <c r="U199" s="61"/>
      <c r="V199" s="61"/>
      <c r="W199" s="61"/>
      <c r="X199" s="61"/>
      <c r="Y199" s="61"/>
      <c r="Z199" s="61"/>
      <c r="AA199" s="61"/>
      <c r="AB199" s="61"/>
      <c r="AC199" s="61"/>
      <c r="AD199" s="61"/>
      <c r="AE199" s="61"/>
      <c r="AG199" s="4" t="s">
        <v>575</v>
      </c>
      <c r="AH199" s="91">
        <f>SUM(AH184:AH198)</f>
        <v>98197</v>
      </c>
      <c r="AI199" s="91">
        <f t="shared" ref="AI199:AL199" si="52">SUM(AI184:AI198)</f>
        <v>125368</v>
      </c>
      <c r="AJ199" s="91">
        <f t="shared" si="52"/>
        <v>206939</v>
      </c>
      <c r="AK199" s="91">
        <f t="shared" si="52"/>
        <v>221479</v>
      </c>
      <c r="AL199" s="91">
        <f t="shared" si="52"/>
        <v>195099</v>
      </c>
      <c r="AM199" s="91">
        <f t="shared" ref="AM199" si="53">SUM(AM184:AM198)</f>
        <v>176894</v>
      </c>
      <c r="AN199" s="91">
        <f t="shared" ref="AN199" si="54">SUM(AN184:AN198)</f>
        <v>81048</v>
      </c>
      <c r="AO199" s="91">
        <f t="shared" ref="AO199" si="55">SUM(AO184:AO198)</f>
        <v>51983</v>
      </c>
      <c r="AP199" s="91">
        <f t="shared" ref="AP199" si="56">SUM(AP184:AP198)</f>
        <v>76850</v>
      </c>
      <c r="AQ199" s="102">
        <f>SUM(AQ198,AQ196,AQ188,AQ186)</f>
        <v>82616.02</v>
      </c>
      <c r="AR199" s="102">
        <f t="shared" ref="AR199:AT199" si="57">SUM(AR198,AR196,AR188,AR186)</f>
        <v>106868.1406</v>
      </c>
      <c r="AS199" s="102">
        <f t="shared" si="57"/>
        <v>109542.424818</v>
      </c>
      <c r="AT199" s="102">
        <f t="shared" si="57"/>
        <v>82838.937562539999</v>
      </c>
      <c r="AU199" s="102">
        <f t="shared" ref="AU199:BF199" si="58">SUM(AU198,AU196,AU188,AU186)</f>
        <v>27705.745689416202</v>
      </c>
      <c r="AV199" s="102">
        <f t="shared" si="58"/>
        <v>27786.918060098687</v>
      </c>
      <c r="AW199" s="102">
        <f t="shared" si="58"/>
        <v>27870.525601901645</v>
      </c>
      <c r="AX199" s="102">
        <f t="shared" si="58"/>
        <v>27956.641369958699</v>
      </c>
      <c r="AY199" s="102">
        <f t="shared" si="58"/>
        <v>28045.340611057458</v>
      </c>
      <c r="AZ199" s="102">
        <f t="shared" si="58"/>
        <v>28136.700829389181</v>
      </c>
      <c r="BA199" s="102">
        <f t="shared" si="58"/>
        <v>28230.80185427086</v>
      </c>
      <c r="BB199" s="102">
        <f t="shared" si="58"/>
        <v>28327.725909898982</v>
      </c>
      <c r="BC199" s="102">
        <f t="shared" si="58"/>
        <v>28427.557687195953</v>
      </c>
      <c r="BD199" s="102">
        <f t="shared" si="58"/>
        <v>28530.384417811831</v>
      </c>
      <c r="BE199" s="102">
        <f t="shared" si="58"/>
        <v>28636.295950346186</v>
      </c>
      <c r="BF199" s="102">
        <f t="shared" si="58"/>
        <v>28745.384828856571</v>
      </c>
    </row>
    <row r="200" spans="1:58" x14ac:dyDescent="0.25">
      <c r="B200" t="s">
        <v>570</v>
      </c>
      <c r="C200" s="61"/>
      <c r="D200" s="61"/>
      <c r="E200" s="61"/>
      <c r="F200" s="61"/>
      <c r="G200" s="61"/>
      <c r="H200" s="61"/>
      <c r="I200" s="61"/>
      <c r="J200" s="61"/>
      <c r="K200" s="61"/>
      <c r="L200" s="61"/>
      <c r="M200" s="61"/>
      <c r="N200" s="61"/>
      <c r="O200" s="61">
        <v>10926</v>
      </c>
      <c r="P200" s="61">
        <v>10926</v>
      </c>
      <c r="Q200" s="61">
        <v>10926</v>
      </c>
      <c r="R200" s="61">
        <v>10926</v>
      </c>
      <c r="S200" s="61"/>
      <c r="T200" s="61"/>
      <c r="U200" s="61"/>
      <c r="V200" s="61"/>
      <c r="W200" s="61"/>
      <c r="X200" s="61"/>
      <c r="Y200" s="61"/>
      <c r="Z200" s="61"/>
      <c r="AA200" s="61"/>
      <c r="AB200" s="61"/>
      <c r="AC200" s="61"/>
      <c r="AD200" s="61"/>
      <c r="AE200" s="61"/>
      <c r="AG200" t="s">
        <v>570</v>
      </c>
      <c r="AH200">
        <v>84563</v>
      </c>
      <c r="AI200">
        <v>113466</v>
      </c>
      <c r="AJ200">
        <v>130837</v>
      </c>
      <c r="AK200">
        <v>141719</v>
      </c>
      <c r="AL200">
        <v>147200</v>
      </c>
      <c r="AM200">
        <v>158732</v>
      </c>
      <c r="AN200">
        <v>103848</v>
      </c>
      <c r="AO200">
        <v>45503</v>
      </c>
      <c r="AP200">
        <v>34629</v>
      </c>
      <c r="AQ200">
        <f>AP200*1.03</f>
        <v>35667.870000000003</v>
      </c>
      <c r="AR200">
        <f t="shared" ref="AR200:AT200" si="59">AQ200*1.03</f>
        <v>36737.9061</v>
      </c>
      <c r="AS200">
        <f t="shared" si="59"/>
        <v>37840.043282999999</v>
      </c>
      <c r="AT200">
        <f t="shared" si="59"/>
        <v>38975.244581489998</v>
      </c>
      <c r="AU200">
        <f t="shared" ref="AU200:BF200" si="60">AT200*1.03</f>
        <v>40144.5019189347</v>
      </c>
      <c r="AV200">
        <f t="shared" si="60"/>
        <v>41348.836976502746</v>
      </c>
      <c r="AW200">
        <f t="shared" si="60"/>
        <v>42589.302085797826</v>
      </c>
      <c r="AX200">
        <f t="shared" si="60"/>
        <v>43866.981148371764</v>
      </c>
      <c r="AY200">
        <f t="shared" si="60"/>
        <v>45182.990582822917</v>
      </c>
      <c r="AZ200">
        <f t="shared" si="60"/>
        <v>46538.480300307609</v>
      </c>
      <c r="BA200">
        <f t="shared" si="60"/>
        <v>47934.634709316837</v>
      </c>
      <c r="BB200">
        <f t="shared" si="60"/>
        <v>49372.673750596347</v>
      </c>
      <c r="BC200">
        <f t="shared" si="60"/>
        <v>50853.853963114241</v>
      </c>
      <c r="BD200">
        <f t="shared" si="60"/>
        <v>52379.469582007667</v>
      </c>
      <c r="BE200">
        <f t="shared" si="60"/>
        <v>53950.853669467899</v>
      </c>
      <c r="BF200">
        <f t="shared" si="60"/>
        <v>55569.37927955194</v>
      </c>
    </row>
    <row r="201" spans="1:58" x14ac:dyDescent="0.25">
      <c r="B201" t="s">
        <v>571</v>
      </c>
      <c r="O201" s="61">
        <v>1612</v>
      </c>
      <c r="P201" s="61">
        <v>1612</v>
      </c>
      <c r="Q201" s="61">
        <v>1612</v>
      </c>
      <c r="R201" s="61">
        <v>1612</v>
      </c>
      <c r="AG201" t="s">
        <v>571</v>
      </c>
      <c r="AH201">
        <v>21041</v>
      </c>
      <c r="AI201">
        <v>29627</v>
      </c>
      <c r="AJ201">
        <v>61760</v>
      </c>
      <c r="AK201">
        <v>71368</v>
      </c>
      <c r="AL201">
        <v>66379</v>
      </c>
      <c r="AM201">
        <v>64643</v>
      </c>
      <c r="AN201">
        <v>35231</v>
      </c>
      <c r="AO201">
        <v>16766</v>
      </c>
      <c r="AP201">
        <v>9429</v>
      </c>
      <c r="AQ201" s="82">
        <f>AQ207*AQ200</f>
        <v>7133.5740000000005</v>
      </c>
      <c r="AR201" s="82">
        <f t="shared" ref="AR201:AT201" si="61">AR207*AR200</f>
        <v>7347.58122</v>
      </c>
      <c r="AS201" s="82">
        <f t="shared" si="61"/>
        <v>7568.0086566</v>
      </c>
      <c r="AT201" s="82">
        <f t="shared" si="61"/>
        <v>7795.0489162980002</v>
      </c>
      <c r="AU201" s="82">
        <f t="shared" ref="AU201:BF201" si="62">AU207*AU200</f>
        <v>8028.9003837869404</v>
      </c>
      <c r="AV201" s="82">
        <f t="shared" si="62"/>
        <v>8269.7673953005487</v>
      </c>
      <c r="AW201" s="82">
        <f t="shared" si="62"/>
        <v>8517.8604171595653</v>
      </c>
      <c r="AX201" s="82">
        <f t="shared" si="62"/>
        <v>8773.3962296743539</v>
      </c>
      <c r="AY201" s="82">
        <f t="shared" si="62"/>
        <v>9036.5981165645844</v>
      </c>
      <c r="AZ201" s="82">
        <f t="shared" si="62"/>
        <v>9307.6960600615221</v>
      </c>
      <c r="BA201" s="82">
        <f t="shared" si="62"/>
        <v>9586.9269418633685</v>
      </c>
      <c r="BB201" s="82">
        <f t="shared" si="62"/>
        <v>9874.53475011927</v>
      </c>
      <c r="BC201" s="82">
        <f t="shared" si="62"/>
        <v>10170.770792622849</v>
      </c>
      <c r="BD201" s="82">
        <f t="shared" si="62"/>
        <v>10475.893916401534</v>
      </c>
      <c r="BE201" s="82">
        <f t="shared" si="62"/>
        <v>10790.170733893581</v>
      </c>
      <c r="BF201" s="82">
        <f t="shared" si="62"/>
        <v>11113.875855910388</v>
      </c>
    </row>
    <row r="202" spans="1:58" x14ac:dyDescent="0.25">
      <c r="A202" t="s">
        <v>463</v>
      </c>
      <c r="B202" t="s">
        <v>572</v>
      </c>
      <c r="O202" s="4">
        <f>SUM(O199:O201)</f>
        <v>30480</v>
      </c>
      <c r="P202" s="4">
        <f t="shared" ref="P202:R202" si="63">SUM(P199:P201)</f>
        <v>30480</v>
      </c>
      <c r="Q202" s="4">
        <f t="shared" si="63"/>
        <v>30480</v>
      </c>
      <c r="R202" s="4">
        <f t="shared" si="63"/>
        <v>30480</v>
      </c>
      <c r="AG202" t="s">
        <v>572</v>
      </c>
      <c r="AH202" s="91">
        <f>SUM(AH199:AH201)</f>
        <v>203801</v>
      </c>
      <c r="AI202" s="91">
        <f t="shared" ref="AI202:AL202" si="64">SUM(AI199:AI201)</f>
        <v>268461</v>
      </c>
      <c r="AJ202" s="91">
        <f t="shared" si="64"/>
        <v>399536</v>
      </c>
      <c r="AK202" s="91">
        <f t="shared" si="64"/>
        <v>434566</v>
      </c>
      <c r="AL202" s="91">
        <f t="shared" si="64"/>
        <v>408678</v>
      </c>
      <c r="AM202" s="91">
        <f t="shared" ref="AM202" si="65">SUM(AM199:AM201)</f>
        <v>400269</v>
      </c>
      <c r="AN202" s="91">
        <f t="shared" ref="AN202" si="66">SUM(AN199:AN201)</f>
        <v>220127</v>
      </c>
      <c r="AO202" s="91">
        <f t="shared" ref="AO202" si="67">SUM(AO199:AO201)</f>
        <v>114252</v>
      </c>
      <c r="AP202" s="91">
        <f t="shared" ref="AP202" si="68">SUM(AP199:AP201)</f>
        <v>120908</v>
      </c>
      <c r="AQ202" s="102">
        <f>SUM(AQ199:AQ201)</f>
        <v>125417.46400000001</v>
      </c>
      <c r="AR202" s="102">
        <f t="shared" ref="AR202:AT202" si="69">SUM(AR199:AR201)</f>
        <v>150953.62792</v>
      </c>
      <c r="AS202" s="102">
        <f t="shared" si="69"/>
        <v>154950.4767576</v>
      </c>
      <c r="AT202" s="102">
        <f t="shared" si="69"/>
        <v>129609.23106032799</v>
      </c>
      <c r="AU202" s="102">
        <f t="shared" ref="AU202:BF202" si="70">SUM(AU199:AU201)</f>
        <v>75879.147992137849</v>
      </c>
      <c r="AV202" s="102">
        <f t="shared" si="70"/>
        <v>77405.522431901976</v>
      </c>
      <c r="AW202" s="102">
        <f t="shared" si="70"/>
        <v>78977.688104859029</v>
      </c>
      <c r="AX202" s="102">
        <f t="shared" si="70"/>
        <v>80597.018748004819</v>
      </c>
      <c r="AY202" s="102">
        <f t="shared" si="70"/>
        <v>82264.929310444961</v>
      </c>
      <c r="AZ202" s="102">
        <f t="shared" si="70"/>
        <v>83982.877189758321</v>
      </c>
      <c r="BA202" s="102">
        <f t="shared" si="70"/>
        <v>85752.363505451052</v>
      </c>
      <c r="BB202" s="102">
        <f t="shared" si="70"/>
        <v>87574.934410614602</v>
      </c>
      <c r="BC202" s="102">
        <f t="shared" si="70"/>
        <v>89452.182442933045</v>
      </c>
      <c r="BD202" s="102">
        <f t="shared" si="70"/>
        <v>91385.747916221022</v>
      </c>
      <c r="BE202" s="102">
        <f t="shared" si="70"/>
        <v>93377.320353707662</v>
      </c>
      <c r="BF202" s="102">
        <f t="shared" si="70"/>
        <v>95428.639964318892</v>
      </c>
    </row>
    <row r="203" spans="1:58" x14ac:dyDescent="0.25">
      <c r="AH203" s="4"/>
      <c r="AI203" s="4"/>
      <c r="AJ203" s="4"/>
      <c r="AK203" s="4"/>
      <c r="AL203" s="4"/>
      <c r="AM203" s="4"/>
      <c r="AN203" s="4"/>
      <c r="AO203" s="4"/>
      <c r="AP203" s="4"/>
    </row>
    <row r="204" spans="1:58" x14ac:dyDescent="0.25">
      <c r="B204" t="s">
        <v>472</v>
      </c>
      <c r="C204" t="s">
        <v>473</v>
      </c>
    </row>
    <row r="205" spans="1:58" x14ac:dyDescent="0.25">
      <c r="B205" t="s">
        <v>6</v>
      </c>
      <c r="C205" t="s">
        <v>476</v>
      </c>
      <c r="AG205" t="s">
        <v>576</v>
      </c>
      <c r="AH205">
        <v>468</v>
      </c>
      <c r="AI205">
        <v>509</v>
      </c>
      <c r="AJ205">
        <v>618</v>
      </c>
      <c r="AK205">
        <v>723</v>
      </c>
      <c r="AL205">
        <f>AH40</f>
        <v>718</v>
      </c>
      <c r="AM205">
        <f t="shared" ref="AM205:AP205" si="71">AI40</f>
        <v>740</v>
      </c>
      <c r="AN205">
        <f t="shared" si="71"/>
        <v>216</v>
      </c>
      <c r="AO205">
        <f t="shared" si="71"/>
        <v>137</v>
      </c>
      <c r="AP205">
        <f t="shared" si="71"/>
        <v>61</v>
      </c>
    </row>
    <row r="206" spans="1:58" x14ac:dyDescent="0.25">
      <c r="B206" t="s">
        <v>465</v>
      </c>
      <c r="C206" t="s">
        <v>475</v>
      </c>
      <c r="AG206" t="s">
        <v>587</v>
      </c>
      <c r="AH206">
        <f>SUM(AH200:AH201)/AH205</f>
        <v>225.64957264957266</v>
      </c>
      <c r="AI206">
        <f t="shared" ref="AI206:AP206" si="72">SUM(AI200:AI201)/AI205</f>
        <v>281.12573673870332</v>
      </c>
      <c r="AJ206">
        <f t="shared" si="72"/>
        <v>311.64563106796118</v>
      </c>
      <c r="AK206">
        <f t="shared" si="72"/>
        <v>294.72614107883817</v>
      </c>
      <c r="AL206">
        <f t="shared" si="72"/>
        <v>297.46378830083563</v>
      </c>
      <c r="AM206">
        <f t="shared" si="72"/>
        <v>301.85810810810813</v>
      </c>
      <c r="AN206">
        <f t="shared" si="72"/>
        <v>643.88425925925924</v>
      </c>
      <c r="AO206">
        <f t="shared" si="72"/>
        <v>454.51824817518246</v>
      </c>
      <c r="AP206">
        <f t="shared" si="72"/>
        <v>722.26229508196718</v>
      </c>
    </row>
    <row r="207" spans="1:58" x14ac:dyDescent="0.25">
      <c r="B207" t="s">
        <v>470</v>
      </c>
      <c r="C207" t="s">
        <v>474</v>
      </c>
      <c r="AG207" t="s">
        <v>599</v>
      </c>
      <c r="AH207" s="14">
        <f>AH201/SUM(AH200:AH201)</f>
        <v>0.19924434680504527</v>
      </c>
      <c r="AI207" s="14">
        <f t="shared" ref="AI207:AP207" si="73">AI201/SUM(AI200:AI201)</f>
        <v>0.20704716513036975</v>
      </c>
      <c r="AJ207" s="14">
        <f t="shared" si="73"/>
        <v>0.32066958467681222</v>
      </c>
      <c r="AK207" s="14">
        <f t="shared" si="73"/>
        <v>0.33492423282509021</v>
      </c>
      <c r="AL207" s="14">
        <f t="shared" si="73"/>
        <v>0.31079366417110299</v>
      </c>
      <c r="AM207" s="14">
        <f t="shared" si="73"/>
        <v>0.28939227756015667</v>
      </c>
      <c r="AN207" s="14">
        <f t="shared" si="73"/>
        <v>0.25331646042896483</v>
      </c>
      <c r="AO207" s="14">
        <f t="shared" si="73"/>
        <v>0.26925115225874835</v>
      </c>
      <c r="AP207" s="14">
        <f t="shared" si="73"/>
        <v>0.21401334604385128</v>
      </c>
      <c r="AQ207" s="20">
        <v>0.2</v>
      </c>
      <c r="AR207" s="20">
        <v>0.2</v>
      </c>
      <c r="AS207" s="20">
        <v>0.2</v>
      </c>
      <c r="AT207" s="20">
        <v>0.2</v>
      </c>
      <c r="AU207" s="20">
        <v>0.2</v>
      </c>
      <c r="AV207" s="20">
        <v>0.2</v>
      </c>
      <c r="AW207" s="20">
        <v>0.2</v>
      </c>
      <c r="AX207" s="20">
        <v>0.2</v>
      </c>
      <c r="AY207" s="20">
        <v>0.2</v>
      </c>
      <c r="AZ207" s="20">
        <v>0.2</v>
      </c>
      <c r="BA207" s="20">
        <v>0.2</v>
      </c>
      <c r="BB207" s="20">
        <v>0.2</v>
      </c>
      <c r="BC207" s="20">
        <v>0.2</v>
      </c>
      <c r="BD207" s="20">
        <v>0.2</v>
      </c>
      <c r="BE207" s="20">
        <v>0.2</v>
      </c>
      <c r="BF207" s="20">
        <v>0.2</v>
      </c>
    </row>
    <row r="208" spans="1:58" x14ac:dyDescent="0.25">
      <c r="B208" t="s">
        <v>471</v>
      </c>
      <c r="C208" t="s">
        <v>477</v>
      </c>
    </row>
    <row r="209" spans="2:3" x14ac:dyDescent="0.25">
      <c r="B209" t="s">
        <v>479</v>
      </c>
      <c r="C209" t="s">
        <v>480</v>
      </c>
    </row>
    <row r="210" spans="2:3" x14ac:dyDescent="0.25">
      <c r="B210" t="s">
        <v>484</v>
      </c>
      <c r="C210" t="s">
        <v>486</v>
      </c>
    </row>
    <row r="211" spans="2:3" x14ac:dyDescent="0.25">
      <c r="B211" t="s">
        <v>485</v>
      </c>
      <c r="C211" t="s">
        <v>623</v>
      </c>
    </row>
    <row r="212" spans="2:3" x14ac:dyDescent="0.25">
      <c r="B212" t="s">
        <v>546</v>
      </c>
      <c r="C212" t="s">
        <v>549</v>
      </c>
    </row>
    <row r="213" spans="2:3" x14ac:dyDescent="0.25">
      <c r="B213" t="s">
        <v>547</v>
      </c>
      <c r="C213" t="s">
        <v>548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9A261-7202-46D0-8B81-77487E1B9F30}">
  <dimension ref="B2"/>
  <sheetViews>
    <sheetView workbookViewId="0">
      <selection activeCell="B2" sqref="B2"/>
    </sheetView>
  </sheetViews>
  <sheetFormatPr defaultColWidth="8.85546875" defaultRowHeight="15" x14ac:dyDescent="0.25"/>
  <sheetData>
    <row r="2" spans="2:2" x14ac:dyDescent="0.25">
      <c r="B2" s="9" t="s">
        <v>351</v>
      </c>
    </row>
  </sheetData>
  <hyperlinks>
    <hyperlink ref="B2" r:id="rId1" xr:uid="{B0CA250F-1653-43DA-A8F5-997AFA5FD3D0}"/>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1B0B1-7305-4312-AFAC-5615214686AA}">
  <dimension ref="A1"/>
  <sheetViews>
    <sheetView topLeftCell="A13"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8A2D9-AD07-42AE-ACF7-9FEAEA6D5058}">
  <dimension ref="B2:AD50"/>
  <sheetViews>
    <sheetView workbookViewId="0">
      <selection activeCell="E15" sqref="E15"/>
    </sheetView>
  </sheetViews>
  <sheetFormatPr defaultColWidth="8.85546875" defaultRowHeight="15" x14ac:dyDescent="0.25"/>
  <cols>
    <col min="15" max="15" width="17.7109375" customWidth="1"/>
    <col min="16" max="16" width="10" bestFit="1" customWidth="1"/>
  </cols>
  <sheetData>
    <row r="2" spans="2:15" x14ac:dyDescent="0.25">
      <c r="B2" t="s">
        <v>408</v>
      </c>
    </row>
    <row r="3" spans="2:15" x14ac:dyDescent="0.25">
      <c r="B3" t="s">
        <v>407</v>
      </c>
    </row>
    <row r="4" spans="2:15" x14ac:dyDescent="0.25">
      <c r="B4" t="s">
        <v>404</v>
      </c>
    </row>
    <row r="5" spans="2:15" x14ac:dyDescent="0.25">
      <c r="B5" t="s">
        <v>409</v>
      </c>
    </row>
    <row r="6" spans="2:15" x14ac:dyDescent="0.25">
      <c r="B6" t="s">
        <v>405</v>
      </c>
    </row>
    <row r="7" spans="2:15" x14ac:dyDescent="0.25">
      <c r="B7" t="s">
        <v>406</v>
      </c>
    </row>
    <row r="9" spans="2:15" x14ac:dyDescent="0.25">
      <c r="B9" t="s">
        <v>410</v>
      </c>
      <c r="N9" t="s">
        <v>432</v>
      </c>
    </row>
    <row r="10" spans="2:15" x14ac:dyDescent="0.25">
      <c r="C10" t="s">
        <v>436</v>
      </c>
      <c r="D10" t="s">
        <v>423</v>
      </c>
      <c r="N10" t="s">
        <v>434</v>
      </c>
    </row>
    <row r="11" spans="2:15" x14ac:dyDescent="0.25">
      <c r="B11" t="s">
        <v>424</v>
      </c>
      <c r="C11">
        <v>1200</v>
      </c>
      <c r="D11" t="s">
        <v>411</v>
      </c>
      <c r="N11" t="s">
        <v>433</v>
      </c>
    </row>
    <row r="12" spans="2:15" x14ac:dyDescent="0.25">
      <c r="B12" t="s">
        <v>425</v>
      </c>
      <c r="C12">
        <v>1000</v>
      </c>
      <c r="D12" s="9" t="s">
        <v>437</v>
      </c>
      <c r="O12" t="s">
        <v>435</v>
      </c>
    </row>
    <row r="13" spans="2:15" x14ac:dyDescent="0.25">
      <c r="B13" t="s">
        <v>426</v>
      </c>
      <c r="C13">
        <v>850</v>
      </c>
      <c r="D13" s="9" t="s">
        <v>438</v>
      </c>
    </row>
    <row r="14" spans="2:15" x14ac:dyDescent="0.25">
      <c r="B14" t="s">
        <v>187</v>
      </c>
      <c r="C14">
        <v>600</v>
      </c>
    </row>
    <row r="15" spans="2:15" x14ac:dyDescent="0.25">
      <c r="B15" t="s">
        <v>427</v>
      </c>
    </row>
    <row r="16" spans="2:15" x14ac:dyDescent="0.25">
      <c r="B16" t="s">
        <v>428</v>
      </c>
    </row>
    <row r="17" spans="2:29" x14ac:dyDescent="0.25">
      <c r="B17" t="s">
        <v>429</v>
      </c>
    </row>
    <row r="18" spans="2:29" x14ac:dyDescent="0.25">
      <c r="B18" t="s">
        <v>430</v>
      </c>
    </row>
    <row r="19" spans="2:29" x14ac:dyDescent="0.25">
      <c r="B19" t="s">
        <v>431</v>
      </c>
      <c r="C19">
        <v>500</v>
      </c>
    </row>
    <row r="20" spans="2:29" x14ac:dyDescent="0.25">
      <c r="O20">
        <f>5.6/1000 * 340</f>
        <v>1.9039999999999999</v>
      </c>
      <c r="P20" t="s">
        <v>439</v>
      </c>
    </row>
    <row r="21" spans="2:29" x14ac:dyDescent="0.25">
      <c r="B21">
        <v>2024</v>
      </c>
      <c r="O21">
        <f>O20*0.13</f>
        <v>0.24751999999999999</v>
      </c>
      <c r="P21" t="s">
        <v>440</v>
      </c>
      <c r="T21" t="s">
        <v>441</v>
      </c>
    </row>
    <row r="22" spans="2:29" x14ac:dyDescent="0.25">
      <c r="B22" t="s">
        <v>412</v>
      </c>
      <c r="O22">
        <f>O21*0.865</f>
        <v>0.21410479999999998</v>
      </c>
      <c r="P22" t="s">
        <v>442</v>
      </c>
    </row>
    <row r="23" spans="2:29" x14ac:dyDescent="0.25">
      <c r="O23">
        <f>O22*0.5</f>
        <v>0.10705239999999999</v>
      </c>
      <c r="P23" t="s">
        <v>443</v>
      </c>
    </row>
    <row r="24" spans="2:29" x14ac:dyDescent="0.25">
      <c r="B24" t="s">
        <v>414</v>
      </c>
      <c r="I24">
        <v>2017</v>
      </c>
      <c r="P24" t="s">
        <v>454</v>
      </c>
    </row>
    <row r="25" spans="2:29" x14ac:dyDescent="0.25">
      <c r="C25" t="s">
        <v>413</v>
      </c>
      <c r="P25" t="s">
        <v>444</v>
      </c>
    </row>
    <row r="26" spans="2:29" x14ac:dyDescent="0.25">
      <c r="B26" t="s">
        <v>415</v>
      </c>
      <c r="I26">
        <v>2018</v>
      </c>
      <c r="P26" t="s">
        <v>445</v>
      </c>
    </row>
    <row r="27" spans="2:29" x14ac:dyDescent="0.25">
      <c r="B27" t="s">
        <v>416</v>
      </c>
      <c r="I27">
        <v>2020</v>
      </c>
      <c r="P27" t="s">
        <v>446</v>
      </c>
    </row>
    <row r="28" spans="2:29" x14ac:dyDescent="0.25">
      <c r="B28" t="s">
        <v>417</v>
      </c>
      <c r="I28">
        <v>2022</v>
      </c>
      <c r="O28">
        <f>O23/6</f>
        <v>1.7842066666666666E-2</v>
      </c>
      <c r="P28" t="s">
        <v>88</v>
      </c>
    </row>
    <row r="29" spans="2:29" x14ac:dyDescent="0.25">
      <c r="B29" t="s">
        <v>418</v>
      </c>
      <c r="I29">
        <v>2023</v>
      </c>
      <c r="P29" t="s">
        <v>447</v>
      </c>
    </row>
    <row r="30" spans="2:29" x14ac:dyDescent="0.25">
      <c r="B30" t="s">
        <v>419</v>
      </c>
      <c r="I30">
        <v>2024</v>
      </c>
      <c r="P30">
        <v>2027</v>
      </c>
      <c r="Q30">
        <f>P30+1</f>
        <v>2028</v>
      </c>
      <c r="R30">
        <f t="shared" ref="R30:AC30" si="0">Q30+1</f>
        <v>2029</v>
      </c>
      <c r="S30">
        <f t="shared" si="0"/>
        <v>2030</v>
      </c>
      <c r="T30">
        <f t="shared" si="0"/>
        <v>2031</v>
      </c>
      <c r="U30">
        <f t="shared" si="0"/>
        <v>2032</v>
      </c>
      <c r="V30">
        <f t="shared" si="0"/>
        <v>2033</v>
      </c>
      <c r="W30">
        <f t="shared" si="0"/>
        <v>2034</v>
      </c>
      <c r="X30">
        <f t="shared" si="0"/>
        <v>2035</v>
      </c>
      <c r="Y30">
        <f t="shared" si="0"/>
        <v>2036</v>
      </c>
      <c r="Z30">
        <f t="shared" si="0"/>
        <v>2037</v>
      </c>
      <c r="AA30">
        <f t="shared" si="0"/>
        <v>2038</v>
      </c>
      <c r="AB30">
        <f t="shared" si="0"/>
        <v>2039</v>
      </c>
      <c r="AC30">
        <f t="shared" si="0"/>
        <v>2040</v>
      </c>
    </row>
    <row r="31" spans="2:29" x14ac:dyDescent="0.25">
      <c r="O31" t="s">
        <v>459</v>
      </c>
    </row>
    <row r="32" spans="2:29" x14ac:dyDescent="0.25">
      <c r="B32" t="s">
        <v>420</v>
      </c>
      <c r="I32">
        <v>2024</v>
      </c>
      <c r="O32" t="s">
        <v>448</v>
      </c>
      <c r="P32">
        <v>17000</v>
      </c>
      <c r="Q32">
        <v>17000</v>
      </c>
      <c r="R32">
        <v>17000</v>
      </c>
      <c r="S32">
        <v>17000</v>
      </c>
      <c r="T32">
        <v>17000</v>
      </c>
      <c r="U32">
        <v>17000</v>
      </c>
      <c r="V32">
        <v>17000</v>
      </c>
      <c r="W32">
        <v>17000</v>
      </c>
      <c r="X32">
        <v>17000</v>
      </c>
      <c r="Y32">
        <v>17000</v>
      </c>
      <c r="Z32">
        <v>17000</v>
      </c>
      <c r="AA32">
        <v>17000</v>
      </c>
      <c r="AB32">
        <v>17000</v>
      </c>
      <c r="AC32">
        <v>17000</v>
      </c>
    </row>
    <row r="33" spans="2:30" x14ac:dyDescent="0.25">
      <c r="O33" t="s">
        <v>460</v>
      </c>
      <c r="P33">
        <f>P32*0.4</f>
        <v>6800</v>
      </c>
      <c r="Q33">
        <f t="shared" ref="Q33:AC33" si="1">Q32*0.4</f>
        <v>6800</v>
      </c>
      <c r="R33">
        <f t="shared" si="1"/>
        <v>6800</v>
      </c>
      <c r="S33">
        <f t="shared" si="1"/>
        <v>6800</v>
      </c>
      <c r="T33">
        <f t="shared" si="1"/>
        <v>6800</v>
      </c>
      <c r="U33">
        <f t="shared" si="1"/>
        <v>6800</v>
      </c>
      <c r="V33">
        <f t="shared" si="1"/>
        <v>6800</v>
      </c>
      <c r="W33">
        <f t="shared" si="1"/>
        <v>6800</v>
      </c>
      <c r="X33">
        <f t="shared" si="1"/>
        <v>6800</v>
      </c>
      <c r="Y33">
        <f t="shared" si="1"/>
        <v>6800</v>
      </c>
      <c r="Z33">
        <f t="shared" si="1"/>
        <v>6800</v>
      </c>
      <c r="AA33">
        <f t="shared" si="1"/>
        <v>6800</v>
      </c>
      <c r="AB33">
        <f t="shared" si="1"/>
        <v>6800</v>
      </c>
      <c r="AC33">
        <f t="shared" si="1"/>
        <v>6800</v>
      </c>
    </row>
    <row r="34" spans="2:30" x14ac:dyDescent="0.25">
      <c r="O34" t="s">
        <v>449</v>
      </c>
      <c r="P34">
        <f>(P32+P31)*0.4</f>
        <v>6800</v>
      </c>
      <c r="Q34">
        <f>P34+Q32*0.4</f>
        <v>13600</v>
      </c>
      <c r="R34">
        <f>Q34+R32*0.4-P32*0.4</f>
        <v>13600</v>
      </c>
      <c r="S34">
        <f t="shared" ref="S34:AC34" si="2">R34+S32*0.4</f>
        <v>20400</v>
      </c>
      <c r="T34">
        <f t="shared" si="2"/>
        <v>27200</v>
      </c>
      <c r="U34">
        <f t="shared" si="2"/>
        <v>34000</v>
      </c>
      <c r="V34">
        <f t="shared" si="2"/>
        <v>40800</v>
      </c>
      <c r="W34">
        <f t="shared" si="2"/>
        <v>47600</v>
      </c>
      <c r="X34">
        <f t="shared" si="2"/>
        <v>54400</v>
      </c>
      <c r="Y34">
        <f t="shared" si="2"/>
        <v>61200</v>
      </c>
      <c r="Z34">
        <f t="shared" si="2"/>
        <v>68000</v>
      </c>
      <c r="AA34">
        <f t="shared" si="2"/>
        <v>74800</v>
      </c>
      <c r="AB34">
        <f t="shared" si="2"/>
        <v>81600</v>
      </c>
      <c r="AC34">
        <f t="shared" si="2"/>
        <v>88400</v>
      </c>
    </row>
    <row r="35" spans="2:30" x14ac:dyDescent="0.25">
      <c r="B35" t="s">
        <v>421</v>
      </c>
      <c r="O35" t="s">
        <v>403</v>
      </c>
      <c r="P35" s="20">
        <v>0.6</v>
      </c>
      <c r="Q35" s="20">
        <v>0.6</v>
      </c>
      <c r="R35" s="20">
        <v>0.6</v>
      </c>
      <c r="S35" s="20">
        <v>0.6</v>
      </c>
      <c r="T35" s="20">
        <v>0.6</v>
      </c>
      <c r="U35" s="20">
        <v>0.6</v>
      </c>
      <c r="V35" s="20">
        <v>0.6</v>
      </c>
      <c r="W35" s="20">
        <v>0.6</v>
      </c>
      <c r="X35" s="20">
        <v>0.6</v>
      </c>
      <c r="Y35" s="20">
        <v>0.6</v>
      </c>
      <c r="Z35" s="20">
        <v>0.6</v>
      </c>
      <c r="AA35" s="20">
        <v>0.6</v>
      </c>
      <c r="AB35" s="20">
        <v>0.6</v>
      </c>
      <c r="AC35" s="20">
        <v>0.6</v>
      </c>
      <c r="AD35" s="20"/>
    </row>
    <row r="36" spans="2:30" x14ac:dyDescent="0.25">
      <c r="C36" t="s">
        <v>422</v>
      </c>
      <c r="O36" t="s">
        <v>451</v>
      </c>
      <c r="P36">
        <f t="shared" ref="P36:AC36" si="3">(P32*0.25+P34)*P35</f>
        <v>6630</v>
      </c>
      <c r="Q36">
        <f t="shared" si="3"/>
        <v>10710</v>
      </c>
      <c r="R36">
        <f t="shared" si="3"/>
        <v>10710</v>
      </c>
      <c r="S36">
        <f t="shared" si="3"/>
        <v>14790</v>
      </c>
      <c r="T36">
        <f t="shared" si="3"/>
        <v>18870</v>
      </c>
      <c r="U36">
        <f t="shared" si="3"/>
        <v>22950</v>
      </c>
      <c r="V36">
        <f t="shared" si="3"/>
        <v>27030</v>
      </c>
      <c r="W36">
        <f t="shared" si="3"/>
        <v>31110</v>
      </c>
      <c r="X36">
        <f t="shared" si="3"/>
        <v>35190</v>
      </c>
      <c r="Y36">
        <f t="shared" si="3"/>
        <v>39270</v>
      </c>
      <c r="Z36">
        <f t="shared" si="3"/>
        <v>43350</v>
      </c>
      <c r="AA36">
        <f t="shared" si="3"/>
        <v>47430</v>
      </c>
      <c r="AB36">
        <f t="shared" si="3"/>
        <v>51510</v>
      </c>
      <c r="AC36">
        <f t="shared" si="3"/>
        <v>55590</v>
      </c>
    </row>
    <row r="37" spans="2:30" x14ac:dyDescent="0.25">
      <c r="O37" t="s">
        <v>461</v>
      </c>
      <c r="P37">
        <f>P32*0.25+P33</f>
        <v>11050</v>
      </c>
      <c r="Q37">
        <f>Q32*0.25+Q33+P33*0.86</f>
        <v>16898</v>
      </c>
      <c r="R37">
        <f>R32*0.25+R33+Q33*0.86+P33*0.799</f>
        <v>22331.200000000001</v>
      </c>
      <c r="S37">
        <f>S32*0.25+S33+R33*0.86+Q33*0.799+P33*0.741</f>
        <v>27370</v>
      </c>
      <c r="T37">
        <f t="shared" ref="T37:AC37" si="4">T32*0.25+T33+S33*0.86+R33*0.799+Q33*0.741</f>
        <v>27370</v>
      </c>
      <c r="U37">
        <f t="shared" si="4"/>
        <v>27370</v>
      </c>
      <c r="V37">
        <f t="shared" si="4"/>
        <v>27370</v>
      </c>
      <c r="W37">
        <f t="shared" si="4"/>
        <v>27370</v>
      </c>
      <c r="X37">
        <f t="shared" si="4"/>
        <v>27370</v>
      </c>
      <c r="Y37">
        <f t="shared" si="4"/>
        <v>27370</v>
      </c>
      <c r="Z37">
        <f t="shared" si="4"/>
        <v>27370</v>
      </c>
      <c r="AA37">
        <f t="shared" si="4"/>
        <v>27370</v>
      </c>
      <c r="AB37">
        <f t="shared" si="4"/>
        <v>27370</v>
      </c>
      <c r="AC37">
        <f t="shared" si="4"/>
        <v>27370</v>
      </c>
    </row>
    <row r="38" spans="2:30" x14ac:dyDescent="0.25">
      <c r="O38" t="s">
        <v>450</v>
      </c>
      <c r="P38">
        <v>40000</v>
      </c>
      <c r="Q38">
        <v>40000</v>
      </c>
      <c r="R38">
        <v>40000</v>
      </c>
      <c r="S38">
        <v>40000</v>
      </c>
      <c r="T38">
        <v>40000</v>
      </c>
      <c r="U38">
        <v>40000</v>
      </c>
      <c r="V38">
        <v>40000</v>
      </c>
      <c r="W38">
        <v>40000</v>
      </c>
      <c r="X38">
        <v>40000</v>
      </c>
      <c r="Y38">
        <v>40000</v>
      </c>
      <c r="Z38">
        <v>40000</v>
      </c>
      <c r="AA38">
        <v>40000</v>
      </c>
      <c r="AB38">
        <v>40000</v>
      </c>
      <c r="AC38">
        <v>40000</v>
      </c>
    </row>
    <row r="39" spans="2:30" x14ac:dyDescent="0.25">
      <c r="O39" t="s">
        <v>452</v>
      </c>
      <c r="P39">
        <f>P38*0.5</f>
        <v>20000</v>
      </c>
      <c r="Q39">
        <f t="shared" ref="Q39:AC39" si="5">Q38*0.5</f>
        <v>20000</v>
      </c>
      <c r="R39">
        <f t="shared" si="5"/>
        <v>20000</v>
      </c>
      <c r="S39">
        <f t="shared" si="5"/>
        <v>20000</v>
      </c>
      <c r="T39">
        <f t="shared" si="5"/>
        <v>20000</v>
      </c>
      <c r="U39">
        <f t="shared" si="5"/>
        <v>20000</v>
      </c>
      <c r="V39">
        <f t="shared" si="5"/>
        <v>20000</v>
      </c>
      <c r="W39">
        <f t="shared" si="5"/>
        <v>20000</v>
      </c>
      <c r="X39">
        <f t="shared" si="5"/>
        <v>20000</v>
      </c>
      <c r="Y39">
        <f t="shared" si="5"/>
        <v>20000</v>
      </c>
      <c r="Z39">
        <f t="shared" si="5"/>
        <v>20000</v>
      </c>
      <c r="AA39">
        <f t="shared" si="5"/>
        <v>20000</v>
      </c>
      <c r="AB39">
        <f t="shared" si="5"/>
        <v>20000</v>
      </c>
      <c r="AC39">
        <f t="shared" si="5"/>
        <v>20000</v>
      </c>
    </row>
    <row r="40" spans="2:30" x14ac:dyDescent="0.25">
      <c r="O40" t="s">
        <v>453</v>
      </c>
      <c r="P40">
        <f>P37*P39/1000000</f>
        <v>221</v>
      </c>
      <c r="Q40">
        <f t="shared" ref="Q40:AC40" si="6">Q37*Q39/1000000</f>
        <v>337.96</v>
      </c>
      <c r="R40">
        <f t="shared" si="6"/>
        <v>446.62400000000002</v>
      </c>
      <c r="S40">
        <f t="shared" si="6"/>
        <v>547.4</v>
      </c>
      <c r="T40">
        <f t="shared" si="6"/>
        <v>547.4</v>
      </c>
      <c r="U40">
        <f t="shared" si="6"/>
        <v>547.4</v>
      </c>
      <c r="V40">
        <f t="shared" si="6"/>
        <v>547.4</v>
      </c>
      <c r="W40">
        <f t="shared" si="6"/>
        <v>547.4</v>
      </c>
      <c r="X40">
        <f t="shared" si="6"/>
        <v>547.4</v>
      </c>
      <c r="Y40">
        <f t="shared" si="6"/>
        <v>547.4</v>
      </c>
      <c r="Z40">
        <f t="shared" si="6"/>
        <v>547.4</v>
      </c>
      <c r="AA40">
        <f t="shared" si="6"/>
        <v>547.4</v>
      </c>
      <c r="AB40">
        <f t="shared" si="6"/>
        <v>547.4</v>
      </c>
      <c r="AC40">
        <f t="shared" si="6"/>
        <v>547.4</v>
      </c>
    </row>
    <row r="46" spans="2:30" x14ac:dyDescent="0.25">
      <c r="P46">
        <v>4240</v>
      </c>
    </row>
    <row r="47" spans="2:30" x14ac:dyDescent="0.25">
      <c r="P47">
        <f>P46*2</f>
        <v>8480</v>
      </c>
      <c r="Q47" t="s">
        <v>455</v>
      </c>
    </row>
    <row r="48" spans="2:30" x14ac:dyDescent="0.25">
      <c r="P48">
        <v>6000</v>
      </c>
      <c r="Q48" t="s">
        <v>456</v>
      </c>
    </row>
    <row r="49" spans="16:17" x14ac:dyDescent="0.25">
      <c r="P49">
        <f>P47*P48*0.5/1000000</f>
        <v>25.44</v>
      </c>
      <c r="Q49" t="s">
        <v>457</v>
      </c>
    </row>
    <row r="50" spans="16:17" x14ac:dyDescent="0.25">
      <c r="P50">
        <f>P49*12</f>
        <v>305.28000000000003</v>
      </c>
      <c r="Q50" t="s">
        <v>458</v>
      </c>
    </row>
  </sheetData>
  <hyperlinks>
    <hyperlink ref="D13" r:id="rId1" display="More than 850,000 patients are currently on therapy worldwide and 3 Dupixent indications have achieved blockbuster status, atopic dermatitis, asthma and nasal polyps. Across all 3 of these indications, Dupixent is competitively differentiated based on its clinical profile, depth of clinical experience and potential to be prescribed to very young patients as young as 6 months in the case of atopic dermatitis." xr:uid="{7971B5C3-4CB8-4BCF-806A-6E41536BDF3B}"/>
    <hyperlink ref="D12" r:id="rId2" xr:uid="{C08D2D75-157F-44A2-BCAD-5BB69555A9D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BF6C7-1805-4E74-97F7-ACC1A998EEAA}">
  <sheetPr>
    <outlinePr summaryBelow="0" summaryRight="0"/>
    <pageSetUpPr autoPageBreaks="0"/>
  </sheetPr>
  <dimension ref="A2:IU94"/>
  <sheetViews>
    <sheetView workbookViewId="0"/>
  </sheetViews>
  <sheetFormatPr defaultColWidth="9.140625" defaultRowHeight="11.25" x14ac:dyDescent="0.2"/>
  <cols>
    <col min="1" max="1" width="45.85546875" style="52" customWidth="1"/>
    <col min="2" max="14" width="14.85546875" style="52" customWidth="1"/>
    <col min="15" max="16384" width="9.140625" style="52"/>
  </cols>
  <sheetData>
    <row r="2" spans="1:255" x14ac:dyDescent="0.2">
      <c r="A2" s="54" t="s">
        <v>352</v>
      </c>
      <c r="B2" s="54"/>
      <c r="C2" s="54"/>
      <c r="D2" s="54"/>
      <c r="E2" s="54"/>
      <c r="F2" s="54"/>
      <c r="G2" s="54"/>
      <c r="H2" s="54"/>
      <c r="I2" s="54"/>
      <c r="J2" s="54"/>
      <c r="K2" s="54"/>
      <c r="L2" s="54"/>
      <c r="M2" s="54"/>
      <c r="N2" s="54"/>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c r="CA2" s="55"/>
      <c r="CB2" s="55"/>
      <c r="CC2" s="55"/>
      <c r="CD2" s="55"/>
      <c r="CE2" s="55"/>
      <c r="CF2" s="55"/>
      <c r="CG2" s="55"/>
      <c r="CH2" s="55"/>
      <c r="CI2" s="55"/>
      <c r="CJ2" s="55"/>
      <c r="CK2" s="55"/>
      <c r="CL2" s="55"/>
      <c r="CM2" s="55"/>
      <c r="CN2" s="55"/>
      <c r="CO2" s="55"/>
      <c r="CP2" s="55"/>
      <c r="CQ2" s="55"/>
      <c r="CR2" s="55"/>
      <c r="CS2" s="55"/>
      <c r="CT2" s="55"/>
      <c r="CU2" s="55"/>
      <c r="CV2" s="55"/>
      <c r="CW2" s="55"/>
      <c r="CX2" s="55"/>
      <c r="CY2" s="55"/>
      <c r="CZ2" s="55"/>
      <c r="DA2" s="55"/>
      <c r="DB2" s="55"/>
      <c r="DC2" s="55"/>
      <c r="DD2" s="55"/>
      <c r="DE2" s="55"/>
      <c r="DF2" s="55"/>
      <c r="DG2" s="55"/>
      <c r="DH2" s="55"/>
      <c r="DI2" s="55"/>
      <c r="DJ2" s="55"/>
      <c r="DK2" s="55"/>
      <c r="DL2" s="55"/>
      <c r="DM2" s="55"/>
      <c r="DN2" s="55"/>
      <c r="DO2" s="55"/>
      <c r="DP2" s="55"/>
      <c r="DQ2" s="55"/>
      <c r="DR2" s="55"/>
      <c r="DS2" s="55"/>
      <c r="DT2" s="55"/>
      <c r="DU2" s="55"/>
      <c r="DV2" s="55"/>
      <c r="DW2" s="55"/>
      <c r="DX2" s="55"/>
      <c r="DY2" s="55"/>
      <c r="DZ2" s="55"/>
      <c r="EA2" s="55"/>
      <c r="EB2" s="55"/>
      <c r="EC2" s="55"/>
      <c r="ED2" s="55"/>
      <c r="EE2" s="55"/>
      <c r="EF2" s="55"/>
      <c r="EG2" s="55"/>
      <c r="EH2" s="55"/>
      <c r="EI2" s="55"/>
      <c r="EJ2" s="55"/>
      <c r="EK2" s="55"/>
      <c r="EL2" s="55"/>
      <c r="EM2" s="55"/>
      <c r="EN2" s="55"/>
      <c r="EO2" s="55"/>
      <c r="EP2" s="55"/>
      <c r="EQ2" s="55"/>
      <c r="ER2" s="55"/>
      <c r="ES2" s="55"/>
      <c r="ET2" s="55"/>
      <c r="EU2" s="55"/>
      <c r="EV2" s="55"/>
      <c r="EW2" s="55"/>
      <c r="EX2" s="55"/>
      <c r="EY2" s="55"/>
      <c r="EZ2" s="55"/>
      <c r="FA2" s="55"/>
      <c r="FB2" s="55"/>
      <c r="FC2" s="55"/>
      <c r="FD2" s="55"/>
      <c r="FE2" s="55"/>
      <c r="FF2" s="55"/>
      <c r="FG2" s="55"/>
      <c r="FH2" s="55"/>
      <c r="FI2" s="55"/>
      <c r="FJ2" s="55"/>
      <c r="FK2" s="55"/>
      <c r="FL2" s="55"/>
      <c r="FM2" s="55"/>
      <c r="FN2" s="55"/>
      <c r="FO2" s="55"/>
      <c r="FP2" s="55"/>
      <c r="FQ2" s="55"/>
      <c r="FR2" s="55"/>
      <c r="FS2" s="55"/>
      <c r="FT2" s="55"/>
      <c r="FU2" s="55"/>
      <c r="FV2" s="55"/>
      <c r="FW2" s="55"/>
      <c r="FX2" s="55"/>
      <c r="FY2" s="55"/>
      <c r="FZ2" s="55"/>
      <c r="GA2" s="55"/>
      <c r="GB2" s="55"/>
      <c r="GC2" s="55"/>
      <c r="GD2" s="55"/>
      <c r="GE2" s="55"/>
      <c r="GF2" s="55"/>
      <c r="GG2" s="55"/>
      <c r="GH2" s="55"/>
      <c r="GI2" s="55"/>
      <c r="GJ2" s="55"/>
      <c r="GK2" s="55"/>
      <c r="GL2" s="55"/>
      <c r="GM2" s="55"/>
      <c r="GN2" s="55"/>
      <c r="GO2" s="55"/>
      <c r="GP2" s="55"/>
      <c r="GQ2" s="55"/>
      <c r="GR2" s="55"/>
      <c r="GS2" s="55"/>
      <c r="GT2" s="55"/>
      <c r="GU2" s="55"/>
      <c r="GV2" s="55"/>
      <c r="GW2" s="55"/>
      <c r="GX2" s="55"/>
      <c r="GY2" s="55"/>
      <c r="GZ2" s="55"/>
      <c r="HA2" s="55"/>
      <c r="HB2" s="55"/>
      <c r="HC2" s="55"/>
      <c r="HD2" s="55"/>
      <c r="HE2" s="55"/>
      <c r="HF2" s="55"/>
      <c r="HG2" s="55"/>
      <c r="HH2" s="55"/>
      <c r="HI2" s="55"/>
      <c r="HJ2" s="55"/>
      <c r="HK2" s="55"/>
      <c r="HL2" s="55"/>
      <c r="HM2" s="55"/>
      <c r="HN2" s="55"/>
      <c r="HO2" s="55"/>
      <c r="HP2" s="55"/>
      <c r="HQ2" s="55"/>
      <c r="HR2" s="55"/>
      <c r="HS2" s="55"/>
      <c r="HT2" s="55"/>
      <c r="HU2" s="55"/>
      <c r="HV2" s="55"/>
      <c r="HW2" s="55"/>
      <c r="HX2" s="55"/>
      <c r="HY2" s="55"/>
      <c r="HZ2" s="55"/>
      <c r="IA2" s="55"/>
      <c r="IB2" s="55"/>
      <c r="IC2" s="55"/>
      <c r="ID2" s="55"/>
      <c r="IE2" s="55"/>
      <c r="IF2" s="55"/>
      <c r="IG2" s="55"/>
      <c r="IH2" s="55"/>
      <c r="II2" s="55"/>
      <c r="IJ2" s="55"/>
      <c r="IK2" s="55"/>
      <c r="IL2" s="55"/>
      <c r="IM2" s="55"/>
      <c r="IN2" s="55"/>
      <c r="IO2" s="55"/>
      <c r="IP2" s="55"/>
      <c r="IQ2" s="55"/>
      <c r="IR2" s="55"/>
      <c r="IS2" s="55"/>
      <c r="IT2" s="55"/>
      <c r="IU2" s="55"/>
    </row>
    <row r="3" spans="1:255" ht="33.75" x14ac:dyDescent="0.2">
      <c r="A3" s="56" t="s">
        <v>353</v>
      </c>
      <c r="B3" s="57" t="s">
        <v>354</v>
      </c>
      <c r="C3" s="57" t="s">
        <v>355</v>
      </c>
      <c r="D3" s="57" t="s">
        <v>356</v>
      </c>
      <c r="E3" s="57" t="s">
        <v>357</v>
      </c>
      <c r="F3" s="57" t="s">
        <v>358</v>
      </c>
      <c r="G3" s="57" t="s">
        <v>359</v>
      </c>
      <c r="H3" s="57" t="s">
        <v>360</v>
      </c>
      <c r="I3" s="57" t="s">
        <v>361</v>
      </c>
      <c r="J3" s="57" t="s">
        <v>362</v>
      </c>
      <c r="K3" s="57" t="s">
        <v>363</v>
      </c>
      <c r="L3" s="57" t="s">
        <v>364</v>
      </c>
      <c r="M3" s="57" t="s">
        <v>365</v>
      </c>
      <c r="N3" s="57" t="s">
        <v>366</v>
      </c>
    </row>
    <row r="4" spans="1:255" x14ac:dyDescent="0.2">
      <c r="A4" s="58" t="s">
        <v>367</v>
      </c>
      <c r="B4" s="59" t="s">
        <v>368</v>
      </c>
      <c r="C4" s="59" t="s">
        <v>368</v>
      </c>
      <c r="D4" s="59" t="s">
        <v>368</v>
      </c>
      <c r="E4" s="59" t="s">
        <v>368</v>
      </c>
      <c r="F4" s="59" t="s">
        <v>368</v>
      </c>
      <c r="G4" s="59" t="s">
        <v>368</v>
      </c>
      <c r="H4" s="59" t="s">
        <v>368</v>
      </c>
      <c r="I4" s="59" t="s">
        <v>368</v>
      </c>
      <c r="J4" s="59" t="s">
        <v>368</v>
      </c>
      <c r="K4" s="59" t="s">
        <v>368</v>
      </c>
      <c r="L4" s="59" t="s">
        <v>368</v>
      </c>
      <c r="M4" s="59" t="s">
        <v>368</v>
      </c>
      <c r="N4" s="59" t="s">
        <v>368</v>
      </c>
    </row>
    <row r="5" spans="1:255" x14ac:dyDescent="0.2">
      <c r="A5" s="60" t="s">
        <v>196</v>
      </c>
      <c r="B5" s="53"/>
      <c r="C5" s="53"/>
      <c r="D5" s="53"/>
      <c r="E5" s="53"/>
      <c r="F5" s="53"/>
      <c r="G5" s="53"/>
      <c r="H5" s="53"/>
      <c r="I5" s="53"/>
      <c r="J5" s="53"/>
      <c r="K5" s="53"/>
      <c r="L5" s="53"/>
      <c r="M5" s="53"/>
      <c r="N5" s="53"/>
    </row>
    <row r="6" spans="1:255" x14ac:dyDescent="0.2">
      <c r="A6" s="53" t="s">
        <v>197</v>
      </c>
      <c r="B6" s="61">
        <v>24.821999999999999</v>
      </c>
      <c r="C6" s="61">
        <v>21.585000000000001</v>
      </c>
      <c r="D6" s="61">
        <v>23.625</v>
      </c>
      <c r="E6" s="61">
        <v>22.023</v>
      </c>
      <c r="F6" s="61">
        <v>21.594000000000001</v>
      </c>
      <c r="G6" s="61">
        <v>20.498999999999999</v>
      </c>
      <c r="H6" s="61">
        <v>24.143999999999998</v>
      </c>
      <c r="I6" s="61">
        <v>23.885000000000002</v>
      </c>
      <c r="J6" s="61">
        <v>21.638999999999999</v>
      </c>
      <c r="K6" s="61">
        <v>23.489000000000001</v>
      </c>
      <c r="L6" s="61">
        <v>24.123999999999999</v>
      </c>
      <c r="M6" s="61">
        <v>29.175000000000001</v>
      </c>
      <c r="N6" s="61">
        <v>10.46</v>
      </c>
    </row>
    <row r="7" spans="1:255" x14ac:dyDescent="0.2">
      <c r="A7" s="53" t="s">
        <v>198</v>
      </c>
      <c r="B7" s="61" t="s">
        <v>199</v>
      </c>
      <c r="C7" s="61" t="s">
        <v>199</v>
      </c>
      <c r="D7" s="61" t="s">
        <v>199</v>
      </c>
      <c r="E7" s="61" t="s">
        <v>199</v>
      </c>
      <c r="F7" s="61" t="s">
        <v>199</v>
      </c>
      <c r="G7" s="61" t="s">
        <v>199</v>
      </c>
      <c r="H7" s="61" t="s">
        <v>199</v>
      </c>
      <c r="I7" s="61" t="s">
        <v>199</v>
      </c>
      <c r="J7" s="61" t="s">
        <v>199</v>
      </c>
      <c r="K7" s="61" t="s">
        <v>199</v>
      </c>
      <c r="L7" s="61" t="s">
        <v>199</v>
      </c>
      <c r="M7" s="61" t="s">
        <v>199</v>
      </c>
      <c r="N7" s="61" t="s">
        <v>199</v>
      </c>
    </row>
    <row r="8" spans="1:255" x14ac:dyDescent="0.2">
      <c r="A8" s="60" t="s">
        <v>200</v>
      </c>
      <c r="B8" s="62">
        <v>24.821999999999999</v>
      </c>
      <c r="C8" s="62">
        <v>21.585000000000001</v>
      </c>
      <c r="D8" s="62">
        <v>23.625</v>
      </c>
      <c r="E8" s="62">
        <v>22.023</v>
      </c>
      <c r="F8" s="62">
        <v>21.594000000000001</v>
      </c>
      <c r="G8" s="62">
        <v>20.498999999999999</v>
      </c>
      <c r="H8" s="62">
        <v>24.143999999999998</v>
      </c>
      <c r="I8" s="62">
        <v>23.885000000000002</v>
      </c>
      <c r="J8" s="62">
        <v>21.638999999999999</v>
      </c>
      <c r="K8" s="62">
        <v>23.489000000000001</v>
      </c>
      <c r="L8" s="62">
        <v>24.123999999999999</v>
      </c>
      <c r="M8" s="62">
        <v>29.175000000000001</v>
      </c>
      <c r="N8" s="62">
        <v>10.46</v>
      </c>
    </row>
    <row r="9" spans="1:255" x14ac:dyDescent="0.2">
      <c r="A9" s="53"/>
      <c r="B9" s="53"/>
      <c r="C9" s="53"/>
      <c r="D9" s="53"/>
      <c r="E9" s="53"/>
      <c r="F9" s="53"/>
      <c r="G9" s="53"/>
      <c r="H9" s="53"/>
      <c r="I9" s="53"/>
      <c r="J9" s="53"/>
      <c r="K9" s="53"/>
      <c r="L9" s="53"/>
      <c r="M9" s="53"/>
      <c r="N9" s="53"/>
    </row>
    <row r="10" spans="1:255" x14ac:dyDescent="0.2">
      <c r="A10" s="53" t="s">
        <v>201</v>
      </c>
      <c r="B10" s="61">
        <v>5.3150000000000004</v>
      </c>
      <c r="C10" s="61">
        <v>5.1150000000000002</v>
      </c>
      <c r="D10" s="61">
        <v>4.9720000000000004</v>
      </c>
      <c r="E10" s="61">
        <v>6.2329999999999997</v>
      </c>
      <c r="F10" s="61">
        <v>7.06</v>
      </c>
      <c r="G10" s="61">
        <v>6.9939999999999998</v>
      </c>
      <c r="H10" s="61">
        <v>12.430999999999999</v>
      </c>
      <c r="I10" s="61">
        <v>7.2830000000000004</v>
      </c>
      <c r="J10" s="61">
        <v>8.5340000000000007</v>
      </c>
      <c r="K10" s="61">
        <v>9.74</v>
      </c>
      <c r="L10" s="61">
        <v>4.4349999999999996</v>
      </c>
      <c r="M10" s="61">
        <v>7.9770000000000003</v>
      </c>
      <c r="N10" s="61" t="s">
        <v>199</v>
      </c>
    </row>
    <row r="11" spans="1:255" x14ac:dyDescent="0.2">
      <c r="A11" s="60" t="s">
        <v>202</v>
      </c>
      <c r="B11" s="62">
        <v>19.507000000000001</v>
      </c>
      <c r="C11" s="62">
        <v>16.47</v>
      </c>
      <c r="D11" s="62">
        <v>18.652999999999999</v>
      </c>
      <c r="E11" s="62">
        <v>15.79</v>
      </c>
      <c r="F11" s="62">
        <v>14.534000000000001</v>
      </c>
      <c r="G11" s="62">
        <v>13.505000000000001</v>
      </c>
      <c r="H11" s="62">
        <v>11.712999999999999</v>
      </c>
      <c r="I11" s="62">
        <v>16.602</v>
      </c>
      <c r="J11" s="62">
        <v>13.105</v>
      </c>
      <c r="K11" s="62">
        <v>13.749000000000001</v>
      </c>
      <c r="L11" s="62">
        <v>19.689</v>
      </c>
      <c r="M11" s="62">
        <v>21.198</v>
      </c>
      <c r="N11" s="62">
        <v>10.46</v>
      </c>
    </row>
    <row r="12" spans="1:255" x14ac:dyDescent="0.2">
      <c r="A12" s="53"/>
      <c r="B12" s="53"/>
      <c r="C12" s="53"/>
      <c r="D12" s="53"/>
      <c r="E12" s="53"/>
      <c r="F12" s="53"/>
      <c r="G12" s="53"/>
      <c r="H12" s="53"/>
      <c r="I12" s="53"/>
      <c r="J12" s="53"/>
      <c r="K12" s="53"/>
      <c r="L12" s="53"/>
      <c r="M12" s="53"/>
      <c r="N12" s="53"/>
    </row>
    <row r="13" spans="1:255" x14ac:dyDescent="0.2">
      <c r="A13" s="53" t="s">
        <v>203</v>
      </c>
      <c r="B13" s="61">
        <v>27.338999999999999</v>
      </c>
      <c r="C13" s="61">
        <v>20.521000000000001</v>
      </c>
      <c r="D13" s="61">
        <v>22.533999999999999</v>
      </c>
      <c r="E13" s="61">
        <v>21.939</v>
      </c>
      <c r="F13" s="61">
        <v>21.081</v>
      </c>
      <c r="G13" s="61">
        <v>17.869</v>
      </c>
      <c r="H13" s="61">
        <v>21.146999999999998</v>
      </c>
      <c r="I13" s="61">
        <v>17.32</v>
      </c>
      <c r="J13" s="61">
        <v>20.149000000000001</v>
      </c>
      <c r="K13" s="61">
        <v>20.51</v>
      </c>
      <c r="L13" s="61">
        <v>18.957000000000001</v>
      </c>
      <c r="M13" s="61">
        <v>17.135000000000002</v>
      </c>
      <c r="N13" s="61">
        <v>24.346</v>
      </c>
    </row>
    <row r="14" spans="1:255" x14ac:dyDescent="0.2">
      <c r="A14" s="53" t="s">
        <v>204</v>
      </c>
      <c r="B14" s="61">
        <v>107.253</v>
      </c>
      <c r="C14" s="61">
        <v>42.74</v>
      </c>
      <c r="D14" s="61">
        <v>33.590000000000003</v>
      </c>
      <c r="E14" s="61">
        <v>34.74</v>
      </c>
      <c r="F14" s="61">
        <v>30.469000000000001</v>
      </c>
      <c r="G14" s="61">
        <v>29.681000000000001</v>
      </c>
      <c r="H14" s="61">
        <v>24.07</v>
      </c>
      <c r="I14" s="61">
        <v>29.942</v>
      </c>
      <c r="J14" s="61">
        <v>27.408000000000001</v>
      </c>
      <c r="K14" s="61">
        <v>29.724</v>
      </c>
      <c r="L14" s="61">
        <v>35.030999999999999</v>
      </c>
      <c r="M14" s="61">
        <v>28.745000000000001</v>
      </c>
      <c r="N14" s="61">
        <v>30.48</v>
      </c>
    </row>
    <row r="15" spans="1:255" x14ac:dyDescent="0.2">
      <c r="A15" s="53" t="s">
        <v>258</v>
      </c>
      <c r="B15" s="61" t="s">
        <v>199</v>
      </c>
      <c r="C15" s="61" t="s">
        <v>199</v>
      </c>
      <c r="D15" s="61" t="s">
        <v>199</v>
      </c>
      <c r="E15" s="61" t="s">
        <v>199</v>
      </c>
      <c r="F15" s="61" t="s">
        <v>199</v>
      </c>
      <c r="G15" s="61" t="s">
        <v>199</v>
      </c>
      <c r="H15" s="61" t="s">
        <v>199</v>
      </c>
      <c r="I15" s="61" t="s">
        <v>199</v>
      </c>
      <c r="J15" s="61" t="s">
        <v>199</v>
      </c>
      <c r="K15" s="61" t="s">
        <v>199</v>
      </c>
      <c r="L15" s="61" t="s">
        <v>199</v>
      </c>
      <c r="M15" s="61" t="s">
        <v>199</v>
      </c>
      <c r="N15" s="61" t="s">
        <v>199</v>
      </c>
    </row>
    <row r="16" spans="1:255" x14ac:dyDescent="0.2">
      <c r="A16" s="53" t="s">
        <v>369</v>
      </c>
      <c r="B16" s="61" t="s">
        <v>199</v>
      </c>
      <c r="C16" s="61" t="s">
        <v>199</v>
      </c>
      <c r="D16" s="61" t="s">
        <v>199</v>
      </c>
      <c r="E16" s="61" t="s">
        <v>199</v>
      </c>
      <c r="F16" s="61" t="s">
        <v>199</v>
      </c>
      <c r="G16" s="61" t="s">
        <v>199</v>
      </c>
      <c r="H16" s="61" t="s">
        <v>199</v>
      </c>
      <c r="I16" s="61" t="s">
        <v>199</v>
      </c>
      <c r="J16" s="61" t="s">
        <v>199</v>
      </c>
      <c r="K16" s="61" t="s">
        <v>199</v>
      </c>
      <c r="L16" s="61" t="s">
        <v>199</v>
      </c>
      <c r="M16" s="61" t="s">
        <v>199</v>
      </c>
      <c r="N16" s="61" t="s">
        <v>199</v>
      </c>
    </row>
    <row r="17" spans="1:14" x14ac:dyDescent="0.2">
      <c r="A17" s="53"/>
      <c r="B17" s="53"/>
      <c r="C17" s="53"/>
      <c r="D17" s="53"/>
      <c r="E17" s="53"/>
      <c r="F17" s="53"/>
      <c r="G17" s="53"/>
      <c r="H17" s="53"/>
      <c r="I17" s="53"/>
      <c r="J17" s="53"/>
      <c r="K17" s="53"/>
      <c r="L17" s="53"/>
      <c r="M17" s="53"/>
      <c r="N17" s="53"/>
    </row>
    <row r="18" spans="1:14" x14ac:dyDescent="0.2">
      <c r="A18" s="60" t="s">
        <v>370</v>
      </c>
      <c r="B18" s="62">
        <v>134.59200000000001</v>
      </c>
      <c r="C18" s="62">
        <v>63.261000000000003</v>
      </c>
      <c r="D18" s="62">
        <v>56.124000000000002</v>
      </c>
      <c r="E18" s="62">
        <v>56.679000000000002</v>
      </c>
      <c r="F18" s="62">
        <v>51.55</v>
      </c>
      <c r="G18" s="62">
        <v>47.55</v>
      </c>
      <c r="H18" s="62">
        <v>45.216999999999999</v>
      </c>
      <c r="I18" s="62">
        <v>47.262</v>
      </c>
      <c r="J18" s="62">
        <v>47.557000000000002</v>
      </c>
      <c r="K18" s="62">
        <v>50.234000000000002</v>
      </c>
      <c r="L18" s="62">
        <v>53.988</v>
      </c>
      <c r="M18" s="62">
        <v>45.88</v>
      </c>
      <c r="N18" s="62">
        <v>54.826000000000001</v>
      </c>
    </row>
    <row r="19" spans="1:14" x14ac:dyDescent="0.2">
      <c r="A19" s="53"/>
      <c r="B19" s="53"/>
      <c r="C19" s="53"/>
      <c r="D19" s="53"/>
      <c r="E19" s="53"/>
      <c r="F19" s="53"/>
      <c r="G19" s="53"/>
      <c r="H19" s="53"/>
      <c r="I19" s="53"/>
      <c r="J19" s="53"/>
      <c r="K19" s="53"/>
      <c r="L19" s="53"/>
      <c r="M19" s="53"/>
      <c r="N19" s="53"/>
    </row>
    <row r="20" spans="1:14" x14ac:dyDescent="0.2">
      <c r="A20" s="60" t="s">
        <v>205</v>
      </c>
      <c r="B20" s="63">
        <v>-115.1</v>
      </c>
      <c r="C20" s="63">
        <v>-46.8</v>
      </c>
      <c r="D20" s="63">
        <v>-37.5</v>
      </c>
      <c r="E20" s="63">
        <v>-40.9</v>
      </c>
      <c r="F20" s="63">
        <v>-37</v>
      </c>
      <c r="G20" s="63">
        <v>-34</v>
      </c>
      <c r="H20" s="63">
        <v>-33.5</v>
      </c>
      <c r="I20" s="63">
        <v>-30.7</v>
      </c>
      <c r="J20" s="63">
        <v>-34.5</v>
      </c>
      <c r="K20" s="63">
        <v>-36.5</v>
      </c>
      <c r="L20" s="63">
        <v>-34.299999999999997</v>
      </c>
      <c r="M20" s="63">
        <v>-24.7</v>
      </c>
      <c r="N20" s="63">
        <v>-44.4</v>
      </c>
    </row>
    <row r="21" spans="1:14" x14ac:dyDescent="0.2">
      <c r="A21" s="53"/>
      <c r="B21" s="53"/>
      <c r="C21" s="53"/>
      <c r="D21" s="53"/>
      <c r="E21" s="53"/>
      <c r="F21" s="53"/>
      <c r="G21" s="53"/>
      <c r="H21" s="53"/>
      <c r="I21" s="53"/>
      <c r="J21" s="53"/>
      <c r="K21" s="53"/>
      <c r="L21" s="53"/>
      <c r="M21" s="53"/>
      <c r="N21" s="53"/>
    </row>
    <row r="22" spans="1:14" x14ac:dyDescent="0.2">
      <c r="A22" s="53" t="s">
        <v>206</v>
      </c>
      <c r="B22" s="61">
        <v>-7.5</v>
      </c>
      <c r="C22" s="61">
        <v>-7.2</v>
      </c>
      <c r="D22" s="61">
        <v>-7</v>
      </c>
      <c r="E22" s="61">
        <v>-7.2</v>
      </c>
      <c r="F22" s="61">
        <v>-6.7</v>
      </c>
      <c r="G22" s="61">
        <v>-6.2</v>
      </c>
      <c r="H22" s="61">
        <v>-5.9</v>
      </c>
      <c r="I22" s="61">
        <v>-6.9</v>
      </c>
      <c r="J22" s="61">
        <v>-5.5</v>
      </c>
      <c r="K22" s="61">
        <v>-6.4</v>
      </c>
      <c r="L22" s="61">
        <v>-6</v>
      </c>
      <c r="M22" s="61">
        <v>-10.199999999999999</v>
      </c>
      <c r="N22" s="61">
        <v>-5</v>
      </c>
    </row>
    <row r="23" spans="1:14" x14ac:dyDescent="0.2">
      <c r="A23" s="53" t="s">
        <v>207</v>
      </c>
      <c r="B23" s="61">
        <v>0.39500000000000002</v>
      </c>
      <c r="C23" s="61">
        <v>1.0960000000000001</v>
      </c>
      <c r="D23" s="61">
        <v>2.0499999999999998</v>
      </c>
      <c r="E23" s="61">
        <v>3.242</v>
      </c>
      <c r="F23" s="61">
        <v>4.335</v>
      </c>
      <c r="G23" s="61">
        <v>4.8460000000000001</v>
      </c>
      <c r="H23" s="61">
        <v>5.2110000000000003</v>
      </c>
      <c r="I23" s="61">
        <v>4.617</v>
      </c>
      <c r="J23" s="61">
        <v>4.22</v>
      </c>
      <c r="K23" s="61">
        <v>3.9009999999999998</v>
      </c>
      <c r="L23" s="61">
        <v>3.4369999999999998</v>
      </c>
      <c r="M23" s="61">
        <v>2.9420000000000002</v>
      </c>
      <c r="N23" s="61">
        <v>2.8740000000000001</v>
      </c>
    </row>
    <row r="24" spans="1:14" x14ac:dyDescent="0.2">
      <c r="A24" s="60" t="s">
        <v>371</v>
      </c>
      <c r="B24" s="62">
        <v>-7.1</v>
      </c>
      <c r="C24" s="62">
        <v>-6.1</v>
      </c>
      <c r="D24" s="62">
        <v>-4.9000000000000004</v>
      </c>
      <c r="E24" s="62">
        <v>-4</v>
      </c>
      <c r="F24" s="62">
        <v>-2.4</v>
      </c>
      <c r="G24" s="62">
        <v>-1.3</v>
      </c>
      <c r="H24" s="62">
        <v>-0.7</v>
      </c>
      <c r="I24" s="62">
        <v>-2.2999999999999998</v>
      </c>
      <c r="J24" s="62">
        <v>-1.3</v>
      </c>
      <c r="K24" s="62">
        <v>-2.5</v>
      </c>
      <c r="L24" s="62">
        <v>-2.6</v>
      </c>
      <c r="M24" s="62">
        <v>-7.2</v>
      </c>
      <c r="N24" s="62">
        <v>-2.1</v>
      </c>
    </row>
    <row r="25" spans="1:14" x14ac:dyDescent="0.2">
      <c r="A25" s="53"/>
      <c r="B25" s="53"/>
      <c r="C25" s="53"/>
      <c r="D25" s="53"/>
      <c r="E25" s="53"/>
      <c r="F25" s="53"/>
      <c r="G25" s="53"/>
      <c r="H25" s="53"/>
      <c r="I25" s="53"/>
      <c r="J25" s="53"/>
      <c r="K25" s="53"/>
      <c r="L25" s="53"/>
      <c r="M25" s="53"/>
      <c r="N25" s="53"/>
    </row>
    <row r="26" spans="1:14" x14ac:dyDescent="0.2">
      <c r="A26" s="53" t="s">
        <v>208</v>
      </c>
      <c r="B26" s="61" t="s">
        <v>199</v>
      </c>
      <c r="C26" s="61" t="s">
        <v>199</v>
      </c>
      <c r="D26" s="61" t="s">
        <v>199</v>
      </c>
      <c r="E26" s="61" t="s">
        <v>199</v>
      </c>
      <c r="F26" s="61" t="s">
        <v>199</v>
      </c>
      <c r="G26" s="61" t="s">
        <v>199</v>
      </c>
      <c r="H26" s="61" t="s">
        <v>199</v>
      </c>
      <c r="I26" s="61" t="s">
        <v>199</v>
      </c>
      <c r="J26" s="61" t="s">
        <v>199</v>
      </c>
      <c r="K26" s="61" t="s">
        <v>199</v>
      </c>
      <c r="L26" s="61" t="s">
        <v>199</v>
      </c>
      <c r="M26" s="61" t="s">
        <v>199</v>
      </c>
      <c r="N26" s="61">
        <v>-4.5</v>
      </c>
    </row>
    <row r="27" spans="1:14" x14ac:dyDescent="0.2">
      <c r="A27" s="53" t="s">
        <v>209</v>
      </c>
      <c r="B27" s="61">
        <v>33.427</v>
      </c>
      <c r="C27" s="61" t="s">
        <v>199</v>
      </c>
      <c r="D27" s="61" t="s">
        <v>199</v>
      </c>
      <c r="E27" s="61">
        <v>-0.1</v>
      </c>
      <c r="F27" s="61" t="s">
        <v>199</v>
      </c>
      <c r="G27" s="61">
        <v>0.73599999999999999</v>
      </c>
      <c r="H27" s="61">
        <v>-0.3</v>
      </c>
      <c r="I27" s="61">
        <v>-1.2</v>
      </c>
      <c r="J27" s="61">
        <v>-0.1</v>
      </c>
      <c r="K27" s="61">
        <v>0</v>
      </c>
      <c r="L27" s="61">
        <v>-0.1</v>
      </c>
      <c r="M27" s="61">
        <v>-0.1</v>
      </c>
      <c r="N27" s="61">
        <v>0.26600000000000001</v>
      </c>
    </row>
    <row r="28" spans="1:14" x14ac:dyDescent="0.2">
      <c r="A28" s="60" t="s">
        <v>210</v>
      </c>
      <c r="B28" s="62">
        <v>-88.8</v>
      </c>
      <c r="C28" s="62">
        <v>-52.9</v>
      </c>
      <c r="D28" s="62">
        <v>-42.4</v>
      </c>
      <c r="E28" s="62">
        <v>-45</v>
      </c>
      <c r="F28" s="62">
        <v>-39.4</v>
      </c>
      <c r="G28" s="62">
        <v>-34.6</v>
      </c>
      <c r="H28" s="62">
        <v>-34.5</v>
      </c>
      <c r="I28" s="62">
        <v>-34.200000000000003</v>
      </c>
      <c r="J28" s="62">
        <v>-35.9</v>
      </c>
      <c r="K28" s="62">
        <v>-39</v>
      </c>
      <c r="L28" s="62">
        <v>-37</v>
      </c>
      <c r="M28" s="62">
        <v>-32</v>
      </c>
      <c r="N28" s="62">
        <v>-50.7</v>
      </c>
    </row>
    <row r="29" spans="1:14" x14ac:dyDescent="0.2">
      <c r="A29" s="53"/>
      <c r="B29" s="53"/>
      <c r="C29" s="53"/>
      <c r="D29" s="53"/>
      <c r="E29" s="53"/>
      <c r="F29" s="53"/>
      <c r="G29" s="53"/>
      <c r="H29" s="53"/>
      <c r="I29" s="53"/>
      <c r="J29" s="53"/>
      <c r="K29" s="53"/>
      <c r="L29" s="53"/>
      <c r="M29" s="53"/>
      <c r="N29" s="53"/>
    </row>
    <row r="30" spans="1:14" x14ac:dyDescent="0.2">
      <c r="A30" s="53" t="s">
        <v>211</v>
      </c>
      <c r="B30" s="61">
        <v>-1.5</v>
      </c>
      <c r="C30" s="61">
        <v>-106</v>
      </c>
      <c r="D30" s="61">
        <v>-16.8</v>
      </c>
      <c r="E30" s="61">
        <v>-11.6</v>
      </c>
      <c r="F30" s="61">
        <v>-21.2</v>
      </c>
      <c r="G30" s="61">
        <v>-16.600000000000001</v>
      </c>
      <c r="H30" s="61">
        <v>-11.4</v>
      </c>
      <c r="I30" s="61">
        <v>-2.9</v>
      </c>
      <c r="J30" s="61">
        <v>-1</v>
      </c>
      <c r="K30" s="61">
        <v>-13.3</v>
      </c>
      <c r="L30" s="61">
        <v>0</v>
      </c>
      <c r="M30" s="61">
        <v>-1.4</v>
      </c>
      <c r="N30" s="61">
        <v>-0.2</v>
      </c>
    </row>
    <row r="31" spans="1:14" x14ac:dyDescent="0.2">
      <c r="A31" s="53" t="s">
        <v>212</v>
      </c>
      <c r="B31" s="61" t="s">
        <v>199</v>
      </c>
      <c r="C31" s="61" t="s">
        <v>199</v>
      </c>
      <c r="D31" s="61" t="s">
        <v>199</v>
      </c>
      <c r="E31" s="61" t="s">
        <v>199</v>
      </c>
      <c r="F31" s="61">
        <v>-76.5</v>
      </c>
      <c r="G31" s="61" t="s">
        <v>199</v>
      </c>
      <c r="H31" s="61" t="s">
        <v>199</v>
      </c>
      <c r="I31" s="61">
        <v>0</v>
      </c>
      <c r="J31" s="61" t="s">
        <v>199</v>
      </c>
      <c r="K31" s="61" t="s">
        <v>199</v>
      </c>
      <c r="L31" s="61" t="s">
        <v>199</v>
      </c>
      <c r="M31" s="61" t="s">
        <v>199</v>
      </c>
      <c r="N31" s="61" t="s">
        <v>199</v>
      </c>
    </row>
    <row r="32" spans="1:14" x14ac:dyDescent="0.2">
      <c r="A32" s="53" t="s">
        <v>213</v>
      </c>
      <c r="B32" s="61" t="s">
        <v>199</v>
      </c>
      <c r="C32" s="61" t="s">
        <v>199</v>
      </c>
      <c r="D32" s="61" t="s">
        <v>199</v>
      </c>
      <c r="E32" s="61" t="s">
        <v>199</v>
      </c>
      <c r="F32" s="61" t="s">
        <v>199</v>
      </c>
      <c r="G32" s="61" t="s">
        <v>199</v>
      </c>
      <c r="H32" s="61" t="s">
        <v>199</v>
      </c>
      <c r="I32" s="61">
        <v>-5.0999999999999996</v>
      </c>
      <c r="J32" s="61" t="s">
        <v>199</v>
      </c>
      <c r="K32" s="61" t="s">
        <v>199</v>
      </c>
      <c r="L32" s="61" t="s">
        <v>199</v>
      </c>
      <c r="M32" s="61">
        <v>40.39</v>
      </c>
      <c r="N32" s="61" t="s">
        <v>199</v>
      </c>
    </row>
    <row r="33" spans="1:14" x14ac:dyDescent="0.2">
      <c r="A33" s="53" t="s">
        <v>372</v>
      </c>
      <c r="B33" s="61" t="s">
        <v>199</v>
      </c>
      <c r="C33" s="61" t="s">
        <v>199</v>
      </c>
      <c r="D33" s="61" t="s">
        <v>199</v>
      </c>
      <c r="E33" s="61" t="s">
        <v>199</v>
      </c>
      <c r="F33" s="61" t="s">
        <v>199</v>
      </c>
      <c r="G33" s="61" t="s">
        <v>199</v>
      </c>
      <c r="H33" s="61" t="s">
        <v>199</v>
      </c>
      <c r="I33" s="61" t="s">
        <v>199</v>
      </c>
      <c r="J33" s="61" t="s">
        <v>199</v>
      </c>
      <c r="K33" s="61" t="s">
        <v>199</v>
      </c>
      <c r="L33" s="61" t="s">
        <v>199</v>
      </c>
      <c r="M33" s="61" t="s">
        <v>199</v>
      </c>
      <c r="N33" s="61" t="s">
        <v>199</v>
      </c>
    </row>
    <row r="34" spans="1:14" x14ac:dyDescent="0.2">
      <c r="A34" s="60" t="s">
        <v>214</v>
      </c>
      <c r="B34" s="62">
        <v>-90.3</v>
      </c>
      <c r="C34" s="62">
        <v>-159</v>
      </c>
      <c r="D34" s="62">
        <v>-59.2</v>
      </c>
      <c r="E34" s="62">
        <v>-56.5</v>
      </c>
      <c r="F34" s="62">
        <v>-137.1</v>
      </c>
      <c r="G34" s="62">
        <v>-51.2</v>
      </c>
      <c r="H34" s="62">
        <v>-45.9</v>
      </c>
      <c r="I34" s="62">
        <v>-42.1</v>
      </c>
      <c r="J34" s="62">
        <v>-36.799999999999997</v>
      </c>
      <c r="K34" s="62">
        <v>-52.3</v>
      </c>
      <c r="L34" s="62">
        <v>-37</v>
      </c>
      <c r="M34" s="62">
        <v>7.0019999999999998</v>
      </c>
      <c r="N34" s="62">
        <v>-50.8</v>
      </c>
    </row>
    <row r="35" spans="1:14" x14ac:dyDescent="0.2">
      <c r="A35" s="53"/>
      <c r="B35" s="53"/>
      <c r="C35" s="53"/>
      <c r="D35" s="53"/>
      <c r="E35" s="53"/>
      <c r="F35" s="53"/>
      <c r="G35" s="53"/>
      <c r="H35" s="53"/>
      <c r="I35" s="53"/>
      <c r="J35" s="53"/>
      <c r="K35" s="53"/>
      <c r="L35" s="53"/>
      <c r="M35" s="53"/>
      <c r="N35" s="53"/>
    </row>
    <row r="36" spans="1:14" x14ac:dyDescent="0.2">
      <c r="A36" s="53" t="s">
        <v>215</v>
      </c>
      <c r="B36" s="61">
        <v>0.126</v>
      </c>
      <c r="C36" s="61">
        <v>0.1</v>
      </c>
      <c r="D36" s="61">
        <v>-0.2</v>
      </c>
      <c r="E36" s="61">
        <v>3.1440000000000001</v>
      </c>
      <c r="F36" s="61">
        <v>-0.1</v>
      </c>
      <c r="G36" s="61">
        <v>0</v>
      </c>
      <c r="H36" s="61">
        <v>-0.1</v>
      </c>
      <c r="I36" s="61">
        <v>0</v>
      </c>
      <c r="J36" s="61">
        <v>0</v>
      </c>
      <c r="K36" s="61">
        <v>4.5999999999999999E-2</v>
      </c>
      <c r="L36" s="61">
        <v>8.9999999999999993E-3</v>
      </c>
      <c r="M36" s="61">
        <v>-0.3</v>
      </c>
      <c r="N36" s="61">
        <v>5.1999999999999998E-2</v>
      </c>
    </row>
    <row r="37" spans="1:14" x14ac:dyDescent="0.2">
      <c r="A37" s="60" t="s">
        <v>373</v>
      </c>
      <c r="B37" s="62">
        <v>-90.4</v>
      </c>
      <c r="C37" s="62">
        <v>-159.1</v>
      </c>
      <c r="D37" s="62">
        <v>-59</v>
      </c>
      <c r="E37" s="62">
        <v>-59.7</v>
      </c>
      <c r="F37" s="62">
        <v>-137</v>
      </c>
      <c r="G37" s="62">
        <v>-51.1</v>
      </c>
      <c r="H37" s="62">
        <v>-45.8</v>
      </c>
      <c r="I37" s="62">
        <v>-42.1</v>
      </c>
      <c r="J37" s="62">
        <v>-36.799999999999997</v>
      </c>
      <c r="K37" s="62">
        <v>-52.4</v>
      </c>
      <c r="L37" s="62">
        <v>-37.1</v>
      </c>
      <c r="M37" s="62">
        <v>7.2610000000000001</v>
      </c>
      <c r="N37" s="62">
        <v>-50.9</v>
      </c>
    </row>
    <row r="38" spans="1:14" x14ac:dyDescent="0.2">
      <c r="A38" s="53"/>
      <c r="B38" s="53"/>
      <c r="C38" s="53"/>
      <c r="D38" s="53"/>
      <c r="E38" s="53"/>
      <c r="F38" s="53"/>
      <c r="G38" s="53"/>
      <c r="H38" s="53"/>
      <c r="I38" s="53"/>
      <c r="J38" s="53"/>
      <c r="K38" s="53"/>
      <c r="L38" s="53"/>
      <c r="M38" s="53"/>
      <c r="N38" s="53"/>
    </row>
    <row r="39" spans="1:14" x14ac:dyDescent="0.2">
      <c r="A39" s="53" t="s">
        <v>374</v>
      </c>
      <c r="B39" s="61" t="s">
        <v>199</v>
      </c>
      <c r="C39" s="61" t="s">
        <v>199</v>
      </c>
      <c r="D39" s="61" t="s">
        <v>199</v>
      </c>
      <c r="E39" s="61" t="s">
        <v>199</v>
      </c>
      <c r="F39" s="61" t="s">
        <v>199</v>
      </c>
      <c r="G39" s="61" t="s">
        <v>199</v>
      </c>
      <c r="H39" s="61" t="s">
        <v>199</v>
      </c>
      <c r="I39" s="61" t="s">
        <v>199</v>
      </c>
      <c r="J39" s="61" t="s">
        <v>199</v>
      </c>
      <c r="K39" s="61" t="s">
        <v>199</v>
      </c>
      <c r="L39" s="61" t="s">
        <v>199</v>
      </c>
      <c r="M39" s="61" t="s">
        <v>199</v>
      </c>
      <c r="N39" s="61" t="s">
        <v>199</v>
      </c>
    </row>
    <row r="40" spans="1:14" x14ac:dyDescent="0.2">
      <c r="A40" s="53" t="s">
        <v>375</v>
      </c>
      <c r="B40" s="61" t="s">
        <v>199</v>
      </c>
      <c r="C40" s="61" t="s">
        <v>199</v>
      </c>
      <c r="D40" s="61" t="s">
        <v>199</v>
      </c>
      <c r="E40" s="61" t="s">
        <v>199</v>
      </c>
      <c r="F40" s="61" t="s">
        <v>199</v>
      </c>
      <c r="G40" s="61" t="s">
        <v>199</v>
      </c>
      <c r="H40" s="61" t="s">
        <v>199</v>
      </c>
      <c r="I40" s="61" t="s">
        <v>199</v>
      </c>
      <c r="J40" s="61" t="s">
        <v>199</v>
      </c>
      <c r="K40" s="61" t="s">
        <v>199</v>
      </c>
      <c r="L40" s="61" t="s">
        <v>199</v>
      </c>
      <c r="M40" s="61" t="s">
        <v>199</v>
      </c>
      <c r="N40" s="61" t="s">
        <v>199</v>
      </c>
    </row>
    <row r="41" spans="1:14" x14ac:dyDescent="0.2">
      <c r="A41" s="60" t="s">
        <v>376</v>
      </c>
      <c r="B41" s="62">
        <v>-90.4</v>
      </c>
      <c r="C41" s="62">
        <v>-159.1</v>
      </c>
      <c r="D41" s="62">
        <v>-59</v>
      </c>
      <c r="E41" s="62">
        <v>-59.7</v>
      </c>
      <c r="F41" s="62">
        <v>-137</v>
      </c>
      <c r="G41" s="62">
        <v>-51.1</v>
      </c>
      <c r="H41" s="62">
        <v>-45.8</v>
      </c>
      <c r="I41" s="62">
        <v>-42.1</v>
      </c>
      <c r="J41" s="62">
        <v>-36.799999999999997</v>
      </c>
      <c r="K41" s="62">
        <v>-52.4</v>
      </c>
      <c r="L41" s="62">
        <v>-37.1</v>
      </c>
      <c r="M41" s="62">
        <v>7.2610000000000001</v>
      </c>
      <c r="N41" s="62">
        <v>-50.9</v>
      </c>
    </row>
    <row r="42" spans="1:14" x14ac:dyDescent="0.2">
      <c r="A42" s="53"/>
      <c r="B42" s="53"/>
      <c r="C42" s="53"/>
      <c r="D42" s="53"/>
      <c r="E42" s="53"/>
      <c r="F42" s="53"/>
      <c r="G42" s="53"/>
      <c r="H42" s="53"/>
      <c r="I42" s="53"/>
      <c r="J42" s="53"/>
      <c r="K42" s="53"/>
      <c r="L42" s="53"/>
      <c r="M42" s="53"/>
      <c r="N42" s="53"/>
    </row>
    <row r="43" spans="1:14" x14ac:dyDescent="0.2">
      <c r="A43" s="53" t="s">
        <v>377</v>
      </c>
      <c r="B43" s="61" t="s">
        <v>199</v>
      </c>
      <c r="C43" s="61" t="s">
        <v>199</v>
      </c>
      <c r="D43" s="61" t="s">
        <v>199</v>
      </c>
      <c r="E43" s="61" t="s">
        <v>199</v>
      </c>
      <c r="F43" s="61" t="s">
        <v>199</v>
      </c>
      <c r="G43" s="61" t="s">
        <v>199</v>
      </c>
      <c r="H43" s="61" t="s">
        <v>199</v>
      </c>
      <c r="I43" s="61" t="s">
        <v>199</v>
      </c>
      <c r="J43" s="61" t="s">
        <v>199</v>
      </c>
      <c r="K43" s="61" t="s">
        <v>199</v>
      </c>
      <c r="L43" s="61" t="s">
        <v>199</v>
      </c>
      <c r="M43" s="61" t="s">
        <v>199</v>
      </c>
      <c r="N43" s="61" t="s">
        <v>199</v>
      </c>
    </row>
    <row r="44" spans="1:14" x14ac:dyDescent="0.2">
      <c r="A44" s="60" t="s">
        <v>216</v>
      </c>
      <c r="B44" s="64">
        <v>-90.4</v>
      </c>
      <c r="C44" s="64">
        <v>-159.1</v>
      </c>
      <c r="D44" s="64">
        <v>-59</v>
      </c>
      <c r="E44" s="64">
        <v>-59.7</v>
      </c>
      <c r="F44" s="64">
        <v>-137</v>
      </c>
      <c r="G44" s="64">
        <v>-51.1</v>
      </c>
      <c r="H44" s="64">
        <v>-45.8</v>
      </c>
      <c r="I44" s="64">
        <v>-42.1</v>
      </c>
      <c r="J44" s="64">
        <v>-36.799999999999997</v>
      </c>
      <c r="K44" s="64">
        <v>-52.4</v>
      </c>
      <c r="L44" s="64">
        <v>-37.1</v>
      </c>
      <c r="M44" s="64">
        <v>7.2610000000000001</v>
      </c>
      <c r="N44" s="64">
        <v>-50.9</v>
      </c>
    </row>
    <row r="45" spans="1:14" x14ac:dyDescent="0.2">
      <c r="A45" s="53"/>
      <c r="B45" s="53"/>
      <c r="C45" s="53"/>
      <c r="D45" s="53"/>
      <c r="E45" s="53"/>
      <c r="F45" s="53"/>
      <c r="G45" s="53"/>
      <c r="H45" s="53"/>
      <c r="I45" s="53"/>
      <c r="J45" s="53"/>
      <c r="K45" s="53"/>
      <c r="L45" s="53"/>
      <c r="M45" s="53"/>
      <c r="N45" s="53"/>
    </row>
    <row r="46" spans="1:14" x14ac:dyDescent="0.2">
      <c r="A46" s="53" t="s">
        <v>378</v>
      </c>
      <c r="B46" s="61" t="s">
        <v>199</v>
      </c>
      <c r="C46" s="61" t="s">
        <v>199</v>
      </c>
      <c r="D46" s="61" t="s">
        <v>199</v>
      </c>
      <c r="E46" s="61" t="s">
        <v>199</v>
      </c>
      <c r="F46" s="61" t="s">
        <v>199</v>
      </c>
      <c r="G46" s="61" t="s">
        <v>199</v>
      </c>
      <c r="H46" s="61" t="s">
        <v>199</v>
      </c>
      <c r="I46" s="61" t="s">
        <v>199</v>
      </c>
      <c r="J46" s="61" t="s">
        <v>199</v>
      </c>
      <c r="K46" s="61" t="s">
        <v>199</v>
      </c>
      <c r="L46" s="61" t="s">
        <v>199</v>
      </c>
      <c r="M46" s="61" t="s">
        <v>199</v>
      </c>
      <c r="N46" s="61" t="s">
        <v>199</v>
      </c>
    </row>
    <row r="47" spans="1:14" x14ac:dyDescent="0.2">
      <c r="A47" s="53"/>
      <c r="B47" s="53"/>
      <c r="C47" s="53"/>
      <c r="D47" s="53"/>
      <c r="E47" s="53"/>
      <c r="F47" s="53"/>
      <c r="G47" s="53"/>
      <c r="H47" s="53"/>
      <c r="I47" s="53"/>
      <c r="J47" s="53"/>
      <c r="K47" s="53"/>
      <c r="L47" s="53"/>
      <c r="M47" s="53"/>
      <c r="N47" s="53"/>
    </row>
    <row r="48" spans="1:14" x14ac:dyDescent="0.2">
      <c r="A48" s="60" t="s">
        <v>379</v>
      </c>
      <c r="B48" s="63">
        <v>-90.4</v>
      </c>
      <c r="C48" s="63">
        <v>-159.1</v>
      </c>
      <c r="D48" s="63">
        <v>-59</v>
      </c>
      <c r="E48" s="63">
        <v>-59.7</v>
      </c>
      <c r="F48" s="63">
        <v>-137</v>
      </c>
      <c r="G48" s="63">
        <v>-51.1</v>
      </c>
      <c r="H48" s="63">
        <v>-45.8</v>
      </c>
      <c r="I48" s="63">
        <v>-42.1</v>
      </c>
      <c r="J48" s="63">
        <v>-36.799999999999997</v>
      </c>
      <c r="K48" s="63">
        <v>-52.4</v>
      </c>
      <c r="L48" s="63">
        <v>-37.1</v>
      </c>
      <c r="M48" s="63">
        <v>7.2610000000000001</v>
      </c>
      <c r="N48" s="63">
        <v>-50.9</v>
      </c>
    </row>
    <row r="49" spans="1:14" x14ac:dyDescent="0.2">
      <c r="A49" s="60" t="s">
        <v>380</v>
      </c>
      <c r="B49" s="63">
        <v>-90.4</v>
      </c>
      <c r="C49" s="63">
        <v>-159.1</v>
      </c>
      <c r="D49" s="63">
        <v>-59</v>
      </c>
      <c r="E49" s="63">
        <v>-59.7</v>
      </c>
      <c r="F49" s="63">
        <v>-137</v>
      </c>
      <c r="G49" s="63">
        <v>-51.1</v>
      </c>
      <c r="H49" s="63">
        <v>-45.8</v>
      </c>
      <c r="I49" s="63">
        <v>-42.1</v>
      </c>
      <c r="J49" s="63">
        <v>-36.799999999999997</v>
      </c>
      <c r="K49" s="63">
        <v>-52.4</v>
      </c>
      <c r="L49" s="63">
        <v>-37.1</v>
      </c>
      <c r="M49" s="63">
        <v>7.2610000000000001</v>
      </c>
      <c r="N49" s="63">
        <v>-50.9</v>
      </c>
    </row>
    <row r="50" spans="1:14" x14ac:dyDescent="0.2">
      <c r="A50" s="53"/>
      <c r="B50" s="53"/>
      <c r="C50" s="53"/>
      <c r="D50" s="53"/>
      <c r="E50" s="53"/>
      <c r="F50" s="53"/>
      <c r="G50" s="53"/>
      <c r="H50" s="53"/>
      <c r="I50" s="53"/>
      <c r="J50" s="53"/>
      <c r="K50" s="53"/>
      <c r="L50" s="53"/>
      <c r="M50" s="53"/>
      <c r="N50" s="53"/>
    </row>
    <row r="51" spans="1:14" x14ac:dyDescent="0.2">
      <c r="A51" s="60" t="s">
        <v>217</v>
      </c>
      <c r="B51" s="53"/>
      <c r="C51" s="53"/>
      <c r="D51" s="53"/>
      <c r="E51" s="53"/>
      <c r="F51" s="53"/>
      <c r="G51" s="53"/>
      <c r="H51" s="53"/>
      <c r="I51" s="53"/>
      <c r="J51" s="53"/>
      <c r="K51" s="53"/>
      <c r="L51" s="53"/>
      <c r="M51" s="53"/>
      <c r="N51" s="53"/>
    </row>
    <row r="52" spans="1:14" x14ac:dyDescent="0.2">
      <c r="A52" s="53" t="s">
        <v>218</v>
      </c>
      <c r="B52" s="65">
        <v>-7.3</v>
      </c>
      <c r="C52" s="65">
        <v>-12.77</v>
      </c>
      <c r="D52" s="65">
        <v>-4.72</v>
      </c>
      <c r="E52" s="65">
        <v>-4.76</v>
      </c>
      <c r="F52" s="65">
        <v>-10.88</v>
      </c>
      <c r="G52" s="65">
        <v>-4.04</v>
      </c>
      <c r="H52" s="65">
        <v>-3.61</v>
      </c>
      <c r="I52" s="65">
        <v>-3.3</v>
      </c>
      <c r="J52" s="65">
        <v>-2.83</v>
      </c>
      <c r="K52" s="65">
        <v>-3.76</v>
      </c>
      <c r="L52" s="65">
        <v>-2.66</v>
      </c>
      <c r="M52" s="65">
        <v>0.52</v>
      </c>
      <c r="N52" s="65">
        <v>-3.62</v>
      </c>
    </row>
    <row r="53" spans="1:14" x14ac:dyDescent="0.2">
      <c r="A53" s="53" t="s">
        <v>219</v>
      </c>
      <c r="B53" s="66">
        <v>-7.3</v>
      </c>
      <c r="C53" s="66">
        <v>-12.77</v>
      </c>
      <c r="D53" s="66">
        <v>-4.72</v>
      </c>
      <c r="E53" s="66">
        <v>-4.76</v>
      </c>
      <c r="F53" s="66">
        <v>-10.88</v>
      </c>
      <c r="G53" s="66">
        <v>-4.04</v>
      </c>
      <c r="H53" s="66">
        <v>-3.61</v>
      </c>
      <c r="I53" s="66">
        <v>-3.3</v>
      </c>
      <c r="J53" s="66">
        <v>-2.83</v>
      </c>
      <c r="K53" s="66">
        <v>-3.76</v>
      </c>
      <c r="L53" s="66">
        <v>-2.66</v>
      </c>
      <c r="M53" s="66">
        <v>0.51929199999999998</v>
      </c>
      <c r="N53" s="66">
        <v>-3.62</v>
      </c>
    </row>
    <row r="54" spans="1:14" x14ac:dyDescent="0.2">
      <c r="A54" s="53" t="s">
        <v>220</v>
      </c>
      <c r="B54" s="61">
        <v>12.389873</v>
      </c>
      <c r="C54" s="61">
        <v>12.453340000000001</v>
      </c>
      <c r="D54" s="61">
        <v>12.509406</v>
      </c>
      <c r="E54" s="61">
        <v>12.54914</v>
      </c>
      <c r="F54" s="61">
        <v>12.591673</v>
      </c>
      <c r="G54" s="61">
        <v>12.643739999999999</v>
      </c>
      <c r="H54" s="61">
        <v>12.69374</v>
      </c>
      <c r="I54" s="61">
        <v>12.736006</v>
      </c>
      <c r="J54" s="61">
        <v>12.983072999999999</v>
      </c>
      <c r="K54" s="61">
        <v>13.921874000000001</v>
      </c>
      <c r="L54" s="61">
        <v>13.94994</v>
      </c>
      <c r="M54" s="61">
        <v>13.982474</v>
      </c>
      <c r="N54" s="61">
        <v>14.061607</v>
      </c>
    </row>
    <row r="55" spans="1:14" x14ac:dyDescent="0.2">
      <c r="A55" s="53"/>
      <c r="B55" s="53"/>
      <c r="C55" s="53"/>
      <c r="D55" s="53"/>
      <c r="E55" s="53"/>
      <c r="F55" s="53"/>
      <c r="G55" s="53"/>
      <c r="H55" s="53"/>
      <c r="I55" s="53"/>
      <c r="J55" s="53"/>
      <c r="K55" s="53"/>
      <c r="L55" s="53"/>
      <c r="M55" s="53"/>
      <c r="N55" s="53"/>
    </row>
    <row r="56" spans="1:14" x14ac:dyDescent="0.2">
      <c r="A56" s="53" t="s">
        <v>221</v>
      </c>
      <c r="B56" s="65">
        <v>-7.3</v>
      </c>
      <c r="C56" s="65">
        <v>-12.77</v>
      </c>
      <c r="D56" s="65">
        <v>-4.72</v>
      </c>
      <c r="E56" s="65">
        <v>-4.79</v>
      </c>
      <c r="F56" s="65">
        <v>-10.88</v>
      </c>
      <c r="G56" s="65">
        <v>-4.04</v>
      </c>
      <c r="H56" s="65">
        <v>-3.61</v>
      </c>
      <c r="I56" s="65">
        <v>-3.3</v>
      </c>
      <c r="J56" s="65">
        <v>-2.83</v>
      </c>
      <c r="K56" s="65">
        <v>-3.76</v>
      </c>
      <c r="L56" s="65">
        <v>-2.66</v>
      </c>
      <c r="M56" s="65">
        <v>0.51</v>
      </c>
      <c r="N56" s="65">
        <v>-3.62</v>
      </c>
    </row>
    <row r="57" spans="1:14" x14ac:dyDescent="0.2">
      <c r="A57" s="53" t="s">
        <v>222</v>
      </c>
      <c r="B57" s="66">
        <v>-7.3</v>
      </c>
      <c r="C57" s="66">
        <v>-12.77</v>
      </c>
      <c r="D57" s="66">
        <v>-4.72</v>
      </c>
      <c r="E57" s="66">
        <v>-4.79</v>
      </c>
      <c r="F57" s="66">
        <v>-10.88</v>
      </c>
      <c r="G57" s="66">
        <v>-4.04</v>
      </c>
      <c r="H57" s="66">
        <v>-3.61</v>
      </c>
      <c r="I57" s="66">
        <v>-3.3</v>
      </c>
      <c r="J57" s="66">
        <v>-2.83</v>
      </c>
      <c r="K57" s="66">
        <v>-3.76</v>
      </c>
      <c r="L57" s="66">
        <v>-2.66</v>
      </c>
      <c r="M57" s="66">
        <v>0.50991500000000001</v>
      </c>
      <c r="N57" s="66">
        <v>-3.62</v>
      </c>
    </row>
    <row r="58" spans="1:14" x14ac:dyDescent="0.2">
      <c r="A58" s="53" t="s">
        <v>223</v>
      </c>
      <c r="B58" s="61">
        <v>12.389873</v>
      </c>
      <c r="C58" s="61">
        <v>12.453340000000001</v>
      </c>
      <c r="D58" s="61">
        <v>12.509406</v>
      </c>
      <c r="E58" s="61">
        <v>12.54914</v>
      </c>
      <c r="F58" s="61">
        <v>12.591673</v>
      </c>
      <c r="G58" s="61">
        <v>12.643739999999999</v>
      </c>
      <c r="H58" s="61">
        <v>12.69374</v>
      </c>
      <c r="I58" s="61">
        <v>12.736006</v>
      </c>
      <c r="J58" s="61">
        <v>12.983072999999999</v>
      </c>
      <c r="K58" s="61">
        <v>13.921874000000001</v>
      </c>
      <c r="L58" s="61">
        <v>13.94994</v>
      </c>
      <c r="M58" s="61">
        <v>14.239606999999999</v>
      </c>
      <c r="N58" s="61">
        <v>14.061607</v>
      </c>
    </row>
    <row r="59" spans="1:14" x14ac:dyDescent="0.2">
      <c r="A59" s="53"/>
      <c r="B59" s="53"/>
      <c r="C59" s="53"/>
      <c r="D59" s="53"/>
      <c r="E59" s="53"/>
      <c r="F59" s="53"/>
      <c r="G59" s="53"/>
      <c r="H59" s="53"/>
      <c r="I59" s="53"/>
      <c r="J59" s="53"/>
      <c r="K59" s="53"/>
      <c r="L59" s="53"/>
      <c r="M59" s="53"/>
      <c r="N59" s="53"/>
    </row>
    <row r="60" spans="1:14" x14ac:dyDescent="0.2">
      <c r="A60" s="53" t="s">
        <v>224</v>
      </c>
      <c r="B60" s="65">
        <v>-4.4800000000000004</v>
      </c>
      <c r="C60" s="65">
        <v>-2.66</v>
      </c>
      <c r="D60" s="65">
        <v>-2.12</v>
      </c>
      <c r="E60" s="65">
        <v>-2.2400000000000002</v>
      </c>
      <c r="F60" s="65">
        <v>-1.96</v>
      </c>
      <c r="G60" s="65">
        <v>-1.71</v>
      </c>
      <c r="H60" s="65">
        <v>-1.7</v>
      </c>
      <c r="I60" s="65">
        <v>-1.68</v>
      </c>
      <c r="J60" s="65">
        <v>-1.73</v>
      </c>
      <c r="K60" s="65">
        <v>-1.75</v>
      </c>
      <c r="L60" s="65">
        <v>-1.66</v>
      </c>
      <c r="M60" s="65">
        <v>-1.43</v>
      </c>
      <c r="N60" s="65">
        <v>-2.25</v>
      </c>
    </row>
    <row r="61" spans="1:14" x14ac:dyDescent="0.2">
      <c r="A61" s="53" t="s">
        <v>225</v>
      </c>
      <c r="B61" s="66">
        <v>-4.4800000000000004</v>
      </c>
      <c r="C61" s="66">
        <v>-2.66</v>
      </c>
      <c r="D61" s="66">
        <v>-2.12</v>
      </c>
      <c r="E61" s="66">
        <v>-2.2400000000000002</v>
      </c>
      <c r="F61" s="66">
        <v>-1.96</v>
      </c>
      <c r="G61" s="66">
        <v>-1.71</v>
      </c>
      <c r="H61" s="66">
        <v>-1.7</v>
      </c>
      <c r="I61" s="66">
        <v>-1.68</v>
      </c>
      <c r="J61" s="66">
        <v>-1.73</v>
      </c>
      <c r="K61" s="66">
        <v>-1.75</v>
      </c>
      <c r="L61" s="66">
        <v>-1.66</v>
      </c>
      <c r="M61" s="66">
        <v>-1.41</v>
      </c>
      <c r="N61" s="66">
        <v>-2.25</v>
      </c>
    </row>
    <row r="62" spans="1:14" x14ac:dyDescent="0.2">
      <c r="A62" s="53"/>
      <c r="B62" s="53"/>
      <c r="C62" s="53"/>
      <c r="D62" s="53"/>
      <c r="E62" s="53"/>
      <c r="F62" s="53"/>
      <c r="G62" s="53"/>
      <c r="H62" s="53"/>
      <c r="I62" s="53"/>
      <c r="J62" s="53"/>
      <c r="K62" s="53"/>
      <c r="L62" s="53"/>
      <c r="M62" s="53"/>
      <c r="N62" s="53"/>
    </row>
    <row r="63" spans="1:14" x14ac:dyDescent="0.2">
      <c r="A63" s="53" t="s">
        <v>226</v>
      </c>
      <c r="B63" s="66" t="s">
        <v>227</v>
      </c>
      <c r="C63" s="66" t="s">
        <v>227</v>
      </c>
      <c r="D63" s="66" t="s">
        <v>227</v>
      </c>
      <c r="E63" s="66" t="s">
        <v>227</v>
      </c>
      <c r="F63" s="66" t="s">
        <v>227</v>
      </c>
      <c r="G63" s="66" t="s">
        <v>227</v>
      </c>
      <c r="H63" s="66" t="s">
        <v>227</v>
      </c>
      <c r="I63" s="66" t="s">
        <v>227</v>
      </c>
      <c r="J63" s="66" t="s">
        <v>227</v>
      </c>
      <c r="K63" s="66" t="s">
        <v>227</v>
      </c>
      <c r="L63" s="66" t="s">
        <v>227</v>
      </c>
      <c r="M63" s="66" t="s">
        <v>227</v>
      </c>
      <c r="N63" s="66" t="s">
        <v>227</v>
      </c>
    </row>
    <row r="64" spans="1:14" x14ac:dyDescent="0.2">
      <c r="A64" s="53"/>
      <c r="B64" s="53"/>
      <c r="C64" s="53"/>
      <c r="D64" s="53"/>
      <c r="E64" s="53"/>
      <c r="F64" s="53"/>
      <c r="G64" s="53"/>
      <c r="H64" s="53"/>
      <c r="I64" s="53"/>
      <c r="J64" s="53"/>
      <c r="K64" s="53"/>
      <c r="L64" s="53"/>
      <c r="M64" s="53"/>
      <c r="N64" s="53"/>
    </row>
    <row r="65" spans="1:14" x14ac:dyDescent="0.2">
      <c r="A65" s="60" t="s">
        <v>228</v>
      </c>
      <c r="B65" s="53"/>
      <c r="C65" s="53"/>
      <c r="D65" s="53"/>
      <c r="E65" s="53"/>
      <c r="F65" s="53"/>
      <c r="G65" s="53"/>
      <c r="H65" s="53"/>
      <c r="I65" s="53"/>
      <c r="J65" s="53"/>
      <c r="K65" s="53"/>
      <c r="L65" s="53"/>
      <c r="M65" s="53"/>
      <c r="N65" s="53"/>
    </row>
    <row r="66" spans="1:14" x14ac:dyDescent="0.2">
      <c r="A66" s="53" t="s">
        <v>229</v>
      </c>
      <c r="B66" s="61">
        <v>-111.4</v>
      </c>
      <c r="C66" s="61">
        <v>-43.4</v>
      </c>
      <c r="D66" s="61">
        <v>-34.799999999999997</v>
      </c>
      <c r="E66" s="61">
        <v>-37.700000000000003</v>
      </c>
      <c r="F66" s="61">
        <v>-34.700000000000003</v>
      </c>
      <c r="G66" s="61">
        <v>-31.9</v>
      </c>
      <c r="H66" s="61">
        <v>-31.8</v>
      </c>
      <c r="I66" s="61">
        <v>-29</v>
      </c>
      <c r="J66" s="61">
        <v>-32.799999999999997</v>
      </c>
      <c r="K66" s="61">
        <v>-35</v>
      </c>
      <c r="L66" s="61">
        <v>-33.299999999999997</v>
      </c>
      <c r="M66" s="61">
        <v>-24.4</v>
      </c>
      <c r="N66" s="61">
        <v>-43.9</v>
      </c>
    </row>
    <row r="67" spans="1:14" x14ac:dyDescent="0.2">
      <c r="A67" s="53" t="s">
        <v>230</v>
      </c>
      <c r="B67" s="61">
        <v>-115.1</v>
      </c>
      <c r="C67" s="61">
        <v>-46.8</v>
      </c>
      <c r="D67" s="61">
        <v>-37.5</v>
      </c>
      <c r="E67" s="61">
        <v>-40.9</v>
      </c>
      <c r="F67" s="61">
        <v>-37</v>
      </c>
      <c r="G67" s="61">
        <v>-34</v>
      </c>
      <c r="H67" s="61">
        <v>-33.5</v>
      </c>
      <c r="I67" s="61">
        <v>-30.7</v>
      </c>
      <c r="J67" s="61">
        <v>-34.5</v>
      </c>
      <c r="K67" s="61">
        <v>-36.5</v>
      </c>
      <c r="L67" s="61">
        <v>-34.299999999999997</v>
      </c>
      <c r="M67" s="61">
        <v>-24.7</v>
      </c>
      <c r="N67" s="61">
        <v>-44.4</v>
      </c>
    </row>
    <row r="68" spans="1:14" x14ac:dyDescent="0.2">
      <c r="A68" s="53" t="s">
        <v>231</v>
      </c>
      <c r="B68" s="61">
        <v>-115.1</v>
      </c>
      <c r="C68" s="61">
        <v>-46.8</v>
      </c>
      <c r="D68" s="61">
        <v>-37.5</v>
      </c>
      <c r="E68" s="61">
        <v>-40.9</v>
      </c>
      <c r="F68" s="61">
        <v>-37</v>
      </c>
      <c r="G68" s="61">
        <v>-34</v>
      </c>
      <c r="H68" s="61">
        <v>-33.5</v>
      </c>
      <c r="I68" s="61">
        <v>-30.7</v>
      </c>
      <c r="J68" s="61">
        <v>-34.5</v>
      </c>
      <c r="K68" s="61">
        <v>-36.5</v>
      </c>
      <c r="L68" s="61">
        <v>-34.299999999999997</v>
      </c>
      <c r="M68" s="61">
        <v>-24.7</v>
      </c>
      <c r="N68" s="61">
        <v>-44.4</v>
      </c>
    </row>
    <row r="69" spans="1:14" x14ac:dyDescent="0.2">
      <c r="A69" s="53" t="s">
        <v>232</v>
      </c>
      <c r="B69" s="61">
        <v>24.821999999999999</v>
      </c>
      <c r="C69" s="61">
        <v>21.585000000000001</v>
      </c>
      <c r="D69" s="61">
        <v>23.625</v>
      </c>
      <c r="E69" s="61">
        <v>22.023</v>
      </c>
      <c r="F69" s="61">
        <v>21.594000000000001</v>
      </c>
      <c r="G69" s="61">
        <v>20.498999999999999</v>
      </c>
      <c r="H69" s="61">
        <v>24.143999999999998</v>
      </c>
      <c r="I69" s="61">
        <v>23.885000000000002</v>
      </c>
      <c r="J69" s="61">
        <v>21.638999999999999</v>
      </c>
      <c r="K69" s="61">
        <v>23.489000000000001</v>
      </c>
      <c r="L69" s="61">
        <v>24.123999999999999</v>
      </c>
      <c r="M69" s="61">
        <v>29.175000000000001</v>
      </c>
      <c r="N69" s="61">
        <v>10.46</v>
      </c>
    </row>
    <row r="70" spans="1:14" x14ac:dyDescent="0.2">
      <c r="A70" s="53" t="s">
        <v>233</v>
      </c>
      <c r="B70" s="67" t="s">
        <v>234</v>
      </c>
      <c r="C70" s="67" t="s">
        <v>234</v>
      </c>
      <c r="D70" s="67" t="s">
        <v>234</v>
      </c>
      <c r="E70" s="67" t="s">
        <v>234</v>
      </c>
      <c r="F70" s="67" t="s">
        <v>234</v>
      </c>
      <c r="G70" s="67" t="s">
        <v>234</v>
      </c>
      <c r="H70" s="67" t="s">
        <v>234</v>
      </c>
      <c r="I70" s="67" t="s">
        <v>234</v>
      </c>
      <c r="J70" s="67" t="s">
        <v>234</v>
      </c>
      <c r="K70" s="67" t="s">
        <v>234</v>
      </c>
      <c r="L70" s="67" t="s">
        <v>234</v>
      </c>
      <c r="M70" s="67" t="s">
        <v>234</v>
      </c>
      <c r="N70" s="67" t="s">
        <v>234</v>
      </c>
    </row>
    <row r="71" spans="1:14" x14ac:dyDescent="0.2">
      <c r="A71" s="53" t="s">
        <v>235</v>
      </c>
      <c r="B71" s="61" t="s">
        <v>227</v>
      </c>
      <c r="C71" s="61" t="s">
        <v>227</v>
      </c>
      <c r="D71" s="61" t="s">
        <v>227</v>
      </c>
      <c r="E71" s="61">
        <v>-0.6</v>
      </c>
      <c r="F71" s="61" t="s">
        <v>227</v>
      </c>
      <c r="G71" s="61" t="s">
        <v>227</v>
      </c>
      <c r="H71" s="61" t="s">
        <v>227</v>
      </c>
      <c r="I71" s="61">
        <v>0</v>
      </c>
      <c r="J71" s="61" t="s">
        <v>227</v>
      </c>
      <c r="K71" s="61" t="s">
        <v>227</v>
      </c>
      <c r="L71" s="61" t="s">
        <v>227</v>
      </c>
      <c r="M71" s="61">
        <v>-0.3</v>
      </c>
      <c r="N71" s="61" t="s">
        <v>227</v>
      </c>
    </row>
    <row r="72" spans="1:14" x14ac:dyDescent="0.2">
      <c r="A72" s="53" t="s">
        <v>236</v>
      </c>
      <c r="B72" s="61" t="s">
        <v>227</v>
      </c>
      <c r="C72" s="61" t="s">
        <v>227</v>
      </c>
      <c r="D72" s="61" t="s">
        <v>227</v>
      </c>
      <c r="E72" s="61">
        <v>1.115</v>
      </c>
      <c r="F72" s="61" t="s">
        <v>227</v>
      </c>
      <c r="G72" s="61" t="s">
        <v>227</v>
      </c>
      <c r="H72" s="61" t="s">
        <v>227</v>
      </c>
      <c r="I72" s="61">
        <v>0</v>
      </c>
      <c r="J72" s="61" t="s">
        <v>227</v>
      </c>
      <c r="K72" s="61" t="s">
        <v>227</v>
      </c>
      <c r="L72" s="61" t="s">
        <v>227</v>
      </c>
      <c r="M72" s="61">
        <v>4.8000000000000001E-2</v>
      </c>
      <c r="N72" s="61" t="s">
        <v>227</v>
      </c>
    </row>
    <row r="73" spans="1:14" x14ac:dyDescent="0.2">
      <c r="A73" s="53" t="s">
        <v>237</v>
      </c>
      <c r="B73" s="61" t="s">
        <v>199</v>
      </c>
      <c r="C73" s="61" t="s">
        <v>199</v>
      </c>
      <c r="D73" s="61" t="s">
        <v>199</v>
      </c>
      <c r="E73" s="61">
        <v>0.50700000000000001</v>
      </c>
      <c r="F73" s="61" t="s">
        <v>199</v>
      </c>
      <c r="G73" s="61" t="s">
        <v>199</v>
      </c>
      <c r="H73" s="61" t="s">
        <v>199</v>
      </c>
      <c r="I73" s="61">
        <v>-0.1</v>
      </c>
      <c r="J73" s="61" t="s">
        <v>199</v>
      </c>
      <c r="K73" s="61" t="s">
        <v>199</v>
      </c>
      <c r="L73" s="61" t="s">
        <v>199</v>
      </c>
      <c r="M73" s="61">
        <v>-0.2</v>
      </c>
      <c r="N73" s="61" t="s">
        <v>199</v>
      </c>
    </row>
    <row r="74" spans="1:14" x14ac:dyDescent="0.2">
      <c r="A74" s="53" t="s">
        <v>238</v>
      </c>
      <c r="B74" s="61" t="s">
        <v>227</v>
      </c>
      <c r="C74" s="61" t="s">
        <v>227</v>
      </c>
      <c r="D74" s="61" t="s">
        <v>227</v>
      </c>
      <c r="E74" s="61">
        <v>2.7080000000000002</v>
      </c>
      <c r="F74" s="61" t="s">
        <v>227</v>
      </c>
      <c r="G74" s="61" t="s">
        <v>227</v>
      </c>
      <c r="H74" s="61" t="s">
        <v>227</v>
      </c>
      <c r="I74" s="61">
        <v>-0.1</v>
      </c>
      <c r="J74" s="61" t="s">
        <v>227</v>
      </c>
      <c r="K74" s="61" t="s">
        <v>227</v>
      </c>
      <c r="L74" s="61" t="s">
        <v>227</v>
      </c>
      <c r="M74" s="61">
        <v>0</v>
      </c>
      <c r="N74" s="61" t="s">
        <v>227</v>
      </c>
    </row>
    <row r="75" spans="1:14" x14ac:dyDescent="0.2">
      <c r="A75" s="53" t="s">
        <v>239</v>
      </c>
      <c r="B75" s="61" t="s">
        <v>199</v>
      </c>
      <c r="C75" s="61" t="s">
        <v>199</v>
      </c>
      <c r="D75" s="61" t="s">
        <v>199</v>
      </c>
      <c r="E75" s="61">
        <v>2.7080000000000002</v>
      </c>
      <c r="F75" s="61" t="s">
        <v>199</v>
      </c>
      <c r="G75" s="61" t="s">
        <v>199</v>
      </c>
      <c r="H75" s="61" t="s">
        <v>199</v>
      </c>
      <c r="I75" s="61">
        <v>-0.1</v>
      </c>
      <c r="J75" s="61" t="s">
        <v>199</v>
      </c>
      <c r="K75" s="61" t="s">
        <v>199</v>
      </c>
      <c r="L75" s="61" t="s">
        <v>199</v>
      </c>
      <c r="M75" s="61">
        <v>0</v>
      </c>
      <c r="N75" s="61" t="s">
        <v>199</v>
      </c>
    </row>
    <row r="76" spans="1:14" x14ac:dyDescent="0.2">
      <c r="A76" s="53"/>
      <c r="B76" s="53"/>
      <c r="C76" s="53"/>
      <c r="D76" s="53"/>
      <c r="E76" s="53"/>
      <c r="F76" s="53"/>
      <c r="G76" s="53"/>
      <c r="H76" s="53"/>
      <c r="I76" s="53"/>
      <c r="J76" s="53"/>
      <c r="K76" s="53"/>
      <c r="L76" s="53"/>
      <c r="M76" s="53"/>
      <c r="N76" s="53"/>
    </row>
    <row r="77" spans="1:14" x14ac:dyDescent="0.2">
      <c r="A77" s="53" t="s">
        <v>240</v>
      </c>
      <c r="B77" s="61">
        <v>-55.5</v>
      </c>
      <c r="C77" s="61">
        <v>-33.1</v>
      </c>
      <c r="D77" s="61">
        <v>-26.5</v>
      </c>
      <c r="E77" s="61">
        <v>-28.1</v>
      </c>
      <c r="F77" s="61">
        <v>-24.6</v>
      </c>
      <c r="G77" s="61">
        <v>-21.6</v>
      </c>
      <c r="H77" s="61">
        <v>-21.6</v>
      </c>
      <c r="I77" s="61">
        <v>-21.3</v>
      </c>
      <c r="J77" s="61">
        <v>-22.4</v>
      </c>
      <c r="K77" s="61">
        <v>-24.4</v>
      </c>
      <c r="L77" s="61">
        <v>-23.1</v>
      </c>
      <c r="M77" s="61">
        <v>-20</v>
      </c>
      <c r="N77" s="61">
        <v>-31.7</v>
      </c>
    </row>
    <row r="78" spans="1:14" x14ac:dyDescent="0.2">
      <c r="A78" s="53" t="s">
        <v>241</v>
      </c>
      <c r="B78" s="68">
        <v>45056</v>
      </c>
      <c r="C78" s="68">
        <v>45147</v>
      </c>
      <c r="D78" s="68">
        <v>45238</v>
      </c>
      <c r="E78" s="68">
        <v>45356</v>
      </c>
      <c r="F78" s="68">
        <v>45422</v>
      </c>
      <c r="G78" s="68">
        <v>45513</v>
      </c>
      <c r="H78" s="68">
        <v>45604</v>
      </c>
      <c r="I78" s="68">
        <v>45730</v>
      </c>
      <c r="J78" s="68">
        <v>45786</v>
      </c>
      <c r="K78" s="68">
        <v>45513</v>
      </c>
      <c r="L78" s="68">
        <v>45604</v>
      </c>
      <c r="M78" s="68">
        <v>45730</v>
      </c>
      <c r="N78" s="68">
        <v>45786</v>
      </c>
    </row>
    <row r="79" spans="1:14" x14ac:dyDescent="0.2">
      <c r="A79" s="53" t="s">
        <v>242</v>
      </c>
      <c r="B79" s="69" t="s">
        <v>243</v>
      </c>
      <c r="C79" s="69" t="s">
        <v>243</v>
      </c>
      <c r="D79" s="69" t="s">
        <v>243</v>
      </c>
      <c r="E79" s="69" t="s">
        <v>243</v>
      </c>
      <c r="F79" s="69" t="s">
        <v>243</v>
      </c>
      <c r="G79" s="69" t="s">
        <v>243</v>
      </c>
      <c r="H79" s="69" t="s">
        <v>243</v>
      </c>
      <c r="I79" s="69" t="s">
        <v>243</v>
      </c>
      <c r="J79" s="69" t="s">
        <v>243</v>
      </c>
      <c r="K79" s="69" t="s">
        <v>244</v>
      </c>
      <c r="L79" s="69" t="s">
        <v>244</v>
      </c>
      <c r="M79" s="69" t="s">
        <v>244</v>
      </c>
      <c r="N79" s="69" t="s">
        <v>244</v>
      </c>
    </row>
    <row r="80" spans="1:14" x14ac:dyDescent="0.2">
      <c r="A80" s="53" t="s">
        <v>245</v>
      </c>
      <c r="B80" s="69" t="s">
        <v>246</v>
      </c>
      <c r="C80" s="69" t="s">
        <v>246</v>
      </c>
      <c r="D80" s="69" t="s">
        <v>246</v>
      </c>
      <c r="E80" s="69" t="s">
        <v>247</v>
      </c>
      <c r="F80" s="69" t="s">
        <v>246</v>
      </c>
      <c r="G80" s="69" t="s">
        <v>246</v>
      </c>
      <c r="H80" s="69" t="s">
        <v>246</v>
      </c>
      <c r="I80" s="69" t="s">
        <v>247</v>
      </c>
      <c r="J80" s="69" t="s">
        <v>246</v>
      </c>
      <c r="K80" s="69" t="s">
        <v>246</v>
      </c>
      <c r="L80" s="69" t="s">
        <v>246</v>
      </c>
      <c r="M80" s="69" t="s">
        <v>247</v>
      </c>
      <c r="N80" s="69" t="s">
        <v>246</v>
      </c>
    </row>
    <row r="81" spans="1:14" x14ac:dyDescent="0.2">
      <c r="A81" s="53"/>
      <c r="B81" s="53"/>
      <c r="C81" s="53"/>
      <c r="D81" s="53"/>
      <c r="E81" s="53"/>
      <c r="F81" s="53"/>
      <c r="G81" s="53"/>
      <c r="H81" s="53"/>
      <c r="I81" s="53"/>
      <c r="J81" s="53"/>
      <c r="K81" s="53"/>
      <c r="L81" s="53"/>
      <c r="M81" s="53"/>
      <c r="N81" s="53"/>
    </row>
    <row r="82" spans="1:14" x14ac:dyDescent="0.2">
      <c r="A82" s="60" t="s">
        <v>248</v>
      </c>
      <c r="B82" s="53"/>
      <c r="C82" s="53"/>
      <c r="D82" s="53"/>
      <c r="E82" s="53"/>
      <c r="F82" s="53"/>
      <c r="G82" s="53"/>
      <c r="H82" s="53"/>
      <c r="I82" s="53"/>
      <c r="J82" s="53"/>
      <c r="K82" s="53"/>
      <c r="L82" s="53"/>
      <c r="M82" s="53"/>
      <c r="N82" s="53"/>
    </row>
    <row r="83" spans="1:14" x14ac:dyDescent="0.2">
      <c r="A83" s="53" t="s">
        <v>249</v>
      </c>
      <c r="B83" s="61">
        <v>27.338999999999999</v>
      </c>
      <c r="C83" s="61">
        <v>20.521000000000001</v>
      </c>
      <c r="D83" s="61">
        <v>22.533999999999999</v>
      </c>
      <c r="E83" s="61">
        <v>21.939</v>
      </c>
      <c r="F83" s="61">
        <v>21.081</v>
      </c>
      <c r="G83" s="61">
        <v>17.869</v>
      </c>
      <c r="H83" s="61">
        <v>21.146999999999998</v>
      </c>
      <c r="I83" s="61">
        <v>17.32</v>
      </c>
      <c r="J83" s="61">
        <v>20.149000000000001</v>
      </c>
      <c r="K83" s="61">
        <v>20.51</v>
      </c>
      <c r="L83" s="61">
        <v>18.957000000000001</v>
      </c>
      <c r="M83" s="61">
        <v>17.135000000000002</v>
      </c>
      <c r="N83" s="61">
        <v>24.346</v>
      </c>
    </row>
    <row r="84" spans="1:14" x14ac:dyDescent="0.2">
      <c r="A84" s="53" t="s">
        <v>250</v>
      </c>
      <c r="B84" s="61">
        <v>132.15299999999999</v>
      </c>
      <c r="C84" s="61">
        <v>42.74</v>
      </c>
      <c r="D84" s="61">
        <v>33.590000000000003</v>
      </c>
      <c r="E84" s="61">
        <v>34.74</v>
      </c>
      <c r="F84" s="61">
        <v>30.469000000000001</v>
      </c>
      <c r="G84" s="61">
        <v>29.681000000000001</v>
      </c>
      <c r="H84" s="61">
        <v>24.07</v>
      </c>
      <c r="I84" s="61">
        <v>29.942</v>
      </c>
      <c r="J84" s="61">
        <v>27.408000000000001</v>
      </c>
      <c r="K84" s="61">
        <v>29.724</v>
      </c>
      <c r="L84" s="61">
        <v>35.030999999999999</v>
      </c>
      <c r="M84" s="61">
        <v>28.745000000000001</v>
      </c>
      <c r="N84" s="61">
        <v>30.48</v>
      </c>
    </row>
    <row r="85" spans="1:14" x14ac:dyDescent="0.2">
      <c r="A85" s="53"/>
      <c r="B85" s="53"/>
      <c r="C85" s="53"/>
      <c r="D85" s="53"/>
      <c r="E85" s="53"/>
      <c r="F85" s="53"/>
      <c r="G85" s="53"/>
      <c r="H85" s="53"/>
      <c r="I85" s="53"/>
      <c r="J85" s="53"/>
      <c r="K85" s="53"/>
      <c r="L85" s="53"/>
      <c r="M85" s="53"/>
      <c r="N85" s="53"/>
    </row>
    <row r="86" spans="1:14" x14ac:dyDescent="0.2">
      <c r="A86" s="53" t="s">
        <v>251</v>
      </c>
      <c r="B86" s="61">
        <v>0.66900000000000004</v>
      </c>
      <c r="C86" s="61">
        <v>0.64900000000000002</v>
      </c>
      <c r="D86" s="61">
        <v>0.72</v>
      </c>
      <c r="E86" s="61">
        <v>0.78700000000000003</v>
      </c>
      <c r="F86" s="61">
        <v>0.81200000000000006</v>
      </c>
      <c r="G86" s="61">
        <v>0.80100000000000005</v>
      </c>
      <c r="H86" s="61">
        <v>0.84099999999999997</v>
      </c>
      <c r="I86" s="61">
        <v>0.72299999999999998</v>
      </c>
      <c r="J86" s="61">
        <v>0.63300000000000001</v>
      </c>
      <c r="K86" s="61">
        <v>0.52500000000000002</v>
      </c>
      <c r="L86" s="61">
        <v>0.51600000000000001</v>
      </c>
      <c r="M86" s="61">
        <v>0.27300000000000002</v>
      </c>
      <c r="N86" s="61" t="s">
        <v>199</v>
      </c>
    </row>
    <row r="87" spans="1:14" x14ac:dyDescent="0.2">
      <c r="A87" s="53" t="s">
        <v>252</v>
      </c>
      <c r="B87" s="61">
        <v>12.041</v>
      </c>
      <c r="C87" s="61">
        <v>4.7510000000000003</v>
      </c>
      <c r="D87" s="61">
        <v>5.4219999999999997</v>
      </c>
      <c r="E87" s="61">
        <v>5.5119999999999996</v>
      </c>
      <c r="F87" s="61">
        <v>4.1459999999999999</v>
      </c>
      <c r="G87" s="61">
        <v>3.7589999999999999</v>
      </c>
      <c r="H87" s="61">
        <v>3.202</v>
      </c>
      <c r="I87" s="61">
        <v>2.7829999999999999</v>
      </c>
      <c r="J87" s="61">
        <v>2.2799999999999998</v>
      </c>
      <c r="K87" s="61">
        <v>2.0470000000000002</v>
      </c>
      <c r="L87" s="61">
        <v>2.0099999999999998</v>
      </c>
      <c r="M87" s="61">
        <v>1.8240000000000001</v>
      </c>
      <c r="N87" s="61">
        <v>1.4359999999999999</v>
      </c>
    </row>
    <row r="88" spans="1:14" x14ac:dyDescent="0.2">
      <c r="A88" s="53" t="s">
        <v>253</v>
      </c>
      <c r="B88" s="61">
        <v>8.2509999999999994</v>
      </c>
      <c r="C88" s="61">
        <v>4.7809999999999997</v>
      </c>
      <c r="D88" s="61">
        <v>5.3689999999999998</v>
      </c>
      <c r="E88" s="61">
        <v>6.0869999999999997</v>
      </c>
      <c r="F88" s="61">
        <v>5.0609999999999999</v>
      </c>
      <c r="G88" s="61">
        <v>3.4060000000000001</v>
      </c>
      <c r="H88" s="61">
        <v>4.1059999999999999</v>
      </c>
      <c r="I88" s="61">
        <v>3.7480000000000002</v>
      </c>
      <c r="J88" s="61">
        <v>3.0870000000000002</v>
      </c>
      <c r="K88" s="61">
        <v>2.8460000000000001</v>
      </c>
      <c r="L88" s="61">
        <v>2.8650000000000002</v>
      </c>
      <c r="M88" s="61">
        <v>2.706</v>
      </c>
      <c r="N88" s="61">
        <v>2.4620000000000002</v>
      </c>
    </row>
    <row r="89" spans="1:14" x14ac:dyDescent="0.2">
      <c r="A89" s="53" t="s">
        <v>254</v>
      </c>
      <c r="B89" s="61" t="s">
        <v>199</v>
      </c>
      <c r="C89" s="61">
        <v>0.92200000000000004</v>
      </c>
      <c r="D89" s="61">
        <v>1.0069999999999999</v>
      </c>
      <c r="E89" s="61">
        <v>0.35199999999999998</v>
      </c>
      <c r="F89" s="61" t="s">
        <v>199</v>
      </c>
      <c r="G89" s="61" t="s">
        <v>199</v>
      </c>
      <c r="H89" s="61" t="s">
        <v>199</v>
      </c>
      <c r="I89" s="61" t="s">
        <v>199</v>
      </c>
      <c r="J89" s="61" t="s">
        <v>199</v>
      </c>
      <c r="K89" s="61" t="s">
        <v>199</v>
      </c>
      <c r="L89" s="61" t="s">
        <v>199</v>
      </c>
      <c r="M89" s="61" t="s">
        <v>199</v>
      </c>
      <c r="N89" s="61" t="s">
        <v>199</v>
      </c>
    </row>
    <row r="90" spans="1:14" x14ac:dyDescent="0.2">
      <c r="A90" s="60" t="s">
        <v>255</v>
      </c>
      <c r="B90" s="63">
        <v>20.960999999999999</v>
      </c>
      <c r="C90" s="63">
        <v>11.103</v>
      </c>
      <c r="D90" s="63">
        <v>12.518000000000001</v>
      </c>
      <c r="E90" s="63">
        <v>12.738</v>
      </c>
      <c r="F90" s="63">
        <v>10.019</v>
      </c>
      <c r="G90" s="63">
        <v>7.9660000000000002</v>
      </c>
      <c r="H90" s="63">
        <v>8.1489999999999991</v>
      </c>
      <c r="I90" s="63">
        <v>7.2539999999999996</v>
      </c>
      <c r="J90" s="63">
        <v>6</v>
      </c>
      <c r="K90" s="63">
        <v>5.4180000000000001</v>
      </c>
      <c r="L90" s="63">
        <v>5.391</v>
      </c>
      <c r="M90" s="63">
        <v>4.8029999999999999</v>
      </c>
      <c r="N90" s="63">
        <v>3.8980000000000001</v>
      </c>
    </row>
    <row r="91" spans="1:14" x14ac:dyDescent="0.2">
      <c r="A91" s="53"/>
      <c r="B91" s="53"/>
      <c r="C91" s="53"/>
      <c r="D91" s="53"/>
      <c r="E91" s="53"/>
      <c r="F91" s="53"/>
      <c r="G91" s="53"/>
      <c r="H91" s="53"/>
      <c r="I91" s="53"/>
      <c r="J91" s="53"/>
      <c r="K91" s="53"/>
      <c r="L91" s="53"/>
      <c r="M91" s="53"/>
      <c r="N91" s="53"/>
    </row>
    <row r="92" spans="1:14" x14ac:dyDescent="0.2">
      <c r="A92" s="70" t="s">
        <v>381</v>
      </c>
      <c r="B92" s="71"/>
      <c r="C92" s="71"/>
      <c r="D92" s="71"/>
      <c r="E92" s="71"/>
      <c r="F92" s="71"/>
      <c r="G92" s="71"/>
      <c r="H92" s="71"/>
      <c r="I92" s="71"/>
      <c r="J92" s="71"/>
      <c r="K92" s="71"/>
      <c r="L92" s="71"/>
      <c r="M92" s="71"/>
      <c r="N92" s="71"/>
    </row>
    <row r="93" spans="1:14" x14ac:dyDescent="0.2">
      <c r="A93" s="52" t="s">
        <v>382</v>
      </c>
    </row>
    <row r="94" spans="1:14" x14ac:dyDescent="0.2">
      <c r="A94" s="72" t="s">
        <v>383</v>
      </c>
    </row>
  </sheetData>
  <phoneticPr fontId="0" type="noConversion"/>
  <pageMargins left="0.2" right="0.2" top="0.5" bottom="0.5" header="0.5" footer="0.5"/>
  <pageSetup fitToWidth="0" fitToHeight="0" orientation="landscape" horizontalDpi="0" verticalDpi="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29F77-54D4-41FE-A8CF-46BC29BDC88E}">
  <sheetPr>
    <outlinePr summaryBelow="0" summaryRight="0"/>
    <pageSetUpPr autoPageBreaks="0"/>
  </sheetPr>
  <dimension ref="A2:IU73"/>
  <sheetViews>
    <sheetView topLeftCell="A23" workbookViewId="0">
      <selection activeCell="A6" sqref="A6:N69"/>
    </sheetView>
  </sheetViews>
  <sheetFormatPr defaultColWidth="9.140625" defaultRowHeight="11.25" x14ac:dyDescent="0.2"/>
  <cols>
    <col min="1" max="1" width="45.85546875" style="52" customWidth="1"/>
    <col min="2" max="14" width="14.85546875" style="52" customWidth="1"/>
    <col min="15" max="16384" width="9.140625" style="52"/>
  </cols>
  <sheetData>
    <row r="2" spans="1:255" x14ac:dyDescent="0.2">
      <c r="A2" s="54" t="s">
        <v>384</v>
      </c>
      <c r="B2" s="54"/>
      <c r="C2" s="54"/>
      <c r="D2" s="54"/>
      <c r="E2" s="54"/>
      <c r="F2" s="54"/>
      <c r="G2" s="54"/>
      <c r="H2" s="54"/>
      <c r="I2" s="54"/>
      <c r="J2" s="54"/>
      <c r="K2" s="54"/>
      <c r="L2" s="54"/>
      <c r="M2" s="54"/>
      <c r="N2" s="54"/>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c r="CA2" s="55"/>
      <c r="CB2" s="55"/>
      <c r="CC2" s="55"/>
      <c r="CD2" s="55"/>
      <c r="CE2" s="55"/>
      <c r="CF2" s="55"/>
      <c r="CG2" s="55"/>
      <c r="CH2" s="55"/>
      <c r="CI2" s="55"/>
      <c r="CJ2" s="55"/>
      <c r="CK2" s="55"/>
      <c r="CL2" s="55"/>
      <c r="CM2" s="55"/>
      <c r="CN2" s="55"/>
      <c r="CO2" s="55"/>
      <c r="CP2" s="55"/>
      <c r="CQ2" s="55"/>
      <c r="CR2" s="55"/>
      <c r="CS2" s="55"/>
      <c r="CT2" s="55"/>
      <c r="CU2" s="55"/>
      <c r="CV2" s="55"/>
      <c r="CW2" s="55"/>
      <c r="CX2" s="55"/>
      <c r="CY2" s="55"/>
      <c r="CZ2" s="55"/>
      <c r="DA2" s="55"/>
      <c r="DB2" s="55"/>
      <c r="DC2" s="55"/>
      <c r="DD2" s="55"/>
      <c r="DE2" s="55"/>
      <c r="DF2" s="55"/>
      <c r="DG2" s="55"/>
      <c r="DH2" s="55"/>
      <c r="DI2" s="55"/>
      <c r="DJ2" s="55"/>
      <c r="DK2" s="55"/>
      <c r="DL2" s="55"/>
      <c r="DM2" s="55"/>
      <c r="DN2" s="55"/>
      <c r="DO2" s="55"/>
      <c r="DP2" s="55"/>
      <c r="DQ2" s="55"/>
      <c r="DR2" s="55"/>
      <c r="DS2" s="55"/>
      <c r="DT2" s="55"/>
      <c r="DU2" s="55"/>
      <c r="DV2" s="55"/>
      <c r="DW2" s="55"/>
      <c r="DX2" s="55"/>
      <c r="DY2" s="55"/>
      <c r="DZ2" s="55"/>
      <c r="EA2" s="55"/>
      <c r="EB2" s="55"/>
      <c r="EC2" s="55"/>
      <c r="ED2" s="55"/>
      <c r="EE2" s="55"/>
      <c r="EF2" s="55"/>
      <c r="EG2" s="55"/>
      <c r="EH2" s="55"/>
      <c r="EI2" s="55"/>
      <c r="EJ2" s="55"/>
      <c r="EK2" s="55"/>
      <c r="EL2" s="55"/>
      <c r="EM2" s="55"/>
      <c r="EN2" s="55"/>
      <c r="EO2" s="55"/>
      <c r="EP2" s="55"/>
      <c r="EQ2" s="55"/>
      <c r="ER2" s="55"/>
      <c r="ES2" s="55"/>
      <c r="ET2" s="55"/>
      <c r="EU2" s="55"/>
      <c r="EV2" s="55"/>
      <c r="EW2" s="55"/>
      <c r="EX2" s="55"/>
      <c r="EY2" s="55"/>
      <c r="EZ2" s="55"/>
      <c r="FA2" s="55"/>
      <c r="FB2" s="55"/>
      <c r="FC2" s="55"/>
      <c r="FD2" s="55"/>
      <c r="FE2" s="55"/>
      <c r="FF2" s="55"/>
      <c r="FG2" s="55"/>
      <c r="FH2" s="55"/>
      <c r="FI2" s="55"/>
      <c r="FJ2" s="55"/>
      <c r="FK2" s="55"/>
      <c r="FL2" s="55"/>
      <c r="FM2" s="55"/>
      <c r="FN2" s="55"/>
      <c r="FO2" s="55"/>
      <c r="FP2" s="55"/>
      <c r="FQ2" s="55"/>
      <c r="FR2" s="55"/>
      <c r="FS2" s="55"/>
      <c r="FT2" s="55"/>
      <c r="FU2" s="55"/>
      <c r="FV2" s="55"/>
      <c r="FW2" s="55"/>
      <c r="FX2" s="55"/>
      <c r="FY2" s="55"/>
      <c r="FZ2" s="55"/>
      <c r="GA2" s="55"/>
      <c r="GB2" s="55"/>
      <c r="GC2" s="55"/>
      <c r="GD2" s="55"/>
      <c r="GE2" s="55"/>
      <c r="GF2" s="55"/>
      <c r="GG2" s="55"/>
      <c r="GH2" s="55"/>
      <c r="GI2" s="55"/>
      <c r="GJ2" s="55"/>
      <c r="GK2" s="55"/>
      <c r="GL2" s="55"/>
      <c r="GM2" s="55"/>
      <c r="GN2" s="55"/>
      <c r="GO2" s="55"/>
      <c r="GP2" s="55"/>
      <c r="GQ2" s="55"/>
      <c r="GR2" s="55"/>
      <c r="GS2" s="55"/>
      <c r="GT2" s="55"/>
      <c r="GU2" s="55"/>
      <c r="GV2" s="55"/>
      <c r="GW2" s="55"/>
      <c r="GX2" s="55"/>
      <c r="GY2" s="55"/>
      <c r="GZ2" s="55"/>
      <c r="HA2" s="55"/>
      <c r="HB2" s="55"/>
      <c r="HC2" s="55"/>
      <c r="HD2" s="55"/>
      <c r="HE2" s="55"/>
      <c r="HF2" s="55"/>
      <c r="HG2" s="55"/>
      <c r="HH2" s="55"/>
      <c r="HI2" s="55"/>
      <c r="HJ2" s="55"/>
      <c r="HK2" s="55"/>
      <c r="HL2" s="55"/>
      <c r="HM2" s="55"/>
      <c r="HN2" s="55"/>
      <c r="HO2" s="55"/>
      <c r="HP2" s="55"/>
      <c r="HQ2" s="55"/>
      <c r="HR2" s="55"/>
      <c r="HS2" s="55"/>
      <c r="HT2" s="55"/>
      <c r="HU2" s="55"/>
      <c r="HV2" s="55"/>
      <c r="HW2" s="55"/>
      <c r="HX2" s="55"/>
      <c r="HY2" s="55"/>
      <c r="HZ2" s="55"/>
      <c r="IA2" s="55"/>
      <c r="IB2" s="55"/>
      <c r="IC2" s="55"/>
      <c r="ID2" s="55"/>
      <c r="IE2" s="55"/>
      <c r="IF2" s="55"/>
      <c r="IG2" s="55"/>
      <c r="IH2" s="55"/>
      <c r="II2" s="55"/>
      <c r="IJ2" s="55"/>
      <c r="IK2" s="55"/>
      <c r="IL2" s="55"/>
      <c r="IM2" s="55"/>
      <c r="IN2" s="55"/>
      <c r="IO2" s="55"/>
      <c r="IP2" s="55"/>
      <c r="IQ2" s="55"/>
      <c r="IR2" s="55"/>
      <c r="IS2" s="55"/>
      <c r="IT2" s="55"/>
      <c r="IU2" s="55"/>
    </row>
    <row r="3" spans="1:255" ht="22.5" x14ac:dyDescent="0.2">
      <c r="A3" s="56" t="s">
        <v>385</v>
      </c>
      <c r="B3" s="57" t="s">
        <v>386</v>
      </c>
      <c r="C3" s="57" t="s">
        <v>387</v>
      </c>
      <c r="D3" s="57" t="s">
        <v>388</v>
      </c>
      <c r="E3" s="57" t="s">
        <v>389</v>
      </c>
      <c r="F3" s="57" t="s">
        <v>390</v>
      </c>
      <c r="G3" s="57" t="s">
        <v>391</v>
      </c>
      <c r="H3" s="57" t="s">
        <v>392</v>
      </c>
      <c r="I3" s="57" t="s">
        <v>393</v>
      </c>
      <c r="J3" s="57" t="s">
        <v>394</v>
      </c>
      <c r="K3" s="57" t="s">
        <v>395</v>
      </c>
      <c r="L3" s="57" t="s">
        <v>396</v>
      </c>
      <c r="M3" s="57" t="s">
        <v>397</v>
      </c>
      <c r="N3" s="57" t="s">
        <v>398</v>
      </c>
    </row>
    <row r="4" spans="1:255" x14ac:dyDescent="0.2">
      <c r="A4" s="58" t="s">
        <v>367</v>
      </c>
      <c r="B4" s="59" t="s">
        <v>368</v>
      </c>
      <c r="C4" s="59" t="s">
        <v>368</v>
      </c>
      <c r="D4" s="59" t="s">
        <v>368</v>
      </c>
      <c r="E4" s="59" t="s">
        <v>368</v>
      </c>
      <c r="F4" s="59" t="s">
        <v>368</v>
      </c>
      <c r="G4" s="59" t="s">
        <v>368</v>
      </c>
      <c r="H4" s="59" t="s">
        <v>368</v>
      </c>
      <c r="I4" s="59" t="s">
        <v>368</v>
      </c>
      <c r="J4" s="59" t="s">
        <v>368</v>
      </c>
      <c r="K4" s="59" t="s">
        <v>368</v>
      </c>
      <c r="L4" s="59" t="s">
        <v>368</v>
      </c>
      <c r="M4" s="59" t="s">
        <v>368</v>
      </c>
      <c r="N4" s="59" t="s">
        <v>368</v>
      </c>
    </row>
    <row r="5" spans="1:255" x14ac:dyDescent="0.2">
      <c r="A5" s="60" t="s">
        <v>399</v>
      </c>
      <c r="B5" s="53"/>
      <c r="C5" s="53"/>
      <c r="D5" s="53"/>
      <c r="E5" s="53"/>
      <c r="F5" s="53"/>
      <c r="G5" s="53"/>
      <c r="H5" s="53"/>
      <c r="I5" s="53"/>
      <c r="J5" s="53"/>
      <c r="K5" s="53"/>
      <c r="L5" s="53"/>
      <c r="M5" s="53"/>
      <c r="N5" s="53"/>
    </row>
    <row r="6" spans="1:255" x14ac:dyDescent="0.2">
      <c r="A6" s="53" t="s">
        <v>300</v>
      </c>
      <c r="B6" s="61">
        <v>67.992999999999995</v>
      </c>
      <c r="C6" s="61">
        <v>77.545000000000002</v>
      </c>
      <c r="D6" s="61">
        <v>105.758</v>
      </c>
      <c r="E6" s="61">
        <v>88.227000000000004</v>
      </c>
      <c r="F6" s="61">
        <v>76.954999999999998</v>
      </c>
      <c r="G6" s="61">
        <v>50.728000000000002</v>
      </c>
      <c r="H6" s="61">
        <v>64.921000000000006</v>
      </c>
      <c r="I6" s="61">
        <v>35.277000000000001</v>
      </c>
      <c r="J6" s="61">
        <v>48.642000000000003</v>
      </c>
      <c r="K6" s="61">
        <v>27.94</v>
      </c>
      <c r="L6" s="61">
        <v>30.109000000000002</v>
      </c>
      <c r="M6" s="61">
        <v>44.252000000000002</v>
      </c>
      <c r="N6" s="61">
        <v>38.893999999999998</v>
      </c>
    </row>
    <row r="7" spans="1:255" x14ac:dyDescent="0.2">
      <c r="A7" s="53" t="s">
        <v>301</v>
      </c>
      <c r="B7" s="61">
        <v>599.03200000000004</v>
      </c>
      <c r="C7" s="61">
        <v>541.77099999999996</v>
      </c>
      <c r="D7" s="61">
        <v>440.62900000000002</v>
      </c>
      <c r="E7" s="61">
        <v>416.75</v>
      </c>
      <c r="F7" s="61">
        <v>379.87200000000001</v>
      </c>
      <c r="G7" s="61">
        <v>358.70400000000001</v>
      </c>
      <c r="H7" s="61">
        <v>307.73700000000002</v>
      </c>
      <c r="I7" s="61">
        <v>268.339</v>
      </c>
      <c r="J7" s="61">
        <v>240.596</v>
      </c>
      <c r="K7" s="61">
        <v>243.29499999999999</v>
      </c>
      <c r="L7" s="61">
        <v>214.386</v>
      </c>
      <c r="M7" s="61">
        <v>210.97399999999999</v>
      </c>
      <c r="N7" s="61">
        <v>179.738</v>
      </c>
    </row>
    <row r="8" spans="1:255" x14ac:dyDescent="0.2">
      <c r="A8" s="60" t="s">
        <v>302</v>
      </c>
      <c r="B8" s="62">
        <v>667.02499999999998</v>
      </c>
      <c r="C8" s="62">
        <v>619.31600000000003</v>
      </c>
      <c r="D8" s="62">
        <v>546.38699999999994</v>
      </c>
      <c r="E8" s="62">
        <v>504.97699999999998</v>
      </c>
      <c r="F8" s="62">
        <v>456.827</v>
      </c>
      <c r="G8" s="62">
        <v>409.43200000000002</v>
      </c>
      <c r="H8" s="62">
        <v>372.65800000000002</v>
      </c>
      <c r="I8" s="62">
        <v>303.61599999999999</v>
      </c>
      <c r="J8" s="62">
        <v>289.238</v>
      </c>
      <c r="K8" s="62">
        <v>271.23500000000001</v>
      </c>
      <c r="L8" s="62">
        <v>244.495</v>
      </c>
      <c r="M8" s="62">
        <v>255.226</v>
      </c>
      <c r="N8" s="62">
        <v>218.63200000000001</v>
      </c>
    </row>
    <row r="9" spans="1:255" x14ac:dyDescent="0.2">
      <c r="A9" s="53"/>
      <c r="B9" s="53"/>
      <c r="C9" s="53"/>
      <c r="D9" s="53"/>
      <c r="E9" s="53"/>
      <c r="F9" s="53"/>
      <c r="G9" s="53"/>
      <c r="H9" s="53"/>
      <c r="I9" s="53"/>
      <c r="J9" s="53"/>
      <c r="K9" s="53"/>
      <c r="L9" s="53"/>
      <c r="M9" s="53"/>
      <c r="N9" s="53"/>
    </row>
    <row r="10" spans="1:255" x14ac:dyDescent="0.2">
      <c r="A10" s="53" t="s">
        <v>303</v>
      </c>
      <c r="B10" s="61">
        <v>30.22</v>
      </c>
      <c r="C10" s="61">
        <v>10.006</v>
      </c>
      <c r="D10" s="61">
        <v>11.532</v>
      </c>
      <c r="E10" s="61">
        <v>5.9809999999999999</v>
      </c>
      <c r="F10" s="61">
        <v>2.9950000000000001</v>
      </c>
      <c r="G10" s="61">
        <v>1.335</v>
      </c>
      <c r="H10" s="61">
        <v>2.2040000000000002</v>
      </c>
      <c r="I10" s="61">
        <v>1.2050000000000001</v>
      </c>
      <c r="J10" s="61">
        <v>3.617</v>
      </c>
      <c r="K10" s="61">
        <v>1.196</v>
      </c>
      <c r="L10" s="61" t="s">
        <v>199</v>
      </c>
      <c r="M10" s="61" t="s">
        <v>199</v>
      </c>
      <c r="N10" s="61" t="s">
        <v>199</v>
      </c>
    </row>
    <row r="11" spans="1:255" x14ac:dyDescent="0.2">
      <c r="A11" s="53" t="s">
        <v>304</v>
      </c>
      <c r="B11" s="61" t="s">
        <v>199</v>
      </c>
      <c r="C11" s="61" t="s">
        <v>199</v>
      </c>
      <c r="D11" s="61" t="s">
        <v>199</v>
      </c>
      <c r="E11" s="61">
        <v>2.423</v>
      </c>
      <c r="F11" s="61" t="s">
        <v>199</v>
      </c>
      <c r="G11" s="61">
        <v>2.5329999999999999</v>
      </c>
      <c r="H11" s="61">
        <v>1.226</v>
      </c>
      <c r="I11" s="61">
        <v>1.0469999999999999</v>
      </c>
      <c r="J11" s="61">
        <v>1.8160000000000001</v>
      </c>
      <c r="K11" s="61">
        <v>1.7030000000000001</v>
      </c>
      <c r="L11" s="61">
        <v>2.1230000000000002</v>
      </c>
      <c r="M11" s="61">
        <v>1.609</v>
      </c>
      <c r="N11" s="61">
        <v>1.714</v>
      </c>
    </row>
    <row r="12" spans="1:255" x14ac:dyDescent="0.2">
      <c r="A12" s="60" t="s">
        <v>305</v>
      </c>
      <c r="B12" s="62">
        <v>30.22</v>
      </c>
      <c r="C12" s="62">
        <v>10.006</v>
      </c>
      <c r="D12" s="62">
        <v>11.532</v>
      </c>
      <c r="E12" s="62">
        <v>8.4039999999999999</v>
      </c>
      <c r="F12" s="62">
        <v>2.9950000000000001</v>
      </c>
      <c r="G12" s="62">
        <v>3.8679999999999999</v>
      </c>
      <c r="H12" s="62">
        <v>3.43</v>
      </c>
      <c r="I12" s="62">
        <v>2.2519999999999998</v>
      </c>
      <c r="J12" s="62">
        <v>5.4329999999999998</v>
      </c>
      <c r="K12" s="62">
        <v>2.899</v>
      </c>
      <c r="L12" s="62">
        <v>2.1230000000000002</v>
      </c>
      <c r="M12" s="62">
        <v>1.609</v>
      </c>
      <c r="N12" s="62">
        <v>1.714</v>
      </c>
    </row>
    <row r="13" spans="1:255" x14ac:dyDescent="0.2">
      <c r="A13" s="53"/>
      <c r="B13" s="53"/>
      <c r="C13" s="53"/>
      <c r="D13" s="53"/>
      <c r="E13" s="53"/>
      <c r="F13" s="53"/>
      <c r="G13" s="53"/>
      <c r="H13" s="53"/>
      <c r="I13" s="53"/>
      <c r="J13" s="53"/>
      <c r="K13" s="53"/>
      <c r="L13" s="53"/>
      <c r="M13" s="53"/>
      <c r="N13" s="53"/>
    </row>
    <row r="14" spans="1:255" x14ac:dyDescent="0.2">
      <c r="A14" s="53" t="s">
        <v>306</v>
      </c>
      <c r="B14" s="61">
        <v>15.379</v>
      </c>
      <c r="C14" s="61">
        <v>16.969000000000001</v>
      </c>
      <c r="D14" s="61">
        <v>19.056999999999999</v>
      </c>
      <c r="E14" s="61">
        <v>19.202000000000002</v>
      </c>
      <c r="F14" s="61">
        <v>20.234999999999999</v>
      </c>
      <c r="G14" s="61">
        <v>20.689</v>
      </c>
      <c r="H14" s="61">
        <v>15.13</v>
      </c>
      <c r="I14" s="61">
        <v>16.100999999999999</v>
      </c>
      <c r="J14" s="61">
        <v>16.238</v>
      </c>
      <c r="K14" s="61">
        <v>14.465</v>
      </c>
      <c r="L14" s="61" t="s">
        <v>199</v>
      </c>
      <c r="M14" s="61" t="s">
        <v>199</v>
      </c>
      <c r="N14" s="61" t="s">
        <v>199</v>
      </c>
    </row>
    <row r="15" spans="1:255" x14ac:dyDescent="0.2">
      <c r="A15" s="53" t="s">
        <v>307</v>
      </c>
      <c r="B15" s="61" t="s">
        <v>199</v>
      </c>
      <c r="C15" s="61" t="s">
        <v>199</v>
      </c>
      <c r="D15" s="61" t="s">
        <v>199</v>
      </c>
      <c r="E15" s="61">
        <v>5.9870000000000001</v>
      </c>
      <c r="F15" s="61" t="s">
        <v>199</v>
      </c>
      <c r="G15" s="61">
        <v>3.8039999999999998</v>
      </c>
      <c r="H15" s="61">
        <v>5.7930000000000001</v>
      </c>
      <c r="I15" s="61">
        <v>4.407</v>
      </c>
      <c r="J15" s="61">
        <v>4.16</v>
      </c>
      <c r="K15" s="61">
        <v>2.375</v>
      </c>
      <c r="L15" s="61">
        <v>2.85</v>
      </c>
      <c r="M15" s="61">
        <v>2.5099999999999998</v>
      </c>
      <c r="N15" s="61">
        <v>2.2080000000000002</v>
      </c>
    </row>
    <row r="16" spans="1:255" x14ac:dyDescent="0.2">
      <c r="A16" s="53" t="s">
        <v>308</v>
      </c>
      <c r="B16" s="61">
        <v>20.831</v>
      </c>
      <c r="C16" s="61">
        <v>19.245000000000001</v>
      </c>
      <c r="D16" s="61">
        <v>22.507000000000001</v>
      </c>
      <c r="E16" s="61">
        <v>7.3979999999999997</v>
      </c>
      <c r="F16" s="61">
        <v>11.009</v>
      </c>
      <c r="G16" s="61">
        <v>3.2650000000000001</v>
      </c>
      <c r="H16" s="61">
        <v>2.0139999999999998</v>
      </c>
      <c r="I16" s="61">
        <v>4.3250000000000002</v>
      </c>
      <c r="J16" s="61">
        <v>4.7670000000000003</v>
      </c>
      <c r="K16" s="61">
        <v>4.2140000000000004</v>
      </c>
      <c r="L16" s="61">
        <v>37.012999999999998</v>
      </c>
      <c r="M16" s="61">
        <v>1.9470000000000001</v>
      </c>
      <c r="N16" s="61">
        <v>7.359</v>
      </c>
    </row>
    <row r="17" spans="1:14" x14ac:dyDescent="0.2">
      <c r="A17" s="60" t="s">
        <v>309</v>
      </c>
      <c r="B17" s="62">
        <v>733.45500000000004</v>
      </c>
      <c r="C17" s="62">
        <v>665.53599999999994</v>
      </c>
      <c r="D17" s="62">
        <v>599.48299999999995</v>
      </c>
      <c r="E17" s="62">
        <v>545.96799999999996</v>
      </c>
      <c r="F17" s="62">
        <v>491.06599999999997</v>
      </c>
      <c r="G17" s="62">
        <v>441.05799999999999</v>
      </c>
      <c r="H17" s="62">
        <v>399.02499999999998</v>
      </c>
      <c r="I17" s="62">
        <v>330.70100000000002</v>
      </c>
      <c r="J17" s="62">
        <v>319.83600000000001</v>
      </c>
      <c r="K17" s="62">
        <v>295.18799999999999</v>
      </c>
      <c r="L17" s="62">
        <v>286.48099999999999</v>
      </c>
      <c r="M17" s="62">
        <v>261.29199999999997</v>
      </c>
      <c r="N17" s="62">
        <v>229.91300000000001</v>
      </c>
    </row>
    <row r="18" spans="1:14" x14ac:dyDescent="0.2">
      <c r="A18" s="53"/>
      <c r="B18" s="53"/>
      <c r="C18" s="53"/>
      <c r="D18" s="53"/>
      <c r="E18" s="53"/>
      <c r="F18" s="53"/>
      <c r="G18" s="53"/>
      <c r="H18" s="53"/>
      <c r="I18" s="53"/>
      <c r="J18" s="53"/>
      <c r="K18" s="53"/>
      <c r="L18" s="53"/>
      <c r="M18" s="53"/>
      <c r="N18" s="53"/>
    </row>
    <row r="19" spans="1:14" x14ac:dyDescent="0.2">
      <c r="A19" s="53" t="s">
        <v>310</v>
      </c>
      <c r="B19" s="61" t="s">
        <v>199</v>
      </c>
      <c r="C19" s="61" t="s">
        <v>199</v>
      </c>
      <c r="D19" s="61">
        <v>237.76300000000001</v>
      </c>
      <c r="E19" s="61">
        <v>210.61699999999999</v>
      </c>
      <c r="F19" s="61">
        <v>179.92400000000001</v>
      </c>
      <c r="G19" s="61">
        <v>159.20599999999999</v>
      </c>
      <c r="H19" s="61">
        <v>126.93899999999999</v>
      </c>
      <c r="I19" s="61">
        <v>123.761</v>
      </c>
      <c r="J19" s="61" t="s">
        <v>199</v>
      </c>
      <c r="K19" s="61">
        <v>112.855</v>
      </c>
      <c r="L19" s="61">
        <v>28.088000000000001</v>
      </c>
      <c r="M19" s="61">
        <v>27.734000000000002</v>
      </c>
      <c r="N19" s="61" t="s">
        <v>199</v>
      </c>
    </row>
    <row r="20" spans="1:14" x14ac:dyDescent="0.2">
      <c r="A20" s="53" t="s">
        <v>311</v>
      </c>
      <c r="B20" s="61" t="s">
        <v>199</v>
      </c>
      <c r="C20" s="61" t="s">
        <v>199</v>
      </c>
      <c r="D20" s="61">
        <v>-135.1</v>
      </c>
      <c r="E20" s="61">
        <v>-124.7</v>
      </c>
      <c r="F20" s="61">
        <v>-110.7</v>
      </c>
      <c r="G20" s="61">
        <v>-107.6</v>
      </c>
      <c r="H20" s="61">
        <v>-88.2</v>
      </c>
      <c r="I20" s="61">
        <v>-86.9</v>
      </c>
      <c r="J20" s="61" t="s">
        <v>199</v>
      </c>
      <c r="K20" s="61">
        <v>-88.4</v>
      </c>
      <c r="L20" s="61">
        <v>-15.7</v>
      </c>
      <c r="M20" s="61">
        <v>-15.9</v>
      </c>
      <c r="N20" s="61" t="s">
        <v>199</v>
      </c>
    </row>
    <row r="21" spans="1:14" x14ac:dyDescent="0.2">
      <c r="A21" s="60" t="s">
        <v>312</v>
      </c>
      <c r="B21" s="62">
        <v>175.27600000000001</v>
      </c>
      <c r="C21" s="62">
        <v>108.788</v>
      </c>
      <c r="D21" s="62">
        <v>102.699</v>
      </c>
      <c r="E21" s="62">
        <v>85.885999999999996</v>
      </c>
      <c r="F21" s="62">
        <v>69.271000000000001</v>
      </c>
      <c r="G21" s="62">
        <v>51.569000000000003</v>
      </c>
      <c r="H21" s="62">
        <v>38.695999999999998</v>
      </c>
      <c r="I21" s="62">
        <v>36.863</v>
      </c>
      <c r="J21" s="62">
        <v>34.741999999999997</v>
      </c>
      <c r="K21" s="62">
        <v>24.427</v>
      </c>
      <c r="L21" s="62">
        <v>12.429</v>
      </c>
      <c r="M21" s="62">
        <v>11.824</v>
      </c>
      <c r="N21" s="62">
        <v>11.161</v>
      </c>
    </row>
    <row r="22" spans="1:14" x14ac:dyDescent="0.2">
      <c r="A22" s="53"/>
      <c r="B22" s="53"/>
      <c r="C22" s="53"/>
      <c r="D22" s="53"/>
      <c r="E22" s="53"/>
      <c r="F22" s="53"/>
      <c r="G22" s="53"/>
      <c r="H22" s="53"/>
      <c r="I22" s="53"/>
      <c r="J22" s="53"/>
      <c r="K22" s="53"/>
      <c r="L22" s="53"/>
      <c r="M22" s="53"/>
      <c r="N22" s="53"/>
    </row>
    <row r="23" spans="1:14" x14ac:dyDescent="0.2">
      <c r="A23" s="53" t="s">
        <v>313</v>
      </c>
      <c r="B23" s="61">
        <v>37.363</v>
      </c>
      <c r="C23" s="61">
        <v>8.9280000000000008</v>
      </c>
      <c r="D23" s="61" t="s">
        <v>199</v>
      </c>
      <c r="E23" s="61" t="s">
        <v>199</v>
      </c>
      <c r="F23" s="61" t="s">
        <v>199</v>
      </c>
      <c r="G23" s="61" t="s">
        <v>199</v>
      </c>
      <c r="H23" s="61" t="s">
        <v>199</v>
      </c>
      <c r="I23" s="61">
        <v>25.824999999999999</v>
      </c>
      <c r="J23" s="61">
        <v>36.777999999999999</v>
      </c>
      <c r="K23" s="61">
        <v>19.405000000000001</v>
      </c>
      <c r="L23" s="61">
        <v>4.5369999999999999</v>
      </c>
      <c r="M23" s="61">
        <v>26.087</v>
      </c>
      <c r="N23" s="61">
        <v>9.7759999999999998</v>
      </c>
    </row>
    <row r="24" spans="1:14" x14ac:dyDescent="0.2">
      <c r="A24" s="53" t="s">
        <v>314</v>
      </c>
      <c r="B24" s="61">
        <v>76.501000000000005</v>
      </c>
      <c r="C24" s="61">
        <v>76.501000000000005</v>
      </c>
      <c r="D24" s="61">
        <v>76.501000000000005</v>
      </c>
      <c r="E24" s="61">
        <v>76.501000000000005</v>
      </c>
      <c r="F24" s="61" t="s">
        <v>199</v>
      </c>
      <c r="G24" s="61" t="s">
        <v>199</v>
      </c>
      <c r="H24" s="61" t="s">
        <v>199</v>
      </c>
      <c r="I24" s="61" t="s">
        <v>199</v>
      </c>
      <c r="J24" s="61" t="s">
        <v>199</v>
      </c>
      <c r="K24" s="61" t="s">
        <v>199</v>
      </c>
      <c r="L24" s="61" t="s">
        <v>199</v>
      </c>
      <c r="M24" s="61" t="s">
        <v>199</v>
      </c>
      <c r="N24" s="61" t="s">
        <v>199</v>
      </c>
    </row>
    <row r="25" spans="1:14" x14ac:dyDescent="0.2">
      <c r="A25" s="53" t="s">
        <v>315</v>
      </c>
      <c r="B25" s="61">
        <v>1.5209999999999999</v>
      </c>
      <c r="C25" s="61">
        <v>2.234</v>
      </c>
      <c r="D25" s="61">
        <v>2.323</v>
      </c>
      <c r="E25" s="61">
        <v>2.2450000000000001</v>
      </c>
      <c r="F25" s="61">
        <v>1.4059999999999999</v>
      </c>
      <c r="G25" s="61">
        <v>1.6519999999999999</v>
      </c>
      <c r="H25" s="61">
        <v>4.5229999999999997</v>
      </c>
      <c r="I25" s="61">
        <v>4.6440000000000001</v>
      </c>
      <c r="J25" s="61">
        <v>4.6559999999999997</v>
      </c>
      <c r="K25" s="61">
        <v>4.3140000000000001</v>
      </c>
      <c r="L25" s="61">
        <v>4.5190000000000001</v>
      </c>
      <c r="M25" s="61">
        <v>4.6470000000000002</v>
      </c>
      <c r="N25" s="61">
        <v>5.391</v>
      </c>
    </row>
    <row r="26" spans="1:14" x14ac:dyDescent="0.2">
      <c r="A26" s="60" t="s">
        <v>316</v>
      </c>
      <c r="B26" s="64">
        <v>1024.116</v>
      </c>
      <c r="C26" s="64">
        <v>861.98699999999997</v>
      </c>
      <c r="D26" s="64">
        <v>781.00599999999997</v>
      </c>
      <c r="E26" s="64">
        <v>710.6</v>
      </c>
      <c r="F26" s="64">
        <v>561.74300000000005</v>
      </c>
      <c r="G26" s="64">
        <v>494.279</v>
      </c>
      <c r="H26" s="64">
        <v>442.24400000000003</v>
      </c>
      <c r="I26" s="64">
        <v>398.03300000000002</v>
      </c>
      <c r="J26" s="64">
        <v>396.012</v>
      </c>
      <c r="K26" s="64">
        <v>343.334</v>
      </c>
      <c r="L26" s="64">
        <v>307.96600000000001</v>
      </c>
      <c r="M26" s="64">
        <v>303.85000000000002</v>
      </c>
      <c r="N26" s="64">
        <v>256.24099999999999</v>
      </c>
    </row>
    <row r="27" spans="1:14" x14ac:dyDescent="0.2">
      <c r="A27" s="53"/>
      <c r="B27" s="53"/>
      <c r="C27" s="53"/>
      <c r="D27" s="53"/>
      <c r="E27" s="53"/>
      <c r="F27" s="53"/>
      <c r="G27" s="53"/>
      <c r="H27" s="53"/>
      <c r="I27" s="53"/>
      <c r="J27" s="53"/>
      <c r="K27" s="53"/>
      <c r="L27" s="53"/>
      <c r="M27" s="53"/>
      <c r="N27" s="53"/>
    </row>
    <row r="28" spans="1:14" x14ac:dyDescent="0.2">
      <c r="A28" s="60" t="s">
        <v>317</v>
      </c>
      <c r="B28" s="53"/>
      <c r="C28" s="53"/>
      <c r="D28" s="53"/>
      <c r="E28" s="53"/>
      <c r="F28" s="53"/>
      <c r="G28" s="53"/>
      <c r="H28" s="53"/>
      <c r="I28" s="53"/>
      <c r="J28" s="53"/>
      <c r="K28" s="53"/>
      <c r="L28" s="53"/>
      <c r="M28" s="53"/>
      <c r="N28" s="53"/>
    </row>
    <row r="29" spans="1:14" x14ac:dyDescent="0.2">
      <c r="A29" s="53" t="s">
        <v>318</v>
      </c>
      <c r="B29" s="61">
        <v>12.617000000000001</v>
      </c>
      <c r="C29" s="61">
        <v>12.346</v>
      </c>
      <c r="D29" s="61">
        <v>5.3289999999999997</v>
      </c>
      <c r="E29" s="61">
        <v>12.98</v>
      </c>
      <c r="F29" s="61">
        <v>3.6960000000000002</v>
      </c>
      <c r="G29" s="61">
        <v>2.6190000000000002</v>
      </c>
      <c r="H29" s="61">
        <v>3.2879999999999998</v>
      </c>
      <c r="I29" s="61">
        <v>9.8480000000000008</v>
      </c>
      <c r="J29" s="61">
        <v>8.7569999999999997</v>
      </c>
      <c r="K29" s="61">
        <v>6.4749999999999996</v>
      </c>
      <c r="L29" s="61">
        <v>8.577</v>
      </c>
      <c r="M29" s="61">
        <v>11.56</v>
      </c>
      <c r="N29" s="61">
        <v>17.834</v>
      </c>
    </row>
    <row r="30" spans="1:14" x14ac:dyDescent="0.2">
      <c r="A30" s="53" t="s">
        <v>319</v>
      </c>
      <c r="B30" s="61">
        <v>73.066999999999993</v>
      </c>
      <c r="C30" s="61">
        <v>72.591999999999999</v>
      </c>
      <c r="D30" s="61">
        <v>60.152000000000001</v>
      </c>
      <c r="E30" s="61">
        <v>28.847000000000001</v>
      </c>
      <c r="F30" s="61">
        <v>30.454000000000001</v>
      </c>
      <c r="G30" s="61">
        <v>21.585999999999999</v>
      </c>
      <c r="H30" s="61">
        <v>22.661000000000001</v>
      </c>
      <c r="I30" s="61">
        <v>19.141999999999999</v>
      </c>
      <c r="J30" s="61">
        <v>19.928000000000001</v>
      </c>
      <c r="K30" s="61">
        <v>26.157</v>
      </c>
      <c r="L30" s="61">
        <v>29.225999999999999</v>
      </c>
      <c r="M30" s="61">
        <v>27.204999999999998</v>
      </c>
      <c r="N30" s="61">
        <v>28.428999999999998</v>
      </c>
    </row>
    <row r="31" spans="1:14" x14ac:dyDescent="0.2">
      <c r="A31" s="53" t="s">
        <v>320</v>
      </c>
      <c r="B31" s="61">
        <v>19.597000000000001</v>
      </c>
      <c r="C31" s="61">
        <v>20.047000000000001</v>
      </c>
      <c r="D31" s="61">
        <v>18.507999999999999</v>
      </c>
      <c r="E31" s="61">
        <v>18.667000000000002</v>
      </c>
      <c r="F31" s="61">
        <v>18.773</v>
      </c>
      <c r="G31" s="61">
        <v>18.933</v>
      </c>
      <c r="H31" s="61">
        <v>19.094999999999999</v>
      </c>
      <c r="I31" s="61">
        <v>19.259</v>
      </c>
      <c r="J31" s="61">
        <v>19.367999999999999</v>
      </c>
      <c r="K31" s="61">
        <v>21.337</v>
      </c>
      <c r="L31" s="61">
        <v>21.504000000000001</v>
      </c>
      <c r="M31" s="61">
        <v>19.867999999999999</v>
      </c>
      <c r="N31" s="61">
        <v>21.841999999999999</v>
      </c>
    </row>
    <row r="32" spans="1:14" x14ac:dyDescent="0.2">
      <c r="A32" s="53" t="s">
        <v>321</v>
      </c>
      <c r="B32" s="61" t="s">
        <v>199</v>
      </c>
      <c r="C32" s="61" t="s">
        <v>199</v>
      </c>
      <c r="D32" s="61" t="s">
        <v>199</v>
      </c>
      <c r="E32" s="61">
        <v>7.71</v>
      </c>
      <c r="F32" s="61">
        <v>6.9560000000000004</v>
      </c>
      <c r="G32" s="61">
        <v>7.556</v>
      </c>
      <c r="H32" s="61">
        <v>7.0679999999999996</v>
      </c>
      <c r="I32" s="61">
        <v>3.02</v>
      </c>
      <c r="J32" s="61">
        <v>4.3529999999999998</v>
      </c>
      <c r="K32" s="61">
        <v>3.3570000000000002</v>
      </c>
      <c r="L32" s="61">
        <v>8.2759999999999998</v>
      </c>
      <c r="M32" s="61">
        <v>2.7669999999999999</v>
      </c>
      <c r="N32" s="61">
        <v>2.8250000000000002</v>
      </c>
    </row>
    <row r="33" spans="1:14" x14ac:dyDescent="0.2">
      <c r="A33" s="60" t="s">
        <v>322</v>
      </c>
      <c r="B33" s="62">
        <v>105.28100000000001</v>
      </c>
      <c r="C33" s="62">
        <v>104.985</v>
      </c>
      <c r="D33" s="62">
        <v>83.989000000000004</v>
      </c>
      <c r="E33" s="62">
        <v>68.203999999999994</v>
      </c>
      <c r="F33" s="62">
        <v>59.878999999999998</v>
      </c>
      <c r="G33" s="62">
        <v>50.694000000000003</v>
      </c>
      <c r="H33" s="62">
        <v>52.112000000000002</v>
      </c>
      <c r="I33" s="62">
        <v>51.268999999999998</v>
      </c>
      <c r="J33" s="62">
        <v>52.405999999999999</v>
      </c>
      <c r="K33" s="62">
        <v>57.326000000000001</v>
      </c>
      <c r="L33" s="62">
        <v>67.582999999999998</v>
      </c>
      <c r="M33" s="62">
        <v>61.4</v>
      </c>
      <c r="N33" s="62">
        <v>70.930000000000007</v>
      </c>
    </row>
    <row r="34" spans="1:14" x14ac:dyDescent="0.2">
      <c r="A34" s="53"/>
      <c r="B34" s="53"/>
      <c r="C34" s="53"/>
      <c r="D34" s="53"/>
      <c r="E34" s="53"/>
      <c r="F34" s="53"/>
      <c r="G34" s="53"/>
      <c r="H34" s="53"/>
      <c r="I34" s="53"/>
      <c r="J34" s="53"/>
      <c r="K34" s="53"/>
      <c r="L34" s="53"/>
      <c r="M34" s="53"/>
      <c r="N34" s="53"/>
    </row>
    <row r="35" spans="1:14" x14ac:dyDescent="0.2">
      <c r="A35" s="53" t="s">
        <v>323</v>
      </c>
      <c r="B35" s="61">
        <v>185.60400000000001</v>
      </c>
      <c r="C35" s="61">
        <v>176.77500000000001</v>
      </c>
      <c r="D35" s="61">
        <v>165.595</v>
      </c>
      <c r="E35" s="61">
        <v>155.37799999999999</v>
      </c>
      <c r="F35" s="61">
        <v>145.131</v>
      </c>
      <c r="G35" s="61">
        <v>135.65899999999999</v>
      </c>
      <c r="H35" s="61">
        <v>123.61</v>
      </c>
      <c r="I35" s="61">
        <v>112.625</v>
      </c>
      <c r="J35" s="61">
        <v>117.857</v>
      </c>
      <c r="K35" s="61">
        <v>107.506</v>
      </c>
      <c r="L35" s="61">
        <v>97.828999999999994</v>
      </c>
      <c r="M35" s="61">
        <v>91.775999999999996</v>
      </c>
      <c r="N35" s="61">
        <v>86.322000000000003</v>
      </c>
    </row>
    <row r="36" spans="1:14" x14ac:dyDescent="0.2">
      <c r="A36" s="53" t="s">
        <v>324</v>
      </c>
      <c r="B36" s="61">
        <v>122.63800000000001</v>
      </c>
      <c r="C36" s="61">
        <v>119.41500000000001</v>
      </c>
      <c r="D36" s="61">
        <v>116.145</v>
      </c>
      <c r="E36" s="61">
        <v>112.82899999999999</v>
      </c>
      <c r="F36" s="61">
        <v>109.389</v>
      </c>
      <c r="G36" s="61">
        <v>105.81699999999999</v>
      </c>
      <c r="H36" s="61">
        <v>102.193</v>
      </c>
      <c r="I36" s="61">
        <v>98.516999999999996</v>
      </c>
      <c r="J36" s="61">
        <v>94.71</v>
      </c>
      <c r="K36" s="61">
        <v>90.763000000000005</v>
      </c>
      <c r="L36" s="61">
        <v>86.757999999999996</v>
      </c>
      <c r="M36" s="61">
        <v>82.695999999999998</v>
      </c>
      <c r="N36" s="61">
        <v>78.495000000000005</v>
      </c>
    </row>
    <row r="37" spans="1:14" x14ac:dyDescent="0.2">
      <c r="A37" s="53" t="s">
        <v>325</v>
      </c>
      <c r="B37" s="61">
        <v>2.7040000000000002</v>
      </c>
      <c r="C37" s="61">
        <v>2.08</v>
      </c>
      <c r="D37" s="61">
        <v>3.0539999999999998</v>
      </c>
      <c r="E37" s="61">
        <v>7.5510000000000002</v>
      </c>
      <c r="F37" s="61">
        <v>6.4790000000000001</v>
      </c>
      <c r="G37" s="61">
        <v>5.1509999999999998</v>
      </c>
      <c r="H37" s="61">
        <v>4.9610000000000003</v>
      </c>
      <c r="I37" s="61">
        <v>4.6349999999999998</v>
      </c>
      <c r="J37" s="61">
        <v>4.3339999999999996</v>
      </c>
      <c r="K37" s="61">
        <v>8.0510000000000002</v>
      </c>
      <c r="L37" s="61">
        <v>6.9119999999999999</v>
      </c>
      <c r="M37" s="61">
        <v>7.2409999999999997</v>
      </c>
      <c r="N37" s="61">
        <v>6.7560000000000002</v>
      </c>
    </row>
    <row r="38" spans="1:14" x14ac:dyDescent="0.2">
      <c r="A38" s="60" t="s">
        <v>326</v>
      </c>
      <c r="B38" s="62">
        <v>416.22699999999998</v>
      </c>
      <c r="C38" s="62">
        <v>403.255</v>
      </c>
      <c r="D38" s="62">
        <v>368.78300000000002</v>
      </c>
      <c r="E38" s="62">
        <v>343.96199999999999</v>
      </c>
      <c r="F38" s="62">
        <v>320.87799999999999</v>
      </c>
      <c r="G38" s="62">
        <v>297.32100000000003</v>
      </c>
      <c r="H38" s="62">
        <v>282.87599999999998</v>
      </c>
      <c r="I38" s="62">
        <v>267.04599999999999</v>
      </c>
      <c r="J38" s="62">
        <v>269.30700000000002</v>
      </c>
      <c r="K38" s="62">
        <v>263.64600000000002</v>
      </c>
      <c r="L38" s="62">
        <v>259.08199999999999</v>
      </c>
      <c r="M38" s="62">
        <v>243.113</v>
      </c>
      <c r="N38" s="62">
        <v>242.50299999999999</v>
      </c>
    </row>
    <row r="39" spans="1:14" x14ac:dyDescent="0.2">
      <c r="A39" s="53"/>
      <c r="B39" s="53"/>
      <c r="C39" s="53"/>
      <c r="D39" s="53"/>
      <c r="E39" s="53"/>
      <c r="F39" s="53"/>
      <c r="G39" s="53"/>
      <c r="H39" s="53"/>
      <c r="I39" s="53"/>
      <c r="J39" s="53"/>
      <c r="K39" s="53"/>
      <c r="L39" s="53"/>
      <c r="M39" s="53"/>
      <c r="N39" s="53"/>
    </row>
    <row r="40" spans="1:14" x14ac:dyDescent="0.2">
      <c r="A40" s="53" t="s">
        <v>327</v>
      </c>
      <c r="B40" s="61">
        <v>1.9E-2</v>
      </c>
      <c r="C40" s="61">
        <v>1.9E-2</v>
      </c>
      <c r="D40" s="61">
        <v>1.9E-2</v>
      </c>
      <c r="E40" s="61">
        <v>1.9E-2</v>
      </c>
      <c r="F40" s="61">
        <v>1.9E-2</v>
      </c>
      <c r="G40" s="61">
        <v>1.9E-2</v>
      </c>
      <c r="H40" s="61">
        <v>1.9E-2</v>
      </c>
      <c r="I40" s="61">
        <v>1.9E-2</v>
      </c>
      <c r="J40" s="61">
        <v>1.9E-2</v>
      </c>
      <c r="K40" s="61">
        <v>1.9E-2</v>
      </c>
      <c r="L40" s="61">
        <v>1.9E-2</v>
      </c>
      <c r="M40" s="61">
        <v>1.9E-2</v>
      </c>
      <c r="N40" s="61">
        <v>1.9E-2</v>
      </c>
    </row>
    <row r="41" spans="1:14" x14ac:dyDescent="0.2">
      <c r="A41" s="53" t="s">
        <v>328</v>
      </c>
      <c r="B41" s="61">
        <v>3537.79</v>
      </c>
      <c r="C41" s="61">
        <v>3549.36</v>
      </c>
      <c r="D41" s="61">
        <v>3561.8780000000002</v>
      </c>
      <c r="E41" s="61">
        <v>3574.7190000000001</v>
      </c>
      <c r="F41" s="61">
        <v>3584.7379999999998</v>
      </c>
      <c r="G41" s="61">
        <v>3592.7220000000002</v>
      </c>
      <c r="H41" s="61">
        <v>3600.8710000000001</v>
      </c>
      <c r="I41" s="61">
        <v>3608.1370000000002</v>
      </c>
      <c r="J41" s="61">
        <v>3644.14</v>
      </c>
      <c r="K41" s="61">
        <v>3649.5770000000002</v>
      </c>
      <c r="L41" s="61">
        <v>3654.9810000000002</v>
      </c>
      <c r="M41" s="61">
        <v>3659.8670000000002</v>
      </c>
      <c r="N41" s="61">
        <v>3663.7719999999999</v>
      </c>
    </row>
    <row r="42" spans="1:14" x14ac:dyDescent="0.2">
      <c r="A42" s="53" t="s">
        <v>329</v>
      </c>
      <c r="B42" s="61">
        <v>-2923.4</v>
      </c>
      <c r="C42" s="61">
        <v>-3082.5</v>
      </c>
      <c r="D42" s="61">
        <v>-3141.5</v>
      </c>
      <c r="E42" s="61">
        <v>-3201.2</v>
      </c>
      <c r="F42" s="61">
        <v>-3338.2</v>
      </c>
      <c r="G42" s="61">
        <v>-3389.3</v>
      </c>
      <c r="H42" s="61">
        <v>-3435.2</v>
      </c>
      <c r="I42" s="61">
        <v>-3477.2</v>
      </c>
      <c r="J42" s="61">
        <v>-3514.1</v>
      </c>
      <c r="K42" s="61">
        <v>-3566.4</v>
      </c>
      <c r="L42" s="61">
        <v>-3603.5</v>
      </c>
      <c r="M42" s="61">
        <v>-3596.2</v>
      </c>
      <c r="N42" s="61">
        <v>-3647.1</v>
      </c>
    </row>
    <row r="43" spans="1:14" x14ac:dyDescent="0.2">
      <c r="A43" s="53" t="s">
        <v>330</v>
      </c>
      <c r="B43" s="61" t="s">
        <v>199</v>
      </c>
      <c r="C43" s="61" t="s">
        <v>199</v>
      </c>
      <c r="D43" s="61" t="s">
        <v>199</v>
      </c>
      <c r="E43" s="61" t="s">
        <v>199</v>
      </c>
      <c r="F43" s="61" t="s">
        <v>199</v>
      </c>
      <c r="G43" s="61" t="s">
        <v>199</v>
      </c>
      <c r="H43" s="61" t="s">
        <v>199</v>
      </c>
      <c r="I43" s="61" t="s">
        <v>199</v>
      </c>
      <c r="J43" s="61">
        <v>-3</v>
      </c>
      <c r="K43" s="61">
        <v>-3</v>
      </c>
      <c r="L43" s="61">
        <v>-3</v>
      </c>
      <c r="M43" s="61">
        <v>-3</v>
      </c>
      <c r="N43" s="61">
        <v>-3</v>
      </c>
    </row>
    <row r="44" spans="1:14" x14ac:dyDescent="0.2">
      <c r="A44" s="53" t="s">
        <v>331</v>
      </c>
      <c r="B44" s="61">
        <v>-6.5</v>
      </c>
      <c r="C44" s="61">
        <v>-8.1999999999999993</v>
      </c>
      <c r="D44" s="61">
        <v>-8.1999999999999993</v>
      </c>
      <c r="E44" s="61">
        <v>-6.9</v>
      </c>
      <c r="F44" s="61">
        <v>-5.7</v>
      </c>
      <c r="G44" s="61">
        <v>-6.5</v>
      </c>
      <c r="H44" s="61">
        <v>-6.4</v>
      </c>
      <c r="I44" s="61">
        <v>0.08</v>
      </c>
      <c r="J44" s="61">
        <v>-0.4</v>
      </c>
      <c r="K44" s="61">
        <v>-0.5</v>
      </c>
      <c r="L44" s="61">
        <v>0.35499999999999998</v>
      </c>
      <c r="M44" s="61">
        <v>6.0999999999999999E-2</v>
      </c>
      <c r="N44" s="61">
        <v>3.9E-2</v>
      </c>
    </row>
    <row r="45" spans="1:14" x14ac:dyDescent="0.2">
      <c r="A45" s="60" t="s">
        <v>332</v>
      </c>
      <c r="B45" s="62">
        <v>607.88900000000001</v>
      </c>
      <c r="C45" s="62">
        <v>458.73200000000003</v>
      </c>
      <c r="D45" s="62">
        <v>412.22300000000001</v>
      </c>
      <c r="E45" s="62">
        <v>366.63799999999998</v>
      </c>
      <c r="F45" s="62">
        <v>240.86500000000001</v>
      </c>
      <c r="G45" s="62">
        <v>196.958</v>
      </c>
      <c r="H45" s="62">
        <v>159.36799999999999</v>
      </c>
      <c r="I45" s="62">
        <v>130.98699999999999</v>
      </c>
      <c r="J45" s="62">
        <v>126.705</v>
      </c>
      <c r="K45" s="62">
        <v>79.688000000000002</v>
      </c>
      <c r="L45" s="62">
        <v>48.884</v>
      </c>
      <c r="M45" s="62">
        <v>60.737000000000002</v>
      </c>
      <c r="N45" s="62">
        <v>13.738</v>
      </c>
    </row>
    <row r="46" spans="1:14" x14ac:dyDescent="0.2">
      <c r="A46" s="53"/>
      <c r="B46" s="53"/>
      <c r="C46" s="53"/>
      <c r="D46" s="53"/>
      <c r="E46" s="53"/>
      <c r="F46" s="53"/>
      <c r="G46" s="53"/>
      <c r="H46" s="53"/>
      <c r="I46" s="53"/>
      <c r="J46" s="53"/>
      <c r="K46" s="53"/>
      <c r="L46" s="53"/>
      <c r="M46" s="53"/>
      <c r="N46" s="53"/>
    </row>
    <row r="47" spans="1:14" x14ac:dyDescent="0.2">
      <c r="A47" s="60" t="s">
        <v>333</v>
      </c>
      <c r="B47" s="73">
        <v>607.88900000000001</v>
      </c>
      <c r="C47" s="73">
        <v>458.73200000000003</v>
      </c>
      <c r="D47" s="73">
        <v>412.22300000000001</v>
      </c>
      <c r="E47" s="73">
        <v>366.63799999999998</v>
      </c>
      <c r="F47" s="73">
        <v>240.86500000000001</v>
      </c>
      <c r="G47" s="73">
        <v>196.958</v>
      </c>
      <c r="H47" s="73">
        <v>159.36799999999999</v>
      </c>
      <c r="I47" s="73">
        <v>130.98699999999999</v>
      </c>
      <c r="J47" s="73">
        <v>126.705</v>
      </c>
      <c r="K47" s="73">
        <v>79.688000000000002</v>
      </c>
      <c r="L47" s="73">
        <v>48.884</v>
      </c>
      <c r="M47" s="73">
        <v>60.737000000000002</v>
      </c>
      <c r="N47" s="73">
        <v>13.738</v>
      </c>
    </row>
    <row r="48" spans="1:14" x14ac:dyDescent="0.2">
      <c r="A48" s="53"/>
      <c r="B48" s="53"/>
      <c r="C48" s="53"/>
      <c r="D48" s="53"/>
      <c r="E48" s="53"/>
      <c r="F48" s="53"/>
      <c r="G48" s="53"/>
      <c r="H48" s="53"/>
      <c r="I48" s="53"/>
      <c r="J48" s="53"/>
      <c r="K48" s="53"/>
      <c r="L48" s="53"/>
      <c r="M48" s="53"/>
      <c r="N48" s="53"/>
    </row>
    <row r="49" spans="1:14" x14ac:dyDescent="0.2">
      <c r="A49" s="60" t="s">
        <v>334</v>
      </c>
      <c r="B49" s="74">
        <v>1024.116</v>
      </c>
      <c r="C49" s="74">
        <v>861.98699999999997</v>
      </c>
      <c r="D49" s="74">
        <v>781.00599999999997</v>
      </c>
      <c r="E49" s="74">
        <v>710.6</v>
      </c>
      <c r="F49" s="74">
        <v>561.74300000000005</v>
      </c>
      <c r="G49" s="74">
        <v>494.279</v>
      </c>
      <c r="H49" s="74">
        <v>442.24400000000003</v>
      </c>
      <c r="I49" s="74">
        <v>398.03300000000002</v>
      </c>
      <c r="J49" s="74">
        <v>396.012</v>
      </c>
      <c r="K49" s="74">
        <v>343.334</v>
      </c>
      <c r="L49" s="74">
        <v>307.96600000000001</v>
      </c>
      <c r="M49" s="74">
        <v>303.85000000000002</v>
      </c>
      <c r="N49" s="74">
        <v>256.24099999999999</v>
      </c>
    </row>
    <row r="50" spans="1:14" x14ac:dyDescent="0.2">
      <c r="A50" s="53"/>
      <c r="B50" s="53"/>
      <c r="C50" s="53"/>
      <c r="D50" s="53"/>
      <c r="E50" s="53"/>
      <c r="F50" s="53"/>
      <c r="G50" s="53"/>
      <c r="H50" s="53"/>
      <c r="I50" s="53"/>
      <c r="J50" s="53"/>
      <c r="K50" s="53"/>
      <c r="L50" s="53"/>
      <c r="M50" s="53"/>
      <c r="N50" s="53"/>
    </row>
    <row r="51" spans="1:14" x14ac:dyDescent="0.2">
      <c r="A51" s="60" t="s">
        <v>228</v>
      </c>
      <c r="B51" s="53"/>
      <c r="C51" s="53"/>
      <c r="D51" s="53"/>
      <c r="E51" s="53"/>
      <c r="F51" s="53"/>
      <c r="G51" s="53"/>
      <c r="H51" s="53"/>
      <c r="I51" s="53"/>
      <c r="J51" s="53"/>
      <c r="K51" s="53"/>
      <c r="L51" s="53"/>
      <c r="M51" s="53"/>
      <c r="N51" s="53"/>
    </row>
    <row r="52" spans="1:14" x14ac:dyDescent="0.2">
      <c r="A52" s="53" t="s">
        <v>335</v>
      </c>
      <c r="B52" s="61">
        <v>12.418283000000001</v>
      </c>
      <c r="C52" s="61">
        <v>12.493658</v>
      </c>
      <c r="D52" s="61">
        <v>12.530305</v>
      </c>
      <c r="E52" s="61">
        <v>12.615682</v>
      </c>
      <c r="F52" s="61">
        <v>12.615683000000001</v>
      </c>
      <c r="G52" s="61">
        <v>12.674585</v>
      </c>
      <c r="H52" s="61">
        <v>12.718044000000001</v>
      </c>
      <c r="I52" s="61">
        <v>12.241194</v>
      </c>
      <c r="J52" s="61">
        <v>12.241647</v>
      </c>
      <c r="K52" s="61">
        <v>12.271971000000001</v>
      </c>
      <c r="L52" s="61">
        <v>12.297224999999999</v>
      </c>
      <c r="M52" s="61">
        <v>12.406912</v>
      </c>
      <c r="N52" s="61">
        <v>12.406912</v>
      </c>
    </row>
    <row r="53" spans="1:14" x14ac:dyDescent="0.2">
      <c r="A53" s="53" t="s">
        <v>336</v>
      </c>
      <c r="B53" s="61">
        <v>12.418272999999999</v>
      </c>
      <c r="C53" s="61">
        <v>12.493672999999999</v>
      </c>
      <c r="D53" s="61">
        <v>12.530272999999999</v>
      </c>
      <c r="E53" s="61">
        <v>12.570672999999999</v>
      </c>
      <c r="F53" s="61">
        <v>12.615672999999999</v>
      </c>
      <c r="G53" s="61">
        <v>12.674606000000001</v>
      </c>
      <c r="H53" s="61">
        <v>12.718073</v>
      </c>
      <c r="I53" s="61">
        <v>12.758940000000001</v>
      </c>
      <c r="J53" s="61">
        <v>12.241606000000001</v>
      </c>
      <c r="K53" s="61">
        <v>12.270739000000001</v>
      </c>
      <c r="L53" s="61">
        <v>12.297205999999999</v>
      </c>
      <c r="M53" s="61">
        <v>12.38514</v>
      </c>
      <c r="N53" s="61">
        <v>12.406872999999999</v>
      </c>
    </row>
    <row r="54" spans="1:14" x14ac:dyDescent="0.2">
      <c r="A54" s="53" t="s">
        <v>337</v>
      </c>
      <c r="B54" s="65">
        <v>48.95</v>
      </c>
      <c r="C54" s="65">
        <v>36.72</v>
      </c>
      <c r="D54" s="65">
        <v>32.9</v>
      </c>
      <c r="E54" s="65">
        <v>29.17</v>
      </c>
      <c r="F54" s="65">
        <v>19.09</v>
      </c>
      <c r="G54" s="65">
        <v>15.54</v>
      </c>
      <c r="H54" s="65">
        <v>12.53</v>
      </c>
      <c r="I54" s="65">
        <v>10.27</v>
      </c>
      <c r="J54" s="65">
        <v>10.35</v>
      </c>
      <c r="K54" s="65">
        <v>6.49</v>
      </c>
      <c r="L54" s="65">
        <v>3.98</v>
      </c>
      <c r="M54" s="65">
        <v>4.9000000000000004</v>
      </c>
      <c r="N54" s="65">
        <v>1.1100000000000001</v>
      </c>
    </row>
    <row r="55" spans="1:14" x14ac:dyDescent="0.2">
      <c r="A55" s="53" t="s">
        <v>338</v>
      </c>
      <c r="B55" s="61">
        <v>531.38800000000003</v>
      </c>
      <c r="C55" s="61">
        <v>382.23099999999999</v>
      </c>
      <c r="D55" s="61">
        <v>335.72199999999998</v>
      </c>
      <c r="E55" s="61">
        <v>290.137</v>
      </c>
      <c r="F55" s="61">
        <v>240.86500000000001</v>
      </c>
      <c r="G55" s="61">
        <v>196.958</v>
      </c>
      <c r="H55" s="61">
        <v>159.36799999999999</v>
      </c>
      <c r="I55" s="61">
        <v>130.98699999999999</v>
      </c>
      <c r="J55" s="61">
        <v>126.705</v>
      </c>
      <c r="K55" s="61">
        <v>79.688000000000002</v>
      </c>
      <c r="L55" s="61">
        <v>48.884</v>
      </c>
      <c r="M55" s="61">
        <v>60.737000000000002</v>
      </c>
      <c r="N55" s="61">
        <v>13.738</v>
      </c>
    </row>
    <row r="56" spans="1:14" x14ac:dyDescent="0.2">
      <c r="A56" s="53" t="s">
        <v>339</v>
      </c>
      <c r="B56" s="65">
        <v>42.79</v>
      </c>
      <c r="C56" s="65">
        <v>30.59</v>
      </c>
      <c r="D56" s="65">
        <v>26.79</v>
      </c>
      <c r="E56" s="65">
        <v>23.08</v>
      </c>
      <c r="F56" s="65">
        <v>19.09</v>
      </c>
      <c r="G56" s="65">
        <v>15.54</v>
      </c>
      <c r="H56" s="65">
        <v>12.53</v>
      </c>
      <c r="I56" s="65">
        <v>10.27</v>
      </c>
      <c r="J56" s="65">
        <v>10.35</v>
      </c>
      <c r="K56" s="65">
        <v>6.49</v>
      </c>
      <c r="L56" s="65">
        <v>3.98</v>
      </c>
      <c r="M56" s="65">
        <v>4.9000000000000004</v>
      </c>
      <c r="N56" s="65">
        <v>1.1100000000000001</v>
      </c>
    </row>
    <row r="57" spans="1:14" x14ac:dyDescent="0.2">
      <c r="A57" s="53" t="s">
        <v>340</v>
      </c>
      <c r="B57" s="61">
        <v>327.839</v>
      </c>
      <c r="C57" s="61">
        <v>316.23700000000002</v>
      </c>
      <c r="D57" s="61">
        <v>300.24799999999999</v>
      </c>
      <c r="E57" s="61">
        <v>286.87400000000002</v>
      </c>
      <c r="F57" s="61">
        <v>273.29300000000001</v>
      </c>
      <c r="G57" s="61">
        <v>260.40899999999999</v>
      </c>
      <c r="H57" s="61">
        <v>244.898</v>
      </c>
      <c r="I57" s="61">
        <v>230.40100000000001</v>
      </c>
      <c r="J57" s="61">
        <v>231.935</v>
      </c>
      <c r="K57" s="61">
        <v>219.60599999999999</v>
      </c>
      <c r="L57" s="61">
        <v>206.09100000000001</v>
      </c>
      <c r="M57" s="61">
        <v>194.34</v>
      </c>
      <c r="N57" s="61">
        <v>186.65899999999999</v>
      </c>
    </row>
    <row r="58" spans="1:14" x14ac:dyDescent="0.2">
      <c r="A58" s="53" t="s">
        <v>341</v>
      </c>
      <c r="B58" s="61">
        <v>-376.5</v>
      </c>
      <c r="C58" s="61">
        <v>-312</v>
      </c>
      <c r="D58" s="61">
        <v>-246.1</v>
      </c>
      <c r="E58" s="61">
        <v>-218.1</v>
      </c>
      <c r="F58" s="61">
        <v>-183.5</v>
      </c>
      <c r="G58" s="61">
        <v>-149</v>
      </c>
      <c r="H58" s="61">
        <v>-127.8</v>
      </c>
      <c r="I58" s="61">
        <v>-99</v>
      </c>
      <c r="J58" s="61">
        <v>-94.1</v>
      </c>
      <c r="K58" s="61">
        <v>-71</v>
      </c>
      <c r="L58" s="61">
        <v>-42.9</v>
      </c>
      <c r="M58" s="61">
        <v>-74.8</v>
      </c>
      <c r="N58" s="61">
        <v>-34</v>
      </c>
    </row>
    <row r="59" spans="1:14" x14ac:dyDescent="0.2">
      <c r="A59" s="53" t="s">
        <v>342</v>
      </c>
      <c r="B59" s="61" t="s">
        <v>227</v>
      </c>
      <c r="C59" s="61" t="s">
        <v>227</v>
      </c>
      <c r="D59" s="61" t="s">
        <v>227</v>
      </c>
      <c r="E59" s="61" t="s">
        <v>227</v>
      </c>
      <c r="F59" s="61" t="s">
        <v>227</v>
      </c>
      <c r="G59" s="61" t="s">
        <v>227</v>
      </c>
      <c r="H59" s="61" t="s">
        <v>227</v>
      </c>
      <c r="I59" s="61" t="s">
        <v>227</v>
      </c>
      <c r="J59" s="61" t="s">
        <v>227</v>
      </c>
      <c r="K59" s="61" t="s">
        <v>227</v>
      </c>
      <c r="L59" s="61" t="s">
        <v>227</v>
      </c>
      <c r="M59" s="61">
        <v>12.218</v>
      </c>
      <c r="N59" s="61">
        <v>7.7569999999999997</v>
      </c>
    </row>
    <row r="60" spans="1:14" x14ac:dyDescent="0.2">
      <c r="A60" s="53" t="s">
        <v>343</v>
      </c>
      <c r="B60" s="61">
        <v>2.0840000000000001</v>
      </c>
      <c r="C60" s="61">
        <v>2.0990000000000002</v>
      </c>
      <c r="D60" s="61">
        <v>2.0529999999999999</v>
      </c>
      <c r="E60" s="61">
        <v>2.5750000000000002</v>
      </c>
      <c r="F60" s="61">
        <v>2.234</v>
      </c>
      <c r="G60" s="61">
        <v>2.0449999999999999</v>
      </c>
      <c r="H60" s="61">
        <v>1.9179999999999999</v>
      </c>
      <c r="I60" s="61">
        <v>1.861</v>
      </c>
      <c r="J60" s="61">
        <v>1.9359999999999999</v>
      </c>
      <c r="K60" s="61">
        <v>1.7190000000000001</v>
      </c>
      <c r="L60" s="61" t="s">
        <v>227</v>
      </c>
      <c r="M60" s="61" t="s">
        <v>227</v>
      </c>
      <c r="N60" s="61" t="s">
        <v>227</v>
      </c>
    </row>
    <row r="61" spans="1:14" x14ac:dyDescent="0.2">
      <c r="A61" s="53" t="s">
        <v>344</v>
      </c>
      <c r="B61" s="61">
        <v>9.42</v>
      </c>
      <c r="C61" s="61">
        <v>13.837</v>
      </c>
      <c r="D61" s="61">
        <v>15.311999999999999</v>
      </c>
      <c r="E61" s="61">
        <v>10.749000000000001</v>
      </c>
      <c r="F61" s="61">
        <v>13.167</v>
      </c>
      <c r="G61" s="61">
        <v>12.879</v>
      </c>
      <c r="H61" s="61">
        <v>12.291</v>
      </c>
      <c r="I61" s="61">
        <v>12.88</v>
      </c>
      <c r="J61" s="61">
        <v>9.9619999999999997</v>
      </c>
      <c r="K61" s="61">
        <v>10.59</v>
      </c>
      <c r="L61" s="61" t="s">
        <v>227</v>
      </c>
      <c r="M61" s="61" t="s">
        <v>227</v>
      </c>
      <c r="N61" s="61" t="s">
        <v>227</v>
      </c>
    </row>
    <row r="62" spans="1:14" x14ac:dyDescent="0.2">
      <c r="A62" s="53" t="s">
        <v>345</v>
      </c>
      <c r="B62" s="61">
        <v>3.875</v>
      </c>
      <c r="C62" s="61">
        <v>1.0329999999999999</v>
      </c>
      <c r="D62" s="61">
        <v>1.6919999999999999</v>
      </c>
      <c r="E62" s="61">
        <v>5.8780000000000001</v>
      </c>
      <c r="F62" s="61">
        <v>4.8339999999999996</v>
      </c>
      <c r="G62" s="61">
        <v>5.7649999999999997</v>
      </c>
      <c r="H62" s="61">
        <v>0.92100000000000004</v>
      </c>
      <c r="I62" s="61">
        <v>1.36</v>
      </c>
      <c r="J62" s="61">
        <v>4.34</v>
      </c>
      <c r="K62" s="61">
        <v>2.1560000000000001</v>
      </c>
      <c r="L62" s="61" t="s">
        <v>227</v>
      </c>
      <c r="M62" s="61" t="s">
        <v>227</v>
      </c>
      <c r="N62" s="61" t="s">
        <v>227</v>
      </c>
    </row>
    <row r="63" spans="1:14" x14ac:dyDescent="0.2">
      <c r="A63" s="53" t="s">
        <v>346</v>
      </c>
      <c r="B63" s="61" t="s">
        <v>227</v>
      </c>
      <c r="C63" s="61" t="s">
        <v>227</v>
      </c>
      <c r="D63" s="61">
        <v>78.38</v>
      </c>
      <c r="E63" s="61">
        <v>74.888999999999996</v>
      </c>
      <c r="F63" s="61">
        <v>69.137</v>
      </c>
      <c r="G63" s="61">
        <v>62.526000000000003</v>
      </c>
      <c r="H63" s="61">
        <v>42.640999999999998</v>
      </c>
      <c r="I63" s="61">
        <v>43.183999999999997</v>
      </c>
      <c r="J63" s="61" t="s">
        <v>227</v>
      </c>
      <c r="K63" s="61">
        <v>41.866999999999997</v>
      </c>
      <c r="L63" s="61">
        <v>3.8340000000000001</v>
      </c>
      <c r="M63" s="61">
        <v>3.8809999999999998</v>
      </c>
      <c r="N63" s="61" t="s">
        <v>227</v>
      </c>
    </row>
    <row r="64" spans="1:14" x14ac:dyDescent="0.2">
      <c r="A64" s="53" t="s">
        <v>347</v>
      </c>
      <c r="B64" s="61" t="s">
        <v>227</v>
      </c>
      <c r="C64" s="61" t="s">
        <v>227</v>
      </c>
      <c r="D64" s="61">
        <v>91.236999999999995</v>
      </c>
      <c r="E64" s="61">
        <v>79.763000000000005</v>
      </c>
      <c r="F64" s="61">
        <v>67.789000000000001</v>
      </c>
      <c r="G64" s="61">
        <v>67.203999999999994</v>
      </c>
      <c r="H64" s="61">
        <v>65.063000000000002</v>
      </c>
      <c r="I64" s="61">
        <v>61.831000000000003</v>
      </c>
      <c r="J64" s="61" t="s">
        <v>227</v>
      </c>
      <c r="K64" s="61">
        <v>61.024000000000001</v>
      </c>
      <c r="L64" s="61">
        <v>15.29</v>
      </c>
      <c r="M64" s="61">
        <v>15.195</v>
      </c>
      <c r="N64" s="61" t="s">
        <v>227</v>
      </c>
    </row>
    <row r="65" spans="1:14" x14ac:dyDescent="0.2">
      <c r="A65" s="53" t="s">
        <v>348</v>
      </c>
      <c r="B65" s="61" t="s">
        <v>199</v>
      </c>
      <c r="C65" s="61" t="s">
        <v>199</v>
      </c>
      <c r="D65" s="61">
        <v>2.25</v>
      </c>
      <c r="E65" s="61">
        <v>2.5299999999999998</v>
      </c>
      <c r="F65" s="61">
        <v>0.81100000000000005</v>
      </c>
      <c r="G65" s="61">
        <v>0.46100000000000002</v>
      </c>
      <c r="H65" s="61">
        <v>0.48799999999999999</v>
      </c>
      <c r="I65" s="61">
        <v>0.73899999999999999</v>
      </c>
      <c r="J65" s="61" t="s">
        <v>199</v>
      </c>
      <c r="K65" s="61">
        <v>0.72399999999999998</v>
      </c>
      <c r="L65" s="61">
        <v>0.13800000000000001</v>
      </c>
      <c r="M65" s="61">
        <v>0.245</v>
      </c>
      <c r="N65" s="61" t="s">
        <v>199</v>
      </c>
    </row>
    <row r="66" spans="1:14" x14ac:dyDescent="0.2">
      <c r="A66" s="53" t="s">
        <v>349</v>
      </c>
      <c r="B66" s="75" t="s">
        <v>227</v>
      </c>
      <c r="C66" s="75" t="s">
        <v>227</v>
      </c>
      <c r="D66" s="75" t="s">
        <v>227</v>
      </c>
      <c r="E66" s="75">
        <v>216</v>
      </c>
      <c r="F66" s="75" t="s">
        <v>227</v>
      </c>
      <c r="G66" s="75" t="s">
        <v>227</v>
      </c>
      <c r="H66" s="75" t="s">
        <v>227</v>
      </c>
      <c r="I66" s="75">
        <v>137</v>
      </c>
      <c r="J66" s="75" t="s">
        <v>227</v>
      </c>
      <c r="K66" s="75" t="s">
        <v>227</v>
      </c>
      <c r="L66" s="75" t="s">
        <v>227</v>
      </c>
      <c r="M66" s="75">
        <v>61</v>
      </c>
      <c r="N66" s="75" t="s">
        <v>227</v>
      </c>
    </row>
    <row r="67" spans="1:14" x14ac:dyDescent="0.2">
      <c r="A67" s="53" t="s">
        <v>241</v>
      </c>
      <c r="B67" s="68">
        <v>45056</v>
      </c>
      <c r="C67" s="68">
        <v>45147</v>
      </c>
      <c r="D67" s="68">
        <v>45238</v>
      </c>
      <c r="E67" s="68">
        <v>45356</v>
      </c>
      <c r="F67" s="68">
        <v>45422</v>
      </c>
      <c r="G67" s="68">
        <v>45513</v>
      </c>
      <c r="H67" s="68">
        <v>45604</v>
      </c>
      <c r="I67" s="68">
        <v>45730</v>
      </c>
      <c r="J67" s="68">
        <v>45786</v>
      </c>
      <c r="K67" s="68">
        <v>45513</v>
      </c>
      <c r="L67" s="68">
        <v>45604</v>
      </c>
      <c r="M67" s="68">
        <v>45730</v>
      </c>
      <c r="N67" s="68">
        <v>45786</v>
      </c>
    </row>
    <row r="68" spans="1:14" x14ac:dyDescent="0.2">
      <c r="A68" s="53" t="s">
        <v>242</v>
      </c>
      <c r="B68" s="69" t="s">
        <v>243</v>
      </c>
      <c r="C68" s="69" t="s">
        <v>243</v>
      </c>
      <c r="D68" s="69" t="s">
        <v>243</v>
      </c>
      <c r="E68" s="69" t="s">
        <v>243</v>
      </c>
      <c r="F68" s="69" t="s">
        <v>243</v>
      </c>
      <c r="G68" s="69" t="s">
        <v>243</v>
      </c>
      <c r="H68" s="69" t="s">
        <v>243</v>
      </c>
      <c r="I68" s="69" t="s">
        <v>243</v>
      </c>
      <c r="J68" s="69" t="s">
        <v>243</v>
      </c>
      <c r="K68" s="69" t="s">
        <v>244</v>
      </c>
      <c r="L68" s="69" t="s">
        <v>244</v>
      </c>
      <c r="M68" s="69" t="s">
        <v>244</v>
      </c>
      <c r="N68" s="69" t="s">
        <v>244</v>
      </c>
    </row>
    <row r="69" spans="1:14" x14ac:dyDescent="0.2">
      <c r="A69" s="53" t="s">
        <v>245</v>
      </c>
      <c r="B69" s="69" t="s">
        <v>350</v>
      </c>
      <c r="C69" s="69" t="s">
        <v>350</v>
      </c>
      <c r="D69" s="69" t="s">
        <v>350</v>
      </c>
      <c r="E69" s="69" t="s">
        <v>247</v>
      </c>
      <c r="F69" s="69" t="s">
        <v>350</v>
      </c>
      <c r="G69" s="69" t="s">
        <v>350</v>
      </c>
      <c r="H69" s="69" t="s">
        <v>350</v>
      </c>
      <c r="I69" s="69" t="s">
        <v>247</v>
      </c>
      <c r="J69" s="69" t="s">
        <v>350</v>
      </c>
      <c r="K69" s="69" t="s">
        <v>246</v>
      </c>
      <c r="L69" s="69" t="s">
        <v>246</v>
      </c>
      <c r="M69" s="69" t="s">
        <v>247</v>
      </c>
      <c r="N69" s="69" t="s">
        <v>246</v>
      </c>
    </row>
    <row r="70" spans="1:14" x14ac:dyDescent="0.2">
      <c r="A70" s="53"/>
      <c r="B70" s="53"/>
      <c r="C70" s="53"/>
      <c r="D70" s="53"/>
      <c r="E70" s="53"/>
      <c r="F70" s="53"/>
      <c r="G70" s="53"/>
      <c r="H70" s="53"/>
      <c r="I70" s="53"/>
      <c r="J70" s="53"/>
      <c r="K70" s="53"/>
      <c r="L70" s="53"/>
      <c r="M70" s="53"/>
      <c r="N70" s="53"/>
    </row>
    <row r="71" spans="1:14" x14ac:dyDescent="0.2">
      <c r="A71" s="71"/>
      <c r="B71" s="71"/>
      <c r="C71" s="71"/>
      <c r="D71" s="71"/>
      <c r="E71" s="71"/>
      <c r="F71" s="71"/>
      <c r="G71" s="71"/>
      <c r="H71" s="71"/>
      <c r="I71" s="71"/>
      <c r="J71" s="71"/>
      <c r="K71" s="71"/>
      <c r="L71" s="71"/>
      <c r="M71" s="71"/>
      <c r="N71" s="71"/>
    </row>
    <row r="72" spans="1:14" x14ac:dyDescent="0.2">
      <c r="A72" s="52" t="s">
        <v>400</v>
      </c>
    </row>
    <row r="73" spans="1:14" x14ac:dyDescent="0.2">
      <c r="A73" s="72" t="s">
        <v>383</v>
      </c>
    </row>
  </sheetData>
  <phoneticPr fontId="0" type="noConversion"/>
  <pageMargins left="0.2" right="0.2" top="0.5" bottom="0.5" header="0.5" footer="0.5"/>
  <pageSetup fitToWidth="0" fitToHeight="0" orientation="landscape" horizontalDpi="0" verticalDpi="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5F6C7-2E2C-4BE6-919D-D962BB5C7E8A}">
  <sheetPr>
    <outlinePr summaryBelow="0" summaryRight="0"/>
    <pageSetUpPr autoPageBreaks="0"/>
  </sheetPr>
  <dimension ref="A2:IU60"/>
  <sheetViews>
    <sheetView topLeftCell="A57" workbookViewId="0">
      <selection activeCell="A6" sqref="A6:N58"/>
    </sheetView>
  </sheetViews>
  <sheetFormatPr defaultColWidth="9.140625" defaultRowHeight="11.25" x14ac:dyDescent="0.2"/>
  <cols>
    <col min="1" max="1" width="45.85546875" style="52" customWidth="1"/>
    <col min="2" max="14" width="14.85546875" style="52" customWidth="1"/>
    <col min="15" max="16384" width="9.140625" style="52"/>
  </cols>
  <sheetData>
    <row r="2" spans="1:255" x14ac:dyDescent="0.2">
      <c r="A2" s="54" t="s">
        <v>401</v>
      </c>
      <c r="B2" s="54"/>
      <c r="C2" s="54"/>
      <c r="D2" s="54"/>
      <c r="E2" s="54"/>
      <c r="F2" s="54"/>
      <c r="G2" s="54"/>
      <c r="H2" s="54"/>
      <c r="I2" s="54"/>
      <c r="J2" s="54"/>
      <c r="K2" s="54"/>
      <c r="L2" s="54"/>
      <c r="M2" s="54"/>
      <c r="N2" s="54"/>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c r="CA2" s="55"/>
      <c r="CB2" s="55"/>
      <c r="CC2" s="55"/>
      <c r="CD2" s="55"/>
      <c r="CE2" s="55"/>
      <c r="CF2" s="55"/>
      <c r="CG2" s="55"/>
      <c r="CH2" s="55"/>
      <c r="CI2" s="55"/>
      <c r="CJ2" s="55"/>
      <c r="CK2" s="55"/>
      <c r="CL2" s="55"/>
      <c r="CM2" s="55"/>
      <c r="CN2" s="55"/>
      <c r="CO2" s="55"/>
      <c r="CP2" s="55"/>
      <c r="CQ2" s="55"/>
      <c r="CR2" s="55"/>
      <c r="CS2" s="55"/>
      <c r="CT2" s="55"/>
      <c r="CU2" s="55"/>
      <c r="CV2" s="55"/>
      <c r="CW2" s="55"/>
      <c r="CX2" s="55"/>
      <c r="CY2" s="55"/>
      <c r="CZ2" s="55"/>
      <c r="DA2" s="55"/>
      <c r="DB2" s="55"/>
      <c r="DC2" s="55"/>
      <c r="DD2" s="55"/>
      <c r="DE2" s="55"/>
      <c r="DF2" s="55"/>
      <c r="DG2" s="55"/>
      <c r="DH2" s="55"/>
      <c r="DI2" s="55"/>
      <c r="DJ2" s="55"/>
      <c r="DK2" s="55"/>
      <c r="DL2" s="55"/>
      <c r="DM2" s="55"/>
      <c r="DN2" s="55"/>
      <c r="DO2" s="55"/>
      <c r="DP2" s="55"/>
      <c r="DQ2" s="55"/>
      <c r="DR2" s="55"/>
      <c r="DS2" s="55"/>
      <c r="DT2" s="55"/>
      <c r="DU2" s="55"/>
      <c r="DV2" s="55"/>
      <c r="DW2" s="55"/>
      <c r="DX2" s="55"/>
      <c r="DY2" s="55"/>
      <c r="DZ2" s="55"/>
      <c r="EA2" s="55"/>
      <c r="EB2" s="55"/>
      <c r="EC2" s="55"/>
      <c r="ED2" s="55"/>
      <c r="EE2" s="55"/>
      <c r="EF2" s="55"/>
      <c r="EG2" s="55"/>
      <c r="EH2" s="55"/>
      <c r="EI2" s="55"/>
      <c r="EJ2" s="55"/>
      <c r="EK2" s="55"/>
      <c r="EL2" s="55"/>
      <c r="EM2" s="55"/>
      <c r="EN2" s="55"/>
      <c r="EO2" s="55"/>
      <c r="EP2" s="55"/>
      <c r="EQ2" s="55"/>
      <c r="ER2" s="55"/>
      <c r="ES2" s="55"/>
      <c r="ET2" s="55"/>
      <c r="EU2" s="55"/>
      <c r="EV2" s="55"/>
      <c r="EW2" s="55"/>
      <c r="EX2" s="55"/>
      <c r="EY2" s="55"/>
      <c r="EZ2" s="55"/>
      <c r="FA2" s="55"/>
      <c r="FB2" s="55"/>
      <c r="FC2" s="55"/>
      <c r="FD2" s="55"/>
      <c r="FE2" s="55"/>
      <c r="FF2" s="55"/>
      <c r="FG2" s="55"/>
      <c r="FH2" s="55"/>
      <c r="FI2" s="55"/>
      <c r="FJ2" s="55"/>
      <c r="FK2" s="55"/>
      <c r="FL2" s="55"/>
      <c r="FM2" s="55"/>
      <c r="FN2" s="55"/>
      <c r="FO2" s="55"/>
      <c r="FP2" s="55"/>
      <c r="FQ2" s="55"/>
      <c r="FR2" s="55"/>
      <c r="FS2" s="55"/>
      <c r="FT2" s="55"/>
      <c r="FU2" s="55"/>
      <c r="FV2" s="55"/>
      <c r="FW2" s="55"/>
      <c r="FX2" s="55"/>
      <c r="FY2" s="55"/>
      <c r="FZ2" s="55"/>
      <c r="GA2" s="55"/>
      <c r="GB2" s="55"/>
      <c r="GC2" s="55"/>
      <c r="GD2" s="55"/>
      <c r="GE2" s="55"/>
      <c r="GF2" s="55"/>
      <c r="GG2" s="55"/>
      <c r="GH2" s="55"/>
      <c r="GI2" s="55"/>
      <c r="GJ2" s="55"/>
      <c r="GK2" s="55"/>
      <c r="GL2" s="55"/>
      <c r="GM2" s="55"/>
      <c r="GN2" s="55"/>
      <c r="GO2" s="55"/>
      <c r="GP2" s="55"/>
      <c r="GQ2" s="55"/>
      <c r="GR2" s="55"/>
      <c r="GS2" s="55"/>
      <c r="GT2" s="55"/>
      <c r="GU2" s="55"/>
      <c r="GV2" s="55"/>
      <c r="GW2" s="55"/>
      <c r="GX2" s="55"/>
      <c r="GY2" s="55"/>
      <c r="GZ2" s="55"/>
      <c r="HA2" s="55"/>
      <c r="HB2" s="55"/>
      <c r="HC2" s="55"/>
      <c r="HD2" s="55"/>
      <c r="HE2" s="55"/>
      <c r="HF2" s="55"/>
      <c r="HG2" s="55"/>
      <c r="HH2" s="55"/>
      <c r="HI2" s="55"/>
      <c r="HJ2" s="55"/>
      <c r="HK2" s="55"/>
      <c r="HL2" s="55"/>
      <c r="HM2" s="55"/>
      <c r="HN2" s="55"/>
      <c r="HO2" s="55"/>
      <c r="HP2" s="55"/>
      <c r="HQ2" s="55"/>
      <c r="HR2" s="55"/>
      <c r="HS2" s="55"/>
      <c r="HT2" s="55"/>
      <c r="HU2" s="55"/>
      <c r="HV2" s="55"/>
      <c r="HW2" s="55"/>
      <c r="HX2" s="55"/>
      <c r="HY2" s="55"/>
      <c r="HZ2" s="55"/>
      <c r="IA2" s="55"/>
      <c r="IB2" s="55"/>
      <c r="IC2" s="55"/>
      <c r="ID2" s="55"/>
      <c r="IE2" s="55"/>
      <c r="IF2" s="55"/>
      <c r="IG2" s="55"/>
      <c r="IH2" s="55"/>
      <c r="II2" s="55"/>
      <c r="IJ2" s="55"/>
      <c r="IK2" s="55"/>
      <c r="IL2" s="55"/>
      <c r="IM2" s="55"/>
      <c r="IN2" s="55"/>
      <c r="IO2" s="55"/>
      <c r="IP2" s="55"/>
      <c r="IQ2" s="55"/>
      <c r="IR2" s="55"/>
      <c r="IS2" s="55"/>
      <c r="IT2" s="55"/>
      <c r="IU2" s="55"/>
    </row>
    <row r="3" spans="1:255" ht="33.75" x14ac:dyDescent="0.2">
      <c r="A3" s="56" t="s">
        <v>353</v>
      </c>
      <c r="B3" s="57" t="s">
        <v>354</v>
      </c>
      <c r="C3" s="57" t="s">
        <v>355</v>
      </c>
      <c r="D3" s="57" t="s">
        <v>356</v>
      </c>
      <c r="E3" s="57" t="s">
        <v>357</v>
      </c>
      <c r="F3" s="57" t="s">
        <v>358</v>
      </c>
      <c r="G3" s="57" t="s">
        <v>359</v>
      </c>
      <c r="H3" s="57" t="s">
        <v>360</v>
      </c>
      <c r="I3" s="57" t="s">
        <v>361</v>
      </c>
      <c r="J3" s="57" t="s">
        <v>362</v>
      </c>
      <c r="K3" s="57" t="s">
        <v>363</v>
      </c>
      <c r="L3" s="57" t="s">
        <v>364</v>
      </c>
      <c r="M3" s="57" t="s">
        <v>365</v>
      </c>
      <c r="N3" s="57" t="s">
        <v>366</v>
      </c>
    </row>
    <row r="4" spans="1:255" x14ac:dyDescent="0.2">
      <c r="A4" s="58" t="s">
        <v>367</v>
      </c>
      <c r="B4" s="59" t="s">
        <v>368</v>
      </c>
      <c r="C4" s="59" t="s">
        <v>368</v>
      </c>
      <c r="D4" s="59" t="s">
        <v>368</v>
      </c>
      <c r="E4" s="59" t="s">
        <v>368</v>
      </c>
      <c r="F4" s="59" t="s">
        <v>368</v>
      </c>
      <c r="G4" s="59" t="s">
        <v>368</v>
      </c>
      <c r="H4" s="59" t="s">
        <v>368</v>
      </c>
      <c r="I4" s="59" t="s">
        <v>368</v>
      </c>
      <c r="J4" s="59" t="s">
        <v>368</v>
      </c>
      <c r="K4" s="59" t="s">
        <v>368</v>
      </c>
      <c r="L4" s="59" t="s">
        <v>368</v>
      </c>
      <c r="M4" s="59" t="s">
        <v>368</v>
      </c>
      <c r="N4" s="59" t="s">
        <v>368</v>
      </c>
    </row>
    <row r="5" spans="1:255" x14ac:dyDescent="0.2">
      <c r="A5" s="60" t="s">
        <v>196</v>
      </c>
      <c r="B5" s="53"/>
      <c r="C5" s="53"/>
      <c r="D5" s="53"/>
      <c r="E5" s="53"/>
      <c r="F5" s="53"/>
      <c r="G5" s="53"/>
      <c r="H5" s="53"/>
      <c r="I5" s="53"/>
      <c r="J5" s="53"/>
      <c r="K5" s="53"/>
      <c r="L5" s="53"/>
      <c r="M5" s="53"/>
      <c r="N5" s="53"/>
    </row>
    <row r="6" spans="1:255" x14ac:dyDescent="0.2">
      <c r="A6" s="60" t="s">
        <v>257</v>
      </c>
      <c r="B6" s="63">
        <v>-90.4</v>
      </c>
      <c r="C6" s="63">
        <v>-159.1</v>
      </c>
      <c r="D6" s="63">
        <v>-59</v>
      </c>
      <c r="E6" s="63">
        <v>-59.7</v>
      </c>
      <c r="F6" s="63">
        <v>-137</v>
      </c>
      <c r="G6" s="63">
        <v>-51.1</v>
      </c>
      <c r="H6" s="63">
        <v>-45.8</v>
      </c>
      <c r="I6" s="63">
        <v>-42.1</v>
      </c>
      <c r="J6" s="63">
        <v>-36.799999999999997</v>
      </c>
      <c r="K6" s="63">
        <v>-52.4</v>
      </c>
      <c r="L6" s="63">
        <v>-37.1</v>
      </c>
      <c r="M6" s="63">
        <v>7.2610000000000001</v>
      </c>
      <c r="N6" s="63">
        <v>-50.9</v>
      </c>
    </row>
    <row r="7" spans="1:255" x14ac:dyDescent="0.2">
      <c r="A7" s="53" t="s">
        <v>258</v>
      </c>
      <c r="B7" s="61">
        <v>3.73</v>
      </c>
      <c r="C7" s="61">
        <v>3.4409999999999998</v>
      </c>
      <c r="D7" s="61">
        <v>2.677</v>
      </c>
      <c r="E7" s="61">
        <v>3.1819999999999999</v>
      </c>
      <c r="F7" s="61">
        <v>2.302</v>
      </c>
      <c r="G7" s="61">
        <v>2.1659999999999999</v>
      </c>
      <c r="H7" s="61">
        <v>1.6950000000000001</v>
      </c>
      <c r="I7" s="61">
        <v>1.6519999999999999</v>
      </c>
      <c r="J7" s="61">
        <v>1.607</v>
      </c>
      <c r="K7" s="61">
        <v>1.4590000000000001</v>
      </c>
      <c r="L7" s="61">
        <v>0.99299999999999999</v>
      </c>
      <c r="M7" s="61">
        <v>0.33200000000000002</v>
      </c>
      <c r="N7" s="61">
        <v>0.42599999999999999</v>
      </c>
    </row>
    <row r="8" spans="1:255" x14ac:dyDescent="0.2">
      <c r="A8" s="60" t="s">
        <v>259</v>
      </c>
      <c r="B8" s="62">
        <v>3.73</v>
      </c>
      <c r="C8" s="62">
        <v>3.4409999999999998</v>
      </c>
      <c r="D8" s="62">
        <v>2.677</v>
      </c>
      <c r="E8" s="62">
        <v>3.1819999999999999</v>
      </c>
      <c r="F8" s="62">
        <v>2.302</v>
      </c>
      <c r="G8" s="62">
        <v>2.1659999999999999</v>
      </c>
      <c r="H8" s="62">
        <v>1.6950000000000001</v>
      </c>
      <c r="I8" s="62">
        <v>1.6519999999999999</v>
      </c>
      <c r="J8" s="62">
        <v>1.607</v>
      </c>
      <c r="K8" s="62">
        <v>1.4590000000000001</v>
      </c>
      <c r="L8" s="62">
        <v>0.99299999999999999</v>
      </c>
      <c r="M8" s="62">
        <v>0.33200000000000002</v>
      </c>
      <c r="N8" s="62">
        <v>0.42599999999999999</v>
      </c>
    </row>
    <row r="9" spans="1:255" x14ac:dyDescent="0.2">
      <c r="A9" s="53"/>
      <c r="B9" s="53"/>
      <c r="C9" s="53"/>
      <c r="D9" s="53"/>
      <c r="E9" s="53"/>
      <c r="F9" s="53"/>
      <c r="G9" s="53"/>
      <c r="H9" s="53"/>
      <c r="I9" s="53"/>
      <c r="J9" s="53"/>
      <c r="K9" s="53"/>
      <c r="L9" s="53"/>
      <c r="M9" s="53"/>
      <c r="N9" s="53"/>
    </row>
    <row r="10" spans="1:255" x14ac:dyDescent="0.2">
      <c r="A10" s="53" t="s">
        <v>260</v>
      </c>
      <c r="B10" s="61" t="s">
        <v>199</v>
      </c>
      <c r="C10" s="61" t="s">
        <v>199</v>
      </c>
      <c r="D10" s="61" t="s">
        <v>199</v>
      </c>
      <c r="E10" s="61">
        <v>-3.3</v>
      </c>
      <c r="F10" s="61" t="s">
        <v>199</v>
      </c>
      <c r="G10" s="61" t="s">
        <v>199</v>
      </c>
      <c r="H10" s="61" t="s">
        <v>199</v>
      </c>
      <c r="I10" s="61">
        <v>1.3</v>
      </c>
      <c r="J10" s="61" t="s">
        <v>199</v>
      </c>
      <c r="K10" s="61" t="s">
        <v>199</v>
      </c>
      <c r="L10" s="61" t="s">
        <v>199</v>
      </c>
      <c r="M10" s="61">
        <v>-40.4</v>
      </c>
      <c r="N10" s="61" t="s">
        <v>199</v>
      </c>
    </row>
    <row r="11" spans="1:255" x14ac:dyDescent="0.2">
      <c r="A11" s="53" t="s">
        <v>261</v>
      </c>
      <c r="B11" s="61">
        <v>4.9509999999999996</v>
      </c>
      <c r="C11" s="61">
        <v>57.320999999999998</v>
      </c>
      <c r="D11" s="61">
        <v>1.2</v>
      </c>
      <c r="E11" s="61">
        <v>7.24</v>
      </c>
      <c r="F11" s="61">
        <v>89.700999999999993</v>
      </c>
      <c r="G11" s="61">
        <v>13.255000000000001</v>
      </c>
      <c r="H11" s="61">
        <v>10.173</v>
      </c>
      <c r="I11" s="61">
        <v>-1.3</v>
      </c>
      <c r="J11" s="61" t="s">
        <v>199</v>
      </c>
      <c r="K11" s="61">
        <v>8.3290000000000006</v>
      </c>
      <c r="L11" s="61">
        <v>0</v>
      </c>
      <c r="M11" s="61">
        <v>0</v>
      </c>
      <c r="N11" s="61" t="s">
        <v>199</v>
      </c>
    </row>
    <row r="12" spans="1:255" x14ac:dyDescent="0.2">
      <c r="A12" s="53" t="s">
        <v>262</v>
      </c>
      <c r="B12" s="61" t="s">
        <v>199</v>
      </c>
      <c r="C12" s="61" t="s">
        <v>199</v>
      </c>
      <c r="D12" s="61" t="s">
        <v>199</v>
      </c>
      <c r="E12" s="61" t="s">
        <v>199</v>
      </c>
      <c r="F12" s="61" t="s">
        <v>199</v>
      </c>
      <c r="G12" s="61" t="s">
        <v>199</v>
      </c>
      <c r="H12" s="61" t="s">
        <v>199</v>
      </c>
      <c r="I12" s="61" t="s">
        <v>199</v>
      </c>
      <c r="J12" s="61" t="s">
        <v>199</v>
      </c>
      <c r="K12" s="61" t="s">
        <v>199</v>
      </c>
      <c r="L12" s="61" t="s">
        <v>199</v>
      </c>
      <c r="M12" s="61" t="s">
        <v>199</v>
      </c>
      <c r="N12" s="61">
        <v>4.4610000000000003</v>
      </c>
    </row>
    <row r="13" spans="1:255" x14ac:dyDescent="0.2">
      <c r="A13" s="53" t="s">
        <v>263</v>
      </c>
      <c r="B13" s="61">
        <v>20.960999999999999</v>
      </c>
      <c r="C13" s="61">
        <v>11.103</v>
      </c>
      <c r="D13" s="61">
        <v>12.518000000000001</v>
      </c>
      <c r="E13" s="61">
        <v>12.738</v>
      </c>
      <c r="F13" s="61">
        <v>10.019</v>
      </c>
      <c r="G13" s="61">
        <v>7.9660000000000002</v>
      </c>
      <c r="H13" s="61">
        <v>8.1489999999999991</v>
      </c>
      <c r="I13" s="61">
        <v>7.2539999999999996</v>
      </c>
      <c r="J13" s="61">
        <v>6</v>
      </c>
      <c r="K13" s="61">
        <v>5.4180000000000001</v>
      </c>
      <c r="L13" s="61">
        <v>5.391</v>
      </c>
      <c r="M13" s="61">
        <v>4.8029999999999999</v>
      </c>
      <c r="N13" s="61">
        <v>3.8980000000000001</v>
      </c>
    </row>
    <row r="14" spans="1:255" x14ac:dyDescent="0.2">
      <c r="A14" s="53" t="s">
        <v>264</v>
      </c>
      <c r="B14" s="61">
        <v>-42.2</v>
      </c>
      <c r="C14" s="61">
        <v>-9.6</v>
      </c>
      <c r="D14" s="61">
        <v>-12.5</v>
      </c>
      <c r="E14" s="61">
        <v>-9.8000000000000007</v>
      </c>
      <c r="F14" s="61">
        <v>-14.4</v>
      </c>
      <c r="G14" s="61">
        <v>-14.4</v>
      </c>
      <c r="H14" s="61">
        <v>-13.1</v>
      </c>
      <c r="I14" s="61">
        <v>-9</v>
      </c>
      <c r="J14" s="61">
        <v>-12</v>
      </c>
      <c r="K14" s="61">
        <v>-11.3</v>
      </c>
      <c r="L14" s="61">
        <v>-14.4</v>
      </c>
      <c r="M14" s="61">
        <v>-6.7</v>
      </c>
      <c r="N14" s="61">
        <v>-6.8</v>
      </c>
    </row>
    <row r="15" spans="1:255" x14ac:dyDescent="0.2">
      <c r="A15" s="53" t="s">
        <v>265</v>
      </c>
      <c r="B15" s="61">
        <v>-7.7</v>
      </c>
      <c r="C15" s="61">
        <v>20.213999999999999</v>
      </c>
      <c r="D15" s="61">
        <v>-1.5</v>
      </c>
      <c r="E15" s="61">
        <v>5.5510000000000002</v>
      </c>
      <c r="F15" s="61">
        <v>2.9860000000000002</v>
      </c>
      <c r="G15" s="61">
        <v>1.66</v>
      </c>
      <c r="H15" s="61">
        <v>-0.9</v>
      </c>
      <c r="I15" s="61">
        <v>0.999</v>
      </c>
      <c r="J15" s="61">
        <v>-2.4</v>
      </c>
      <c r="K15" s="61">
        <v>2.4209999999999998</v>
      </c>
      <c r="L15" s="61">
        <v>-0.9</v>
      </c>
      <c r="M15" s="61">
        <v>-2.2000000000000002</v>
      </c>
      <c r="N15" s="61" t="s">
        <v>199</v>
      </c>
    </row>
    <row r="16" spans="1:255" x14ac:dyDescent="0.2">
      <c r="A16" s="53" t="s">
        <v>266</v>
      </c>
      <c r="B16" s="61">
        <v>0.42199999999999999</v>
      </c>
      <c r="C16" s="61">
        <v>-1.6</v>
      </c>
      <c r="D16" s="61">
        <v>-2.1</v>
      </c>
      <c r="E16" s="61">
        <v>-0.1</v>
      </c>
      <c r="F16" s="61">
        <v>-2</v>
      </c>
      <c r="G16" s="61">
        <v>-0.8</v>
      </c>
      <c r="H16" s="61">
        <v>2.367</v>
      </c>
      <c r="I16" s="61">
        <v>1.071</v>
      </c>
      <c r="J16" s="61">
        <v>-1.1000000000000001</v>
      </c>
      <c r="K16" s="61">
        <v>0.21199999999999999</v>
      </c>
      <c r="L16" s="61">
        <v>0.123</v>
      </c>
      <c r="M16" s="61">
        <v>1.3049999999999999</v>
      </c>
      <c r="N16" s="61" t="s">
        <v>199</v>
      </c>
    </row>
    <row r="17" spans="1:14" x14ac:dyDescent="0.2">
      <c r="A17" s="53" t="s">
        <v>267</v>
      </c>
      <c r="B17" s="61">
        <v>2.9980000000000002</v>
      </c>
      <c r="C17" s="61">
        <v>-0.2</v>
      </c>
      <c r="D17" s="61">
        <v>-7</v>
      </c>
      <c r="E17" s="61">
        <v>7.2869999999999999</v>
      </c>
      <c r="F17" s="61">
        <v>-8.9</v>
      </c>
      <c r="G17" s="61">
        <v>-1.1000000000000001</v>
      </c>
      <c r="H17" s="61">
        <v>0.66900000000000004</v>
      </c>
      <c r="I17" s="61">
        <v>6.444</v>
      </c>
      <c r="J17" s="61">
        <v>-1</v>
      </c>
      <c r="K17" s="61">
        <v>-2.2999999999999998</v>
      </c>
      <c r="L17" s="61">
        <v>2.2429999999999999</v>
      </c>
      <c r="M17" s="61">
        <v>3.6909999999999998</v>
      </c>
      <c r="N17" s="61">
        <v>6.41</v>
      </c>
    </row>
    <row r="18" spans="1:14" x14ac:dyDescent="0.2">
      <c r="A18" s="53" t="s">
        <v>268</v>
      </c>
      <c r="B18" s="61">
        <v>18.818000000000001</v>
      </c>
      <c r="C18" s="61">
        <v>3.363</v>
      </c>
      <c r="D18" s="61">
        <v>-17.100000000000001</v>
      </c>
      <c r="E18" s="61">
        <v>-20.8</v>
      </c>
      <c r="F18" s="61">
        <v>5.4450000000000003</v>
      </c>
      <c r="G18" s="61">
        <v>-9.1999999999999993</v>
      </c>
      <c r="H18" s="61">
        <v>-5.4</v>
      </c>
      <c r="I18" s="61">
        <v>-13.4</v>
      </c>
      <c r="J18" s="61">
        <v>-2.1</v>
      </c>
      <c r="K18" s="61">
        <v>10.448</v>
      </c>
      <c r="L18" s="61">
        <v>-0.4</v>
      </c>
      <c r="M18" s="61">
        <v>-14.3</v>
      </c>
      <c r="N18" s="61">
        <v>-6.6</v>
      </c>
    </row>
    <row r="19" spans="1:14" x14ac:dyDescent="0.2">
      <c r="A19" s="60" t="s">
        <v>269</v>
      </c>
      <c r="B19" s="62">
        <v>-88.4</v>
      </c>
      <c r="C19" s="62">
        <v>-75</v>
      </c>
      <c r="D19" s="62">
        <v>-82.9</v>
      </c>
      <c r="E19" s="62">
        <v>-57.7</v>
      </c>
      <c r="F19" s="62">
        <v>-51.9</v>
      </c>
      <c r="G19" s="62">
        <v>-51.5</v>
      </c>
      <c r="H19" s="62">
        <v>-42.1</v>
      </c>
      <c r="I19" s="62">
        <v>-47</v>
      </c>
      <c r="J19" s="62">
        <v>-47.9</v>
      </c>
      <c r="K19" s="62">
        <v>-37.700000000000003</v>
      </c>
      <c r="L19" s="62">
        <v>-43.9</v>
      </c>
      <c r="M19" s="62">
        <v>-46.2</v>
      </c>
      <c r="N19" s="62">
        <v>-49.1</v>
      </c>
    </row>
    <row r="20" spans="1:14" x14ac:dyDescent="0.2">
      <c r="A20" s="53"/>
      <c r="B20" s="53"/>
      <c r="C20" s="53"/>
      <c r="D20" s="53"/>
      <c r="E20" s="53"/>
      <c r="F20" s="53"/>
      <c r="G20" s="53"/>
      <c r="H20" s="53"/>
      <c r="I20" s="53"/>
      <c r="J20" s="53"/>
      <c r="K20" s="53"/>
      <c r="L20" s="53"/>
      <c r="M20" s="53"/>
      <c r="N20" s="53"/>
    </row>
    <row r="21" spans="1:14" x14ac:dyDescent="0.2">
      <c r="A21" s="53" t="s">
        <v>270</v>
      </c>
      <c r="B21" s="61">
        <v>-4.2</v>
      </c>
      <c r="C21" s="61">
        <v>-0.8</v>
      </c>
      <c r="D21" s="61">
        <v>-0.2</v>
      </c>
      <c r="E21" s="61">
        <v>-0.5</v>
      </c>
      <c r="F21" s="61">
        <v>-0.4</v>
      </c>
      <c r="G21" s="61">
        <v>-0.2</v>
      </c>
      <c r="H21" s="61">
        <v>0</v>
      </c>
      <c r="I21" s="61">
        <v>-0.2</v>
      </c>
      <c r="J21" s="61">
        <v>-0.2</v>
      </c>
      <c r="K21" s="61">
        <v>-0.2</v>
      </c>
      <c r="L21" s="61">
        <v>-0.7</v>
      </c>
      <c r="M21" s="61">
        <v>-0.5</v>
      </c>
      <c r="N21" s="61">
        <v>0</v>
      </c>
    </row>
    <row r="22" spans="1:14" x14ac:dyDescent="0.2">
      <c r="A22" s="53" t="s">
        <v>271</v>
      </c>
      <c r="B22" s="61" t="s">
        <v>199</v>
      </c>
      <c r="C22" s="61" t="s">
        <v>199</v>
      </c>
      <c r="D22" s="61" t="s">
        <v>199</v>
      </c>
      <c r="E22" s="61">
        <v>13.196</v>
      </c>
      <c r="F22" s="61" t="s">
        <v>199</v>
      </c>
      <c r="G22" s="61" t="s">
        <v>199</v>
      </c>
      <c r="H22" s="61">
        <v>1.2450000000000001</v>
      </c>
      <c r="I22" s="61">
        <v>0</v>
      </c>
      <c r="J22" s="61" t="s">
        <v>199</v>
      </c>
      <c r="K22" s="61" t="s">
        <v>199</v>
      </c>
      <c r="L22" s="61" t="s">
        <v>199</v>
      </c>
      <c r="M22" s="61">
        <v>65.385999999999996</v>
      </c>
      <c r="N22" s="61" t="s">
        <v>199</v>
      </c>
    </row>
    <row r="23" spans="1:14" x14ac:dyDescent="0.2">
      <c r="A23" s="53" t="s">
        <v>272</v>
      </c>
      <c r="B23" s="61" t="s">
        <v>199</v>
      </c>
      <c r="C23" s="61" t="s">
        <v>199</v>
      </c>
      <c r="D23" s="61" t="s">
        <v>199</v>
      </c>
      <c r="E23" s="61" t="s">
        <v>199</v>
      </c>
      <c r="F23" s="61" t="s">
        <v>199</v>
      </c>
      <c r="G23" s="61" t="s">
        <v>199</v>
      </c>
      <c r="H23" s="61" t="s">
        <v>199</v>
      </c>
      <c r="I23" s="61" t="s">
        <v>199</v>
      </c>
      <c r="J23" s="61" t="s">
        <v>199</v>
      </c>
      <c r="K23" s="61" t="s">
        <v>199</v>
      </c>
      <c r="L23" s="61" t="s">
        <v>199</v>
      </c>
      <c r="M23" s="61" t="s">
        <v>199</v>
      </c>
      <c r="N23" s="61" t="s">
        <v>199</v>
      </c>
    </row>
    <row r="24" spans="1:14" x14ac:dyDescent="0.2">
      <c r="A24" s="53" t="s">
        <v>273</v>
      </c>
      <c r="B24" s="61" t="s">
        <v>199</v>
      </c>
      <c r="C24" s="61" t="s">
        <v>199</v>
      </c>
      <c r="D24" s="61" t="s">
        <v>199</v>
      </c>
      <c r="E24" s="61" t="s">
        <v>199</v>
      </c>
      <c r="F24" s="61" t="s">
        <v>199</v>
      </c>
      <c r="G24" s="61" t="s">
        <v>199</v>
      </c>
      <c r="H24" s="61" t="s">
        <v>199</v>
      </c>
      <c r="I24" s="61" t="s">
        <v>199</v>
      </c>
      <c r="J24" s="61" t="s">
        <v>199</v>
      </c>
      <c r="K24" s="61" t="s">
        <v>199</v>
      </c>
      <c r="L24" s="61" t="s">
        <v>199</v>
      </c>
      <c r="M24" s="61" t="s">
        <v>199</v>
      </c>
      <c r="N24" s="61" t="s">
        <v>199</v>
      </c>
    </row>
    <row r="25" spans="1:14" x14ac:dyDescent="0.2">
      <c r="A25" s="53" t="s">
        <v>274</v>
      </c>
      <c r="B25" s="61">
        <v>134.48099999999999</v>
      </c>
      <c r="C25" s="61">
        <v>84.927999999999997</v>
      </c>
      <c r="D25" s="61">
        <v>111.57599999999999</v>
      </c>
      <c r="E25" s="61">
        <v>27.33</v>
      </c>
      <c r="F25" s="61">
        <v>41.030999999999999</v>
      </c>
      <c r="G25" s="61">
        <v>25.332999999999998</v>
      </c>
      <c r="H25" s="61">
        <v>55.2</v>
      </c>
      <c r="I25" s="61">
        <v>17.62</v>
      </c>
      <c r="J25" s="61">
        <v>19.414999999999999</v>
      </c>
      <c r="K25" s="61">
        <v>17.167999999999999</v>
      </c>
      <c r="L25" s="61">
        <v>46.781999999999996</v>
      </c>
      <c r="M25" s="61">
        <v>-4.7</v>
      </c>
      <c r="N25" s="61">
        <v>44.387999999999998</v>
      </c>
    </row>
    <row r="26" spans="1:14" x14ac:dyDescent="0.2">
      <c r="A26" s="53" t="s">
        <v>275</v>
      </c>
      <c r="B26" s="61" t="s">
        <v>199</v>
      </c>
      <c r="C26" s="61" t="s">
        <v>199</v>
      </c>
      <c r="D26" s="61" t="s">
        <v>199</v>
      </c>
      <c r="E26" s="61" t="s">
        <v>199</v>
      </c>
      <c r="F26" s="61" t="s">
        <v>199</v>
      </c>
      <c r="G26" s="61" t="s">
        <v>199</v>
      </c>
      <c r="H26" s="61" t="s">
        <v>199</v>
      </c>
      <c r="I26" s="61" t="s">
        <v>199</v>
      </c>
      <c r="J26" s="61" t="s">
        <v>199</v>
      </c>
      <c r="K26" s="61" t="s">
        <v>199</v>
      </c>
      <c r="L26" s="61" t="s">
        <v>199</v>
      </c>
      <c r="M26" s="61" t="s">
        <v>199</v>
      </c>
      <c r="N26" s="61" t="s">
        <v>199</v>
      </c>
    </row>
    <row r="27" spans="1:14" x14ac:dyDescent="0.2">
      <c r="A27" s="53" t="s">
        <v>276</v>
      </c>
      <c r="B27" s="61" t="s">
        <v>199</v>
      </c>
      <c r="C27" s="61" t="s">
        <v>199</v>
      </c>
      <c r="D27" s="61" t="s">
        <v>199</v>
      </c>
      <c r="E27" s="61" t="s">
        <v>199</v>
      </c>
      <c r="F27" s="61" t="s">
        <v>199</v>
      </c>
      <c r="G27" s="61" t="s">
        <v>199</v>
      </c>
      <c r="H27" s="61" t="s">
        <v>199</v>
      </c>
      <c r="I27" s="61" t="s">
        <v>199</v>
      </c>
      <c r="J27" s="61" t="s">
        <v>199</v>
      </c>
      <c r="K27" s="61" t="s">
        <v>199</v>
      </c>
      <c r="L27" s="61" t="s">
        <v>199</v>
      </c>
      <c r="M27" s="61" t="s">
        <v>199</v>
      </c>
      <c r="N27" s="61">
        <v>-0.7</v>
      </c>
    </row>
    <row r="28" spans="1:14" x14ac:dyDescent="0.2">
      <c r="A28" s="60" t="s">
        <v>277</v>
      </c>
      <c r="B28" s="62">
        <v>130.27799999999999</v>
      </c>
      <c r="C28" s="62">
        <v>84.147999999999996</v>
      </c>
      <c r="D28" s="62">
        <v>111.395</v>
      </c>
      <c r="E28" s="62">
        <v>40.014000000000003</v>
      </c>
      <c r="F28" s="62">
        <v>40.597999999999999</v>
      </c>
      <c r="G28" s="62">
        <v>25.170999999999999</v>
      </c>
      <c r="H28" s="62">
        <v>56.411999999999999</v>
      </c>
      <c r="I28" s="62">
        <v>17.382999999999999</v>
      </c>
      <c r="J28" s="62">
        <v>19.257999999999999</v>
      </c>
      <c r="K28" s="62">
        <v>16.981999999999999</v>
      </c>
      <c r="L28" s="62">
        <v>46.116</v>
      </c>
      <c r="M28" s="62">
        <v>60.213999999999999</v>
      </c>
      <c r="N28" s="62">
        <v>43.689</v>
      </c>
    </row>
    <row r="29" spans="1:14" x14ac:dyDescent="0.2">
      <c r="A29" s="53"/>
      <c r="B29" s="53"/>
      <c r="C29" s="53"/>
      <c r="D29" s="53"/>
      <c r="E29" s="53"/>
      <c r="F29" s="53"/>
      <c r="G29" s="53"/>
      <c r="H29" s="53"/>
      <c r="I29" s="53"/>
      <c r="J29" s="53"/>
      <c r="K29" s="53"/>
      <c r="L29" s="53"/>
      <c r="M29" s="53"/>
      <c r="N29" s="53"/>
    </row>
    <row r="30" spans="1:14" x14ac:dyDescent="0.2">
      <c r="A30" s="53" t="s">
        <v>278</v>
      </c>
      <c r="B30" s="61" t="s">
        <v>199</v>
      </c>
      <c r="C30" s="61" t="s">
        <v>199</v>
      </c>
      <c r="D30" s="61" t="s">
        <v>199</v>
      </c>
      <c r="E30" s="61" t="s">
        <v>199</v>
      </c>
      <c r="F30" s="61" t="s">
        <v>199</v>
      </c>
      <c r="G30" s="61" t="s">
        <v>199</v>
      </c>
      <c r="H30" s="61" t="s">
        <v>199</v>
      </c>
      <c r="I30" s="61" t="s">
        <v>199</v>
      </c>
      <c r="J30" s="61" t="s">
        <v>199</v>
      </c>
      <c r="K30" s="61" t="s">
        <v>199</v>
      </c>
      <c r="L30" s="61" t="s">
        <v>199</v>
      </c>
      <c r="M30" s="61" t="s">
        <v>199</v>
      </c>
      <c r="N30" s="61" t="s">
        <v>199</v>
      </c>
    </row>
    <row r="31" spans="1:14" x14ac:dyDescent="0.2">
      <c r="A31" s="53" t="s">
        <v>279</v>
      </c>
      <c r="B31" s="61" t="s">
        <v>199</v>
      </c>
      <c r="C31" s="61" t="s">
        <v>199</v>
      </c>
      <c r="D31" s="61" t="s">
        <v>199</v>
      </c>
      <c r="E31" s="61" t="s">
        <v>199</v>
      </c>
      <c r="F31" s="61" t="s">
        <v>199</v>
      </c>
      <c r="G31" s="61" t="s">
        <v>199</v>
      </c>
      <c r="H31" s="61" t="s">
        <v>199</v>
      </c>
      <c r="I31" s="61" t="s">
        <v>199</v>
      </c>
      <c r="J31" s="61" t="s">
        <v>199</v>
      </c>
      <c r="K31" s="61" t="s">
        <v>199</v>
      </c>
      <c r="L31" s="61" t="s">
        <v>199</v>
      </c>
      <c r="M31" s="61" t="s">
        <v>199</v>
      </c>
      <c r="N31" s="61" t="s">
        <v>199</v>
      </c>
    </row>
    <row r="32" spans="1:14" x14ac:dyDescent="0.2">
      <c r="A32" s="60" t="s">
        <v>280</v>
      </c>
      <c r="B32" s="62" t="s">
        <v>199</v>
      </c>
      <c r="C32" s="62" t="s">
        <v>199</v>
      </c>
      <c r="D32" s="62" t="s">
        <v>199</v>
      </c>
      <c r="E32" s="62" t="s">
        <v>199</v>
      </c>
      <c r="F32" s="62" t="s">
        <v>199</v>
      </c>
      <c r="G32" s="62" t="s">
        <v>199</v>
      </c>
      <c r="H32" s="62" t="s">
        <v>199</v>
      </c>
      <c r="I32" s="62" t="s">
        <v>199</v>
      </c>
      <c r="J32" s="62" t="s">
        <v>199</v>
      </c>
      <c r="K32" s="62" t="s">
        <v>199</v>
      </c>
      <c r="L32" s="62" t="s">
        <v>199</v>
      </c>
      <c r="M32" s="62" t="s">
        <v>199</v>
      </c>
      <c r="N32" s="62" t="s">
        <v>199</v>
      </c>
    </row>
    <row r="33" spans="1:14" x14ac:dyDescent="0.2">
      <c r="A33" s="53" t="s">
        <v>281</v>
      </c>
      <c r="B33" s="61" t="s">
        <v>199</v>
      </c>
      <c r="C33" s="61" t="s">
        <v>199</v>
      </c>
      <c r="D33" s="61" t="s">
        <v>199</v>
      </c>
      <c r="E33" s="61" t="s">
        <v>199</v>
      </c>
      <c r="F33" s="61" t="s">
        <v>199</v>
      </c>
      <c r="G33" s="61" t="s">
        <v>199</v>
      </c>
      <c r="H33" s="61" t="s">
        <v>199</v>
      </c>
      <c r="I33" s="61" t="s">
        <v>199</v>
      </c>
      <c r="J33" s="61" t="s">
        <v>199</v>
      </c>
      <c r="K33" s="61" t="s">
        <v>199</v>
      </c>
      <c r="L33" s="61" t="s">
        <v>199</v>
      </c>
      <c r="M33" s="61" t="s">
        <v>199</v>
      </c>
      <c r="N33" s="61" t="s">
        <v>199</v>
      </c>
    </row>
    <row r="34" spans="1:14" x14ac:dyDescent="0.2">
      <c r="A34" s="53" t="s">
        <v>282</v>
      </c>
      <c r="B34" s="61" t="s">
        <v>199</v>
      </c>
      <c r="C34" s="61" t="s">
        <v>199</v>
      </c>
      <c r="D34" s="61" t="s">
        <v>199</v>
      </c>
      <c r="E34" s="61" t="s">
        <v>199</v>
      </c>
      <c r="F34" s="61" t="s">
        <v>199</v>
      </c>
      <c r="G34" s="61" t="s">
        <v>199</v>
      </c>
      <c r="H34" s="61" t="s">
        <v>199</v>
      </c>
      <c r="I34" s="61" t="s">
        <v>199</v>
      </c>
      <c r="J34" s="61" t="s">
        <v>199</v>
      </c>
      <c r="K34" s="61" t="s">
        <v>199</v>
      </c>
      <c r="L34" s="61" t="s">
        <v>199</v>
      </c>
      <c r="M34" s="61" t="s">
        <v>199</v>
      </c>
      <c r="N34" s="61" t="s">
        <v>199</v>
      </c>
    </row>
    <row r="35" spans="1:14" x14ac:dyDescent="0.2">
      <c r="A35" s="60" t="s">
        <v>283</v>
      </c>
      <c r="B35" s="62" t="s">
        <v>199</v>
      </c>
      <c r="C35" s="62" t="s">
        <v>199</v>
      </c>
      <c r="D35" s="62" t="s">
        <v>199</v>
      </c>
      <c r="E35" s="62" t="s">
        <v>199</v>
      </c>
      <c r="F35" s="62" t="s">
        <v>199</v>
      </c>
      <c r="G35" s="62" t="s">
        <v>199</v>
      </c>
      <c r="H35" s="62" t="s">
        <v>199</v>
      </c>
      <c r="I35" s="62" t="s">
        <v>199</v>
      </c>
      <c r="J35" s="62" t="s">
        <v>199</v>
      </c>
      <c r="K35" s="62" t="s">
        <v>199</v>
      </c>
      <c r="L35" s="62" t="s">
        <v>199</v>
      </c>
      <c r="M35" s="62" t="s">
        <v>199</v>
      </c>
      <c r="N35" s="62" t="s">
        <v>199</v>
      </c>
    </row>
    <row r="36" spans="1:14" x14ac:dyDescent="0.2">
      <c r="A36" s="53"/>
      <c r="B36" s="53"/>
      <c r="C36" s="53"/>
      <c r="D36" s="53"/>
      <c r="E36" s="53"/>
      <c r="F36" s="53"/>
      <c r="G36" s="53"/>
      <c r="H36" s="53"/>
      <c r="I36" s="53"/>
      <c r="J36" s="53"/>
      <c r="K36" s="53"/>
      <c r="L36" s="53"/>
      <c r="M36" s="53"/>
      <c r="N36" s="53"/>
    </row>
    <row r="37" spans="1:14" x14ac:dyDescent="0.2">
      <c r="A37" s="53" t="s">
        <v>284</v>
      </c>
      <c r="B37" s="61">
        <v>0.188</v>
      </c>
      <c r="C37" s="61">
        <v>0.46700000000000003</v>
      </c>
      <c r="D37" s="61">
        <v>0</v>
      </c>
      <c r="E37" s="61">
        <v>0.10299999999999999</v>
      </c>
      <c r="F37" s="61" t="s">
        <v>199</v>
      </c>
      <c r="G37" s="61">
        <v>1.7999999999999999E-2</v>
      </c>
      <c r="H37" s="61">
        <v>0</v>
      </c>
      <c r="I37" s="61">
        <v>1.2E-2</v>
      </c>
      <c r="J37" s="61">
        <v>3.0000000000000001E-3</v>
      </c>
      <c r="K37" s="61">
        <v>1.9E-2</v>
      </c>
      <c r="L37" s="61">
        <v>1.2999999999999999E-2</v>
      </c>
      <c r="M37" s="61">
        <v>8.3000000000000004E-2</v>
      </c>
      <c r="N37" s="61">
        <v>7.0000000000000001E-3</v>
      </c>
    </row>
    <row r="38" spans="1:14" x14ac:dyDescent="0.2">
      <c r="A38" s="53" t="s">
        <v>285</v>
      </c>
      <c r="B38" s="61" t="s">
        <v>199</v>
      </c>
      <c r="C38" s="61" t="s">
        <v>199</v>
      </c>
      <c r="D38" s="61" t="s">
        <v>199</v>
      </c>
      <c r="E38" s="61" t="s">
        <v>199</v>
      </c>
      <c r="F38" s="61" t="s">
        <v>199</v>
      </c>
      <c r="G38" s="61" t="s">
        <v>199</v>
      </c>
      <c r="H38" s="61" t="s">
        <v>199</v>
      </c>
      <c r="I38" s="61" t="s">
        <v>199</v>
      </c>
      <c r="J38" s="61">
        <v>-3</v>
      </c>
      <c r="K38" s="61" t="s">
        <v>199</v>
      </c>
      <c r="L38" s="61">
        <v>-3</v>
      </c>
      <c r="M38" s="61">
        <v>0</v>
      </c>
      <c r="N38" s="61" t="s">
        <v>199</v>
      </c>
    </row>
    <row r="39" spans="1:14" x14ac:dyDescent="0.2">
      <c r="A39" s="53"/>
      <c r="B39" s="53"/>
      <c r="C39" s="53"/>
      <c r="D39" s="53"/>
      <c r="E39" s="53"/>
      <c r="F39" s="53"/>
      <c r="G39" s="53"/>
      <c r="H39" s="53"/>
      <c r="I39" s="53"/>
      <c r="J39" s="53"/>
      <c r="K39" s="53"/>
      <c r="L39" s="53"/>
      <c r="M39" s="53"/>
      <c r="N39" s="53"/>
    </row>
    <row r="40" spans="1:14" x14ac:dyDescent="0.2">
      <c r="A40" s="60" t="s">
        <v>286</v>
      </c>
      <c r="B40" s="62" t="s">
        <v>199</v>
      </c>
      <c r="C40" s="62" t="s">
        <v>199</v>
      </c>
      <c r="D40" s="62" t="s">
        <v>199</v>
      </c>
      <c r="E40" s="62" t="s">
        <v>199</v>
      </c>
      <c r="F40" s="62" t="s">
        <v>199</v>
      </c>
      <c r="G40" s="62" t="s">
        <v>199</v>
      </c>
      <c r="H40" s="62" t="s">
        <v>199</v>
      </c>
      <c r="I40" s="62" t="s">
        <v>199</v>
      </c>
      <c r="J40" s="62" t="s">
        <v>199</v>
      </c>
      <c r="K40" s="62" t="s">
        <v>199</v>
      </c>
      <c r="L40" s="62" t="s">
        <v>199</v>
      </c>
      <c r="M40" s="62" t="s">
        <v>199</v>
      </c>
      <c r="N40" s="62" t="s">
        <v>199</v>
      </c>
    </row>
    <row r="41" spans="1:14" x14ac:dyDescent="0.2">
      <c r="A41" s="53"/>
      <c r="B41" s="53"/>
      <c r="C41" s="53"/>
      <c r="D41" s="53"/>
      <c r="E41" s="53"/>
      <c r="F41" s="53"/>
      <c r="G41" s="53"/>
      <c r="H41" s="53"/>
      <c r="I41" s="53"/>
      <c r="J41" s="53"/>
      <c r="K41" s="53"/>
      <c r="L41" s="53"/>
      <c r="M41" s="53"/>
      <c r="N41" s="53"/>
    </row>
    <row r="42" spans="1:14" x14ac:dyDescent="0.2">
      <c r="A42" s="53" t="s">
        <v>287</v>
      </c>
      <c r="B42" s="61" t="s">
        <v>199</v>
      </c>
      <c r="C42" s="61" t="s">
        <v>199</v>
      </c>
      <c r="D42" s="61" t="s">
        <v>199</v>
      </c>
      <c r="E42" s="61" t="s">
        <v>199</v>
      </c>
      <c r="F42" s="61" t="s">
        <v>199</v>
      </c>
      <c r="G42" s="61" t="s">
        <v>199</v>
      </c>
      <c r="H42" s="61" t="s">
        <v>199</v>
      </c>
      <c r="I42" s="61" t="s">
        <v>199</v>
      </c>
      <c r="J42" s="61" t="s">
        <v>199</v>
      </c>
      <c r="K42" s="61" t="s">
        <v>199</v>
      </c>
      <c r="L42" s="61" t="s">
        <v>199</v>
      </c>
      <c r="M42" s="61" t="s">
        <v>199</v>
      </c>
      <c r="N42" s="61" t="s">
        <v>199</v>
      </c>
    </row>
    <row r="43" spans="1:14" x14ac:dyDescent="0.2">
      <c r="A43" s="53" t="s">
        <v>288</v>
      </c>
      <c r="B43" s="61">
        <v>0.75</v>
      </c>
      <c r="C43" s="61">
        <v>0</v>
      </c>
      <c r="D43" s="61">
        <v>0</v>
      </c>
      <c r="E43" s="61">
        <v>0</v>
      </c>
      <c r="F43" s="61" t="s">
        <v>199</v>
      </c>
      <c r="G43" s="61" t="s">
        <v>199</v>
      </c>
      <c r="H43" s="61" t="s">
        <v>199</v>
      </c>
      <c r="I43" s="61" t="s">
        <v>199</v>
      </c>
      <c r="J43" s="61">
        <v>45</v>
      </c>
      <c r="K43" s="61">
        <v>0</v>
      </c>
      <c r="L43" s="61">
        <v>3</v>
      </c>
      <c r="M43" s="61">
        <v>0</v>
      </c>
      <c r="N43" s="61" t="s">
        <v>199</v>
      </c>
    </row>
    <row r="44" spans="1:14" x14ac:dyDescent="0.2">
      <c r="A44" s="60" t="s">
        <v>289</v>
      </c>
      <c r="B44" s="62">
        <v>0.93799999999999994</v>
      </c>
      <c r="C44" s="62">
        <v>0.46700000000000003</v>
      </c>
      <c r="D44" s="62">
        <v>0</v>
      </c>
      <c r="E44" s="62">
        <v>0.10299999999999999</v>
      </c>
      <c r="F44" s="62" t="s">
        <v>199</v>
      </c>
      <c r="G44" s="62">
        <v>1.7999999999999999E-2</v>
      </c>
      <c r="H44" s="62">
        <v>0</v>
      </c>
      <c r="I44" s="62">
        <v>1.2E-2</v>
      </c>
      <c r="J44" s="62">
        <v>42.003</v>
      </c>
      <c r="K44" s="62">
        <v>1.9E-2</v>
      </c>
      <c r="L44" s="62">
        <v>1.2999999999999999E-2</v>
      </c>
      <c r="M44" s="62">
        <v>8.3000000000000004E-2</v>
      </c>
      <c r="N44" s="62">
        <v>7.0000000000000001E-3</v>
      </c>
    </row>
    <row r="45" spans="1:14" x14ac:dyDescent="0.2">
      <c r="A45" s="53"/>
      <c r="B45" s="53"/>
      <c r="C45" s="53"/>
      <c r="D45" s="53"/>
      <c r="E45" s="53"/>
      <c r="F45" s="53"/>
      <c r="G45" s="53"/>
      <c r="H45" s="53"/>
      <c r="I45" s="53"/>
      <c r="J45" s="53"/>
      <c r="K45" s="53"/>
      <c r="L45" s="53"/>
      <c r="M45" s="53"/>
      <c r="N45" s="53"/>
    </row>
    <row r="46" spans="1:14" x14ac:dyDescent="0.2">
      <c r="A46" s="53" t="s">
        <v>290</v>
      </c>
      <c r="B46" s="61">
        <v>0</v>
      </c>
      <c r="C46" s="61">
        <v>-0.1</v>
      </c>
      <c r="D46" s="61">
        <v>-0.3</v>
      </c>
      <c r="E46" s="61">
        <v>5.5E-2</v>
      </c>
      <c r="F46" s="61">
        <v>4.4999999999999998E-2</v>
      </c>
      <c r="G46" s="61">
        <v>0.107</v>
      </c>
      <c r="H46" s="61">
        <v>-0.1</v>
      </c>
      <c r="I46" s="61">
        <v>8.0000000000000002E-3</v>
      </c>
      <c r="J46" s="61">
        <v>0</v>
      </c>
      <c r="K46" s="61">
        <v>0</v>
      </c>
      <c r="L46" s="61">
        <v>0</v>
      </c>
      <c r="M46" s="61">
        <v>3.3000000000000002E-2</v>
      </c>
      <c r="N46" s="61">
        <v>0</v>
      </c>
    </row>
    <row r="47" spans="1:14" x14ac:dyDescent="0.2">
      <c r="A47" s="60" t="s">
        <v>291</v>
      </c>
      <c r="B47" s="64">
        <v>42.774999999999999</v>
      </c>
      <c r="C47" s="64">
        <v>9.5519999999999996</v>
      </c>
      <c r="D47" s="64">
        <v>28.213000000000001</v>
      </c>
      <c r="E47" s="64">
        <v>-17.5</v>
      </c>
      <c r="F47" s="64">
        <v>-11.3</v>
      </c>
      <c r="G47" s="64">
        <v>-26.2</v>
      </c>
      <c r="H47" s="64">
        <v>14.193</v>
      </c>
      <c r="I47" s="64">
        <v>-29.6</v>
      </c>
      <c r="J47" s="64">
        <v>13.365</v>
      </c>
      <c r="K47" s="64">
        <v>-20.7</v>
      </c>
      <c r="L47" s="64">
        <v>2.169</v>
      </c>
      <c r="M47" s="64">
        <v>14.143000000000001</v>
      </c>
      <c r="N47" s="64">
        <v>-5.4</v>
      </c>
    </row>
    <row r="48" spans="1:14" x14ac:dyDescent="0.2">
      <c r="A48" s="53"/>
      <c r="B48" s="53"/>
      <c r="C48" s="53"/>
      <c r="D48" s="53"/>
      <c r="E48" s="53"/>
      <c r="F48" s="53"/>
      <c r="G48" s="53"/>
      <c r="H48" s="53"/>
      <c r="I48" s="53"/>
      <c r="J48" s="53"/>
      <c r="K48" s="53"/>
      <c r="L48" s="53"/>
      <c r="M48" s="53"/>
      <c r="N48" s="53"/>
    </row>
    <row r="49" spans="1:14" x14ac:dyDescent="0.2">
      <c r="A49" s="60" t="s">
        <v>228</v>
      </c>
      <c r="B49" s="53"/>
      <c r="C49" s="53"/>
      <c r="D49" s="53"/>
      <c r="E49" s="53"/>
      <c r="F49" s="53"/>
      <c r="G49" s="53"/>
      <c r="H49" s="53"/>
      <c r="I49" s="53"/>
      <c r="J49" s="53"/>
      <c r="K49" s="53"/>
      <c r="L49" s="53"/>
      <c r="M49" s="53"/>
      <c r="N49" s="53"/>
    </row>
    <row r="50" spans="1:14" x14ac:dyDescent="0.2">
      <c r="A50" s="53" t="s">
        <v>292</v>
      </c>
      <c r="B50" s="61" t="s">
        <v>227</v>
      </c>
      <c r="C50" s="61" t="s">
        <v>227</v>
      </c>
      <c r="D50" s="61" t="s">
        <v>227</v>
      </c>
      <c r="E50" s="61" t="s">
        <v>227</v>
      </c>
      <c r="F50" s="61" t="s">
        <v>227</v>
      </c>
      <c r="G50" s="61" t="s">
        <v>227</v>
      </c>
      <c r="H50" s="61" t="s">
        <v>227</v>
      </c>
      <c r="I50" s="61" t="s">
        <v>227</v>
      </c>
      <c r="J50" s="61" t="s">
        <v>227</v>
      </c>
      <c r="K50" s="61" t="s">
        <v>227</v>
      </c>
      <c r="L50" s="61" t="s">
        <v>227</v>
      </c>
      <c r="M50" s="61" t="s">
        <v>227</v>
      </c>
      <c r="N50" s="61" t="s">
        <v>227</v>
      </c>
    </row>
    <row r="51" spans="1:14" x14ac:dyDescent="0.2">
      <c r="A51" s="53" t="s">
        <v>293</v>
      </c>
      <c r="B51" s="61" t="s">
        <v>227</v>
      </c>
      <c r="C51" s="61" t="s">
        <v>227</v>
      </c>
      <c r="D51" s="61" t="s">
        <v>227</v>
      </c>
      <c r="E51" s="61">
        <v>0.27200000000000002</v>
      </c>
      <c r="F51" s="61" t="s">
        <v>227</v>
      </c>
      <c r="G51" s="61" t="s">
        <v>227</v>
      </c>
      <c r="H51" s="61">
        <v>2.6560000000000001</v>
      </c>
      <c r="I51" s="61">
        <v>0</v>
      </c>
      <c r="J51" s="61" t="s">
        <v>227</v>
      </c>
      <c r="K51" s="61" t="s">
        <v>227</v>
      </c>
      <c r="L51" s="61" t="s">
        <v>227</v>
      </c>
      <c r="M51" s="61">
        <v>7.5999999999999998E-2</v>
      </c>
      <c r="N51" s="61" t="s">
        <v>227</v>
      </c>
    </row>
    <row r="52" spans="1:14" x14ac:dyDescent="0.2">
      <c r="A52" s="53" t="s">
        <v>294</v>
      </c>
      <c r="B52" s="61">
        <v>-43</v>
      </c>
      <c r="C52" s="61">
        <v>-0.5</v>
      </c>
      <c r="D52" s="61">
        <v>-39.1</v>
      </c>
      <c r="E52" s="61">
        <v>-18.5</v>
      </c>
      <c r="F52" s="61">
        <v>-17.100000000000001</v>
      </c>
      <c r="G52" s="61">
        <v>-21.9</v>
      </c>
      <c r="H52" s="61">
        <v>-8.3000000000000007</v>
      </c>
      <c r="I52" s="61">
        <v>-16.5</v>
      </c>
      <c r="J52" s="61">
        <v>-20</v>
      </c>
      <c r="K52" s="61">
        <v>-10.5</v>
      </c>
      <c r="L52" s="61">
        <v>-27.4</v>
      </c>
      <c r="M52" s="61">
        <v>14.277125</v>
      </c>
      <c r="N52" s="61">
        <v>-24.2</v>
      </c>
    </row>
    <row r="53" spans="1:14" x14ac:dyDescent="0.2">
      <c r="A53" s="53" t="s">
        <v>295</v>
      </c>
      <c r="B53" s="61">
        <v>-38.299999999999997</v>
      </c>
      <c r="C53" s="61">
        <v>3.983625</v>
      </c>
      <c r="D53" s="61">
        <v>-34.700000000000003</v>
      </c>
      <c r="E53" s="61">
        <v>-14</v>
      </c>
      <c r="F53" s="61">
        <v>-12.9</v>
      </c>
      <c r="G53" s="61">
        <v>-18</v>
      </c>
      <c r="H53" s="61">
        <v>-4.5999999999999996</v>
      </c>
      <c r="I53" s="61">
        <v>-12.2</v>
      </c>
      <c r="J53" s="61">
        <v>-16.600000000000001</v>
      </c>
      <c r="K53" s="61">
        <v>-6.5</v>
      </c>
      <c r="L53" s="61">
        <v>-23.7</v>
      </c>
      <c r="M53" s="61">
        <v>20.62275</v>
      </c>
      <c r="N53" s="61">
        <v>-21.1</v>
      </c>
    </row>
    <row r="54" spans="1:14" x14ac:dyDescent="0.2">
      <c r="A54" s="53" t="s">
        <v>296</v>
      </c>
      <c r="B54" s="61">
        <v>-13.1</v>
      </c>
      <c r="C54" s="61">
        <v>-19.5</v>
      </c>
      <c r="D54" s="61">
        <v>26.332999999999998</v>
      </c>
      <c r="E54" s="61">
        <v>3.839</v>
      </c>
      <c r="F54" s="61">
        <v>1.679</v>
      </c>
      <c r="G54" s="61">
        <v>6.7320000000000002</v>
      </c>
      <c r="H54" s="61">
        <v>-6.5</v>
      </c>
      <c r="I54" s="61">
        <v>1.7250000000000001</v>
      </c>
      <c r="J54" s="61">
        <v>2.4849999999999999</v>
      </c>
      <c r="K54" s="61">
        <v>-9.6</v>
      </c>
      <c r="L54" s="61">
        <v>7.9429999999999996</v>
      </c>
      <c r="M54" s="61">
        <v>-31.4</v>
      </c>
      <c r="N54" s="61">
        <v>-2.2999999999999998</v>
      </c>
    </row>
    <row r="55" spans="1:14" x14ac:dyDescent="0.2">
      <c r="A55" s="53" t="s">
        <v>297</v>
      </c>
      <c r="B55" s="61" t="s">
        <v>227</v>
      </c>
      <c r="C55" s="61" t="s">
        <v>227</v>
      </c>
      <c r="D55" s="61" t="s">
        <v>227</v>
      </c>
      <c r="E55" s="61" t="s">
        <v>227</v>
      </c>
      <c r="F55" s="61" t="s">
        <v>227</v>
      </c>
      <c r="G55" s="61" t="s">
        <v>227</v>
      </c>
      <c r="H55" s="61" t="s">
        <v>227</v>
      </c>
      <c r="I55" s="61" t="s">
        <v>227</v>
      </c>
      <c r="J55" s="61" t="s">
        <v>227</v>
      </c>
      <c r="K55" s="61" t="s">
        <v>227</v>
      </c>
      <c r="L55" s="61" t="s">
        <v>227</v>
      </c>
      <c r="M55" s="61" t="s">
        <v>227</v>
      </c>
      <c r="N55" s="61" t="s">
        <v>227</v>
      </c>
    </row>
    <row r="56" spans="1:14" x14ac:dyDescent="0.2">
      <c r="A56" s="53" t="s">
        <v>241</v>
      </c>
      <c r="B56" s="68">
        <v>45056</v>
      </c>
      <c r="C56" s="68">
        <v>45147</v>
      </c>
      <c r="D56" s="68">
        <v>45238</v>
      </c>
      <c r="E56" s="68">
        <v>45356</v>
      </c>
      <c r="F56" s="68">
        <v>45422</v>
      </c>
      <c r="G56" s="68">
        <v>45513</v>
      </c>
      <c r="H56" s="68">
        <v>45604</v>
      </c>
      <c r="I56" s="68">
        <v>45730</v>
      </c>
      <c r="J56" s="68">
        <v>45786</v>
      </c>
      <c r="K56" s="68">
        <v>45513</v>
      </c>
      <c r="L56" s="68">
        <v>45604</v>
      </c>
      <c r="M56" s="68">
        <v>45730</v>
      </c>
      <c r="N56" s="68">
        <v>45786</v>
      </c>
    </row>
    <row r="57" spans="1:14" x14ac:dyDescent="0.2">
      <c r="A57" s="53" t="s">
        <v>242</v>
      </c>
      <c r="B57" s="69" t="s">
        <v>243</v>
      </c>
      <c r="C57" s="69" t="s">
        <v>243</v>
      </c>
      <c r="D57" s="69" t="s">
        <v>243</v>
      </c>
      <c r="E57" s="69" t="s">
        <v>243</v>
      </c>
      <c r="F57" s="69" t="s">
        <v>243</v>
      </c>
      <c r="G57" s="69" t="s">
        <v>243</v>
      </c>
      <c r="H57" s="69" t="s">
        <v>243</v>
      </c>
      <c r="I57" s="69" t="s">
        <v>243</v>
      </c>
      <c r="J57" s="69" t="s">
        <v>243</v>
      </c>
      <c r="K57" s="69" t="s">
        <v>244</v>
      </c>
      <c r="L57" s="69" t="s">
        <v>244</v>
      </c>
      <c r="M57" s="69" t="s">
        <v>244</v>
      </c>
      <c r="N57" s="69" t="s">
        <v>244</v>
      </c>
    </row>
    <row r="58" spans="1:14" x14ac:dyDescent="0.2">
      <c r="A58" s="53" t="s">
        <v>245</v>
      </c>
      <c r="B58" s="69" t="s">
        <v>246</v>
      </c>
      <c r="C58" s="69" t="s">
        <v>298</v>
      </c>
      <c r="D58" s="69" t="s">
        <v>298</v>
      </c>
      <c r="E58" s="69" t="s">
        <v>298</v>
      </c>
      <c r="F58" s="69" t="s">
        <v>246</v>
      </c>
      <c r="G58" s="69" t="s">
        <v>298</v>
      </c>
      <c r="H58" s="69" t="s">
        <v>298</v>
      </c>
      <c r="I58" s="69" t="s">
        <v>298</v>
      </c>
      <c r="J58" s="69" t="s">
        <v>246</v>
      </c>
      <c r="K58" s="69" t="s">
        <v>298</v>
      </c>
      <c r="L58" s="69" t="s">
        <v>298</v>
      </c>
      <c r="M58" s="69" t="s">
        <v>298</v>
      </c>
      <c r="N58" s="69" t="s">
        <v>246</v>
      </c>
    </row>
    <row r="59" spans="1:14" x14ac:dyDescent="0.2">
      <c r="A59" s="53"/>
      <c r="B59" s="53"/>
      <c r="C59" s="53"/>
      <c r="D59" s="53"/>
      <c r="E59" s="53"/>
      <c r="F59" s="53"/>
      <c r="G59" s="53"/>
      <c r="H59" s="53"/>
      <c r="I59" s="53"/>
      <c r="J59" s="53"/>
      <c r="K59" s="53"/>
      <c r="L59" s="53"/>
      <c r="M59" s="53"/>
      <c r="N59" s="53"/>
    </row>
    <row r="60" spans="1:14" ht="67.5" x14ac:dyDescent="0.2">
      <c r="A60" s="76" t="s">
        <v>383</v>
      </c>
      <c r="B60" s="71"/>
      <c r="C60" s="71"/>
      <c r="D60" s="71"/>
      <c r="E60" s="71"/>
      <c r="F60" s="71"/>
      <c r="G60" s="71"/>
      <c r="H60" s="71"/>
      <c r="I60" s="71"/>
      <c r="J60" s="71"/>
      <c r="K60" s="71"/>
      <c r="L60" s="71"/>
      <c r="M60" s="71"/>
      <c r="N60" s="71"/>
    </row>
  </sheetData>
  <phoneticPr fontId="0" type="noConversion"/>
  <pageMargins left="0.2" right="0.2" top="0.5" bottom="0.5" header="0.5" footer="0.5"/>
  <pageSetup fitToWidth="0" fitToHeight="0" orientation="landscape"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clinical </vt:lpstr>
      <vt:lpstr>MODEL </vt:lpstr>
      <vt:lpstr>immunology notes </vt:lpstr>
      <vt:lpstr>Sheet1</vt:lpstr>
      <vt:lpstr>Note </vt:lpstr>
      <vt:lpstr>Income Statement</vt:lpstr>
      <vt:lpstr>Balance Sheet</vt:lpstr>
      <vt:lpstr>Cash 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Kolchin,F (ug)</cp:lastModifiedBy>
  <cp:revision/>
  <dcterms:created xsi:type="dcterms:W3CDTF">2025-07-26T19:56:02Z</dcterms:created>
  <dcterms:modified xsi:type="dcterms:W3CDTF">2025-08-12T05:17:03Z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{A57D4DED-7CC7-40EE-B45F-C4B546B6480F}</vt:lpwstr>
  </property>
</Properties>
</file>