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len\Documents\Code\miniscope_cypress\"/>
    </mc:Choice>
  </mc:AlternateContent>
  <bookViews>
    <workbookView xWindow="0" yWindow="0" windowWidth="240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D17" i="1" l="1"/>
  <c r="C17" i="1"/>
  <c r="D16" i="1"/>
  <c r="D15" i="1"/>
  <c r="C16" i="1"/>
  <c r="C15" i="1"/>
  <c r="G21" i="1"/>
  <c r="G20" i="1"/>
  <c r="G19" i="1"/>
  <c r="G17" i="1"/>
  <c r="D50" i="1" l="1"/>
  <c r="B45" i="1"/>
  <c r="B38" i="1"/>
  <c r="B46" i="1" s="1"/>
  <c r="B47" i="1" s="1"/>
  <c r="C30" i="1"/>
  <c r="C24" i="1"/>
  <c r="B23" i="1"/>
  <c r="B27" i="1" s="1"/>
  <c r="B18" i="1"/>
  <c r="B12" i="1"/>
  <c r="B13" i="1" s="1"/>
  <c r="B28" i="1" l="1"/>
  <c r="B30" i="1"/>
  <c r="G16" i="1"/>
  <c r="G18" i="1"/>
  <c r="C47" i="1"/>
  <c r="C29" i="1"/>
  <c r="E50" i="1"/>
  <c r="F50" i="1" s="1"/>
  <c r="C38" i="1"/>
  <c r="D38" i="1" s="1"/>
  <c r="B31" i="1" l="1"/>
  <c r="F51" i="1"/>
  <c r="H50" i="1"/>
  <c r="I50" i="1" s="1"/>
  <c r="J50" i="1" s="1"/>
  <c r="J51" i="1" s="1"/>
  <c r="G50" i="1"/>
  <c r="G51" i="1" s="1"/>
  <c r="D47" i="1"/>
  <c r="C48" i="1"/>
  <c r="D48" i="1" s="1"/>
  <c r="E48" i="1" s="1"/>
  <c r="E5" i="1" l="1"/>
  <c r="B3" i="1"/>
  <c r="C3" i="1" s="1"/>
  <c r="B5" i="1" l="1"/>
  <c r="B6" i="1" s="1"/>
  <c r="C6" i="1" s="1"/>
  <c r="B2" i="1"/>
  <c r="B4" i="1" s="1"/>
</calcChain>
</file>

<file path=xl/sharedStrings.xml><?xml version="1.0" encoding="utf-8"?>
<sst xmlns="http://schemas.openxmlformats.org/spreadsheetml/2006/main" count="50" uniqueCount="50">
  <si>
    <t>REXT</t>
  </si>
  <si>
    <t>prg_osc_freq_adjust</t>
  </si>
  <si>
    <t>Freq</t>
  </si>
  <si>
    <t>Desired Freq</t>
  </si>
  <si>
    <t>Target prg_osc_freq_adjust</t>
  </si>
  <si>
    <t>Ref Clk (MHz)</t>
  </si>
  <si>
    <t>Desired PLL (MHz)</t>
  </si>
  <si>
    <t>Pll_od</t>
  </si>
  <si>
    <t>pll_n</t>
  </si>
  <si>
    <t>pll_fb</t>
  </si>
  <si>
    <t>M</t>
  </si>
  <si>
    <t>N</t>
  </si>
  <si>
    <t>P</t>
  </si>
  <si>
    <t>CLK_PLL</t>
  </si>
  <si>
    <t>INTERNAL OSCILLATOR</t>
  </si>
  <si>
    <t>clock (mhz)</t>
  </si>
  <si>
    <t>period (ns)</t>
  </si>
  <si>
    <t>line length (clock * 8)</t>
  </si>
  <si>
    <t>6E</t>
  </si>
  <si>
    <t>Line length (us)</t>
  </si>
  <si>
    <t>Line at 12 mHz (us)</t>
  </si>
  <si>
    <t>integration lines</t>
  </si>
  <si>
    <t>integration time</t>
  </si>
  <si>
    <t>init_line_nb</t>
  </si>
  <si>
    <t>roi_expanded</t>
  </si>
  <si>
    <t>roi_height</t>
  </si>
  <si>
    <t>extra_line_nb</t>
  </si>
  <si>
    <t>Treadout</t>
  </si>
  <si>
    <t>roi1_t-int_ll</t>
  </si>
  <si>
    <t>t_wait</t>
  </si>
  <si>
    <t>roi1_t_wait_ext</t>
  </si>
  <si>
    <t>t_flash_on</t>
  </si>
  <si>
    <t>int</t>
  </si>
  <si>
    <t>read</t>
  </si>
  <si>
    <t>reg_t_frame_period</t>
  </si>
  <si>
    <t>Desired</t>
  </si>
  <si>
    <t>reg_t_frame</t>
  </si>
  <si>
    <t>roi1_t_int_ll</t>
  </si>
  <si>
    <t>frame period</t>
  </si>
  <si>
    <t>Frame period in 100ns units</t>
  </si>
  <si>
    <t>rounded</t>
  </si>
  <si>
    <t>PLL CALCULATIONS</t>
  </si>
  <si>
    <t>FRAME PERIOD CALCULATION</t>
  </si>
  <si>
    <t>LIMITS AND CONDITIONS</t>
  </si>
  <si>
    <t>Lower</t>
  </si>
  <si>
    <t>Upper</t>
  </si>
  <si>
    <t>Actual</t>
  </si>
  <si>
    <t>Values</t>
  </si>
  <si>
    <t>Register values</t>
  </si>
  <si>
    <t>Register Hex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</si>
</sst>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workbookViewId="0">
      <selection activeCell="B22" sqref="B22"/>
    </sheetView>
  </sheetViews>
  <sheetFormatPr defaultRowHeight="15" x14ac:dyDescent="0.25"/>
  <cols>
    <col min="1" max="1" width="27.140625" customWidth="1"/>
    <col min="2" max="2" width="16.7109375" customWidth="1"/>
    <col min="3" max="3" width="14.42578125" customWidth="1"/>
    <col min="4" max="4" width="15" customWidth="1"/>
  </cols>
  <sheetData>
    <row r="1" spans="1:8" x14ac:dyDescent="0.25">
      <c r="A1" t="s">
        <v>14</v>
      </c>
    </row>
    <row r="2" spans="1:8" x14ac:dyDescent="0.25">
      <c r="A2" t="s">
        <v>0</v>
      </c>
      <c r="B2">
        <f>18.2*10^3</f>
        <v>18200</v>
      </c>
    </row>
    <row r="3" spans="1:8" x14ac:dyDescent="0.25">
      <c r="A3" t="s">
        <v>3</v>
      </c>
      <c r="B3">
        <f>114*10^6</f>
        <v>114000000</v>
      </c>
      <c r="C3">
        <f>B3/10^6</f>
        <v>114</v>
      </c>
    </row>
    <row r="4" spans="1:8" x14ac:dyDescent="0.25">
      <c r="A4" t="s">
        <v>4</v>
      </c>
      <c r="B4">
        <f>((B2*316*10^-13)/((1/B3)-3.4*10^-9))-36</f>
        <v>71.060222077073817</v>
      </c>
    </row>
    <row r="5" spans="1:8" x14ac:dyDescent="0.25">
      <c r="A5" t="s">
        <v>1</v>
      </c>
      <c r="B5">
        <f>HEX2DEC(C5)</f>
        <v>72</v>
      </c>
      <c r="C5">
        <v>48</v>
      </c>
      <c r="D5">
        <v>71</v>
      </c>
      <c r="E5" t="str">
        <f>DEC2HEX(D5)</f>
        <v>47</v>
      </c>
    </row>
    <row r="6" spans="1:8" x14ac:dyDescent="0.25">
      <c r="A6" t="s">
        <v>2</v>
      </c>
      <c r="B6">
        <f>1/(((B2*316*10^-13)/(36+B5))+(3.4*10^-9))</f>
        <v>114610747.94125138</v>
      </c>
      <c r="C6">
        <f>B6/10^6</f>
        <v>114.61074794125138</v>
      </c>
    </row>
    <row r="8" spans="1:8" x14ac:dyDescent="0.25">
      <c r="A8" t="s">
        <v>41</v>
      </c>
    </row>
    <row r="9" spans="1:8" x14ac:dyDescent="0.25">
      <c r="A9" t="s">
        <v>5</v>
      </c>
      <c r="B9">
        <v>26</v>
      </c>
    </row>
    <row r="10" spans="1:8" x14ac:dyDescent="0.25">
      <c r="A10" t="s">
        <v>6</v>
      </c>
      <c r="B10">
        <v>114</v>
      </c>
    </row>
    <row r="11" spans="1:8" x14ac:dyDescent="0.25">
      <c r="A11" t="s">
        <v>7</v>
      </c>
      <c r="B11">
        <v>4</v>
      </c>
    </row>
    <row r="12" spans="1:8" x14ac:dyDescent="0.25">
      <c r="A12" t="s">
        <v>8</v>
      </c>
      <c r="B12">
        <f>ROUNDDOWN(B9/5,0)-1</f>
        <v>4</v>
      </c>
    </row>
    <row r="13" spans="1:8" x14ac:dyDescent="0.25">
      <c r="A13" t="s">
        <v>9</v>
      </c>
      <c r="B13">
        <f>2*ROUNDUP(((B12+1)*B10*B11)/B9,0)-1</f>
        <v>175</v>
      </c>
    </row>
    <row r="14" spans="1:8" x14ac:dyDescent="0.25">
      <c r="B14" t="s">
        <v>47</v>
      </c>
      <c r="C14" t="s">
        <v>48</v>
      </c>
      <c r="D14" t="s">
        <v>49</v>
      </c>
      <c r="F14" t="s">
        <v>43</v>
      </c>
    </row>
    <row r="15" spans="1:8" x14ac:dyDescent="0.25">
      <c r="A15" t="s">
        <v>10</v>
      </c>
      <c r="B15">
        <v>176</v>
      </c>
      <c r="C15">
        <f>B15/2-1</f>
        <v>87</v>
      </c>
      <c r="D15" t="str">
        <f>DEC2HEX(C15)</f>
        <v>57</v>
      </c>
      <c r="F15" t="s">
        <v>44</v>
      </c>
      <c r="G15" t="s">
        <v>46</v>
      </c>
      <c r="H15" t="s">
        <v>45</v>
      </c>
    </row>
    <row r="16" spans="1:8" x14ac:dyDescent="0.25">
      <c r="A16" t="s">
        <v>11</v>
      </c>
      <c r="B16">
        <v>10</v>
      </c>
      <c r="C16">
        <f>B16/2-1</f>
        <v>4</v>
      </c>
      <c r="D16" t="str">
        <f>DEC2HEX(C16)</f>
        <v>4</v>
      </c>
      <c r="F16">
        <v>325</v>
      </c>
      <c r="G16">
        <f>B18*B17</f>
        <v>457.6</v>
      </c>
      <c r="H16">
        <v>480</v>
      </c>
    </row>
    <row r="17" spans="1:8" x14ac:dyDescent="0.25">
      <c r="A17" t="s">
        <v>12</v>
      </c>
      <c r="B17">
        <v>4</v>
      </c>
      <c r="C17">
        <f>B17</f>
        <v>4</v>
      </c>
      <c r="D17" t="str">
        <f>DEC2HEX(C17)</f>
        <v>4</v>
      </c>
      <c r="F17">
        <v>2.5</v>
      </c>
      <c r="G17">
        <f>B9/B16</f>
        <v>2.6</v>
      </c>
    </row>
    <row r="18" spans="1:8" x14ac:dyDescent="0.25">
      <c r="A18" t="s">
        <v>13</v>
      </c>
      <c r="B18">
        <f>B9*B15/(B16*B17)</f>
        <v>114.4</v>
      </c>
      <c r="F18">
        <v>81.25</v>
      </c>
      <c r="G18">
        <f>B18</f>
        <v>114.4</v>
      </c>
      <c r="H18">
        <v>120</v>
      </c>
    </row>
    <row r="19" spans="1:8" x14ac:dyDescent="0.25">
      <c r="F19">
        <v>4</v>
      </c>
      <c r="G19">
        <f>B15</f>
        <v>176</v>
      </c>
      <c r="H19">
        <v>512</v>
      </c>
    </row>
    <row r="20" spans="1:8" x14ac:dyDescent="0.25">
      <c r="F20">
        <v>2</v>
      </c>
      <c r="G20">
        <f>B16</f>
        <v>10</v>
      </c>
      <c r="H20">
        <v>20</v>
      </c>
    </row>
    <row r="21" spans="1:8" x14ac:dyDescent="0.25">
      <c r="A21" t="s">
        <v>42</v>
      </c>
      <c r="F21">
        <v>5</v>
      </c>
      <c r="G21">
        <f>B9</f>
        <v>26</v>
      </c>
      <c r="H21">
        <v>50</v>
      </c>
    </row>
    <row r="22" spans="1:8" x14ac:dyDescent="0.25">
      <c r="A22" t="s">
        <v>15</v>
      </c>
      <c r="B22">
        <f>26</f>
        <v>26</v>
      </c>
    </row>
    <row r="23" spans="1:8" x14ac:dyDescent="0.25">
      <c r="A23" t="s">
        <v>16</v>
      </c>
      <c r="B23">
        <f>10^9/(B22*10^6)</f>
        <v>38.46153846153846</v>
      </c>
    </row>
    <row r="24" spans="1:8" x14ac:dyDescent="0.25">
      <c r="A24" t="s">
        <v>17</v>
      </c>
      <c r="B24" t="s">
        <v>18</v>
      </c>
      <c r="C24">
        <f>HEX2DEC(B24)</f>
        <v>110</v>
      </c>
    </row>
    <row r="27" spans="1:8" x14ac:dyDescent="0.25">
      <c r="A27" t="s">
        <v>19</v>
      </c>
      <c r="B27">
        <f>B23*C24*8/1000</f>
        <v>33.846153846153847</v>
      </c>
    </row>
    <row r="28" spans="1:8" x14ac:dyDescent="0.25">
      <c r="A28" t="s">
        <v>20</v>
      </c>
      <c r="B28">
        <f>B27*(57/12)</f>
        <v>160.76923076923077</v>
      </c>
    </row>
    <row r="29" spans="1:8" x14ac:dyDescent="0.25">
      <c r="A29" t="s">
        <v>21</v>
      </c>
      <c r="B29">
        <v>2161</v>
      </c>
      <c r="C29">
        <f>C30/(B27*10^-6)</f>
        <v>984.84848484848476</v>
      </c>
    </row>
    <row r="30" spans="1:8" x14ac:dyDescent="0.25">
      <c r="A30" t="s">
        <v>22</v>
      </c>
      <c r="B30">
        <f>B29*B27/10^6</f>
        <v>7.3141538461538466E-2</v>
      </c>
      <c r="C30">
        <f>1/C31</f>
        <v>3.3333333333333333E-2</v>
      </c>
    </row>
    <row r="31" spans="1:8" x14ac:dyDescent="0.25">
      <c r="B31">
        <f>1/B30</f>
        <v>13.672121492574986</v>
      </c>
      <c r="C31">
        <v>30</v>
      </c>
    </row>
    <row r="34" spans="1:5" x14ac:dyDescent="0.25">
      <c r="A34" t="s">
        <v>23</v>
      </c>
      <c r="B34">
        <v>3</v>
      </c>
    </row>
    <row r="35" spans="1:5" x14ac:dyDescent="0.25">
      <c r="A35" t="s">
        <v>24</v>
      </c>
      <c r="B35">
        <v>0</v>
      </c>
    </row>
    <row r="36" spans="1:5" x14ac:dyDescent="0.25">
      <c r="A36" t="s">
        <v>25</v>
      </c>
      <c r="B36">
        <v>480</v>
      </c>
    </row>
    <row r="37" spans="1:5" x14ac:dyDescent="0.25">
      <c r="A37" t="s">
        <v>26</v>
      </c>
      <c r="B37">
        <v>9</v>
      </c>
    </row>
    <row r="38" spans="1:5" x14ac:dyDescent="0.25">
      <c r="A38" t="s">
        <v>27</v>
      </c>
      <c r="B38">
        <f>2+B34+(6*B35) +B36+B37+1</f>
        <v>495</v>
      </c>
      <c r="C38">
        <f>B38*B27*10^-6</f>
        <v>1.675384615384615E-2</v>
      </c>
      <c r="D38">
        <f>1/C38</f>
        <v>59.687786960514245</v>
      </c>
    </row>
    <row r="40" spans="1:5" x14ac:dyDescent="0.25">
      <c r="A40" t="s">
        <v>28</v>
      </c>
      <c r="B40">
        <v>2165</v>
      </c>
    </row>
    <row r="41" spans="1:5" x14ac:dyDescent="0.25">
      <c r="A41" t="s">
        <v>29</v>
      </c>
      <c r="B41">
        <v>0</v>
      </c>
    </row>
    <row r="42" spans="1:5" x14ac:dyDescent="0.25">
      <c r="A42" t="s">
        <v>30</v>
      </c>
      <c r="B42">
        <v>0</v>
      </c>
    </row>
    <row r="43" spans="1:5" x14ac:dyDescent="0.25">
      <c r="A43" t="s">
        <v>31</v>
      </c>
      <c r="B43">
        <v>0</v>
      </c>
    </row>
    <row r="45" spans="1:5" x14ac:dyDescent="0.25">
      <c r="A45" t="s">
        <v>32</v>
      </c>
      <c r="B45">
        <f>B40+1+B43</f>
        <v>2166</v>
      </c>
    </row>
    <row r="46" spans="1:5" x14ac:dyDescent="0.25">
      <c r="A46" t="s">
        <v>33</v>
      </c>
      <c r="B46">
        <f>B38+B41+B42</f>
        <v>495</v>
      </c>
    </row>
    <row r="47" spans="1:5" x14ac:dyDescent="0.25">
      <c r="A47" t="s">
        <v>34</v>
      </c>
      <c r="B47">
        <f>MAX(B46,B45)</f>
        <v>2166</v>
      </c>
      <c r="C47">
        <f>B47*B27*10^-6</f>
        <v>7.3310769230769235E-2</v>
      </c>
      <c r="D47">
        <f>1/C47</f>
        <v>13.640560731973473</v>
      </c>
    </row>
    <row r="48" spans="1:5" x14ac:dyDescent="0.25">
      <c r="C48">
        <f>C47*10^9/100</f>
        <v>733107.69230769237</v>
      </c>
      <c r="D48">
        <f>ROUND(C48,0)</f>
        <v>733108</v>
      </c>
      <c r="E48" t="str">
        <f>DEC2HEX(D48)</f>
        <v>B2FB4</v>
      </c>
    </row>
    <row r="49" spans="3:10" x14ac:dyDescent="0.25">
      <c r="C49" t="s">
        <v>35</v>
      </c>
      <c r="F49" t="s">
        <v>36</v>
      </c>
      <c r="G49" t="s">
        <v>37</v>
      </c>
      <c r="H49" t="s">
        <v>38</v>
      </c>
      <c r="I49" t="s">
        <v>39</v>
      </c>
      <c r="J49" t="s">
        <v>40</v>
      </c>
    </row>
    <row r="50" spans="3:10" x14ac:dyDescent="0.25">
      <c r="C50">
        <v>30</v>
      </c>
      <c r="D50">
        <f>1/C50</f>
        <v>3.3333333333333333E-2</v>
      </c>
      <c r="E50">
        <f>D50/(B27*10^-6)</f>
        <v>984.84848484848476</v>
      </c>
      <c r="F50">
        <f>ROUNDDOWN(E50,0)</f>
        <v>984</v>
      </c>
      <c r="G50">
        <f>F50-1</f>
        <v>983</v>
      </c>
      <c r="H50">
        <f>F50*B27*10^-6</f>
        <v>3.3304615384615384E-2</v>
      </c>
      <c r="I50">
        <f>H50/10^-7</f>
        <v>333046.15384615387</v>
      </c>
      <c r="J50">
        <f>ROUND(I50,0)</f>
        <v>333046</v>
      </c>
    </row>
    <row r="51" spans="3:10" x14ac:dyDescent="0.25">
      <c r="F51" t="str">
        <f>DEC2HEX(F50)</f>
        <v>3D8</v>
      </c>
      <c r="G51" t="str">
        <f>DEC2HEX(G50)</f>
        <v>3D7</v>
      </c>
      <c r="J51" t="str">
        <f>DEC2HEX(J50)</f>
        <v>514F6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Galen</dc:creator>
  <cp:lastModifiedBy>Galen</cp:lastModifiedBy>
  <dcterms:created xsi:type="dcterms:W3CDTF">2017-07-19T12:34:45Z</dcterms:created>
  <dcterms:modified xsi:type="dcterms:W3CDTF">2017-07-20T12:03:03Z</dcterms:modified>
</cp:coreProperties>
</file>