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e:\Users\fgarciaro\Documents\CursoML_itam\Diplomado\Modulo5\"/>
    </mc:Choice>
  </mc:AlternateContent>
  <xr:revisionPtr revIDLastSave="0" documentId="13_ncr:1_{38B16B63-0622-4435-BCFB-F3EB6CF06373}" xr6:coauthVersionLast="36" xr6:coauthVersionMax="36" xr10:uidLastSave="{00000000-0000-0000-0000-000000000000}"/>
  <bookViews>
    <workbookView xWindow="0" yWindow="0" windowWidth="7476" windowHeight="2832" xr2:uid="{00000000-000D-0000-FFFF-FFFF00000000}"/>
  </bookViews>
  <sheets>
    <sheet name="Hoja1" sheetId="1" r:id="rId1"/>
    <sheet name="prob PEMEX" sheetId="2" r:id="rId2"/>
    <sheet name="prob UM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0" i="3"/>
  <c r="B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L3" i="3"/>
  <c r="K3" i="3"/>
  <c r="H3" i="3"/>
  <c r="E3" i="3"/>
  <c r="D3" i="3"/>
  <c r="D4" i="3" s="1"/>
  <c r="L2" i="3"/>
  <c r="K2" i="3"/>
  <c r="H2" i="3"/>
  <c r="K1" i="3"/>
  <c r="B1" i="3"/>
  <c r="G13" i="3" s="1"/>
  <c r="J13" i="3" s="1"/>
  <c r="H2" i="2"/>
  <c r="L2" i="2"/>
  <c r="L3" i="2"/>
  <c r="K1" i="2"/>
  <c r="K2" i="2"/>
  <c r="D3" i="2"/>
  <c r="K3" i="2" s="1"/>
  <c r="B7" i="2"/>
  <c r="B1" i="2"/>
  <c r="G2" i="2" s="1"/>
  <c r="H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 l="1"/>
  <c r="G8" i="3"/>
  <c r="J8" i="3" s="1"/>
  <c r="G4" i="3"/>
  <c r="J4" i="3" s="1"/>
  <c r="G5" i="3"/>
  <c r="J5" i="3" s="1"/>
  <c r="G2" i="3"/>
  <c r="J2" i="3" s="1"/>
  <c r="G12" i="3"/>
  <c r="J12" i="3" s="1"/>
  <c r="G16" i="3"/>
  <c r="J16" i="3" s="1"/>
  <c r="G3" i="3"/>
  <c r="J3" i="3" s="1"/>
  <c r="G14" i="3"/>
  <c r="J14" i="3" s="1"/>
  <c r="G6" i="3"/>
  <c r="J6" i="3" s="1"/>
  <c r="G7" i="3"/>
  <c r="I7" i="3" s="1"/>
  <c r="G10" i="3"/>
  <c r="I10" i="3" s="1"/>
  <c r="G11" i="3"/>
  <c r="J11" i="3" s="1"/>
  <c r="G15" i="3"/>
  <c r="J15" i="3" s="1"/>
  <c r="D5" i="3"/>
  <c r="L4" i="3"/>
  <c r="K4" i="3"/>
  <c r="G9" i="3"/>
  <c r="I13" i="3"/>
  <c r="I2" i="2"/>
  <c r="B10" i="2"/>
  <c r="J2" i="2"/>
  <c r="G16" i="2"/>
  <c r="G12" i="2"/>
  <c r="G8" i="2"/>
  <c r="G4" i="2"/>
  <c r="G14" i="2"/>
  <c r="I14" i="2" s="1"/>
  <c r="G10" i="2"/>
  <c r="I10" i="2" s="1"/>
  <c r="G6" i="2"/>
  <c r="I6" i="2" s="1"/>
  <c r="G13" i="2"/>
  <c r="I13" i="2" s="1"/>
  <c r="G9" i="2"/>
  <c r="I9" i="2" s="1"/>
  <c r="G5" i="2"/>
  <c r="I5" i="2" s="1"/>
  <c r="G15" i="2"/>
  <c r="G11" i="2"/>
  <c r="G7" i="2"/>
  <c r="G3" i="2"/>
  <c r="D5" i="2" l="1"/>
  <c r="K4" i="2"/>
  <c r="L4" i="2"/>
  <c r="I14" i="3"/>
  <c r="I8" i="3"/>
  <c r="I4" i="3"/>
  <c r="B10" i="3"/>
  <c r="I5" i="3"/>
  <c r="I11" i="3"/>
  <c r="I15" i="3"/>
  <c r="J10" i="3"/>
  <c r="I2" i="3"/>
  <c r="J7" i="3"/>
  <c r="I12" i="3"/>
  <c r="I6" i="3"/>
  <c r="I3" i="3"/>
  <c r="I16" i="3"/>
  <c r="J9" i="3"/>
  <c r="I9" i="3"/>
  <c r="D6" i="3"/>
  <c r="L5" i="3"/>
  <c r="K5" i="3"/>
  <c r="I12" i="2"/>
  <c r="J12" i="2"/>
  <c r="J5" i="2"/>
  <c r="J10" i="2"/>
  <c r="I7" i="2"/>
  <c r="J7" i="2"/>
  <c r="I16" i="2"/>
  <c r="J16" i="2"/>
  <c r="J9" i="2"/>
  <c r="J14" i="2"/>
  <c r="I11" i="2"/>
  <c r="J11" i="2"/>
  <c r="I4" i="2"/>
  <c r="J4" i="2"/>
  <c r="J13" i="2"/>
  <c r="I15" i="2"/>
  <c r="J15" i="2"/>
  <c r="I8" i="2"/>
  <c r="J8" i="2"/>
  <c r="J6" i="2"/>
  <c r="I3" i="2"/>
  <c r="J3" i="2"/>
  <c r="D6" i="2" l="1"/>
  <c r="K5" i="2"/>
  <c r="L5" i="2"/>
  <c r="B9" i="3"/>
  <c r="B11" i="3" s="1"/>
  <c r="D7" i="3"/>
  <c r="L6" i="3"/>
  <c r="K6" i="3"/>
  <c r="B9" i="2"/>
  <c r="D7" i="2" l="1"/>
  <c r="K6" i="2"/>
  <c r="L6" i="2"/>
  <c r="D8" i="3"/>
  <c r="L7" i="3"/>
  <c r="K7" i="3"/>
  <c r="B11" i="2"/>
  <c r="D8" i="2" l="1"/>
  <c r="K7" i="2"/>
  <c r="L7" i="2"/>
  <c r="L8" i="3"/>
  <c r="K8" i="3"/>
  <c r="D9" i="3"/>
  <c r="D9" i="2" l="1"/>
  <c r="L8" i="2"/>
  <c r="K8" i="2"/>
  <c r="L9" i="3"/>
  <c r="K9" i="3"/>
  <c r="D10" i="3"/>
  <c r="D10" i="2" l="1"/>
  <c r="K9" i="2"/>
  <c r="L9" i="2"/>
  <c r="K10" i="3"/>
  <c r="D11" i="3"/>
  <c r="L10" i="3"/>
  <c r="D11" i="2" l="1"/>
  <c r="L10" i="2"/>
  <c r="K10" i="2"/>
  <c r="D12" i="3"/>
  <c r="L11" i="3"/>
  <c r="K11" i="3"/>
  <c r="D12" i="2" l="1"/>
  <c r="K11" i="2"/>
  <c r="L11" i="2"/>
  <c r="D13" i="3"/>
  <c r="L12" i="3"/>
  <c r="K12" i="3"/>
  <c r="D13" i="2" l="1"/>
  <c r="K12" i="2"/>
  <c r="L12" i="2"/>
  <c r="D14" i="3"/>
  <c r="L13" i="3"/>
  <c r="K13" i="3"/>
  <c r="D14" i="2" l="1"/>
  <c r="L13" i="2"/>
  <c r="K13" i="2"/>
  <c r="D15" i="3"/>
  <c r="L14" i="3"/>
  <c r="K14" i="3"/>
  <c r="D15" i="2" l="1"/>
  <c r="K14" i="2"/>
  <c r="L14" i="2"/>
  <c r="D16" i="3"/>
  <c r="L15" i="3"/>
  <c r="K15" i="3"/>
  <c r="D16" i="2" l="1"/>
  <c r="L15" i="2"/>
  <c r="K15" i="2"/>
  <c r="L16" i="3"/>
  <c r="K16" i="3"/>
  <c r="B17" i="3" s="1"/>
  <c r="B18" i="3" s="1"/>
  <c r="K16" i="2" l="1"/>
  <c r="B17" i="2" s="1"/>
  <c r="B18" i="2" s="1"/>
  <c r="L16" i="2"/>
</calcChain>
</file>

<file path=xl/sharedStrings.xml><?xml version="1.0" encoding="utf-8"?>
<sst xmlns="http://schemas.openxmlformats.org/spreadsheetml/2006/main" count="76" uniqueCount="52">
  <si>
    <t>MXNON BGN Curncy</t>
  </si>
  <si>
    <t>MXNTN BGN Curncy</t>
  </si>
  <si>
    <t>MXN BGN Curncy</t>
  </si>
  <si>
    <t>MXNSN BGN Curncy</t>
  </si>
  <si>
    <t>MXN1W BGN Curncy</t>
  </si>
  <si>
    <t>MXN2W BGN Curncy</t>
  </si>
  <si>
    <t>MXN3W BGN Curncy</t>
  </si>
  <si>
    <t>MXN1M BGN Curncy</t>
  </si>
  <si>
    <t>MXN2M BGN Curncy</t>
  </si>
  <si>
    <t>MXN3M BGN Curncy</t>
  </si>
  <si>
    <t>MXN4M BGN Curncy</t>
  </si>
  <si>
    <t>MXN5M BGN Curncy</t>
  </si>
  <si>
    <t>MXN6M BGN Curncy</t>
  </si>
  <si>
    <t>MXN9M BGN Curncy</t>
  </si>
  <si>
    <t>MXN12M BGN Curncy</t>
  </si>
  <si>
    <t>MXN15M BGN Curncy</t>
  </si>
  <si>
    <t>MXN18M BGN Curncy</t>
  </si>
  <si>
    <t>MXN2Y BGN Curncy</t>
  </si>
  <si>
    <t>MXN3Y BGN Curncy</t>
  </si>
  <si>
    <t>MXN4Y BGN Curncy</t>
  </si>
  <si>
    <t>MXN5Y BGN Curncy</t>
  </si>
  <si>
    <t>MXN6Y BGN Curncy</t>
  </si>
  <si>
    <t>MXN7Y BGN Curncy</t>
  </si>
  <si>
    <t>MXN8Y BGN Curncy</t>
  </si>
  <si>
    <t>MXN9Y BGN Curncy</t>
  </si>
  <si>
    <t>MXN10Y BGN Curncy</t>
  </si>
  <si>
    <t>Date</t>
  </si>
  <si>
    <t>PEMEX</t>
  </si>
  <si>
    <t>Maturity</t>
  </si>
  <si>
    <t>Credit</t>
  </si>
  <si>
    <t>Coupon rate</t>
  </si>
  <si>
    <t>Daycount</t>
  </si>
  <si>
    <t>S/A</t>
  </si>
  <si>
    <t>YTM</t>
  </si>
  <si>
    <t>Start</t>
  </si>
  <si>
    <t>End</t>
  </si>
  <si>
    <t>Days to coupon</t>
  </si>
  <si>
    <t>Notional</t>
  </si>
  <si>
    <t>Coupon+Not</t>
  </si>
  <si>
    <t>discount factor</t>
  </si>
  <si>
    <t>Dirty price</t>
  </si>
  <si>
    <t>Accrued</t>
  </si>
  <si>
    <t>Clean price</t>
  </si>
  <si>
    <t>R</t>
  </si>
  <si>
    <t>h</t>
  </si>
  <si>
    <t>Interbank rate</t>
  </si>
  <si>
    <t>df interbank</t>
  </si>
  <si>
    <t>Risky price</t>
  </si>
  <si>
    <t>Target</t>
  </si>
  <si>
    <t>Prob incum acum</t>
  </si>
  <si>
    <t>UMS</t>
  </si>
  <si>
    <t>Prob incum acum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</si>
</sst>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m/yy"/>
    <numFmt numFmtId="165" formatCode="0.0000%"/>
    <numFmt numFmtId="166" formatCode="#.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0" fontId="2" fillId="0" borderId="0" xfId="2" applyNumberFormat="1" applyFont="1"/>
    <xf numFmtId="43" fontId="0" fillId="0" borderId="0" xfId="1" applyFont="1"/>
    <xf numFmtId="0" fontId="0" fillId="2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6"/>
  <sheetViews>
    <sheetView tabSelected="1" zoomScale="90" zoomScaleNormal="90" workbookViewId="0">
      <selection activeCell="B3" sqref="B3"/>
    </sheetView>
  </sheetViews>
  <sheetFormatPr baseColWidth="10" defaultRowHeight="14.4" x14ac:dyDescent="0.3"/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s="1" t="s">
        <v>2</v>
      </c>
    </row>
    <row r="4" spans="2:2" x14ac:dyDescent="0.3">
      <c r="B4" t="s">
        <v>3</v>
      </c>
    </row>
    <row r="5" spans="2:2" x14ac:dyDescent="0.3">
      <c r="B5" t="s">
        <v>4</v>
      </c>
    </row>
    <row r="6" spans="2:2" x14ac:dyDescent="0.3">
      <c r="B6" t="s">
        <v>5</v>
      </c>
    </row>
    <row r="7" spans="2:2" x14ac:dyDescent="0.3">
      <c r="B7" t="s">
        <v>6</v>
      </c>
    </row>
    <row r="8" spans="2:2" x14ac:dyDescent="0.3">
      <c r="B8" t="s">
        <v>7</v>
      </c>
    </row>
    <row r="9" spans="2:2" x14ac:dyDescent="0.3">
      <c r="B9" t="s">
        <v>8</v>
      </c>
    </row>
    <row r="10" spans="2:2" x14ac:dyDescent="0.3">
      <c r="B10" t="s">
        <v>9</v>
      </c>
    </row>
    <row r="11" spans="2:2" x14ac:dyDescent="0.3">
      <c r="B11" t="s">
        <v>10</v>
      </c>
    </row>
    <row r="12" spans="2:2" x14ac:dyDescent="0.3">
      <c r="B12" t="s">
        <v>11</v>
      </c>
    </row>
    <row r="13" spans="2:2" x14ac:dyDescent="0.3">
      <c r="B13" t="s">
        <v>12</v>
      </c>
    </row>
    <row r="14" spans="2:2" x14ac:dyDescent="0.3">
      <c r="B14" t="s">
        <v>13</v>
      </c>
    </row>
    <row r="15" spans="2:2" x14ac:dyDescent="0.3">
      <c r="B15" t="s">
        <v>14</v>
      </c>
    </row>
    <row r="16" spans="2:2" x14ac:dyDescent="0.3">
      <c r="B16" t="s">
        <v>15</v>
      </c>
    </row>
    <row r="17" spans="2:2" x14ac:dyDescent="0.3">
      <c r="B17" t="s">
        <v>16</v>
      </c>
    </row>
    <row r="18" spans="2:2" x14ac:dyDescent="0.3">
      <c r="B18" t="s">
        <v>17</v>
      </c>
    </row>
    <row r="19" spans="2:2" x14ac:dyDescent="0.3">
      <c r="B19" t="s">
        <v>18</v>
      </c>
    </row>
    <row r="20" spans="2:2" x14ac:dyDescent="0.3">
      <c r="B20" t="s">
        <v>19</v>
      </c>
    </row>
    <row r="21" spans="2:2" x14ac:dyDescent="0.3">
      <c r="B21" t="s">
        <v>20</v>
      </c>
    </row>
    <row r="22" spans="2:2" x14ac:dyDescent="0.3">
      <c r="B22" t="s">
        <v>21</v>
      </c>
    </row>
    <row r="23" spans="2:2" x14ac:dyDescent="0.3">
      <c r="B23" t="s">
        <v>22</v>
      </c>
    </row>
    <row r="24" spans="2:2" x14ac:dyDescent="0.3">
      <c r="B24" t="s">
        <v>23</v>
      </c>
    </row>
    <row r="25" spans="2:2" x14ac:dyDescent="0.3">
      <c r="B25" t="s">
        <v>24</v>
      </c>
    </row>
    <row r="26" spans="2:2" x14ac:dyDescent="0.3">
      <c r="B2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Normal="100" workbookViewId="0">
      <selection activeCell="B20" sqref="B20"/>
    </sheetView>
  </sheetViews>
  <sheetFormatPr baseColWidth="10" defaultRowHeight="14.4" x14ac:dyDescent="0.3"/>
  <cols>
    <col min="1" max="1" width="17.77734375" bestFit="1" customWidth="1"/>
    <col min="2" max="2" width="9.77734375" bestFit="1" customWidth="1"/>
    <col min="3" max="3" width="1.5546875" customWidth="1"/>
    <col min="4" max="4" width="2.77734375" bestFit="1" customWidth="1"/>
    <col min="5" max="6" width="9.77734375" bestFit="1" customWidth="1"/>
    <col min="7" max="7" width="13.77734375" bestFit="1" customWidth="1"/>
    <col min="8" max="8" width="11.33203125" bestFit="1" customWidth="1"/>
    <col min="9" max="9" width="13.21875" bestFit="1" customWidth="1"/>
    <col min="12" max="12" width="15.33203125" bestFit="1" customWidth="1"/>
  </cols>
  <sheetData>
    <row r="1" spans="1:12" x14ac:dyDescent="0.3">
      <c r="A1" s="9" t="s">
        <v>26</v>
      </c>
      <c r="B1" s="2">
        <f ca="1">TODAY()</f>
        <v>43930</v>
      </c>
      <c r="D1">
        <v>0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46</v>
      </c>
      <c r="K1">
        <f>(1-$B$14)^D1</f>
        <v>1</v>
      </c>
      <c r="L1" s="1" t="s">
        <v>49</v>
      </c>
    </row>
    <row r="2" spans="1:12" x14ac:dyDescent="0.3">
      <c r="A2" t="s">
        <v>29</v>
      </c>
      <c r="B2" t="s">
        <v>27</v>
      </c>
      <c r="D2">
        <v>1</v>
      </c>
      <c r="E2" s="2">
        <v>43721</v>
      </c>
      <c r="F2" s="2">
        <v>43903</v>
      </c>
      <c r="G2">
        <f ca="1">DAYS360($B$1,F2)</f>
        <v>-26</v>
      </c>
      <c r="H2" s="5">
        <f>$B$3*$B$5/2</f>
        <v>3.25</v>
      </c>
      <c r="I2">
        <f ca="1">IF(F2&lt;=$B$1,0,1/(1+$B$7/2)^(G2/180))</f>
        <v>0</v>
      </c>
      <c r="J2">
        <f ca="1">IF(F2&lt;=$B$1,0,1/(1+$B$15/2)^(G2/180))</f>
        <v>0</v>
      </c>
      <c r="K2">
        <f>(1-$B$14)^D2</f>
        <v>0.95352711978552707</v>
      </c>
      <c r="L2" s="4">
        <f>1-(1-$B$14)^D2</f>
        <v>4.6472880214472934E-2</v>
      </c>
    </row>
    <row r="3" spans="1:12" x14ac:dyDescent="0.3">
      <c r="A3" s="9" t="s">
        <v>37</v>
      </c>
      <c r="B3" s="5">
        <v>100</v>
      </c>
      <c r="D3">
        <f>D2+1</f>
        <v>2</v>
      </c>
      <c r="E3" s="2">
        <f>F2</f>
        <v>43903</v>
      </c>
      <c r="F3" s="2">
        <v>44087</v>
      </c>
      <c r="G3">
        <f t="shared" ref="G3:G16" ca="1" si="0">DAYS360($B$1,F3)</f>
        <v>154</v>
      </c>
      <c r="H3" s="5">
        <f t="shared" ref="H3:H15" si="1">$B$3*$B$5/2</f>
        <v>3.25</v>
      </c>
      <c r="I3">
        <f t="shared" ref="I3:I16" ca="1" si="2">IF(F3&lt;=$B$1,0,1/(1+$B$7/2)^(G3/180))</f>
        <v>0.96481583491445932</v>
      </c>
      <c r="J3">
        <f t="shared" ref="J3:J16" ca="1" si="3">IF(F3&lt;=$B$1,0,1/(1+$B$15/2)^(G3/180))</f>
        <v>0.9971427686077976</v>
      </c>
      <c r="K3">
        <f t="shared" ref="K3:K16" si="4">(1-$B$14)^D3</f>
        <v>0.90921396816648292</v>
      </c>
      <c r="L3" s="4">
        <f t="shared" ref="L3:L16" si="5">1-(1-$B$14)^D3</f>
        <v>9.0786031833517078E-2</v>
      </c>
    </row>
    <row r="4" spans="1:12" x14ac:dyDescent="0.3">
      <c r="A4" s="9" t="s">
        <v>28</v>
      </c>
      <c r="B4" s="2">
        <v>46459</v>
      </c>
      <c r="D4">
        <f t="shared" ref="D4:D16" si="6">D3+1</f>
        <v>3</v>
      </c>
      <c r="E4" s="2">
        <f t="shared" ref="E4:E16" si="7">F3</f>
        <v>44087</v>
      </c>
      <c r="F4" s="2">
        <v>44268</v>
      </c>
      <c r="G4">
        <f t="shared" ca="1" si="0"/>
        <v>334</v>
      </c>
      <c r="H4" s="5">
        <f t="shared" si="1"/>
        <v>3.25</v>
      </c>
      <c r="I4">
        <f t="shared" ca="1" si="2"/>
        <v>0.92525742521949628</v>
      </c>
      <c r="J4">
        <f t="shared" ca="1" si="3"/>
        <v>0.99381349340489122</v>
      </c>
      <c r="K4">
        <f t="shared" si="4"/>
        <v>0.86696017633455635</v>
      </c>
      <c r="L4" s="4">
        <f t="shared" si="5"/>
        <v>0.13303982366544365</v>
      </c>
    </row>
    <row r="5" spans="1:12" x14ac:dyDescent="0.3">
      <c r="A5" s="9" t="s">
        <v>30</v>
      </c>
      <c r="B5" s="3">
        <v>6.5000000000000002E-2</v>
      </c>
      <c r="D5">
        <f t="shared" si="6"/>
        <v>4</v>
      </c>
      <c r="E5" s="2">
        <f t="shared" si="7"/>
        <v>44268</v>
      </c>
      <c r="F5" s="2">
        <v>44452</v>
      </c>
      <c r="G5">
        <f t="shared" ca="1" si="0"/>
        <v>514</v>
      </c>
      <c r="H5" s="5">
        <f t="shared" si="1"/>
        <v>3.25</v>
      </c>
      <c r="I5">
        <f t="shared" ca="1" si="2"/>
        <v>0.88732094970198505</v>
      </c>
      <c r="J5">
        <f t="shared" ca="1" si="3"/>
        <v>0.9904953340358712</v>
      </c>
      <c r="K5">
        <f t="shared" si="4"/>
        <v>0.8266700399090422</v>
      </c>
      <c r="L5" s="4">
        <f t="shared" si="5"/>
        <v>0.1733299600909578</v>
      </c>
    </row>
    <row r="6" spans="1:12" x14ac:dyDescent="0.3">
      <c r="A6" t="s">
        <v>31</v>
      </c>
      <c r="B6" t="s">
        <v>32</v>
      </c>
      <c r="D6">
        <f t="shared" si="6"/>
        <v>5</v>
      </c>
      <c r="E6" s="2">
        <f t="shared" si="7"/>
        <v>44452</v>
      </c>
      <c r="F6" s="2">
        <v>44633</v>
      </c>
      <c r="G6">
        <f t="shared" ca="1" si="0"/>
        <v>694</v>
      </c>
      <c r="H6" s="5">
        <f t="shared" si="1"/>
        <v>3.25</v>
      </c>
      <c r="I6">
        <f t="shared" ca="1" si="2"/>
        <v>0.85093990744603265</v>
      </c>
      <c r="J6">
        <f t="shared" ca="1" si="3"/>
        <v>0.98718825338702465</v>
      </c>
      <c r="K6">
        <f t="shared" si="4"/>
        <v>0.78825230216745568</v>
      </c>
      <c r="L6" s="4">
        <f t="shared" si="5"/>
        <v>0.21174769783254432</v>
      </c>
    </row>
    <row r="7" spans="1:12" x14ac:dyDescent="0.3">
      <c r="A7" s="9" t="s">
        <v>33</v>
      </c>
      <c r="B7" s="4">
        <f>0.0855079</f>
        <v>8.5507899999999998E-2</v>
      </c>
      <c r="D7">
        <f t="shared" si="6"/>
        <v>6</v>
      </c>
      <c r="E7" s="2">
        <f t="shared" si="7"/>
        <v>44633</v>
      </c>
      <c r="F7" s="2">
        <v>44817</v>
      </c>
      <c r="G7">
        <f t="shared" ca="1" si="0"/>
        <v>874</v>
      </c>
      <c r="H7" s="5">
        <f t="shared" si="1"/>
        <v>3.25</v>
      </c>
      <c r="I7">
        <f t="shared" ca="1" si="2"/>
        <v>0.81605052413949875</v>
      </c>
      <c r="J7">
        <f t="shared" ca="1" si="3"/>
        <v>0.98389221446855502</v>
      </c>
      <c r="K7">
        <f t="shared" si="4"/>
        <v>0.75161994735004511</v>
      </c>
      <c r="L7" s="4">
        <f t="shared" si="5"/>
        <v>0.24838005264995489</v>
      </c>
    </row>
    <row r="8" spans="1:12" x14ac:dyDescent="0.3">
      <c r="D8">
        <f t="shared" si="6"/>
        <v>7</v>
      </c>
      <c r="E8" s="2">
        <f t="shared" si="7"/>
        <v>44817</v>
      </c>
      <c r="F8" s="2">
        <v>44998</v>
      </c>
      <c r="G8">
        <f t="shared" ca="1" si="0"/>
        <v>1054</v>
      </c>
      <c r="H8" s="5">
        <f t="shared" si="1"/>
        <v>3.25</v>
      </c>
      <c r="I8">
        <f t="shared" ca="1" si="2"/>
        <v>0.78259164028052697</v>
      </c>
      <c r="J8">
        <f t="shared" ca="1" si="3"/>
        <v>0.9806071804141675</v>
      </c>
      <c r="K8">
        <f t="shared" si="4"/>
        <v>0.71669000357003798</v>
      </c>
      <c r="L8" s="4">
        <f t="shared" si="5"/>
        <v>0.28330999642996202</v>
      </c>
    </row>
    <row r="9" spans="1:12" x14ac:dyDescent="0.3">
      <c r="A9" t="s">
        <v>40</v>
      </c>
      <c r="B9">
        <f ca="1">SUMPRODUCT(H2:H16,I2:I16)</f>
        <v>89.904954660290173</v>
      </c>
      <c r="D9">
        <f t="shared" si="6"/>
        <v>8</v>
      </c>
      <c r="E9" s="2">
        <f t="shared" si="7"/>
        <v>44998</v>
      </c>
      <c r="F9" s="2">
        <v>45182</v>
      </c>
      <c r="G9">
        <f t="shared" ca="1" si="0"/>
        <v>1234</v>
      </c>
      <c r="H9" s="5">
        <f t="shared" si="1"/>
        <v>3.25</v>
      </c>
      <c r="I9">
        <f t="shared" ca="1" si="2"/>
        <v>0.75050460396772123</v>
      </c>
      <c r="J9">
        <f t="shared" ca="1" si="3"/>
        <v>0.97733311448065729</v>
      </c>
      <c r="K9">
        <f t="shared" si="4"/>
        <v>0.68338335488321744</v>
      </c>
      <c r="L9" s="4">
        <f t="shared" si="5"/>
        <v>0.31661664511678256</v>
      </c>
    </row>
    <row r="10" spans="1:12" x14ac:dyDescent="0.3">
      <c r="A10" t="s">
        <v>41</v>
      </c>
      <c r="B10">
        <f ca="1">H2*((180-G2)/180)</f>
        <v>3.7194444444444441</v>
      </c>
      <c r="D10">
        <f t="shared" si="6"/>
        <v>9</v>
      </c>
      <c r="E10" s="2">
        <f t="shared" si="7"/>
        <v>45182</v>
      </c>
      <c r="F10" s="2">
        <v>45364</v>
      </c>
      <c r="G10">
        <f t="shared" ca="1" si="0"/>
        <v>1414</v>
      </c>
      <c r="H10" s="5">
        <f t="shared" si="1"/>
        <v>3.25</v>
      </c>
      <c r="I10">
        <f t="shared" ca="1" si="2"/>
        <v>0.7197331680860295</v>
      </c>
      <c r="J10">
        <f t="shared" ca="1" si="3"/>
        <v>0.97406998004749823</v>
      </c>
      <c r="K10">
        <f t="shared" si="4"/>
        <v>0.65162456209116504</v>
      </c>
      <c r="L10" s="4">
        <f t="shared" si="5"/>
        <v>0.34837543790883496</v>
      </c>
    </row>
    <row r="11" spans="1:12" x14ac:dyDescent="0.3">
      <c r="A11" t="s">
        <v>42</v>
      </c>
      <c r="B11">
        <f ca="1">B9-B10</f>
        <v>86.185510215845724</v>
      </c>
      <c r="D11">
        <f t="shared" si="6"/>
        <v>10</v>
      </c>
      <c r="E11" s="2">
        <f t="shared" si="7"/>
        <v>45364</v>
      </c>
      <c r="F11" s="2">
        <v>45548</v>
      </c>
      <c r="G11">
        <f t="shared" ca="1" si="0"/>
        <v>1594</v>
      </c>
      <c r="H11" s="5">
        <f t="shared" si="1"/>
        <v>3.25</v>
      </c>
      <c r="I11">
        <f t="shared" ca="1" si="2"/>
        <v>0.69022339170811042</v>
      </c>
      <c r="J11">
        <f t="shared" ca="1" si="3"/>
        <v>0.97081774061643322</v>
      </c>
      <c r="K11">
        <f t="shared" si="4"/>
        <v>0.62134169187229393</v>
      </c>
      <c r="L11" s="4">
        <f t="shared" si="5"/>
        <v>0.37865830812770607</v>
      </c>
    </row>
    <row r="12" spans="1:12" x14ac:dyDescent="0.3">
      <c r="D12">
        <f t="shared" si="6"/>
        <v>11</v>
      </c>
      <c r="E12" s="2">
        <f t="shared" si="7"/>
        <v>45548</v>
      </c>
      <c r="F12" s="2">
        <v>45729</v>
      </c>
      <c r="G12">
        <f t="shared" ca="1" si="0"/>
        <v>1774</v>
      </c>
      <c r="H12" s="5">
        <f t="shared" si="1"/>
        <v>3.25</v>
      </c>
      <c r="I12">
        <f t="shared" ca="1" si="2"/>
        <v>0.66192354553834154</v>
      </c>
      <c r="J12">
        <f t="shared" ca="1" si="3"/>
        <v>0.96757635981106627</v>
      </c>
      <c r="K12">
        <f t="shared" si="4"/>
        <v>0.59246615385365486</v>
      </c>
      <c r="L12" s="4">
        <f t="shared" si="5"/>
        <v>0.40753384614634514</v>
      </c>
    </row>
    <row r="13" spans="1:12" x14ac:dyDescent="0.3">
      <c r="A13" t="s">
        <v>43</v>
      </c>
      <c r="B13" s="6">
        <v>0.25</v>
      </c>
      <c r="D13">
        <f t="shared" si="6"/>
        <v>12</v>
      </c>
      <c r="E13" s="2">
        <f t="shared" si="7"/>
        <v>45729</v>
      </c>
      <c r="F13" s="2">
        <v>45913</v>
      </c>
      <c r="G13">
        <f t="shared" ca="1" si="0"/>
        <v>1954</v>
      </c>
      <c r="H13" s="5">
        <f t="shared" si="1"/>
        <v>3.25</v>
      </c>
      <c r="I13">
        <f t="shared" ca="1" si="2"/>
        <v>0.63478402123371624</v>
      </c>
      <c r="J13">
        <f t="shared" ca="1" si="3"/>
        <v>0.96434580137645509</v>
      </c>
      <c r="K13">
        <f t="shared" si="4"/>
        <v>0.56493254525448455</v>
      </c>
      <c r="L13" s="4">
        <f t="shared" si="5"/>
        <v>0.43506745474551545</v>
      </c>
    </row>
    <row r="14" spans="1:12" x14ac:dyDescent="0.3">
      <c r="A14" t="s">
        <v>44</v>
      </c>
      <c r="B14" s="7">
        <v>4.647288021447292E-2</v>
      </c>
      <c r="D14">
        <f t="shared" si="6"/>
        <v>13</v>
      </c>
      <c r="E14" s="2">
        <f t="shared" si="7"/>
        <v>45913</v>
      </c>
      <c r="F14" s="2">
        <v>46094</v>
      </c>
      <c r="G14">
        <f t="shared" ca="1" si="0"/>
        <v>2134</v>
      </c>
      <c r="H14" s="5">
        <f t="shared" si="1"/>
        <v>3.25</v>
      </c>
      <c r="I14">
        <f t="shared" ca="1" si="2"/>
        <v>0.6087572444426762</v>
      </c>
      <c r="J14">
        <f t="shared" ca="1" si="3"/>
        <v>0.9611260291787066</v>
      </c>
      <c r="K14">
        <f t="shared" si="4"/>
        <v>0.53867850274961548</v>
      </c>
      <c r="L14" s="4">
        <f t="shared" si="5"/>
        <v>0.46132149725038452</v>
      </c>
    </row>
    <row r="15" spans="1:12" x14ac:dyDescent="0.3">
      <c r="A15" s="9" t="s">
        <v>45</v>
      </c>
      <c r="B15" s="7">
        <v>6.7000000000000002E-3</v>
      </c>
      <c r="D15">
        <f t="shared" si="6"/>
        <v>14</v>
      </c>
      <c r="E15" s="2">
        <f t="shared" si="7"/>
        <v>46094</v>
      </c>
      <c r="F15" s="2">
        <v>46278</v>
      </c>
      <c r="G15">
        <f t="shared" ca="1" si="0"/>
        <v>2314</v>
      </c>
      <c r="H15" s="5">
        <f t="shared" si="1"/>
        <v>3.25</v>
      </c>
      <c r="I15">
        <f t="shared" ca="1" si="2"/>
        <v>0.58379759140943666</v>
      </c>
      <c r="J15">
        <f t="shared" ca="1" si="3"/>
        <v>0.95791700720457118</v>
      </c>
      <c r="K15">
        <f t="shared" si="4"/>
        <v>0.51364456121722113</v>
      </c>
      <c r="L15" s="4">
        <f t="shared" si="5"/>
        <v>0.48635543878277887</v>
      </c>
    </row>
    <row r="16" spans="1:12" x14ac:dyDescent="0.3">
      <c r="D16">
        <f t="shared" si="6"/>
        <v>15</v>
      </c>
      <c r="E16" s="2">
        <f t="shared" si="7"/>
        <v>46278</v>
      </c>
      <c r="F16" s="2">
        <v>46459</v>
      </c>
      <c r="G16">
        <f t="shared" ca="1" si="0"/>
        <v>2494</v>
      </c>
      <c r="H16" s="5">
        <f>$B$3*$B$5/2+$B$3</f>
        <v>103.25</v>
      </c>
      <c r="I16">
        <f t="shared" ca="1" si="2"/>
        <v>0.55986130899761799</v>
      </c>
      <c r="J16">
        <f t="shared" ca="1" si="3"/>
        <v>0.95471869956104194</v>
      </c>
      <c r="K16">
        <f t="shared" si="4"/>
        <v>0.48977401905095763</v>
      </c>
      <c r="L16" s="4">
        <f t="shared" si="5"/>
        <v>0.51022598094904237</v>
      </c>
    </row>
    <row r="17" spans="1:2" x14ac:dyDescent="0.3">
      <c r="A17" t="s">
        <v>47</v>
      </c>
      <c r="B17">
        <f ca="1">SUMPRODUCT(H2:H16,K2:K16,J2:J16)+B3*B13*B14*SUMPRODUCT(K1:K15,J2:J16)</f>
        <v>88.355178306800468</v>
      </c>
    </row>
    <row r="18" spans="1:2" x14ac:dyDescent="0.3">
      <c r="A18" t="s">
        <v>48</v>
      </c>
      <c r="B18">
        <f ca="1">(B9-B17)*10000</f>
        <v>15497.763534897047</v>
      </c>
    </row>
    <row r="20" spans="1:2" x14ac:dyDescent="0.3">
      <c r="A20" t="s">
        <v>51</v>
      </c>
      <c r="B20" s="4">
        <f>1-(1-$B$14)^(90/180)</f>
        <v>2.3512867578109331E-2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Normal="100" workbookViewId="0">
      <selection activeCell="A20" sqref="A20:B20"/>
    </sheetView>
  </sheetViews>
  <sheetFormatPr baseColWidth="10" defaultRowHeight="14.4" x14ac:dyDescent="0.3"/>
  <cols>
    <col min="1" max="1" width="17.77734375" bestFit="1" customWidth="1"/>
    <col min="2" max="2" width="11.77734375" bestFit="1" customWidth="1"/>
    <col min="3" max="3" width="1.5546875" customWidth="1"/>
    <col min="4" max="4" width="2.77734375" bestFit="1" customWidth="1"/>
    <col min="5" max="6" width="9.77734375" bestFit="1" customWidth="1"/>
    <col min="7" max="7" width="13.77734375" bestFit="1" customWidth="1"/>
    <col min="8" max="8" width="11.33203125" bestFit="1" customWidth="1"/>
    <col min="9" max="9" width="13.21875" bestFit="1" customWidth="1"/>
    <col min="12" max="12" width="15.33203125" bestFit="1" customWidth="1"/>
  </cols>
  <sheetData>
    <row r="1" spans="1:12" x14ac:dyDescent="0.3">
      <c r="A1" t="s">
        <v>26</v>
      </c>
      <c r="B1" s="2">
        <f ca="1">TODAY()</f>
        <v>43930</v>
      </c>
      <c r="D1">
        <v>0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46</v>
      </c>
      <c r="K1">
        <f>(1-$B$14)^D1</f>
        <v>1</v>
      </c>
      <c r="L1" s="1" t="s">
        <v>49</v>
      </c>
    </row>
    <row r="2" spans="1:12" x14ac:dyDescent="0.3">
      <c r="A2" t="s">
        <v>29</v>
      </c>
      <c r="B2" t="s">
        <v>50</v>
      </c>
      <c r="D2">
        <v>1</v>
      </c>
      <c r="E2" s="2">
        <v>43736</v>
      </c>
      <c r="F2" s="2">
        <v>43918</v>
      </c>
      <c r="G2">
        <f ca="1">DAYS360($B$1,F2)</f>
        <v>-11</v>
      </c>
      <c r="H2" s="5">
        <f>$B$3*$B$5/2</f>
        <v>2.0750000000000002</v>
      </c>
      <c r="I2">
        <f ca="1">IF(F2&lt;=$B$1,0,1/(1+$B$7/2)^(G2/180))</f>
        <v>0</v>
      </c>
      <c r="J2">
        <f ca="1">IF(F2&lt;=$B$1,0,1/(1+$B$15/2)^(G2/180))</f>
        <v>0</v>
      </c>
      <c r="K2">
        <f>(1-$B$14)^D2</f>
        <v>0.98590677114666059</v>
      </c>
      <c r="L2" s="4">
        <f>1-(1-$B$14)^D2</f>
        <v>1.4093228853339412E-2</v>
      </c>
    </row>
    <row r="3" spans="1:12" x14ac:dyDescent="0.3">
      <c r="A3" t="s">
        <v>37</v>
      </c>
      <c r="B3" s="5">
        <v>100</v>
      </c>
      <c r="D3">
        <f>D2+1</f>
        <v>2</v>
      </c>
      <c r="E3" s="2">
        <f>F2</f>
        <v>43918</v>
      </c>
      <c r="F3" s="2">
        <v>44102</v>
      </c>
      <c r="G3">
        <f t="shared" ref="G3:G16" ca="1" si="0">DAYS360($B$1,F3)</f>
        <v>169</v>
      </c>
      <c r="H3" s="5">
        <f t="shared" ref="H3:H15" si="1">$B$3*$B$5/2</f>
        <v>2.0750000000000002</v>
      </c>
      <c r="I3">
        <f t="shared" ref="I3:I16" ca="1" si="2">IF(F3&lt;=$B$1,0,1/(1+$B$7/2)^(G3/180))</f>
        <v>0.98602483894690507</v>
      </c>
      <c r="J3">
        <f t="shared" ref="J3:J16" ca="1" si="3">IF(F3&lt;=$B$1,0,1/(1+$B$15/2)^(G3/180))</f>
        <v>0.99686490353659596</v>
      </c>
      <c r="K3">
        <f t="shared" ref="K3:K16" si="4">(1-$B$14)^D3</f>
        <v>0.97201216139283375</v>
      </c>
      <c r="L3" s="4">
        <f t="shared" ref="L3:L16" si="5">1-(1-$B$14)^D3</f>
        <v>2.7987838607166249E-2</v>
      </c>
    </row>
    <row r="4" spans="1:12" x14ac:dyDescent="0.3">
      <c r="A4" t="s">
        <v>28</v>
      </c>
      <c r="B4" s="2">
        <v>46474</v>
      </c>
      <c r="D4">
        <f t="shared" ref="D4:D16" si="6">D3+1</f>
        <v>3</v>
      </c>
      <c r="E4" s="2">
        <f t="shared" ref="E4:E16" si="7">F3</f>
        <v>44102</v>
      </c>
      <c r="F4" s="2">
        <v>44283</v>
      </c>
      <c r="G4">
        <f t="shared" ca="1" si="0"/>
        <v>349</v>
      </c>
      <c r="H4" s="5">
        <f t="shared" si="1"/>
        <v>2.0750000000000002</v>
      </c>
      <c r="I4">
        <f t="shared" ca="1" si="2"/>
        <v>0.97135477377532986</v>
      </c>
      <c r="J4">
        <f t="shared" ca="1" si="3"/>
        <v>0.9935365560737488</v>
      </c>
      <c r="K4">
        <f t="shared" si="4"/>
        <v>0.95831337155409546</v>
      </c>
      <c r="L4" s="4">
        <f t="shared" si="5"/>
        <v>4.1686628445904539E-2</v>
      </c>
    </row>
    <row r="5" spans="1:12" x14ac:dyDescent="0.3">
      <c r="A5" t="s">
        <v>30</v>
      </c>
      <c r="B5" s="3">
        <v>4.1500000000000002E-2</v>
      </c>
      <c r="D5">
        <f t="shared" si="6"/>
        <v>4</v>
      </c>
      <c r="E5" s="2">
        <f t="shared" si="7"/>
        <v>44283</v>
      </c>
      <c r="F5" s="2">
        <v>44467</v>
      </c>
      <c r="G5">
        <f t="shared" ca="1" si="0"/>
        <v>529</v>
      </c>
      <c r="H5" s="5">
        <f t="shared" si="1"/>
        <v>2.0750000000000002</v>
      </c>
      <c r="I5">
        <f t="shared" ca="1" si="2"/>
        <v>0.95690296964915411</v>
      </c>
      <c r="J5">
        <f t="shared" ca="1" si="3"/>
        <v>0.99021932134723567</v>
      </c>
      <c r="K5">
        <f t="shared" si="4"/>
        <v>0.94480764189556832</v>
      </c>
      <c r="L5" s="4">
        <f t="shared" si="5"/>
        <v>5.5192358104431682E-2</v>
      </c>
    </row>
    <row r="6" spans="1:12" x14ac:dyDescent="0.3">
      <c r="A6" t="s">
        <v>31</v>
      </c>
      <c r="B6" t="s">
        <v>32</v>
      </c>
      <c r="D6">
        <f t="shared" si="6"/>
        <v>5</v>
      </c>
      <c r="E6" s="2">
        <f t="shared" si="7"/>
        <v>44467</v>
      </c>
      <c r="F6" s="2">
        <v>44648</v>
      </c>
      <c r="G6">
        <f t="shared" ca="1" si="0"/>
        <v>709</v>
      </c>
      <c r="H6" s="5">
        <f t="shared" si="1"/>
        <v>2.0750000000000002</v>
      </c>
      <c r="I6">
        <f t="shared" ca="1" si="2"/>
        <v>0.94266617928328511</v>
      </c>
      <c r="J6">
        <f t="shared" ca="1" si="3"/>
        <v>0.98691316225368586</v>
      </c>
      <c r="K6">
        <f t="shared" si="4"/>
        <v>0.93149225157595017</v>
      </c>
      <c r="L6" s="4">
        <f t="shared" si="5"/>
        <v>6.850774842404983E-2</v>
      </c>
    </row>
    <row r="7" spans="1:12" x14ac:dyDescent="0.3">
      <c r="A7" t="s">
        <v>33</v>
      </c>
      <c r="B7" s="4">
        <f>0.03020537</f>
        <v>3.0205369999999999E-2</v>
      </c>
      <c r="D7">
        <f t="shared" si="6"/>
        <v>6</v>
      </c>
      <c r="E7" s="2">
        <f t="shared" si="7"/>
        <v>44648</v>
      </c>
      <c r="F7" s="2">
        <v>44832</v>
      </c>
      <c r="G7">
        <f t="shared" ca="1" si="0"/>
        <v>889</v>
      </c>
      <c r="H7" s="5">
        <f t="shared" si="1"/>
        <v>2.0750000000000002</v>
      </c>
      <c r="I7">
        <f t="shared" ca="1" si="2"/>
        <v>0.92864120370569725</v>
      </c>
      <c r="J7">
        <f t="shared" ca="1" si="3"/>
        <v>0.98361804181361034</v>
      </c>
      <c r="K7">
        <f t="shared" si="4"/>
        <v>0.9183645180993778</v>
      </c>
      <c r="L7" s="4">
        <f t="shared" si="5"/>
        <v>8.1635481900622198E-2</v>
      </c>
    </row>
    <row r="8" spans="1:12" x14ac:dyDescent="0.3">
      <c r="D8">
        <f t="shared" si="6"/>
        <v>7</v>
      </c>
      <c r="E8" s="2">
        <f t="shared" si="7"/>
        <v>44832</v>
      </c>
      <c r="F8" s="2">
        <v>45013</v>
      </c>
      <c r="G8">
        <f t="shared" ca="1" si="0"/>
        <v>1069</v>
      </c>
      <c r="H8" s="5">
        <f t="shared" si="1"/>
        <v>2.0750000000000002</v>
      </c>
      <c r="I8">
        <f t="shared" ca="1" si="2"/>
        <v>0.91482489153863</v>
      </c>
      <c r="J8">
        <f t="shared" ca="1" si="3"/>
        <v>0.98033392317098744</v>
      </c>
      <c r="K8">
        <f t="shared" si="4"/>
        <v>0.90542179677501655</v>
      </c>
      <c r="L8" s="4">
        <f t="shared" si="5"/>
        <v>9.4578203224983448E-2</v>
      </c>
    </row>
    <row r="9" spans="1:12" x14ac:dyDescent="0.3">
      <c r="A9" t="s">
        <v>40</v>
      </c>
      <c r="B9">
        <f ca="1">SUMPRODUCT(H2:H16,I2:I16)</f>
        <v>107.17657717899971</v>
      </c>
      <c r="D9">
        <f t="shared" si="6"/>
        <v>8</v>
      </c>
      <c r="E9" s="2">
        <f t="shared" si="7"/>
        <v>45013</v>
      </c>
      <c r="F9" s="2">
        <v>45197</v>
      </c>
      <c r="G9">
        <f t="shared" ca="1" si="0"/>
        <v>1249</v>
      </c>
      <c r="H9" s="5">
        <f t="shared" si="1"/>
        <v>2.0750000000000002</v>
      </c>
      <c r="I9">
        <f t="shared" ca="1" si="2"/>
        <v>0.90121413829048247</v>
      </c>
      <c r="J9">
        <f t="shared" ca="1" si="3"/>
        <v>0.97706076959285149</v>
      </c>
      <c r="K9">
        <f t="shared" si="4"/>
        <v>0.8926614801842645</v>
      </c>
      <c r="L9" s="4">
        <f t="shared" si="5"/>
        <v>0.1073385198157355</v>
      </c>
    </row>
    <row r="10" spans="1:12" x14ac:dyDescent="0.3">
      <c r="A10" t="s">
        <v>41</v>
      </c>
      <c r="B10">
        <f ca="1">H2*((180-G2)/180)</f>
        <v>2.2018055555555556</v>
      </c>
      <c r="D10">
        <f t="shared" si="6"/>
        <v>9</v>
      </c>
      <c r="E10" s="2">
        <f t="shared" si="7"/>
        <v>45197</v>
      </c>
      <c r="F10" s="2">
        <v>45379</v>
      </c>
      <c r="G10">
        <f t="shared" ca="1" si="0"/>
        <v>1429</v>
      </c>
      <c r="H10" s="5">
        <f t="shared" si="1"/>
        <v>2.0750000000000002</v>
      </c>
      <c r="I10">
        <f t="shared" ca="1" si="2"/>
        <v>0.88780588565824015</v>
      </c>
      <c r="J10">
        <f t="shared" ca="1" si="3"/>
        <v>0.97379854446888081</v>
      </c>
      <c r="K10">
        <f t="shared" si="4"/>
        <v>0.88008099765546699</v>
      </c>
      <c r="L10" s="4">
        <f t="shared" si="5"/>
        <v>0.11991900234453301</v>
      </c>
    </row>
    <row r="11" spans="1:12" x14ac:dyDescent="0.3">
      <c r="A11" t="s">
        <v>42</v>
      </c>
      <c r="B11">
        <f ca="1">B9-B10</f>
        <v>104.97477162344416</v>
      </c>
      <c r="D11">
        <f t="shared" si="6"/>
        <v>10</v>
      </c>
      <c r="E11" s="2">
        <f t="shared" si="7"/>
        <v>45379</v>
      </c>
      <c r="F11" s="2">
        <v>45563</v>
      </c>
      <c r="G11">
        <f t="shared" ca="1" si="0"/>
        <v>1609</v>
      </c>
      <c r="H11" s="5">
        <f t="shared" si="1"/>
        <v>2.0750000000000002</v>
      </c>
      <c r="I11">
        <f t="shared" ca="1" si="2"/>
        <v>0.87459712084028229</v>
      </c>
      <c r="J11">
        <f t="shared" ca="1" si="3"/>
        <v>0.97054721131098909</v>
      </c>
      <c r="K11">
        <f t="shared" si="4"/>
        <v>0.86767781474603323</v>
      </c>
      <c r="L11" s="4">
        <f t="shared" si="5"/>
        <v>0.13232218525396677</v>
      </c>
    </row>
    <row r="12" spans="1:12" x14ac:dyDescent="0.3">
      <c r="D12">
        <f t="shared" si="6"/>
        <v>11</v>
      </c>
      <c r="E12" s="2">
        <f t="shared" si="7"/>
        <v>45563</v>
      </c>
      <c r="F12" s="2">
        <v>45744</v>
      </c>
      <c r="G12">
        <f t="shared" ca="1" si="0"/>
        <v>1789</v>
      </c>
      <c r="H12" s="5">
        <f t="shared" si="1"/>
        <v>2.0750000000000002</v>
      </c>
      <c r="I12">
        <f t="shared" ca="1" si="2"/>
        <v>0.86158487585941346</v>
      </c>
      <c r="J12">
        <f t="shared" ca="1" si="3"/>
        <v>0.96730673375291676</v>
      </c>
      <c r="K12">
        <f t="shared" si="4"/>
        <v>0.85544943273185192</v>
      </c>
      <c r="L12" s="4">
        <f t="shared" si="5"/>
        <v>0.14455056726814808</v>
      </c>
    </row>
    <row r="13" spans="1:12" x14ac:dyDescent="0.3">
      <c r="A13" t="s">
        <v>43</v>
      </c>
      <c r="B13" s="6">
        <v>0.25</v>
      </c>
      <c r="D13">
        <f t="shared" si="6"/>
        <v>12</v>
      </c>
      <c r="E13" s="2">
        <f t="shared" si="7"/>
        <v>45744</v>
      </c>
      <c r="F13" s="2">
        <v>45928</v>
      </c>
      <c r="G13">
        <f t="shared" ca="1" si="0"/>
        <v>1969</v>
      </c>
      <c r="H13" s="5">
        <f t="shared" si="1"/>
        <v>2.0750000000000002</v>
      </c>
      <c r="I13">
        <f t="shared" ca="1" si="2"/>
        <v>0.84876622689596526</v>
      </c>
      <c r="J13">
        <f t="shared" ca="1" si="3"/>
        <v>0.96407707554982491</v>
      </c>
      <c r="K13">
        <f t="shared" si="4"/>
        <v>0.84339338810390252</v>
      </c>
      <c r="L13" s="4">
        <f t="shared" si="5"/>
        <v>0.15660661189609748</v>
      </c>
    </row>
    <row r="14" spans="1:12" x14ac:dyDescent="0.3">
      <c r="A14" t="s">
        <v>44</v>
      </c>
      <c r="B14" s="7">
        <v>1.4093228853339381E-2</v>
      </c>
      <c r="D14">
        <f t="shared" si="6"/>
        <v>13</v>
      </c>
      <c r="E14" s="2">
        <f t="shared" si="7"/>
        <v>45928</v>
      </c>
      <c r="F14" s="2">
        <v>46109</v>
      </c>
      <c r="G14">
        <f t="shared" ca="1" si="0"/>
        <v>2149</v>
      </c>
      <c r="H14" s="5">
        <f t="shared" si="1"/>
        <v>2.0750000000000002</v>
      </c>
      <c r="I14">
        <f t="shared" ca="1" si="2"/>
        <v>0.83613829363082137</v>
      </c>
      <c r="J14">
        <f t="shared" ca="1" si="3"/>
        <v>0.96085820057788895</v>
      </c>
      <c r="K14">
        <f t="shared" si="4"/>
        <v>0.83150725207196097</v>
      </c>
      <c r="L14" s="4">
        <f t="shared" si="5"/>
        <v>0.16849274792803903</v>
      </c>
    </row>
    <row r="15" spans="1:12" x14ac:dyDescent="0.3">
      <c r="A15" t="s">
        <v>45</v>
      </c>
      <c r="B15" s="7">
        <v>6.7000000000000002E-3</v>
      </c>
      <c r="D15">
        <f t="shared" si="6"/>
        <v>14</v>
      </c>
      <c r="E15" s="2">
        <f t="shared" si="7"/>
        <v>46109</v>
      </c>
      <c r="F15" s="2">
        <v>46293</v>
      </c>
      <c r="G15">
        <f t="shared" ca="1" si="0"/>
        <v>2329</v>
      </c>
      <c r="H15" s="5">
        <f t="shared" si="1"/>
        <v>2.0750000000000002</v>
      </c>
      <c r="I15">
        <f t="shared" ca="1" si="2"/>
        <v>0.82369823859821767</v>
      </c>
      <c r="J15">
        <f t="shared" ca="1" si="3"/>
        <v>0.95765007283389547</v>
      </c>
      <c r="K15">
        <f t="shared" si="4"/>
        <v>0.81978863007529934</v>
      </c>
      <c r="L15" s="4">
        <f t="shared" si="5"/>
        <v>0.18021136992470066</v>
      </c>
    </row>
    <row r="16" spans="1:12" x14ac:dyDescent="0.3">
      <c r="D16">
        <f t="shared" si="6"/>
        <v>15</v>
      </c>
      <c r="E16" s="2">
        <f t="shared" si="7"/>
        <v>46293</v>
      </c>
      <c r="F16" s="2">
        <v>46474</v>
      </c>
      <c r="G16">
        <f t="shared" ca="1" si="0"/>
        <v>2509</v>
      </c>
      <c r="H16" s="5">
        <f>$B$3*$B$5/2+$B$3</f>
        <v>102.075</v>
      </c>
      <c r="I16">
        <f t="shared" ca="1" si="2"/>
        <v>0.81144326654816967</v>
      </c>
      <c r="J16">
        <f t="shared" ca="1" si="3"/>
        <v>0.95445265643483879</v>
      </c>
      <c r="K16">
        <f t="shared" si="4"/>
        <v>0.80823516130028261</v>
      </c>
      <c r="L16" s="4">
        <f t="shared" si="5"/>
        <v>0.19176483869971739</v>
      </c>
    </row>
    <row r="17" spans="1:2" x14ac:dyDescent="0.3">
      <c r="A17" t="s">
        <v>47</v>
      </c>
      <c r="B17">
        <f ca="1">SUMPRODUCT(H2:H16,K2:K16,J2:J16)+B3*B13*B14*SUMPRODUCT(K1:K15,J2:J16)</f>
        <v>106.65716758866425</v>
      </c>
    </row>
    <row r="18" spans="1:2" x14ac:dyDescent="0.3">
      <c r="A18" t="s">
        <v>48</v>
      </c>
      <c r="B18" s="8">
        <f ca="1">(B9-B17)*10000</f>
        <v>5194.0959033545651</v>
      </c>
    </row>
    <row r="20" spans="1:2" x14ac:dyDescent="0.3">
      <c r="A20" t="s">
        <v>51</v>
      </c>
      <c r="B20" s="4">
        <f>1-(1-$B$14)^(90/180)</f>
        <v>7.0716183194979854E-3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prob PEMEX</vt:lpstr>
      <vt:lpstr>prob 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labfin</dc:creator>
  <cp:lastModifiedBy>Fernando García Rodríguez</cp:lastModifiedBy>
  <dcterms:created xsi:type="dcterms:W3CDTF">2020-03-12T01:23:22Z</dcterms:created>
  <dcterms:modified xsi:type="dcterms:W3CDTF">2020-04-10T04:33:15Z</dcterms:modified>
</cp:coreProperties>
</file>