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D:\Users\Freider.Delacruz\Downloads\"/>
    </mc:Choice>
  </mc:AlternateContent>
  <xr:revisionPtr revIDLastSave="0" documentId="13_ncr:1_{2D36A11D-2A84-4248-A772-EB18736B6E02}" xr6:coauthVersionLast="47" xr6:coauthVersionMax="47" xr10:uidLastSave="{00000000-0000-0000-0000-000000000000}"/>
  <bookViews>
    <workbookView showVerticalScroll="0" showSheetTabs="0" xWindow="-120" yWindow="-120" windowWidth="29040" windowHeight="15720" tabRatio="917" activeTab="19" xr2:uid="{00000000-000D-0000-FFFF-FFFF00000000}"/>
  </bookViews>
  <sheets>
    <sheet name="menu" sheetId="23" r:id="rId1"/>
    <sheet name="- A -" sheetId="1" r:id="rId2"/>
    <sheet name="- B -" sheetId="4" r:id="rId3"/>
    <sheet name="- C -" sheetId="6" r:id="rId4"/>
    <sheet name="- D -" sheetId="8" r:id="rId5"/>
    <sheet name="- E -" sheetId="11" r:id="rId6"/>
    <sheet name="- F -" sheetId="12" r:id="rId7"/>
    <sheet name="- G -" sheetId="14" r:id="rId8"/>
    <sheet name="- H -" sheetId="16" r:id="rId9"/>
    <sheet name="- I -" sheetId="27" r:id="rId10"/>
    <sheet name="- J -" sheetId="29" r:id="rId11"/>
    <sheet name="- K -" sheetId="31" r:id="rId12"/>
    <sheet name="- L -" sheetId="33" r:id="rId13"/>
    <sheet name="- 3ros -" sheetId="37" r:id="rId14"/>
    <sheet name="16vos de Final" sheetId="36" r:id="rId15"/>
    <sheet name="Octavos de Final" sheetId="19" r:id="rId16"/>
    <sheet name="Cuartos de Final" sheetId="20" r:id="rId17"/>
    <sheet name="Semifinal" sheetId="21" r:id="rId18"/>
    <sheet name="FINAL" sheetId="22" r:id="rId19"/>
    <sheet name="Resumen" sheetId="25" r:id="rId20"/>
    <sheet name="Hoja1" sheetId="26" state="hidden" r:id="rId21"/>
    <sheet name="mejores3" sheetId="35" state="hidden" r:id="rId22"/>
    <sheet name="calculoA" sheetId="3" state="hidden" r:id="rId23"/>
    <sheet name="calculoB" sheetId="5" state="hidden" r:id="rId24"/>
    <sheet name="calculoC" sheetId="7" state="hidden" r:id="rId25"/>
    <sheet name="calculoD" sheetId="9" state="hidden" r:id="rId26"/>
    <sheet name="calculoE" sheetId="10" state="hidden" r:id="rId27"/>
    <sheet name="calculoF" sheetId="13" state="hidden" r:id="rId28"/>
    <sheet name="calculoG" sheetId="15" state="hidden" r:id="rId29"/>
    <sheet name="calculoH" sheetId="17" state="hidden" r:id="rId30"/>
    <sheet name="calculoI" sheetId="28" state="hidden" r:id="rId31"/>
    <sheet name="calculoJ" sheetId="30" state="hidden" r:id="rId32"/>
    <sheet name="calculoK" sheetId="32" state="hidden" r:id="rId33"/>
    <sheet name="calculoL" sheetId="34" state="hidden" r:id="rId34"/>
  </sheets>
  <definedNames>
    <definedName name="_xlnm._FilterDatabase" localSheetId="21" hidden="1">mejores3!$X$19:$X$514</definedName>
    <definedName name="bandera">INDEX(Hoja1!$D$6:$E$56,MATCH(FINAL!$Q$16,Hoja1!$D$6:$D$56,0),2)</definedName>
    <definedName name="CFcuatro">INDEX(Hoja1!$D$6:$E$120,MATCH('Cuartos de Final'!$K$19,Hoja1!$D$6:$D$120,0),2)</definedName>
    <definedName name="CFdos">INDEX(Hoja1!$D$6:$E$120,MATCH('Cuartos de Final'!$K$11,Hoja1!$D$6:$D$120,0),2)</definedName>
    <definedName name="CFtres">INDEX(Hoja1!$D$6:$E$120,MATCH('Cuartos de Final'!$K$15,Hoja1!$D$6:$D$120,0),2)</definedName>
    <definedName name="CFuno">INDEX(Hoja1!$D$6:$E$120,MATCH('Cuartos de Final'!$K$7,Hoja1!$D$6:$D$120,0),2)</definedName>
    <definedName name="copa">INDEX(Hoja1!$A$2:$B$5,MATCH(FINAL!$P$16,Hoja1!$A$2:$A$5,0),2)</definedName>
    <definedName name="dcatorce">INDEX(Hoja1!$D$6:$E$120,MATCH('16vos de Final'!$K$59,Hoja1!$D$6:$D$120,0),2)</definedName>
    <definedName name="ddiesies">INDEX(Hoja1!$D$6:$E$120,MATCH('16vos de Final'!$K$67,Hoja1!$D$6:$D$120,0),2)</definedName>
    <definedName name="ddiez">INDEX(Hoja1!$D$6:$E$120,MATCH('16vos de Final'!$K$43,Hoja1!$D$6:$D$120,0),2)</definedName>
    <definedName name="ddoce">INDEX(Hoja1!$D$6:$E$120,MATCH('16vos de Final'!$K$51,Hoja1!$D$6:$D$120,0),2)</definedName>
    <definedName name="donce">INDEX(Hoja1!$D$6:$E$120,MATCH('16vos de Final'!$K$47,Hoja1!$D$6:$D$120,0),2)</definedName>
    <definedName name="dquince">INDEX(Hoja1!$D$6:$E$120,MATCH('16vos de Final'!$K$63,Hoja1!$D$6:$D$120,0),2)</definedName>
    <definedName name="dtrece">INDEX(Hoja1!$D$6:$E$120,MATCH('16vos de Final'!$K$55,Hoja1!$D$6:$D$120,0),2)</definedName>
    <definedName name="OFcinco" localSheetId="14">INDEX(Hoja1!$D$6:$E$120,MATCH('16vos de Final'!$K$23,Hoja1!$D$6:$D$120,0),2)</definedName>
    <definedName name="OFcinco">INDEX(Hoja1!$D$6:$E$120,MATCH('Octavos de Final'!$K$23,Hoja1!$D$6:$D$120,0),2)</definedName>
    <definedName name="OFcuatro" localSheetId="14">INDEX(Hoja1!$D$6:$E$120,MATCH('16vos de Final'!$K$19,Hoja1!$D$6:$D$120,0),2)</definedName>
    <definedName name="OFcuatro">INDEX(Hoja1!$D$6:$E$120,MATCH('Octavos de Final'!$K$19,Hoja1!$D$6:$D$120,0),2)</definedName>
    <definedName name="OFdos" localSheetId="14">INDEX(Hoja1!$D$6:$E$120,MATCH('16vos de Final'!$K$11,Hoja1!$D$6:$D$120,0),2)</definedName>
    <definedName name="OFdos">INDEX(Hoja1!$D$6:$E$120,MATCH('Octavos de Final'!$K$11,Hoja1!$D$6:$D$120,0),2)</definedName>
    <definedName name="ofnueve">INDEX(Hoja1!$D$6:$E$120,MATCH('16vos de Final'!$K$39,Hoja1!$D$6:$D$120,0),2)</definedName>
    <definedName name="OFocho" localSheetId="14">INDEX(Hoja1!$D$6:$E$120,MATCH('16vos de Final'!$K$35,Hoja1!$D$6:$D$120,0),2)</definedName>
    <definedName name="OFocho">INDEX(Hoja1!$D$6:$E$120,MATCH('Octavos de Final'!$K$35,Hoja1!$D$6:$D$120,0),2)</definedName>
    <definedName name="OFseis" localSheetId="14">INDEX(Hoja1!$D$6:$E$120,MATCH('16vos de Final'!$K$27,Hoja1!$D$6:$D$120,0),2)</definedName>
    <definedName name="OFseis">INDEX(Hoja1!$D$6:$E$120,MATCH('Octavos de Final'!$K$27,Hoja1!$D$6:$D$120,0),2)</definedName>
    <definedName name="OFsiete" localSheetId="14">INDEX(Hoja1!$D$6:$E$120,MATCH('16vos de Final'!$K$31,Hoja1!$D$6:$D$120,0),2)</definedName>
    <definedName name="OFsiete">INDEX(Hoja1!$D$6:$E$120,MATCH('Octavos de Final'!$K$31,Hoja1!$D$6:$D$120,0),2)</definedName>
    <definedName name="OFtres" localSheetId="14">INDEX(Hoja1!$D$6:$E$120,MATCH('16vos de Final'!$K$15,Hoja1!$D$6:$D$120,0),2)</definedName>
    <definedName name="OFtres">INDEX(Hoja1!$D$6:$E$120,MATCH('Octavos de Final'!$K$15,Hoja1!$D$6:$D$120,0),2)</definedName>
    <definedName name="OFuno" localSheetId="14">INDEX(Hoja1!$D$6:$E$120,MATCH('16vos de Final'!$K$7,Hoja1!$D$6:$D$120,0),2)</definedName>
    <definedName name="OFuno">INDEX(Hoja1!$D$6:$E$120,MATCH('Octavos de Final'!$K$7,Hoja1!$D$6:$D$120,0),2)</definedName>
    <definedName name="_xlnm.Print_Area" localSheetId="13">'- 3ros -'!$A$1:$V$37</definedName>
    <definedName name="_xlnm.Print_Area" localSheetId="8">'- H -'!$A$1:$V$29</definedName>
    <definedName name="_xlnm.Print_Area" localSheetId="9">'- I -'!$A$1:$V$29</definedName>
    <definedName name="_xlnm.Print_Area" localSheetId="10">'- J -'!$A$1:$V$29</definedName>
    <definedName name="_xlnm.Print_Area" localSheetId="11">'- K -'!$A$1:$V$29</definedName>
    <definedName name="_xlnm.Print_Area" localSheetId="12">'- L -'!$A$1:$V$29</definedName>
    <definedName name="_xlnm.Print_Area" localSheetId="14">'16vos de Final'!$A$1:$P$69</definedName>
    <definedName name="_xlnm.Print_Area" localSheetId="16">'Cuartos de Final'!$A$1:$P$30</definedName>
    <definedName name="_xlnm.Print_Area" localSheetId="18">FINAL!$A$1:$P$30</definedName>
    <definedName name="_xlnm.Print_Area" localSheetId="0">menu!$A$1:$N$59</definedName>
    <definedName name="_xlnm.Print_Area" localSheetId="15">'Octavos de Final'!$A$1:$P$37</definedName>
    <definedName name="_xlnm.Print_Area" localSheetId="19">Resumen!$A$1:$AP$60</definedName>
    <definedName name="_xlnm.Print_Area" localSheetId="17">Semifinal!$A$1:$P$29</definedName>
    <definedName name="SFdos">INDEX(Hoja1!$D$6:$E$120,MATCH(Semifinal!$K$11,Hoja1!$D$6:$D$120,0),2)</definedName>
    <definedName name="SFuno">INDEX(Hoja1!$D$6:$E$120,MATCH(Semifinal!$K$7,Hoja1!$D$6:$D$120,0),2)</definedName>
    <definedName name="TITULO">INDEX(Hoja1!$G$57:$H$60,MATCH(FINAL!$P$16,Hoja1!$G$57:$G$60,0),2)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8" i="19" l="1"/>
  <c r="C71" i="36"/>
  <c r="N2" i="32"/>
  <c r="G2" i="32"/>
  <c r="U2" i="28"/>
  <c r="N2" i="28"/>
  <c r="G2" i="28"/>
  <c r="AB2" i="13"/>
  <c r="U2" i="13"/>
  <c r="AB2" i="5"/>
  <c r="N2" i="5"/>
  <c r="N2" i="3"/>
  <c r="G2" i="3"/>
  <c r="D4" i="25"/>
  <c r="D2" i="25" l="1"/>
  <c r="T38" i="25" l="1"/>
  <c r="R38" i="25"/>
  <c r="K27" i="25"/>
  <c r="D27" i="25"/>
  <c r="F27" i="25"/>
  <c r="AA23" i="25" l="1"/>
  <c r="Y23" i="25"/>
  <c r="AA22" i="25"/>
  <c r="Y22" i="25"/>
  <c r="M23" i="25"/>
  <c r="K23" i="25"/>
  <c r="M22" i="25"/>
  <c r="K22" i="25"/>
  <c r="AH23" i="25"/>
  <c r="AF23" i="25"/>
  <c r="AH22" i="25"/>
  <c r="AF22" i="25"/>
  <c r="AO23" i="25"/>
  <c r="AM23" i="25"/>
  <c r="AO22" i="25"/>
  <c r="AM22" i="25"/>
  <c r="F23" i="25"/>
  <c r="D23" i="25"/>
  <c r="F22" i="25"/>
  <c r="D22" i="25"/>
  <c r="T23" i="25" l="1"/>
  <c r="R23" i="25"/>
  <c r="T22" i="25"/>
  <c r="R22" i="25"/>
  <c r="AA14" i="25"/>
  <c r="Y14" i="25"/>
  <c r="AA13" i="25"/>
  <c r="Y13" i="25"/>
  <c r="AO14" i="25"/>
  <c r="AM14" i="25"/>
  <c r="AO13" i="25"/>
  <c r="AM13" i="25"/>
  <c r="AH14" i="25"/>
  <c r="AF14" i="25"/>
  <c r="AH13" i="25"/>
  <c r="AF13" i="25"/>
  <c r="F14" i="25"/>
  <c r="D14" i="25"/>
  <c r="F13" i="25"/>
  <c r="D13" i="25"/>
  <c r="T14" i="25"/>
  <c r="R14" i="25"/>
  <c r="T13" i="25"/>
  <c r="R13" i="25"/>
  <c r="M14" i="25"/>
  <c r="K14" i="25"/>
  <c r="M13" i="25"/>
  <c r="K13" i="25"/>
  <c r="AO21" i="25"/>
  <c r="AM21" i="25"/>
  <c r="AO20" i="25"/>
  <c r="AM20" i="25"/>
  <c r="AH21" i="25"/>
  <c r="AF21" i="25"/>
  <c r="AH20" i="25"/>
  <c r="AF20" i="25"/>
  <c r="AA21" i="25"/>
  <c r="Y21" i="25"/>
  <c r="AA20" i="25"/>
  <c r="Y20" i="25"/>
  <c r="T21" i="25"/>
  <c r="R21" i="25"/>
  <c r="T20" i="25"/>
  <c r="R20" i="25"/>
  <c r="M21" i="25"/>
  <c r="K21" i="25"/>
  <c r="K20" i="25"/>
  <c r="D21" i="25"/>
  <c r="F20" i="25"/>
  <c r="D20" i="25"/>
  <c r="AM12" i="25"/>
  <c r="AO11" i="25"/>
  <c r="AM11" i="25"/>
  <c r="AH12" i="25"/>
  <c r="AF12" i="25"/>
  <c r="AF11" i="25"/>
  <c r="Y12" i="25"/>
  <c r="AA11" i="25"/>
  <c r="Y11" i="25"/>
  <c r="R12" i="25"/>
  <c r="T12" i="25"/>
  <c r="T11" i="25"/>
  <c r="R11" i="25"/>
  <c r="M12" i="25"/>
  <c r="K12" i="25"/>
  <c r="M11" i="25"/>
  <c r="K11" i="25"/>
  <c r="F12" i="25"/>
  <c r="D12" i="25"/>
  <c r="S12" i="25" l="1"/>
  <c r="Z11" i="25"/>
  <c r="AO19" i="25" l="1"/>
  <c r="AM19" i="25"/>
  <c r="AO18" i="25"/>
  <c r="AM18" i="25"/>
  <c r="AH19" i="25"/>
  <c r="AF19" i="25"/>
  <c r="AH18" i="25"/>
  <c r="AF18" i="25"/>
  <c r="AA19" i="25"/>
  <c r="Y19" i="25"/>
  <c r="AA18" i="25"/>
  <c r="Y18" i="25"/>
  <c r="T19" i="25"/>
  <c r="R19" i="25"/>
  <c r="T18" i="25"/>
  <c r="R18" i="25"/>
  <c r="F59" i="25" l="1"/>
  <c r="D59" i="25"/>
  <c r="F58" i="25"/>
  <c r="D58" i="25"/>
  <c r="F55" i="25"/>
  <c r="D55" i="25"/>
  <c r="F54" i="25"/>
  <c r="D54" i="25"/>
  <c r="F50" i="25"/>
  <c r="D50" i="25"/>
  <c r="F49" i="25"/>
  <c r="D49" i="25"/>
  <c r="F46" i="25"/>
  <c r="D46" i="25"/>
  <c r="F45" i="25"/>
  <c r="D45" i="25"/>
  <c r="F41" i="25"/>
  <c r="D41" i="25"/>
  <c r="F40" i="25"/>
  <c r="D40" i="25"/>
  <c r="F37" i="25"/>
  <c r="D37" i="25"/>
  <c r="F36" i="25"/>
  <c r="D36" i="25"/>
  <c r="F32" i="25"/>
  <c r="D32" i="25"/>
  <c r="F31" i="25"/>
  <c r="D31" i="25"/>
  <c r="F28" i="25"/>
  <c r="D28" i="25"/>
  <c r="D96" i="25" l="1"/>
  <c r="F79" i="25"/>
  <c r="F96" i="25"/>
  <c r="D79" i="25"/>
  <c r="F76" i="25"/>
  <c r="D93" i="25"/>
  <c r="F93" i="25"/>
  <c r="D76" i="25"/>
  <c r="D94" i="25"/>
  <c r="F77" i="25"/>
  <c r="F94" i="25"/>
  <c r="D77" i="25"/>
  <c r="F78" i="25"/>
  <c r="D95" i="25"/>
  <c r="F95" i="25"/>
  <c r="D78" i="25"/>
  <c r="F68" i="25"/>
  <c r="D85" i="25"/>
  <c r="D68" i="25"/>
  <c r="F85" i="25"/>
  <c r="F69" i="25"/>
  <c r="D86" i="25"/>
  <c r="F86" i="25"/>
  <c r="D69" i="25"/>
  <c r="D87" i="25"/>
  <c r="F70" i="25"/>
  <c r="D70" i="25"/>
  <c r="F87" i="25"/>
  <c r="D88" i="25"/>
  <c r="F71" i="25"/>
  <c r="F88" i="25"/>
  <c r="D71" i="25"/>
  <c r="F75" i="25"/>
  <c r="D92" i="25"/>
  <c r="D75" i="25"/>
  <c r="F92" i="25"/>
  <c r="D74" i="25"/>
  <c r="F91" i="25"/>
  <c r="D91" i="25"/>
  <c r="F74" i="25"/>
  <c r="F67" i="25"/>
  <c r="D84" i="25"/>
  <c r="D67" i="25"/>
  <c r="F84" i="25"/>
  <c r="D90" i="25"/>
  <c r="F73" i="25"/>
  <c r="F90" i="25"/>
  <c r="D73" i="25"/>
  <c r="D65" i="25"/>
  <c r="F82" i="25"/>
  <c r="F65" i="25"/>
  <c r="D82" i="25"/>
  <c r="D83" i="25"/>
  <c r="F66" i="25"/>
  <c r="D66" i="25"/>
  <c r="F83" i="25"/>
  <c r="D89" i="25"/>
  <c r="F72" i="25"/>
  <c r="F89" i="25"/>
  <c r="D72" i="25"/>
  <c r="D64" i="25"/>
  <c r="F81" i="25"/>
  <c r="D81" i="25"/>
  <c r="F64" i="25"/>
  <c r="AG23" i="25"/>
  <c r="Z23" i="25"/>
  <c r="Z21" i="25"/>
  <c r="S18" i="25"/>
  <c r="S32" i="37"/>
  <c r="S33" i="37" s="1"/>
  <c r="R32" i="37"/>
  <c r="B9" i="37"/>
  <c r="S23" i="25" l="1"/>
  <c r="AG19" i="25"/>
  <c r="AN19" i="25"/>
  <c r="S22" i="25"/>
  <c r="Z22" i="25"/>
  <c r="AN22" i="25"/>
  <c r="AG20" i="25"/>
  <c r="AN20" i="25"/>
  <c r="Z19" i="25"/>
  <c r="AN18" i="25"/>
  <c r="S20" i="25"/>
  <c r="Z20" i="25"/>
  <c r="S21" i="25"/>
  <c r="S19" i="25"/>
  <c r="AG18" i="25"/>
  <c r="AN21" i="25"/>
  <c r="Z18" i="25"/>
  <c r="AN23" i="25"/>
  <c r="AG22" i="25"/>
  <c r="AG21" i="25"/>
  <c r="B11" i="37"/>
  <c r="B8" i="37"/>
  <c r="B10" i="37"/>
  <c r="B7" i="37"/>
  <c r="B6" i="37"/>
  <c r="R33" i="37"/>
  <c r="S34" i="37" s="1"/>
  <c r="AP17" i="35" l="1"/>
  <c r="AQ17" i="35" s="1"/>
  <c r="AR17" i="35" s="1"/>
  <c r="AS17" i="35" s="1"/>
  <c r="AT17" i="35" s="1"/>
  <c r="AU17" i="35" s="1"/>
  <c r="AV17" i="35" s="1"/>
  <c r="N4" i="36" l="1"/>
  <c r="M4" i="36"/>
  <c r="A22" i="35"/>
  <c r="A23" i="35" s="1"/>
  <c r="A24" i="35" s="1"/>
  <c r="A25" i="35" s="1"/>
  <c r="A26" i="35" s="1"/>
  <c r="A27" i="35" s="1"/>
  <c r="A28" i="35" s="1"/>
  <c r="A29" i="35" s="1"/>
  <c r="G11" i="29"/>
  <c r="AB23" i="25" s="1"/>
  <c r="C11" i="29"/>
  <c r="G10" i="29"/>
  <c r="C10" i="29"/>
  <c r="X22" i="25" s="1"/>
  <c r="C11" i="31"/>
  <c r="G10" i="31"/>
  <c r="G11" i="16"/>
  <c r="C11" i="16"/>
  <c r="G10" i="16"/>
  <c r="C10" i="16"/>
  <c r="G11" i="27"/>
  <c r="C11" i="27"/>
  <c r="G10" i="27"/>
  <c r="G11" i="8"/>
  <c r="C11" i="8"/>
  <c r="C10" i="8"/>
  <c r="C11" i="12"/>
  <c r="G10" i="12"/>
  <c r="G11" i="11"/>
  <c r="G10" i="11"/>
  <c r="C10" i="11"/>
  <c r="G11" i="4"/>
  <c r="C11" i="4"/>
  <c r="C10" i="4"/>
  <c r="G9" i="31"/>
  <c r="AI21" i="25" s="1"/>
  <c r="C9" i="31"/>
  <c r="G9" i="33"/>
  <c r="C9" i="33"/>
  <c r="AL21" i="25" s="1"/>
  <c r="G8" i="33"/>
  <c r="AP20" i="25" s="1"/>
  <c r="C8" i="33"/>
  <c r="G8" i="31"/>
  <c r="AI20" i="25" s="1"/>
  <c r="C8" i="31"/>
  <c r="G9" i="29"/>
  <c r="AB21" i="25" s="1"/>
  <c r="C9" i="29"/>
  <c r="C9" i="27"/>
  <c r="Q21" i="25" s="1"/>
  <c r="G8" i="27"/>
  <c r="U20" i="25" s="1"/>
  <c r="C8" i="27"/>
  <c r="G8" i="29"/>
  <c r="C8" i="29"/>
  <c r="G9" i="14"/>
  <c r="C9" i="14"/>
  <c r="G9" i="16"/>
  <c r="C9" i="16"/>
  <c r="G8" i="14"/>
  <c r="C8" i="14"/>
  <c r="G8" i="16"/>
  <c r="C8" i="16"/>
  <c r="C9" i="12"/>
  <c r="C9" i="11"/>
  <c r="G8" i="11"/>
  <c r="C8" i="11"/>
  <c r="G8" i="12"/>
  <c r="C9" i="8"/>
  <c r="G8" i="8"/>
  <c r="C8" i="8"/>
  <c r="G9" i="1"/>
  <c r="C9" i="1"/>
  <c r="G9" i="4"/>
  <c r="G8" i="4"/>
  <c r="C8" i="4"/>
  <c r="G8" i="1"/>
  <c r="C8" i="1"/>
  <c r="G7" i="31"/>
  <c r="C7" i="31"/>
  <c r="G7" i="33"/>
  <c r="C7" i="33"/>
  <c r="G6" i="33"/>
  <c r="C6" i="33"/>
  <c r="G6" i="31"/>
  <c r="C6" i="31"/>
  <c r="G7" i="29"/>
  <c r="C7" i="29"/>
  <c r="X19" i="25" s="1"/>
  <c r="G6" i="29"/>
  <c r="C6" i="29"/>
  <c r="G7" i="27"/>
  <c r="G6" i="27"/>
  <c r="C6" i="27"/>
  <c r="G7" i="14"/>
  <c r="C7" i="14"/>
  <c r="G7" i="16"/>
  <c r="C7" i="16"/>
  <c r="G6" i="14"/>
  <c r="C6" i="14"/>
  <c r="G6" i="16"/>
  <c r="C6" i="16"/>
  <c r="G7" i="12"/>
  <c r="C7" i="12"/>
  <c r="C7" i="11"/>
  <c r="G6" i="12"/>
  <c r="C6" i="12"/>
  <c r="G6" i="11"/>
  <c r="C6" i="11"/>
  <c r="C7" i="8"/>
  <c r="G7" i="4"/>
  <c r="C7" i="4"/>
  <c r="G6" i="8"/>
  <c r="C6" i="8"/>
  <c r="G6" i="4"/>
  <c r="F9" i="34"/>
  <c r="D9" i="34"/>
  <c r="C9" i="34"/>
  <c r="B9" i="34"/>
  <c r="F8" i="34"/>
  <c r="D8" i="34"/>
  <c r="C8" i="34"/>
  <c r="B8" i="34"/>
  <c r="F7" i="34"/>
  <c r="D7" i="34"/>
  <c r="C7" i="34"/>
  <c r="B7" i="34"/>
  <c r="F6" i="34"/>
  <c r="D6" i="34"/>
  <c r="C6" i="34"/>
  <c r="B6" i="34"/>
  <c r="F5" i="34"/>
  <c r="D5" i="34"/>
  <c r="C5" i="34"/>
  <c r="B5" i="34"/>
  <c r="F4" i="34"/>
  <c r="D4" i="34"/>
  <c r="C4" i="34"/>
  <c r="B4" i="34"/>
  <c r="AB2" i="34"/>
  <c r="U2" i="34"/>
  <c r="F18" i="34" s="1"/>
  <c r="O18" i="34" s="1"/>
  <c r="N2" i="34"/>
  <c r="F17" i="34" s="1"/>
  <c r="G2" i="34"/>
  <c r="F16" i="34" s="1"/>
  <c r="S24" i="33"/>
  <c r="R24" i="33"/>
  <c r="M9" i="33" s="1"/>
  <c r="B9" i="33" s="1"/>
  <c r="C13" i="33"/>
  <c r="G11" i="33"/>
  <c r="C11" i="33"/>
  <c r="G10" i="33"/>
  <c r="C10" i="33"/>
  <c r="E6" i="34"/>
  <c r="F9" i="32"/>
  <c r="D9" i="32"/>
  <c r="C9" i="32"/>
  <c r="B9" i="32"/>
  <c r="F8" i="32"/>
  <c r="D8" i="32"/>
  <c r="C8" i="32"/>
  <c r="B8" i="32"/>
  <c r="F7" i="32"/>
  <c r="D7" i="32"/>
  <c r="C7" i="32"/>
  <c r="B7" i="32"/>
  <c r="F6" i="32"/>
  <c r="D6" i="32"/>
  <c r="C6" i="32"/>
  <c r="B6" i="32"/>
  <c r="F5" i="32"/>
  <c r="D5" i="32"/>
  <c r="C5" i="32"/>
  <c r="B5" i="32"/>
  <c r="F4" i="32"/>
  <c r="D4" i="32"/>
  <c r="C4" i="32"/>
  <c r="B4" i="32"/>
  <c r="AB2" i="32"/>
  <c r="F19" i="32" s="1"/>
  <c r="O19" i="32" s="1"/>
  <c r="U2" i="32"/>
  <c r="F18" i="32" s="1"/>
  <c r="O18" i="32" s="1"/>
  <c r="F17" i="32"/>
  <c r="F16" i="32"/>
  <c r="S24" i="31"/>
  <c r="S25" i="31" s="1"/>
  <c r="R24" i="31"/>
  <c r="M6" i="31" s="1"/>
  <c r="B6" i="31" s="1"/>
  <c r="C13" i="31"/>
  <c r="G11" i="31"/>
  <c r="C10" i="31"/>
  <c r="E6" i="32"/>
  <c r="F9" i="30"/>
  <c r="D9" i="30"/>
  <c r="C9" i="30"/>
  <c r="B9" i="30"/>
  <c r="F8" i="30"/>
  <c r="D8" i="30"/>
  <c r="C8" i="30"/>
  <c r="B8" i="30"/>
  <c r="A8" i="30"/>
  <c r="F7" i="30"/>
  <c r="D7" i="30"/>
  <c r="C7" i="30"/>
  <c r="B7" i="30"/>
  <c r="F6" i="30"/>
  <c r="D6" i="30"/>
  <c r="C6" i="30"/>
  <c r="B6" i="30"/>
  <c r="F5" i="30"/>
  <c r="D5" i="30"/>
  <c r="C5" i="30"/>
  <c r="B5" i="30"/>
  <c r="A5" i="30"/>
  <c r="F4" i="30"/>
  <c r="D4" i="30"/>
  <c r="C4" i="30"/>
  <c r="B4" i="30"/>
  <c r="AB2" i="30"/>
  <c r="F19" i="30" s="1"/>
  <c r="O19" i="30" s="1"/>
  <c r="U2" i="30"/>
  <c r="F18" i="30" s="1"/>
  <c r="O18" i="30" s="1"/>
  <c r="N2" i="30"/>
  <c r="G2" i="30"/>
  <c r="F16" i="30" s="1"/>
  <c r="S24" i="29"/>
  <c r="S25" i="29" s="1"/>
  <c r="R24" i="29"/>
  <c r="C13" i="29"/>
  <c r="E9" i="30"/>
  <c r="E7" i="30"/>
  <c r="F9" i="28"/>
  <c r="D9" i="28"/>
  <c r="C9" i="28"/>
  <c r="B9" i="28"/>
  <c r="F8" i="28"/>
  <c r="D8" i="28"/>
  <c r="C8" i="28"/>
  <c r="B8" i="28"/>
  <c r="F7" i="28"/>
  <c r="D7" i="28"/>
  <c r="C7" i="28"/>
  <c r="B7" i="28"/>
  <c r="F6" i="28"/>
  <c r="D6" i="28"/>
  <c r="C6" i="28"/>
  <c r="B6" i="28"/>
  <c r="F5" i="28"/>
  <c r="D5" i="28"/>
  <c r="C5" i="28"/>
  <c r="B5" i="28"/>
  <c r="F4" i="28"/>
  <c r="D4" i="28"/>
  <c r="C4" i="28"/>
  <c r="B4" i="28"/>
  <c r="AB2" i="28"/>
  <c r="F19" i="28" s="1"/>
  <c r="O19" i="28" s="1"/>
  <c r="F18" i="28"/>
  <c r="O18" i="28" s="1"/>
  <c r="F16" i="28"/>
  <c r="S24" i="27"/>
  <c r="R24" i="27"/>
  <c r="M9" i="27" s="1"/>
  <c r="B9" i="27" s="1"/>
  <c r="C13" i="27"/>
  <c r="C10" i="27"/>
  <c r="G9" i="27"/>
  <c r="A7" i="28"/>
  <c r="C7" i="27"/>
  <c r="G9" i="11"/>
  <c r="E5" i="28" l="1"/>
  <c r="U19" i="25"/>
  <c r="E7" i="34"/>
  <c r="AP21" i="25"/>
  <c r="A4" i="30"/>
  <c r="X18" i="25"/>
  <c r="A7" i="32"/>
  <c r="AE21" i="25"/>
  <c r="E4" i="30"/>
  <c r="AB18" i="25"/>
  <c r="A8" i="32"/>
  <c r="AN12" i="32" s="1"/>
  <c r="AE22" i="25"/>
  <c r="E5" i="30"/>
  <c r="O5" i="30" s="1"/>
  <c r="AB19" i="25"/>
  <c r="A6" i="30"/>
  <c r="Q6" i="30" s="1"/>
  <c r="X20" i="25"/>
  <c r="A7" i="34"/>
  <c r="E6" i="30"/>
  <c r="AB20" i="25"/>
  <c r="A8" i="28"/>
  <c r="Q22" i="25"/>
  <c r="E9" i="32"/>
  <c r="AI23" i="25"/>
  <c r="A8" i="34"/>
  <c r="Q8" i="34" s="1"/>
  <c r="AL22" i="25"/>
  <c r="E8" i="34"/>
  <c r="AP22" i="25"/>
  <c r="A4" i="34"/>
  <c r="L4" i="34" s="1"/>
  <c r="AL18" i="25"/>
  <c r="A9" i="34"/>
  <c r="AC9" i="34" s="1"/>
  <c r="AL23" i="25"/>
  <c r="E4" i="34"/>
  <c r="V4" i="34" s="1"/>
  <c r="AP18" i="25"/>
  <c r="E8" i="30"/>
  <c r="AB22" i="25"/>
  <c r="E9" i="34"/>
  <c r="AP23" i="25"/>
  <c r="A5" i="34"/>
  <c r="AO9" i="34" s="1"/>
  <c r="AL19" i="25"/>
  <c r="A7" i="30"/>
  <c r="V7" i="30" s="1"/>
  <c r="X21" i="25"/>
  <c r="A9" i="30"/>
  <c r="X23" i="25"/>
  <c r="E5" i="34"/>
  <c r="AN9" i="34" s="1"/>
  <c r="AP19" i="25"/>
  <c r="A5" i="32"/>
  <c r="K5" i="32" s="1"/>
  <c r="AE19" i="25"/>
  <c r="E5" i="32"/>
  <c r="AO3" i="32" s="1"/>
  <c r="AI19" i="25"/>
  <c r="A6" i="34"/>
  <c r="AL20" i="25"/>
  <c r="A6" i="32"/>
  <c r="AE20" i="25"/>
  <c r="E8" i="32"/>
  <c r="AI22" i="25"/>
  <c r="A4" i="32"/>
  <c r="AE18" i="25"/>
  <c r="E7" i="28"/>
  <c r="U21" i="25"/>
  <c r="E4" i="28"/>
  <c r="U18" i="25"/>
  <c r="A9" i="28"/>
  <c r="AN13" i="28" s="1"/>
  <c r="Q23" i="25"/>
  <c r="A4" i="28"/>
  <c r="K4" i="28" s="1"/>
  <c r="Q18" i="25"/>
  <c r="A6" i="28"/>
  <c r="Q20" i="25"/>
  <c r="E8" i="28"/>
  <c r="Z8" i="28" s="1"/>
  <c r="U22" i="25"/>
  <c r="E6" i="28"/>
  <c r="A5" i="28"/>
  <c r="AC5" i="28" s="1"/>
  <c r="Q19" i="25"/>
  <c r="E9" i="28"/>
  <c r="U23" i="25"/>
  <c r="E4" i="32"/>
  <c r="X4" i="32" s="1"/>
  <c r="AI18" i="25"/>
  <c r="A9" i="32"/>
  <c r="Y9" i="32" s="1"/>
  <c r="AE23" i="25"/>
  <c r="E7" i="32"/>
  <c r="Z7" i="32" s="1"/>
  <c r="A30" i="35"/>
  <c r="AO7" i="34"/>
  <c r="AO6" i="30"/>
  <c r="AO9" i="30"/>
  <c r="T22" i="36"/>
  <c r="S22" i="36"/>
  <c r="F67" i="36"/>
  <c r="F59" i="36"/>
  <c r="F63" i="36"/>
  <c r="F51" i="36"/>
  <c r="F55" i="36"/>
  <c r="F43" i="36"/>
  <c r="F47" i="36"/>
  <c r="F39" i="36"/>
  <c r="F35" i="36"/>
  <c r="AO2" i="30"/>
  <c r="F27" i="36"/>
  <c r="B27" i="36" s="1"/>
  <c r="F31" i="36"/>
  <c r="F15" i="36"/>
  <c r="B15" i="36" s="1"/>
  <c r="F19" i="36"/>
  <c r="F11" i="36"/>
  <c r="B11" i="36" s="1"/>
  <c r="AO6" i="34"/>
  <c r="AO8" i="30"/>
  <c r="AO12" i="34"/>
  <c r="AN12" i="34"/>
  <c r="AN5" i="34"/>
  <c r="AO13" i="34"/>
  <c r="AN3" i="34"/>
  <c r="AO3" i="34"/>
  <c r="V7" i="34"/>
  <c r="AC6" i="32"/>
  <c r="X8" i="32"/>
  <c r="AF6" i="30"/>
  <c r="AO7" i="30"/>
  <c r="AE9" i="30"/>
  <c r="J4" i="30"/>
  <c r="AN8" i="30"/>
  <c r="AO13" i="30"/>
  <c r="X8" i="30"/>
  <c r="AN5" i="30"/>
  <c r="AO11" i="30"/>
  <c r="AN11" i="30"/>
  <c r="J8" i="30"/>
  <c r="AE8" i="30"/>
  <c r="AO3" i="30"/>
  <c r="AO5" i="30"/>
  <c r="L7" i="30"/>
  <c r="AO11" i="28"/>
  <c r="G7" i="28"/>
  <c r="I7" i="28" s="1"/>
  <c r="Z5" i="30"/>
  <c r="H4" i="34"/>
  <c r="AC9" i="30"/>
  <c r="K8" i="30"/>
  <c r="L8" i="30"/>
  <c r="J8" i="34"/>
  <c r="V6" i="34"/>
  <c r="K8" i="34"/>
  <c r="L5" i="30"/>
  <c r="AF8" i="34"/>
  <c r="Z4" i="30"/>
  <c r="U7" i="30"/>
  <c r="W7" i="30" s="1"/>
  <c r="X5" i="30"/>
  <c r="M11" i="33"/>
  <c r="B11" i="33" s="1"/>
  <c r="AN10" i="34"/>
  <c r="AO10" i="34"/>
  <c r="H6" i="34"/>
  <c r="AO4" i="34"/>
  <c r="AB7" i="34"/>
  <c r="AD7" i="34" s="1"/>
  <c r="Q6" i="34"/>
  <c r="R8" i="34"/>
  <c r="M8" i="33"/>
  <c r="B8" i="33" s="1"/>
  <c r="U4" i="34"/>
  <c r="R6" i="34"/>
  <c r="AF7" i="34"/>
  <c r="R7" i="34"/>
  <c r="AE7" i="34"/>
  <c r="Q7" i="34"/>
  <c r="O7" i="34"/>
  <c r="AC7" i="34"/>
  <c r="Y7" i="34"/>
  <c r="K7" i="34"/>
  <c r="X7" i="34"/>
  <c r="J7" i="34"/>
  <c r="X8" i="34"/>
  <c r="F19" i="34"/>
  <c r="O19" i="34" s="1"/>
  <c r="AN11" i="34"/>
  <c r="AF5" i="34"/>
  <c r="G7" i="34"/>
  <c r="I7" i="34" s="1"/>
  <c r="AN6" i="34"/>
  <c r="Y8" i="34"/>
  <c r="X5" i="34"/>
  <c r="Z7" i="34"/>
  <c r="AO5" i="34"/>
  <c r="AO11" i="34"/>
  <c r="X6" i="34"/>
  <c r="J6" i="34"/>
  <c r="AG7" i="34"/>
  <c r="J5" i="34"/>
  <c r="K5" i="34"/>
  <c r="AC6" i="34"/>
  <c r="L7" i="34"/>
  <c r="AE8" i="34"/>
  <c r="O6" i="34"/>
  <c r="H7" i="34"/>
  <c r="Z8" i="34"/>
  <c r="L5" i="34"/>
  <c r="N7" i="34"/>
  <c r="P7" i="34" s="1"/>
  <c r="Z5" i="34"/>
  <c r="M10" i="33"/>
  <c r="B10" i="33" s="1"/>
  <c r="M7" i="33"/>
  <c r="B7" i="33" s="1"/>
  <c r="K4" i="34"/>
  <c r="AG4" i="34"/>
  <c r="AE6" i="34"/>
  <c r="S7" i="34"/>
  <c r="Y5" i="34"/>
  <c r="S25" i="33"/>
  <c r="R25" i="33"/>
  <c r="AN4" i="34"/>
  <c r="Q5" i="34"/>
  <c r="AB6" i="34"/>
  <c r="AD6" i="34" s="1"/>
  <c r="AF6" i="34"/>
  <c r="U7" i="34"/>
  <c r="W7" i="34" s="1"/>
  <c r="AB8" i="34"/>
  <c r="AD8" i="34" s="1"/>
  <c r="AO2" i="34"/>
  <c r="O5" i="34"/>
  <c r="S6" i="34"/>
  <c r="AG6" i="34"/>
  <c r="O8" i="34"/>
  <c r="AC8" i="34"/>
  <c r="N8" i="34"/>
  <c r="P8" i="34" s="1"/>
  <c r="G6" i="34"/>
  <c r="I6" i="34" s="1"/>
  <c r="U6" i="34"/>
  <c r="W6" i="34" s="1"/>
  <c r="AG8" i="34"/>
  <c r="G5" i="34"/>
  <c r="I5" i="34" s="1"/>
  <c r="U5" i="34"/>
  <c r="W5" i="34" s="1"/>
  <c r="K6" i="34"/>
  <c r="Y6" i="34"/>
  <c r="G8" i="34"/>
  <c r="I8" i="34" s="1"/>
  <c r="U8" i="34"/>
  <c r="W8" i="34" s="1"/>
  <c r="S5" i="34"/>
  <c r="AG5" i="34"/>
  <c r="S8" i="34"/>
  <c r="H5" i="34"/>
  <c r="V5" i="34"/>
  <c r="L6" i="34"/>
  <c r="Z6" i="34"/>
  <c r="H8" i="34"/>
  <c r="V8" i="34"/>
  <c r="Z9" i="34"/>
  <c r="N6" i="34"/>
  <c r="P6" i="34" s="1"/>
  <c r="M9" i="31"/>
  <c r="B9" i="31" s="1"/>
  <c r="M8" i="31"/>
  <c r="B8" i="31" s="1"/>
  <c r="Z6" i="32"/>
  <c r="G9" i="32"/>
  <c r="I9" i="32" s="1"/>
  <c r="AG9" i="32"/>
  <c r="AF9" i="32"/>
  <c r="R9" i="32"/>
  <c r="Q9" i="32"/>
  <c r="O9" i="32"/>
  <c r="L9" i="32"/>
  <c r="AN4" i="32"/>
  <c r="S19" i="32"/>
  <c r="AO13" i="32"/>
  <c r="AO7" i="32"/>
  <c r="AN13" i="32"/>
  <c r="AF7" i="32"/>
  <c r="AG7" i="32"/>
  <c r="S7" i="32"/>
  <c r="L7" i="32"/>
  <c r="AB6" i="32"/>
  <c r="AD6" i="32" s="1"/>
  <c r="N6" i="32"/>
  <c r="P6" i="32" s="1"/>
  <c r="Y6" i="32"/>
  <c r="K6" i="32"/>
  <c r="U6" i="32"/>
  <c r="W6" i="32" s="1"/>
  <c r="G6" i="32"/>
  <c r="I6" i="32" s="1"/>
  <c r="Q6" i="32"/>
  <c r="AG6" i="32"/>
  <c r="V6" i="32"/>
  <c r="S6" i="32"/>
  <c r="R6" i="32"/>
  <c r="J6" i="32"/>
  <c r="AF6" i="32"/>
  <c r="O6" i="32"/>
  <c r="AE6" i="32"/>
  <c r="L6" i="32"/>
  <c r="AG5" i="32"/>
  <c r="X6" i="32"/>
  <c r="AN10" i="32"/>
  <c r="AO4" i="32"/>
  <c r="AO10" i="32"/>
  <c r="Z9" i="32"/>
  <c r="AO5" i="32"/>
  <c r="H6" i="32"/>
  <c r="AO12" i="32"/>
  <c r="AO6" i="32"/>
  <c r="U8" i="32"/>
  <c r="W8" i="32" s="1"/>
  <c r="G8" i="32"/>
  <c r="I8" i="32" s="1"/>
  <c r="S8" i="32"/>
  <c r="AF8" i="32"/>
  <c r="Q8" i="32"/>
  <c r="AG8" i="32"/>
  <c r="N8" i="32"/>
  <c r="P8" i="32" s="1"/>
  <c r="Z8" i="32"/>
  <c r="AC8" i="32"/>
  <c r="K8" i="32"/>
  <c r="AB8" i="32"/>
  <c r="AD8" i="32" s="1"/>
  <c r="J8" i="32"/>
  <c r="R25" i="31"/>
  <c r="S26" i="31" s="1"/>
  <c r="M10" i="31"/>
  <c r="B10" i="31" s="1"/>
  <c r="M7" i="31"/>
  <c r="B7" i="31" s="1"/>
  <c r="M11" i="31"/>
  <c r="B11" i="31" s="1"/>
  <c r="S19" i="30"/>
  <c r="H4" i="30"/>
  <c r="Q5" i="30"/>
  <c r="AB9" i="30"/>
  <c r="AD9" i="30" s="1"/>
  <c r="F17" i="30"/>
  <c r="M10" i="29"/>
  <c r="B10" i="29" s="1"/>
  <c r="M7" i="29"/>
  <c r="B7" i="29" s="1"/>
  <c r="M9" i="29"/>
  <c r="B9" i="29" s="1"/>
  <c r="M6" i="29"/>
  <c r="B6" i="29" s="1"/>
  <c r="AO10" i="30"/>
  <c r="AB6" i="30"/>
  <c r="AD6" i="30" s="1"/>
  <c r="AO4" i="30"/>
  <c r="H6" i="30"/>
  <c r="Z7" i="30"/>
  <c r="M11" i="29"/>
  <c r="B11" i="29" s="1"/>
  <c r="R5" i="30"/>
  <c r="AF5" i="30"/>
  <c r="AN3" i="30"/>
  <c r="O6" i="30"/>
  <c r="AG7" i="30"/>
  <c r="N8" i="30"/>
  <c r="P8" i="30" s="1"/>
  <c r="H9" i="30"/>
  <c r="AN12" i="30"/>
  <c r="Y5" i="30"/>
  <c r="AN7" i="30"/>
  <c r="Q8" i="30"/>
  <c r="O9" i="30"/>
  <c r="AF4" i="30"/>
  <c r="R4" i="30"/>
  <c r="AE4" i="30"/>
  <c r="Q4" i="30"/>
  <c r="AB4" i="30"/>
  <c r="AD4" i="30" s="1"/>
  <c r="N4" i="30"/>
  <c r="P4" i="30" s="1"/>
  <c r="AC4" i="30"/>
  <c r="O4" i="30"/>
  <c r="Y4" i="30"/>
  <c r="K4" i="30"/>
  <c r="AN4" i="30"/>
  <c r="AN13" i="30"/>
  <c r="AN9" i="30"/>
  <c r="H7" i="30"/>
  <c r="AG4" i="30"/>
  <c r="L4" i="30"/>
  <c r="Q9" i="30"/>
  <c r="AF9" i="30"/>
  <c r="G4" i="30"/>
  <c r="I4" i="30" s="1"/>
  <c r="AN2" i="30"/>
  <c r="M8" i="29"/>
  <c r="B8" i="29" s="1"/>
  <c r="S4" i="30"/>
  <c r="G7" i="30"/>
  <c r="I7" i="30" s="1"/>
  <c r="Y8" i="30"/>
  <c r="AO12" i="30"/>
  <c r="R9" i="30"/>
  <c r="AE5" i="30"/>
  <c r="V9" i="30"/>
  <c r="J5" i="30"/>
  <c r="AF7" i="30"/>
  <c r="R7" i="30"/>
  <c r="AE7" i="30"/>
  <c r="Q7" i="30"/>
  <c r="N7" i="30"/>
  <c r="P7" i="30" s="1"/>
  <c r="AB7" i="30"/>
  <c r="AD7" i="30" s="1"/>
  <c r="AC7" i="30"/>
  <c r="O7" i="30"/>
  <c r="Y7" i="30"/>
  <c r="K7" i="30"/>
  <c r="X7" i="30"/>
  <c r="J7" i="30"/>
  <c r="R8" i="30"/>
  <c r="AF8" i="30"/>
  <c r="AN6" i="30"/>
  <c r="AC8" i="30"/>
  <c r="O8" i="30"/>
  <c r="U4" i="30"/>
  <c r="W4" i="30" s="1"/>
  <c r="AC5" i="30"/>
  <c r="V6" i="30"/>
  <c r="Z8" i="30"/>
  <c r="V4" i="30"/>
  <c r="AC6" i="30"/>
  <c r="AB8" i="30"/>
  <c r="AD8" i="30" s="1"/>
  <c r="X4" i="30"/>
  <c r="K5" i="30"/>
  <c r="S7" i="30"/>
  <c r="S6" i="30"/>
  <c r="AG6" i="30"/>
  <c r="S9" i="30"/>
  <c r="AG9" i="30"/>
  <c r="G6" i="30"/>
  <c r="I6" i="30" s="1"/>
  <c r="U6" i="30"/>
  <c r="W6" i="30" s="1"/>
  <c r="G9" i="30"/>
  <c r="I9" i="30" s="1"/>
  <c r="U9" i="30"/>
  <c r="W9" i="30" s="1"/>
  <c r="R25" i="29"/>
  <c r="S26" i="29" s="1"/>
  <c r="S5" i="30"/>
  <c r="AG5" i="30"/>
  <c r="J6" i="30"/>
  <c r="X6" i="30"/>
  <c r="S8" i="30"/>
  <c r="AG8" i="30"/>
  <c r="J9" i="30"/>
  <c r="X9" i="30"/>
  <c r="G5" i="30"/>
  <c r="I5" i="30" s="1"/>
  <c r="U5" i="30"/>
  <c r="W5" i="30" s="1"/>
  <c r="K6" i="30"/>
  <c r="Y6" i="30"/>
  <c r="G8" i="30"/>
  <c r="I8" i="30" s="1"/>
  <c r="U8" i="30"/>
  <c r="W8" i="30" s="1"/>
  <c r="K9" i="30"/>
  <c r="Y9" i="30"/>
  <c r="H5" i="30"/>
  <c r="V5" i="30"/>
  <c r="L6" i="30"/>
  <c r="Z6" i="30"/>
  <c r="H8" i="30"/>
  <c r="V8" i="30"/>
  <c r="L9" i="30"/>
  <c r="Z9" i="30"/>
  <c r="N6" i="30"/>
  <c r="P6" i="30" s="1"/>
  <c r="N9" i="30"/>
  <c r="P9" i="30" s="1"/>
  <c r="AO9" i="28"/>
  <c r="U7" i="28"/>
  <c r="W7" i="28" s="1"/>
  <c r="Q5" i="28"/>
  <c r="N7" i="28"/>
  <c r="P7" i="28" s="1"/>
  <c r="L5" i="28"/>
  <c r="AB7" i="28"/>
  <c r="AD7" i="28" s="1"/>
  <c r="AN3" i="28"/>
  <c r="J5" i="28"/>
  <c r="AO10" i="28"/>
  <c r="L7" i="28"/>
  <c r="AO4" i="28"/>
  <c r="R5" i="28"/>
  <c r="F17" i="28"/>
  <c r="M10" i="27"/>
  <c r="B10" i="27" s="1"/>
  <c r="M7" i="27"/>
  <c r="B7" i="27" s="1"/>
  <c r="X5" i="28"/>
  <c r="M11" i="27"/>
  <c r="B11" i="27" s="1"/>
  <c r="H7" i="28"/>
  <c r="M6" i="27"/>
  <c r="B6" i="27" s="1"/>
  <c r="AO5" i="28"/>
  <c r="Z7" i="28"/>
  <c r="S19" i="28"/>
  <c r="AN11" i="28"/>
  <c r="S7" i="28"/>
  <c r="AF8" i="28"/>
  <c r="AB5" i="28"/>
  <c r="AD5" i="28" s="1"/>
  <c r="S25" i="27"/>
  <c r="R25" i="27"/>
  <c r="AN5" i="28"/>
  <c r="V7" i="28"/>
  <c r="M8" i="27"/>
  <c r="B8" i="27" s="1"/>
  <c r="AO3" i="28"/>
  <c r="AE5" i="28"/>
  <c r="AF7" i="28"/>
  <c r="R7" i="28"/>
  <c r="AE7" i="28"/>
  <c r="Q7" i="28"/>
  <c r="O7" i="28"/>
  <c r="AC7" i="28"/>
  <c r="Y7" i="28"/>
  <c r="K7" i="28"/>
  <c r="X7" i="28"/>
  <c r="J7" i="28"/>
  <c r="AG7" i="28"/>
  <c r="O5" i="28"/>
  <c r="AG8" i="28"/>
  <c r="G5" i="28"/>
  <c r="I5" i="28" s="1"/>
  <c r="U5" i="28"/>
  <c r="W5" i="28" s="1"/>
  <c r="AG5" i="28"/>
  <c r="H5" i="28"/>
  <c r="V5" i="28"/>
  <c r="G10" i="8"/>
  <c r="C11" i="11"/>
  <c r="G9" i="12"/>
  <c r="C8" i="12"/>
  <c r="G9" i="8"/>
  <c r="C9" i="4"/>
  <c r="G7" i="11"/>
  <c r="C6" i="4"/>
  <c r="G7" i="8"/>
  <c r="Y5" i="32" l="1"/>
  <c r="Q5" i="32"/>
  <c r="L9" i="34"/>
  <c r="J4" i="34"/>
  <c r="O9" i="34"/>
  <c r="G5" i="32"/>
  <c r="I5" i="32" s="1"/>
  <c r="AE9" i="34"/>
  <c r="H9" i="34"/>
  <c r="H10" i="34" s="1"/>
  <c r="H16" i="34" s="1"/>
  <c r="AB4" i="34"/>
  <c r="AD4" i="34" s="1"/>
  <c r="X4" i="34"/>
  <c r="X10" i="34" s="1"/>
  <c r="J18" i="34" s="1"/>
  <c r="U5" i="32"/>
  <c r="W5" i="32" s="1"/>
  <c r="U9" i="34"/>
  <c r="W9" i="34" s="1"/>
  <c r="Y4" i="34"/>
  <c r="AN8" i="34"/>
  <c r="G9" i="34"/>
  <c r="I9" i="34" s="1"/>
  <c r="O4" i="34"/>
  <c r="O10" i="34" s="1"/>
  <c r="H17" i="34" s="1"/>
  <c r="AB9" i="34"/>
  <c r="AD9" i="34" s="1"/>
  <c r="AN13" i="34"/>
  <c r="H5" i="32"/>
  <c r="AC4" i="34"/>
  <c r="Q9" i="34"/>
  <c r="AF9" i="34"/>
  <c r="AN9" i="32"/>
  <c r="AO13" i="28"/>
  <c r="L5" i="32"/>
  <c r="S9" i="32"/>
  <c r="Q4" i="34"/>
  <c r="Q10" i="34" s="1"/>
  <c r="J17" i="34" s="1"/>
  <c r="R9" i="34"/>
  <c r="R10" i="34" s="1"/>
  <c r="K17" i="34" s="1"/>
  <c r="AO9" i="32"/>
  <c r="O4" i="28"/>
  <c r="AE5" i="32"/>
  <c r="AE4" i="34"/>
  <c r="X9" i="34"/>
  <c r="Z5" i="32"/>
  <c r="AN2" i="34"/>
  <c r="N5" i="32"/>
  <c r="P5" i="32" s="1"/>
  <c r="AN7" i="32"/>
  <c r="AB9" i="32"/>
  <c r="AD9" i="32" s="1"/>
  <c r="AG9" i="34"/>
  <c r="AG10" i="34" s="1"/>
  <c r="L19" i="34" s="1"/>
  <c r="G4" i="34"/>
  <c r="R4" i="34"/>
  <c r="J9" i="34"/>
  <c r="J10" i="34" s="1"/>
  <c r="J16" i="34" s="1"/>
  <c r="R6" i="30"/>
  <c r="AN10" i="30"/>
  <c r="AF5" i="32"/>
  <c r="S9" i="34"/>
  <c r="S10" i="34" s="1"/>
  <c r="L17" i="34" s="1"/>
  <c r="AF4" i="34"/>
  <c r="AF10" i="34" s="1"/>
  <c r="K19" i="34" s="1"/>
  <c r="Z4" i="34"/>
  <c r="Z10" i="34" s="1"/>
  <c r="L18" i="34" s="1"/>
  <c r="AE6" i="30"/>
  <c r="AO8" i="34"/>
  <c r="V8" i="32"/>
  <c r="X5" i="32"/>
  <c r="AB4" i="28"/>
  <c r="AD4" i="28" s="1"/>
  <c r="R5" i="32"/>
  <c r="J5" i="32"/>
  <c r="Y9" i="34"/>
  <c r="V9" i="34"/>
  <c r="V10" i="34" s="1"/>
  <c r="S5" i="32"/>
  <c r="K9" i="34"/>
  <c r="K10" i="34" s="1"/>
  <c r="K16" i="34" s="1"/>
  <c r="AN7" i="34"/>
  <c r="O5" i="32"/>
  <c r="AB5" i="34"/>
  <c r="AD5" i="34" s="1"/>
  <c r="AD10" i="34" s="1"/>
  <c r="I19" i="34" s="1"/>
  <c r="AB5" i="30"/>
  <c r="AD5" i="30" s="1"/>
  <c r="AD10" i="30" s="1"/>
  <c r="I19" i="30" s="1"/>
  <c r="N5" i="30"/>
  <c r="P5" i="30" s="1"/>
  <c r="P10" i="30" s="1"/>
  <c r="I17" i="30" s="1"/>
  <c r="R5" i="34"/>
  <c r="Z9" i="28"/>
  <c r="S4" i="28"/>
  <c r="Y9" i="28"/>
  <c r="V5" i="32"/>
  <c r="V9" i="32"/>
  <c r="N9" i="34"/>
  <c r="P9" i="34" s="1"/>
  <c r="N4" i="34"/>
  <c r="P4" i="34" s="1"/>
  <c r="S4" i="34"/>
  <c r="AE5" i="34"/>
  <c r="L8" i="34"/>
  <c r="L10" i="34" s="1"/>
  <c r="L16" i="34" s="1"/>
  <c r="AB6" i="28"/>
  <c r="AD6" i="28" s="1"/>
  <c r="AN3" i="32"/>
  <c r="AB5" i="32"/>
  <c r="AD5" i="32" s="1"/>
  <c r="AC5" i="32"/>
  <c r="AC5" i="34"/>
  <c r="AC10" i="34" s="1"/>
  <c r="N5" i="34"/>
  <c r="P5" i="34" s="1"/>
  <c r="AF4" i="32"/>
  <c r="O8" i="32"/>
  <c r="AN6" i="32"/>
  <c r="AC4" i="32"/>
  <c r="J4" i="32"/>
  <c r="L8" i="32"/>
  <c r="Y8" i="32"/>
  <c r="R8" i="32"/>
  <c r="H8" i="32"/>
  <c r="AE8" i="32"/>
  <c r="AO2" i="32"/>
  <c r="L4" i="32"/>
  <c r="G4" i="32"/>
  <c r="I4" i="32" s="1"/>
  <c r="O4" i="32"/>
  <c r="AG4" i="32"/>
  <c r="AG10" i="32" s="1"/>
  <c r="L19" i="32" s="1"/>
  <c r="H4" i="32"/>
  <c r="K4" i="32"/>
  <c r="AE4" i="32"/>
  <c r="AB4" i="32"/>
  <c r="AD4" i="32" s="1"/>
  <c r="V4" i="32"/>
  <c r="U4" i="32"/>
  <c r="W4" i="32" s="1"/>
  <c r="N4" i="32"/>
  <c r="P4" i="32" s="1"/>
  <c r="Y4" i="32"/>
  <c r="Q4" i="32"/>
  <c r="Z4" i="32"/>
  <c r="AN2" i="32"/>
  <c r="AN8" i="32"/>
  <c r="AO8" i="32"/>
  <c r="R4" i="32"/>
  <c r="S4" i="32"/>
  <c r="S10" i="32" s="1"/>
  <c r="L17" i="32" s="1"/>
  <c r="U7" i="32"/>
  <c r="W7" i="32" s="1"/>
  <c r="AE9" i="32"/>
  <c r="X9" i="32"/>
  <c r="J9" i="32"/>
  <c r="H9" i="32"/>
  <c r="K9" i="32"/>
  <c r="H7" i="32"/>
  <c r="U9" i="32"/>
  <c r="W9" i="32" s="1"/>
  <c r="AC9" i="32"/>
  <c r="N9" i="32"/>
  <c r="P9" i="32" s="1"/>
  <c r="AO11" i="32"/>
  <c r="K9" i="28"/>
  <c r="Y4" i="28"/>
  <c r="AF5" i="28"/>
  <c r="H6" i="28"/>
  <c r="AC4" i="28"/>
  <c r="H4" i="28"/>
  <c r="Q4" i="28"/>
  <c r="Z4" i="28"/>
  <c r="J9" i="28"/>
  <c r="AE4" i="28"/>
  <c r="AF9" i="28"/>
  <c r="U4" i="28"/>
  <c r="W4" i="28" s="1"/>
  <c r="R4" i="28"/>
  <c r="Y5" i="28"/>
  <c r="AO7" i="28"/>
  <c r="AN4" i="28"/>
  <c r="AN2" i="28"/>
  <c r="Y8" i="28"/>
  <c r="AF6" i="28"/>
  <c r="AF4" i="28"/>
  <c r="N4" i="28"/>
  <c r="P4" i="28" s="1"/>
  <c r="AG4" i="28"/>
  <c r="AO8" i="28"/>
  <c r="AG6" i="28"/>
  <c r="AN8" i="28"/>
  <c r="X6" i="28"/>
  <c r="AB9" i="28"/>
  <c r="AD9" i="28" s="1"/>
  <c r="X9" i="28"/>
  <c r="AO2" i="28"/>
  <c r="G4" i="28"/>
  <c r="I4" i="28" s="1"/>
  <c r="O6" i="28"/>
  <c r="AE9" i="28"/>
  <c r="X4" i="28"/>
  <c r="L4" i="28"/>
  <c r="V4" i="28"/>
  <c r="AN6" i="28"/>
  <c r="AC8" i="28"/>
  <c r="L6" i="28"/>
  <c r="J4" i="28"/>
  <c r="X8" i="28"/>
  <c r="S8" i="28"/>
  <c r="N8" i="28"/>
  <c r="P8" i="28" s="1"/>
  <c r="R6" i="28"/>
  <c r="AO12" i="28"/>
  <c r="U9" i="28"/>
  <c r="W9" i="28" s="1"/>
  <c r="L8" i="28"/>
  <c r="AC9" i="28"/>
  <c r="H9" i="28"/>
  <c r="R8" i="28"/>
  <c r="G9" i="28"/>
  <c r="I9" i="28" s="1"/>
  <c r="K8" i="28"/>
  <c r="S5" i="28"/>
  <c r="AG9" i="28"/>
  <c r="AN9" i="28"/>
  <c r="J8" i="28"/>
  <c r="R9" i="28"/>
  <c r="AN7" i="28"/>
  <c r="AN12" i="28"/>
  <c r="AN10" i="28"/>
  <c r="AC6" i="28"/>
  <c r="O9" i="28"/>
  <c r="N9" i="28"/>
  <c r="P9" i="28" s="1"/>
  <c r="S9" i="28"/>
  <c r="Z5" i="28"/>
  <c r="V9" i="28"/>
  <c r="AE8" i="28"/>
  <c r="N5" i="28"/>
  <c r="P5" i="28" s="1"/>
  <c r="L9" i="28"/>
  <c r="U8" i="28"/>
  <c r="W8" i="28" s="1"/>
  <c r="O8" i="28"/>
  <c r="Q9" i="28"/>
  <c r="J6" i="28"/>
  <c r="AB8" i="28"/>
  <c r="AD8" i="28" s="1"/>
  <c r="AO6" i="28"/>
  <c r="Y6" i="28"/>
  <c r="AE6" i="28"/>
  <c r="K5" i="28"/>
  <c r="V8" i="28"/>
  <c r="G8" i="28"/>
  <c r="I8" i="28" s="1"/>
  <c r="Q8" i="28"/>
  <c r="H8" i="28"/>
  <c r="S6" i="28"/>
  <c r="Z6" i="28"/>
  <c r="K6" i="28"/>
  <c r="U6" i="28"/>
  <c r="W6" i="28" s="1"/>
  <c r="V6" i="28"/>
  <c r="N6" i="28"/>
  <c r="P6" i="28" s="1"/>
  <c r="G6" i="28"/>
  <c r="I6" i="28" s="1"/>
  <c r="Q6" i="28"/>
  <c r="N7" i="32"/>
  <c r="P7" i="32" s="1"/>
  <c r="R7" i="32"/>
  <c r="AN5" i="32"/>
  <c r="V7" i="32"/>
  <c r="J7" i="32"/>
  <c r="K7" i="32"/>
  <c r="AC7" i="32"/>
  <c r="Y7" i="32"/>
  <c r="AE7" i="32"/>
  <c r="G7" i="32"/>
  <c r="I7" i="32" s="1"/>
  <c r="AB7" i="32"/>
  <c r="AD7" i="32" s="1"/>
  <c r="O7" i="32"/>
  <c r="AN11" i="32"/>
  <c r="Q7" i="32"/>
  <c r="X7" i="32"/>
  <c r="B35" i="36"/>
  <c r="B19" i="36"/>
  <c r="B31" i="36"/>
  <c r="A31" i="35"/>
  <c r="T23" i="36"/>
  <c r="Z10" i="30"/>
  <c r="L18" i="30" s="1"/>
  <c r="X10" i="30"/>
  <c r="J18" i="30" s="1"/>
  <c r="J10" i="30"/>
  <c r="J16" i="30" s="1"/>
  <c r="AE10" i="30"/>
  <c r="J19" i="30" s="1"/>
  <c r="R10" i="30"/>
  <c r="K17" i="30" s="1"/>
  <c r="Z10" i="32"/>
  <c r="L18" i="32" s="1"/>
  <c r="Q10" i="30"/>
  <c r="J17" i="30" s="1"/>
  <c r="S26" i="33"/>
  <c r="M6" i="33" s="1"/>
  <c r="B6" i="33" s="1"/>
  <c r="W4" i="34"/>
  <c r="S19" i="34"/>
  <c r="K10" i="30"/>
  <c r="K16" i="30" s="1"/>
  <c r="O10" i="30"/>
  <c r="AC10" i="30"/>
  <c r="H10" i="30"/>
  <c r="I10" i="30"/>
  <c r="I16" i="30" s="1"/>
  <c r="S10" i="30"/>
  <c r="L17" i="30" s="1"/>
  <c r="AF10" i="30"/>
  <c r="K19" i="30" s="1"/>
  <c r="G10" i="30"/>
  <c r="G16" i="30" s="1"/>
  <c r="V10" i="30"/>
  <c r="Y10" i="30"/>
  <c r="K18" i="30" s="1"/>
  <c r="W10" i="30"/>
  <c r="I18" i="30" s="1"/>
  <c r="U10" i="30"/>
  <c r="G18" i="30" s="1"/>
  <c r="L10" i="30"/>
  <c r="L16" i="30" s="1"/>
  <c r="AG10" i="30"/>
  <c r="L19" i="30" s="1"/>
  <c r="S26" i="27"/>
  <c r="P10" i="34" l="1"/>
  <c r="I17" i="34" s="1"/>
  <c r="AE10" i="34"/>
  <c r="J19" i="34" s="1"/>
  <c r="G10" i="34"/>
  <c r="G16" i="34" s="1"/>
  <c r="Y10" i="34"/>
  <c r="K18" i="34" s="1"/>
  <c r="U10" i="34"/>
  <c r="G18" i="34" s="1"/>
  <c r="W10" i="34"/>
  <c r="I18" i="34" s="1"/>
  <c r="AB10" i="34"/>
  <c r="G19" i="34" s="1"/>
  <c r="N10" i="34"/>
  <c r="G17" i="34" s="1"/>
  <c r="I4" i="34"/>
  <c r="I10" i="34" s="1"/>
  <c r="I16" i="34" s="1"/>
  <c r="AB10" i="30"/>
  <c r="G19" i="30" s="1"/>
  <c r="N10" i="30"/>
  <c r="G17" i="30" s="1"/>
  <c r="AF10" i="32"/>
  <c r="K19" i="32" s="1"/>
  <c r="O10" i="32"/>
  <c r="H17" i="32" s="1"/>
  <c r="L10" i="32"/>
  <c r="L16" i="32" s="1"/>
  <c r="AC10" i="32"/>
  <c r="H19" i="32" s="1"/>
  <c r="AC10" i="28"/>
  <c r="H19" i="28" s="1"/>
  <c r="AG10" i="28"/>
  <c r="L19" i="28" s="1"/>
  <c r="S10" i="28"/>
  <c r="L17" i="28" s="1"/>
  <c r="Q10" i="32"/>
  <c r="J17" i="32" s="1"/>
  <c r="W10" i="28"/>
  <c r="I18" i="28" s="1"/>
  <c r="Z10" i="28"/>
  <c r="L18" i="28" s="1"/>
  <c r="N10" i="28"/>
  <c r="G17" i="28" s="1"/>
  <c r="K10" i="28"/>
  <c r="K16" i="28" s="1"/>
  <c r="Y10" i="32"/>
  <c r="K18" i="32" s="1"/>
  <c r="H10" i="32"/>
  <c r="H16" i="32" s="1"/>
  <c r="X10" i="32"/>
  <c r="J18" i="32" s="1"/>
  <c r="U10" i="32"/>
  <c r="G18" i="32" s="1"/>
  <c r="V10" i="32"/>
  <c r="H18" i="32" s="1"/>
  <c r="K10" i="32"/>
  <c r="K16" i="32" s="1"/>
  <c r="J10" i="32"/>
  <c r="J16" i="32" s="1"/>
  <c r="R10" i="32"/>
  <c r="K17" i="32" s="1"/>
  <c r="W10" i="32"/>
  <c r="I18" i="32" s="1"/>
  <c r="P10" i="32"/>
  <c r="I17" i="32" s="1"/>
  <c r="AE10" i="32"/>
  <c r="J19" i="32" s="1"/>
  <c r="Y10" i="28"/>
  <c r="K18" i="28" s="1"/>
  <c r="U10" i="28"/>
  <c r="G18" i="28" s="1"/>
  <c r="O10" i="28"/>
  <c r="H17" i="28" s="1"/>
  <c r="H10" i="28"/>
  <c r="H16" i="28" s="1"/>
  <c r="AF10" i="28"/>
  <c r="K19" i="28" s="1"/>
  <c r="V10" i="28"/>
  <c r="H18" i="28" s="1"/>
  <c r="X10" i="28"/>
  <c r="J18" i="28" s="1"/>
  <c r="Q10" i="28"/>
  <c r="J17" i="28" s="1"/>
  <c r="R10" i="28"/>
  <c r="K17" i="28" s="1"/>
  <c r="AE10" i="28"/>
  <c r="J19" i="28" s="1"/>
  <c r="J10" i="28"/>
  <c r="J16" i="28" s="1"/>
  <c r="AD10" i="28"/>
  <c r="I19" i="28" s="1"/>
  <c r="AB10" i="28"/>
  <c r="G19" i="28" s="1"/>
  <c r="L10" i="28"/>
  <c r="L16" i="28" s="1"/>
  <c r="I10" i="28"/>
  <c r="I16" i="28" s="1"/>
  <c r="P10" i="28"/>
  <c r="I17" i="28" s="1"/>
  <c r="G10" i="28"/>
  <c r="G16" i="28" s="1"/>
  <c r="N10" i="32"/>
  <c r="G17" i="32" s="1"/>
  <c r="AD10" i="32"/>
  <c r="I19" i="32" s="1"/>
  <c r="I10" i="32"/>
  <c r="I16" i="32" s="1"/>
  <c r="G10" i="32"/>
  <c r="G16" i="32" s="1"/>
  <c r="AB10" i="32"/>
  <c r="G19" i="32" s="1"/>
  <c r="A32" i="35"/>
  <c r="F23" i="36"/>
  <c r="B23" i="36" s="1"/>
  <c r="F7" i="36"/>
  <c r="AA10" i="34"/>
  <c r="M18" i="34" s="1"/>
  <c r="P18" i="34" s="1"/>
  <c r="H18" i="34"/>
  <c r="T10" i="34"/>
  <c r="M17" i="34" s="1"/>
  <c r="AH10" i="34"/>
  <c r="M19" i="34" s="1"/>
  <c r="P19" i="34" s="1"/>
  <c r="H19" i="34"/>
  <c r="H18" i="30"/>
  <c r="AA10" i="30"/>
  <c r="M18" i="30" s="1"/>
  <c r="H16" i="30"/>
  <c r="M10" i="30"/>
  <c r="M16" i="30" s="1"/>
  <c r="AH10" i="30"/>
  <c r="M19" i="30" s="1"/>
  <c r="H19" i="30"/>
  <c r="T10" i="30"/>
  <c r="M17" i="30" s="1"/>
  <c r="H17" i="30"/>
  <c r="M10" i="34" l="1"/>
  <c r="M16" i="34" s="1"/>
  <c r="O17" i="34" s="1"/>
  <c r="P17" i="34" s="1"/>
  <c r="AA10" i="28"/>
  <c r="M18" i="28" s="1"/>
  <c r="P18" i="28" s="1"/>
  <c r="AA10" i="32"/>
  <c r="M18" i="32" s="1"/>
  <c r="P18" i="32" s="1"/>
  <c r="T10" i="32"/>
  <c r="M17" i="32" s="1"/>
  <c r="M10" i="28"/>
  <c r="M16" i="28" s="1"/>
  <c r="AH10" i="28"/>
  <c r="M19" i="28" s="1"/>
  <c r="P19" i="28" s="1"/>
  <c r="T10" i="28"/>
  <c r="M17" i="28" s="1"/>
  <c r="AH10" i="32"/>
  <c r="M19" i="32" s="1"/>
  <c r="P19" i="32" s="1"/>
  <c r="M10" i="32"/>
  <c r="M16" i="32" s="1"/>
  <c r="B7" i="36"/>
  <c r="O17" i="30"/>
  <c r="S17" i="30" s="1"/>
  <c r="O16" i="30"/>
  <c r="P19" i="30"/>
  <c r="P18" i="30"/>
  <c r="AN14" i="25"/>
  <c r="AG14" i="25"/>
  <c r="L23" i="25"/>
  <c r="E23" i="25"/>
  <c r="C21" i="22"/>
  <c r="C22" i="21"/>
  <c r="C22" i="20"/>
  <c r="C13" i="4"/>
  <c r="C13" i="6"/>
  <c r="C13" i="8"/>
  <c r="C13" i="11"/>
  <c r="C13" i="12"/>
  <c r="C13" i="14"/>
  <c r="C13" i="16"/>
  <c r="C13" i="1"/>
  <c r="O16" i="34" l="1"/>
  <c r="O17" i="32"/>
  <c r="P17" i="32" s="1"/>
  <c r="O16" i="28"/>
  <c r="P16" i="28" s="1"/>
  <c r="O17" i="28"/>
  <c r="S17" i="28" s="1"/>
  <c r="W17" i="28" s="1"/>
  <c r="O16" i="32"/>
  <c r="P16" i="32" s="1"/>
  <c r="S16" i="32" s="1"/>
  <c r="T16" i="32" s="1"/>
  <c r="S17" i="34"/>
  <c r="W17" i="34" s="1"/>
  <c r="P17" i="30"/>
  <c r="P16" i="34"/>
  <c r="T19" i="34"/>
  <c r="P16" i="30"/>
  <c r="S16" i="30" s="1"/>
  <c r="T16" i="30" s="1"/>
  <c r="W17" i="30"/>
  <c r="G11" i="14"/>
  <c r="G23" i="25" s="1"/>
  <c r="C11" i="14"/>
  <c r="C23" i="25" s="1"/>
  <c r="G10" i="14"/>
  <c r="C10" i="14"/>
  <c r="AI14" i="25"/>
  <c r="AE14" i="25"/>
  <c r="G11" i="12"/>
  <c r="AP14" i="25" s="1"/>
  <c r="AL14" i="25"/>
  <c r="C10" i="12"/>
  <c r="G10" i="4"/>
  <c r="G9" i="6"/>
  <c r="C9" i="6"/>
  <c r="G8" i="6"/>
  <c r="C8" i="6"/>
  <c r="S17" i="32" l="1"/>
  <c r="W17" i="32" s="1"/>
  <c r="P17" i="28"/>
  <c r="T17" i="28" s="1"/>
  <c r="T17" i="34"/>
  <c r="T19" i="28"/>
  <c r="S16" i="34"/>
  <c r="T16" i="34" s="1"/>
  <c r="W16" i="34" s="1"/>
  <c r="S18" i="34"/>
  <c r="T19" i="32"/>
  <c r="W19" i="32" s="1"/>
  <c r="S18" i="32"/>
  <c r="T17" i="30"/>
  <c r="X17" i="30" s="1"/>
  <c r="T19" i="30"/>
  <c r="W19" i="30" s="1"/>
  <c r="S18" i="30"/>
  <c r="S16" i="28"/>
  <c r="T16" i="28" s="1"/>
  <c r="S18" i="28"/>
  <c r="F10" i="25"/>
  <c r="D9" i="25"/>
  <c r="N4" i="22"/>
  <c r="S25" i="22" s="1"/>
  <c r="N21" i="25"/>
  <c r="J20" i="25"/>
  <c r="N19" i="25"/>
  <c r="N18" i="25"/>
  <c r="G19" i="25"/>
  <c r="C19" i="25"/>
  <c r="C18" i="25"/>
  <c r="E7" i="13"/>
  <c r="A7" i="13"/>
  <c r="AP11" i="25"/>
  <c r="G11" i="1"/>
  <c r="E9" i="3" s="1"/>
  <c r="C11" i="1"/>
  <c r="C14" i="25" s="1"/>
  <c r="G10" i="1"/>
  <c r="G13" i="25" s="1"/>
  <c r="C10" i="1"/>
  <c r="C13" i="25" s="1"/>
  <c r="B4" i="7"/>
  <c r="D4" i="7"/>
  <c r="U12" i="25"/>
  <c r="Q12" i="25"/>
  <c r="E6" i="7"/>
  <c r="F4" i="9"/>
  <c r="AO12" i="25"/>
  <c r="AH45" i="25"/>
  <c r="AF45" i="25"/>
  <c r="AH40" i="25"/>
  <c r="AF40" i="25"/>
  <c r="AA51" i="25"/>
  <c r="Y51" i="25"/>
  <c r="AA33" i="25"/>
  <c r="Y33" i="25"/>
  <c r="T56" i="25"/>
  <c r="R56" i="25"/>
  <c r="T47" i="25"/>
  <c r="R47" i="25"/>
  <c r="R29" i="25"/>
  <c r="T29" i="25"/>
  <c r="M31" i="25"/>
  <c r="M36" i="25"/>
  <c r="M40" i="25"/>
  <c r="M45" i="25"/>
  <c r="M49" i="25"/>
  <c r="M54" i="25"/>
  <c r="M58" i="25"/>
  <c r="M27" i="25"/>
  <c r="K58" i="25"/>
  <c r="K54" i="25"/>
  <c r="K49" i="25"/>
  <c r="K45" i="25"/>
  <c r="K40" i="25"/>
  <c r="K36" i="25"/>
  <c r="K31" i="25"/>
  <c r="AF9" i="25"/>
  <c r="F21" i="25"/>
  <c r="M20" i="25"/>
  <c r="M19" i="25"/>
  <c r="K19" i="25"/>
  <c r="F19" i="25"/>
  <c r="D19" i="25"/>
  <c r="M18" i="25"/>
  <c r="K18" i="25"/>
  <c r="F18" i="25"/>
  <c r="D18" i="25"/>
  <c r="AH11" i="25"/>
  <c r="AO10" i="25"/>
  <c r="AM10" i="25"/>
  <c r="AH10" i="25"/>
  <c r="AF10" i="25"/>
  <c r="AO9" i="25"/>
  <c r="AM9" i="25"/>
  <c r="AH9" i="25"/>
  <c r="AA12" i="25"/>
  <c r="AA10" i="25"/>
  <c r="AA9" i="25"/>
  <c r="Y10" i="25"/>
  <c r="Y9" i="25"/>
  <c r="T10" i="25"/>
  <c r="T9" i="25"/>
  <c r="R10" i="25"/>
  <c r="R9" i="25"/>
  <c r="M10" i="25"/>
  <c r="M9" i="25"/>
  <c r="K10" i="25"/>
  <c r="K9" i="25"/>
  <c r="F9" i="25"/>
  <c r="F11" i="25"/>
  <c r="D11" i="25"/>
  <c r="D10" i="25"/>
  <c r="N22" i="25"/>
  <c r="N23" i="25"/>
  <c r="J23" i="25"/>
  <c r="J22" i="25"/>
  <c r="G22" i="25"/>
  <c r="E8" i="15"/>
  <c r="A9" i="15"/>
  <c r="A8" i="15"/>
  <c r="G11" i="6"/>
  <c r="E9" i="7" s="1"/>
  <c r="C11" i="6"/>
  <c r="Q14" i="25" s="1"/>
  <c r="AL9" i="25"/>
  <c r="AP9" i="25"/>
  <c r="N20" i="25"/>
  <c r="J21" i="25"/>
  <c r="J19" i="25"/>
  <c r="J18" i="25"/>
  <c r="G18" i="25"/>
  <c r="AL13" i="25"/>
  <c r="AP13" i="25"/>
  <c r="AP12" i="25"/>
  <c r="AL11" i="25"/>
  <c r="A9" i="10"/>
  <c r="AE13" i="25"/>
  <c r="AI13" i="25"/>
  <c r="Q11" i="25"/>
  <c r="E9" i="5"/>
  <c r="N13" i="25"/>
  <c r="J14" i="25"/>
  <c r="J13" i="25"/>
  <c r="E7" i="5"/>
  <c r="N12" i="25"/>
  <c r="N11" i="25"/>
  <c r="J12" i="25"/>
  <c r="J11" i="25"/>
  <c r="F4" i="3"/>
  <c r="B4" i="3"/>
  <c r="D5" i="5"/>
  <c r="D6" i="5"/>
  <c r="D7" i="5"/>
  <c r="D8" i="5"/>
  <c r="D9" i="5"/>
  <c r="B5" i="7"/>
  <c r="C5" i="7"/>
  <c r="D5" i="7"/>
  <c r="B6" i="7"/>
  <c r="C6" i="7"/>
  <c r="D6" i="7"/>
  <c r="B7" i="7"/>
  <c r="C7" i="7"/>
  <c r="D7" i="7"/>
  <c r="B8" i="7"/>
  <c r="C8" i="7"/>
  <c r="D8" i="7"/>
  <c r="B9" i="7"/>
  <c r="C9" i="7"/>
  <c r="D9" i="7"/>
  <c r="B5" i="9"/>
  <c r="C5" i="9"/>
  <c r="D5" i="9"/>
  <c r="B6" i="9"/>
  <c r="C6" i="9"/>
  <c r="D6" i="9"/>
  <c r="B7" i="9"/>
  <c r="C7" i="9"/>
  <c r="D7" i="9"/>
  <c r="B8" i="9"/>
  <c r="C8" i="9"/>
  <c r="D8" i="9"/>
  <c r="B9" i="9"/>
  <c r="C9" i="9"/>
  <c r="D9" i="9"/>
  <c r="B5" i="10"/>
  <c r="C5" i="10"/>
  <c r="D5" i="10"/>
  <c r="B6" i="10"/>
  <c r="C6" i="10"/>
  <c r="D6" i="10"/>
  <c r="B7" i="10"/>
  <c r="C7" i="10"/>
  <c r="D7" i="10"/>
  <c r="B8" i="10"/>
  <c r="C8" i="10"/>
  <c r="D8" i="10"/>
  <c r="B9" i="10"/>
  <c r="C9" i="10"/>
  <c r="D9" i="10"/>
  <c r="B5" i="13"/>
  <c r="C5" i="13"/>
  <c r="D5" i="13"/>
  <c r="B6" i="13"/>
  <c r="C6" i="13"/>
  <c r="D6" i="13"/>
  <c r="B7" i="13"/>
  <c r="C7" i="13"/>
  <c r="D7" i="13"/>
  <c r="B8" i="13"/>
  <c r="C8" i="13"/>
  <c r="D8" i="13"/>
  <c r="B9" i="13"/>
  <c r="C9" i="13"/>
  <c r="D9" i="13"/>
  <c r="B5" i="15"/>
  <c r="C5" i="15"/>
  <c r="D5" i="15"/>
  <c r="B6" i="15"/>
  <c r="C6" i="15"/>
  <c r="D6" i="15"/>
  <c r="B7" i="15"/>
  <c r="C7" i="15"/>
  <c r="D7" i="15"/>
  <c r="B8" i="15"/>
  <c r="C8" i="15"/>
  <c r="D8" i="15"/>
  <c r="B9" i="15"/>
  <c r="C9" i="15"/>
  <c r="D9" i="15"/>
  <c r="D5" i="17"/>
  <c r="D6" i="17"/>
  <c r="D7" i="17"/>
  <c r="D8" i="17"/>
  <c r="D9" i="17"/>
  <c r="B5" i="17"/>
  <c r="B6" i="17"/>
  <c r="B7" i="17"/>
  <c r="B8" i="17"/>
  <c r="B9" i="17"/>
  <c r="D4" i="17"/>
  <c r="D4" i="15"/>
  <c r="D4" i="13"/>
  <c r="D4" i="10"/>
  <c r="D4" i="9"/>
  <c r="D4" i="5"/>
  <c r="D4" i="3"/>
  <c r="B4" i="17"/>
  <c r="B4" i="15"/>
  <c r="B4" i="13"/>
  <c r="B4" i="10"/>
  <c r="B4" i="9"/>
  <c r="B5" i="5"/>
  <c r="B6" i="5"/>
  <c r="B7" i="5"/>
  <c r="B8" i="5"/>
  <c r="B9" i="5"/>
  <c r="B4" i="5"/>
  <c r="D5" i="3"/>
  <c r="D6" i="3"/>
  <c r="D7" i="3"/>
  <c r="D8" i="3"/>
  <c r="D9" i="3"/>
  <c r="B5" i="3"/>
  <c r="B6" i="3"/>
  <c r="B7" i="3"/>
  <c r="B8" i="3"/>
  <c r="B9" i="3"/>
  <c r="F16" i="3"/>
  <c r="F19" i="5"/>
  <c r="O19" i="5" s="1"/>
  <c r="S19" i="5" s="1"/>
  <c r="U2" i="5"/>
  <c r="F18" i="5" s="1"/>
  <c r="O18" i="5" s="1"/>
  <c r="F17" i="5"/>
  <c r="G2" i="5"/>
  <c r="F16" i="5" s="1"/>
  <c r="AB2" i="7"/>
  <c r="F19" i="7" s="1"/>
  <c r="O19" i="7" s="1"/>
  <c r="S19" i="7" s="1"/>
  <c r="U2" i="7"/>
  <c r="F18" i="7" s="1"/>
  <c r="O18" i="7" s="1"/>
  <c r="N2" i="7"/>
  <c r="F17" i="7" s="1"/>
  <c r="G2" i="7"/>
  <c r="F16" i="7" s="1"/>
  <c r="AB2" i="9"/>
  <c r="F19" i="9" s="1"/>
  <c r="O19" i="9" s="1"/>
  <c r="S19" i="9" s="1"/>
  <c r="U2" i="9"/>
  <c r="F18" i="9" s="1"/>
  <c r="O18" i="9" s="1"/>
  <c r="N2" i="9"/>
  <c r="F17" i="9" s="1"/>
  <c r="G2" i="9"/>
  <c r="F16" i="9" s="1"/>
  <c r="AB2" i="10"/>
  <c r="F19" i="10" s="1"/>
  <c r="O19" i="10" s="1"/>
  <c r="S19" i="10" s="1"/>
  <c r="U2" i="10"/>
  <c r="F18" i="10" s="1"/>
  <c r="O18" i="10" s="1"/>
  <c r="N2" i="10"/>
  <c r="F17" i="10" s="1"/>
  <c r="G2" i="10"/>
  <c r="F16" i="10" s="1"/>
  <c r="F19" i="13"/>
  <c r="O19" i="13" s="1"/>
  <c r="S19" i="13" s="1"/>
  <c r="F18" i="13"/>
  <c r="O18" i="13" s="1"/>
  <c r="N2" i="13"/>
  <c r="F17" i="13" s="1"/>
  <c r="G2" i="13"/>
  <c r="F16" i="13" s="1"/>
  <c r="AB2" i="15"/>
  <c r="F19" i="15" s="1"/>
  <c r="O19" i="15" s="1"/>
  <c r="S19" i="15" s="1"/>
  <c r="U2" i="15"/>
  <c r="F18" i="15" s="1"/>
  <c r="O18" i="15" s="1"/>
  <c r="N2" i="15"/>
  <c r="F17" i="15" s="1"/>
  <c r="G2" i="15"/>
  <c r="F16" i="15" s="1"/>
  <c r="AB2" i="17"/>
  <c r="F19" i="17" s="1"/>
  <c r="O19" i="17" s="1"/>
  <c r="S19" i="17" s="1"/>
  <c r="U2" i="17"/>
  <c r="F18" i="17" s="1"/>
  <c r="O18" i="17" s="1"/>
  <c r="N2" i="17"/>
  <c r="F17" i="17" s="1"/>
  <c r="G2" i="17"/>
  <c r="F16" i="17" s="1"/>
  <c r="AB2" i="3"/>
  <c r="F19" i="3" s="1"/>
  <c r="O19" i="3" s="1"/>
  <c r="S19" i="3" s="1"/>
  <c r="U2" i="3"/>
  <c r="F18" i="3" s="1"/>
  <c r="O18" i="3" s="1"/>
  <c r="F17" i="3"/>
  <c r="C21" i="25"/>
  <c r="E5" i="13"/>
  <c r="AE12" i="25"/>
  <c r="AI10" i="25"/>
  <c r="X13" i="25"/>
  <c r="A7" i="9"/>
  <c r="AB10" i="25"/>
  <c r="C10" i="6"/>
  <c r="A8" i="7" s="1"/>
  <c r="G7" i="6"/>
  <c r="U10" i="25" s="1"/>
  <c r="E5" i="5"/>
  <c r="G7" i="1"/>
  <c r="E5" i="3" s="1"/>
  <c r="G20" i="25"/>
  <c r="A5" i="13"/>
  <c r="AL10" i="25"/>
  <c r="AI11" i="25"/>
  <c r="AE10" i="25"/>
  <c r="E9" i="9"/>
  <c r="E6" i="9"/>
  <c r="AB11" i="25"/>
  <c r="X10" i="25"/>
  <c r="C7" i="6"/>
  <c r="Q10" i="25" s="1"/>
  <c r="C7" i="1"/>
  <c r="C10" i="25" s="1"/>
  <c r="G21" i="25"/>
  <c r="E4" i="13"/>
  <c r="E7" i="10"/>
  <c r="AI9" i="25"/>
  <c r="X14" i="25"/>
  <c r="E4" i="9"/>
  <c r="AB9" i="25"/>
  <c r="G6" i="6"/>
  <c r="U9" i="25" s="1"/>
  <c r="E4" i="5"/>
  <c r="N9" i="25"/>
  <c r="G6" i="1"/>
  <c r="E4" i="3" s="1"/>
  <c r="C20" i="25"/>
  <c r="A6" i="10"/>
  <c r="AE9" i="25"/>
  <c r="AB13" i="25"/>
  <c r="A6" i="9"/>
  <c r="X11" i="25"/>
  <c r="X9" i="25"/>
  <c r="G10" i="6"/>
  <c r="U13" i="25" s="1"/>
  <c r="C6" i="6"/>
  <c r="Q9" i="25" s="1"/>
  <c r="C6" i="1"/>
  <c r="A4" i="3" s="1"/>
  <c r="G11" i="25"/>
  <c r="C12" i="25"/>
  <c r="C11" i="25"/>
  <c r="E7" i="3"/>
  <c r="R24" i="1"/>
  <c r="F5" i="3"/>
  <c r="F6" i="3"/>
  <c r="F7" i="3"/>
  <c r="F8" i="3"/>
  <c r="F9" i="3"/>
  <c r="S24" i="1"/>
  <c r="S25" i="1" s="1"/>
  <c r="R24" i="4"/>
  <c r="F4" i="5"/>
  <c r="F5" i="5"/>
  <c r="F6" i="5"/>
  <c r="A6" i="5"/>
  <c r="F7" i="5"/>
  <c r="F8" i="5"/>
  <c r="A8" i="5"/>
  <c r="F9" i="5"/>
  <c r="S24" i="4"/>
  <c r="R25" i="4" s="1"/>
  <c r="R24" i="6"/>
  <c r="F4" i="7"/>
  <c r="F5" i="7"/>
  <c r="F6" i="7"/>
  <c r="F7" i="7"/>
  <c r="A7" i="7"/>
  <c r="F8" i="7"/>
  <c r="F9" i="7"/>
  <c r="S24" i="6"/>
  <c r="R24" i="8"/>
  <c r="F5" i="9"/>
  <c r="A5" i="9"/>
  <c r="F6" i="9"/>
  <c r="F7" i="9"/>
  <c r="F8" i="9"/>
  <c r="F9" i="9"/>
  <c r="S24" i="8"/>
  <c r="R25" i="8" s="1"/>
  <c r="R24" i="11"/>
  <c r="F4" i="10"/>
  <c r="F5" i="10"/>
  <c r="A5" i="10"/>
  <c r="F6" i="10"/>
  <c r="F7" i="10"/>
  <c r="F8" i="10"/>
  <c r="A8" i="10"/>
  <c r="F9" i="10"/>
  <c r="E9" i="10"/>
  <c r="S24" i="11"/>
  <c r="S25" i="11" s="1"/>
  <c r="R24" i="12"/>
  <c r="F7" i="13"/>
  <c r="F4" i="13"/>
  <c r="F5" i="13"/>
  <c r="F6" i="13"/>
  <c r="A6" i="13"/>
  <c r="F8" i="13"/>
  <c r="F9" i="13"/>
  <c r="S24" i="12"/>
  <c r="R25" i="12" s="1"/>
  <c r="R24" i="14"/>
  <c r="F4" i="15"/>
  <c r="F5" i="15"/>
  <c r="F6" i="15"/>
  <c r="F7" i="15"/>
  <c r="F8" i="15"/>
  <c r="F9" i="15"/>
  <c r="S24" i="14"/>
  <c r="R25" i="14" s="1"/>
  <c r="R24" i="16"/>
  <c r="S24" i="16"/>
  <c r="S25" i="16" s="1"/>
  <c r="A6" i="17"/>
  <c r="F4" i="17"/>
  <c r="F5" i="17"/>
  <c r="A5" i="17"/>
  <c r="F6" i="17"/>
  <c r="F7" i="17"/>
  <c r="A7" i="17"/>
  <c r="F8" i="17"/>
  <c r="F9" i="17"/>
  <c r="M4" i="19"/>
  <c r="N4" i="19"/>
  <c r="M4" i="20"/>
  <c r="N4" i="20"/>
  <c r="S22" i="20" s="1"/>
  <c r="M4" i="21"/>
  <c r="N4" i="21"/>
  <c r="T22" i="21" s="1"/>
  <c r="M4" i="22"/>
  <c r="C4" i="17"/>
  <c r="C5" i="17"/>
  <c r="C6" i="17"/>
  <c r="C7" i="17"/>
  <c r="C8" i="17"/>
  <c r="C9" i="17"/>
  <c r="C4" i="15"/>
  <c r="C4" i="13"/>
  <c r="C4" i="10"/>
  <c r="C4" i="9"/>
  <c r="C4" i="7"/>
  <c r="C4" i="3"/>
  <c r="C5" i="3"/>
  <c r="C6" i="3"/>
  <c r="C7" i="3"/>
  <c r="C8" i="3"/>
  <c r="C9" i="3"/>
  <c r="C4" i="5"/>
  <c r="C5" i="5"/>
  <c r="C6" i="5"/>
  <c r="C7" i="5"/>
  <c r="C8" i="5"/>
  <c r="C9" i="5"/>
  <c r="E6" i="5"/>
  <c r="C22" i="25"/>
  <c r="E8" i="10"/>
  <c r="A4" i="9"/>
  <c r="X12" i="25"/>
  <c r="A4" i="17"/>
  <c r="E6" i="17"/>
  <c r="E4" i="15"/>
  <c r="E9" i="15"/>
  <c r="E9" i="13"/>
  <c r="A9" i="13"/>
  <c r="A4" i="13"/>
  <c r="E4" i="10"/>
  <c r="E8" i="9"/>
  <c r="E8" i="5"/>
  <c r="A7" i="5"/>
  <c r="A6" i="7"/>
  <c r="J9" i="25"/>
  <c r="A4" i="5"/>
  <c r="AB12" i="25"/>
  <c r="E7" i="9"/>
  <c r="J10" i="25"/>
  <c r="A5" i="5"/>
  <c r="A9" i="3" l="1"/>
  <c r="A8" i="3"/>
  <c r="T17" i="32"/>
  <c r="X17" i="32" s="1"/>
  <c r="T22" i="19"/>
  <c r="S22" i="19"/>
  <c r="W16" i="28"/>
  <c r="X16" i="28" s="1"/>
  <c r="W16" i="30"/>
  <c r="AA16" i="30" s="1"/>
  <c r="AA16" i="34"/>
  <c r="X16" i="34"/>
  <c r="W19" i="34"/>
  <c r="W18" i="34"/>
  <c r="T18" i="34"/>
  <c r="X17" i="34"/>
  <c r="W18" i="32"/>
  <c r="T18" i="32"/>
  <c r="W16" i="32"/>
  <c r="AA19" i="32"/>
  <c r="X19" i="32"/>
  <c r="W18" i="30"/>
  <c r="T18" i="30"/>
  <c r="AA19" i="30"/>
  <c r="X19" i="30"/>
  <c r="A5" i="3"/>
  <c r="L5" i="3" s="1"/>
  <c r="W19" i="28"/>
  <c r="X17" i="28"/>
  <c r="W18" i="28"/>
  <c r="T18" i="28"/>
  <c r="C9" i="25"/>
  <c r="E9" i="17"/>
  <c r="A5" i="7"/>
  <c r="E8" i="7"/>
  <c r="AO6" i="7" s="1"/>
  <c r="AO6" i="5"/>
  <c r="AN8" i="9"/>
  <c r="A8" i="17"/>
  <c r="E7" i="15"/>
  <c r="A4" i="15"/>
  <c r="AN8" i="15" s="1"/>
  <c r="AN7" i="10"/>
  <c r="AE11" i="25"/>
  <c r="E5" i="9"/>
  <c r="AN9" i="9" s="1"/>
  <c r="A9" i="9"/>
  <c r="N9" i="9" s="1"/>
  <c r="P9" i="9" s="1"/>
  <c r="AN2" i="9"/>
  <c r="A9" i="7"/>
  <c r="AN7" i="7" s="1"/>
  <c r="A4" i="7"/>
  <c r="G10" i="25"/>
  <c r="G14" i="25"/>
  <c r="E8" i="3"/>
  <c r="U8" i="3" s="1"/>
  <c r="W8" i="3" s="1"/>
  <c r="AO5" i="7"/>
  <c r="AI12" i="25"/>
  <c r="A7" i="3"/>
  <c r="G7" i="3" s="1"/>
  <c r="I7" i="3" s="1"/>
  <c r="AN11" i="5"/>
  <c r="AO11" i="9"/>
  <c r="E6" i="3"/>
  <c r="AN10" i="9"/>
  <c r="A7" i="10"/>
  <c r="Q7" i="10" s="1"/>
  <c r="AO13" i="10"/>
  <c r="AO12" i="5"/>
  <c r="E14" i="25"/>
  <c r="AO10" i="9"/>
  <c r="AO11" i="7"/>
  <c r="E19" i="25"/>
  <c r="E12" i="25"/>
  <c r="AO10" i="5"/>
  <c r="E13" i="25"/>
  <c r="E11" i="25"/>
  <c r="AO10" i="7"/>
  <c r="AG13" i="25"/>
  <c r="E20" i="25"/>
  <c r="E21" i="25"/>
  <c r="E22" i="25"/>
  <c r="AO5" i="5"/>
  <c r="E18" i="25"/>
  <c r="AO3" i="5"/>
  <c r="E10" i="25"/>
  <c r="L11" i="25"/>
  <c r="S11" i="25"/>
  <c r="AG9" i="25"/>
  <c r="E9" i="25"/>
  <c r="L12" i="25"/>
  <c r="Z12" i="25"/>
  <c r="AN13" i="25"/>
  <c r="L18" i="25"/>
  <c r="L19" i="25"/>
  <c r="L20" i="25"/>
  <c r="L21" i="25"/>
  <c r="L22" i="25"/>
  <c r="K68" i="25"/>
  <c r="M77" i="25"/>
  <c r="T64" i="25"/>
  <c r="R69" i="25"/>
  <c r="L10" i="25"/>
  <c r="L14" i="25"/>
  <c r="S10" i="25"/>
  <c r="S14" i="25"/>
  <c r="Z10" i="25"/>
  <c r="Z14" i="25"/>
  <c r="AN9" i="25"/>
  <c r="AN10" i="25"/>
  <c r="AN11" i="25"/>
  <c r="AN12" i="25"/>
  <c r="K67" i="25"/>
  <c r="M76" i="25"/>
  <c r="K71" i="25"/>
  <c r="M80" i="25"/>
  <c r="K78" i="25"/>
  <c r="M69" i="25"/>
  <c r="K74" i="25"/>
  <c r="M65" i="25"/>
  <c r="R70" i="25"/>
  <c r="T65" i="25"/>
  <c r="R72" i="25"/>
  <c r="T67" i="25"/>
  <c r="Y68" i="25"/>
  <c r="AA65" i="25"/>
  <c r="AF65" i="25"/>
  <c r="AH64" i="25"/>
  <c r="M73" i="25"/>
  <c r="K64" i="25"/>
  <c r="K77" i="25"/>
  <c r="M68" i="25"/>
  <c r="AA67" i="25"/>
  <c r="Y64" i="25"/>
  <c r="AG10" i="25"/>
  <c r="AG11" i="25"/>
  <c r="AG12" i="25"/>
  <c r="K65" i="25"/>
  <c r="M74" i="25"/>
  <c r="K69" i="25"/>
  <c r="M78" i="25"/>
  <c r="K80" i="25"/>
  <c r="M71" i="25"/>
  <c r="K76" i="25"/>
  <c r="M67" i="25"/>
  <c r="T69" i="25"/>
  <c r="R64" i="25"/>
  <c r="T66" i="25"/>
  <c r="R71" i="25"/>
  <c r="AA64" i="25"/>
  <c r="Y67" i="25"/>
  <c r="AF77" i="25"/>
  <c r="AH76" i="25"/>
  <c r="K73" i="25"/>
  <c r="M64" i="25"/>
  <c r="R66" i="25"/>
  <c r="T71" i="25"/>
  <c r="AH77" i="25"/>
  <c r="AF76" i="25"/>
  <c r="L9" i="25"/>
  <c r="L13" i="25"/>
  <c r="S9" i="25"/>
  <c r="S13" i="25"/>
  <c r="Z9" i="25"/>
  <c r="Z13" i="25"/>
  <c r="K66" i="25"/>
  <c r="M75" i="25"/>
  <c r="M79" i="25"/>
  <c r="K70" i="25"/>
  <c r="M70" i="25"/>
  <c r="K79" i="25"/>
  <c r="M66" i="25"/>
  <c r="K75" i="25"/>
  <c r="R65" i="25"/>
  <c r="T70" i="25"/>
  <c r="R67" i="25"/>
  <c r="T72" i="25"/>
  <c r="Y65" i="25"/>
  <c r="AA68" i="25"/>
  <c r="AF64" i="25"/>
  <c r="AH65" i="25"/>
  <c r="AN12" i="10"/>
  <c r="AN12" i="5"/>
  <c r="AN6" i="5"/>
  <c r="AN5" i="5"/>
  <c r="AN10" i="5"/>
  <c r="AN8" i="13"/>
  <c r="AN9" i="5"/>
  <c r="A8" i="13"/>
  <c r="AN2" i="13"/>
  <c r="AO9" i="13"/>
  <c r="AO9" i="5"/>
  <c r="AN4" i="5"/>
  <c r="A9" i="5"/>
  <c r="V9" i="5" s="1"/>
  <c r="G12" i="25"/>
  <c r="A6" i="15"/>
  <c r="AO4" i="15" s="1"/>
  <c r="A9" i="17"/>
  <c r="E5" i="15"/>
  <c r="AN7" i="15"/>
  <c r="AN6" i="15"/>
  <c r="AO3" i="13"/>
  <c r="AP10" i="25"/>
  <c r="AO5" i="9"/>
  <c r="AN13" i="3"/>
  <c r="AO7" i="3"/>
  <c r="AO13" i="3"/>
  <c r="AN7" i="3"/>
  <c r="G9" i="25"/>
  <c r="AO8" i="3"/>
  <c r="AO2" i="3"/>
  <c r="AN2" i="3"/>
  <c r="AN8" i="3"/>
  <c r="R4" i="3"/>
  <c r="A6" i="3"/>
  <c r="AO10" i="3" s="1"/>
  <c r="J9" i="3"/>
  <c r="AO6" i="3"/>
  <c r="N10" i="25"/>
  <c r="AN3" i="5"/>
  <c r="AO11" i="5"/>
  <c r="AO2" i="5"/>
  <c r="R6" i="5"/>
  <c r="AN2" i="5"/>
  <c r="R8" i="5"/>
  <c r="AN8" i="5"/>
  <c r="X7" i="5"/>
  <c r="N14" i="25"/>
  <c r="E5" i="7"/>
  <c r="Q13" i="25"/>
  <c r="AN10" i="7"/>
  <c r="AN4" i="7"/>
  <c r="U6" i="7"/>
  <c r="W6" i="7" s="1"/>
  <c r="U11" i="25"/>
  <c r="U14" i="25"/>
  <c r="E7" i="7"/>
  <c r="AF7" i="7" s="1"/>
  <c r="E4" i="7"/>
  <c r="AN5" i="9"/>
  <c r="AO3" i="9"/>
  <c r="A8" i="9"/>
  <c r="AN12" i="9" s="1"/>
  <c r="AB14" i="25"/>
  <c r="AN4" i="9"/>
  <c r="AN11" i="9"/>
  <c r="AO2" i="9"/>
  <c r="AO8" i="9"/>
  <c r="AO4" i="9"/>
  <c r="E5" i="10"/>
  <c r="AN3" i="10" s="1"/>
  <c r="AN13" i="10"/>
  <c r="AN6" i="10"/>
  <c r="E6" i="10"/>
  <c r="AN10" i="10" s="1"/>
  <c r="R7" i="10"/>
  <c r="A4" i="10"/>
  <c r="AO8" i="10" s="1"/>
  <c r="L9" i="10"/>
  <c r="AO7" i="10"/>
  <c r="L8" i="10"/>
  <c r="E7" i="17"/>
  <c r="AN5" i="17" s="1"/>
  <c r="AL12" i="25"/>
  <c r="AN11" i="13"/>
  <c r="AN3" i="13"/>
  <c r="AN9" i="13"/>
  <c r="AN7" i="13"/>
  <c r="E6" i="13"/>
  <c r="V6" i="13" s="1"/>
  <c r="AN13" i="13"/>
  <c r="AN5" i="13"/>
  <c r="AB7" i="13"/>
  <c r="AD7" i="13" s="1"/>
  <c r="N5" i="13"/>
  <c r="P5" i="13" s="1"/>
  <c r="L4" i="13"/>
  <c r="E8" i="13"/>
  <c r="E6" i="15"/>
  <c r="A5" i="15"/>
  <c r="A7" i="15"/>
  <c r="AF7" i="15" s="1"/>
  <c r="AN12" i="15"/>
  <c r="AN13" i="15"/>
  <c r="H9" i="15"/>
  <c r="R8" i="15"/>
  <c r="E5" i="17"/>
  <c r="AN9" i="17" s="1"/>
  <c r="AN10" i="17"/>
  <c r="E4" i="17"/>
  <c r="AN2" i="17" s="1"/>
  <c r="E8" i="17"/>
  <c r="AO4" i="17"/>
  <c r="AE6" i="17"/>
  <c r="AN4" i="17"/>
  <c r="AO10" i="17"/>
  <c r="AO7" i="15"/>
  <c r="AO13" i="15"/>
  <c r="AO6" i="10"/>
  <c r="AO12" i="10"/>
  <c r="Y9" i="13"/>
  <c r="AO13" i="13"/>
  <c r="AO7" i="13"/>
  <c r="AO12" i="3"/>
  <c r="AO12" i="15"/>
  <c r="AO6" i="15"/>
  <c r="AO11" i="13"/>
  <c r="AO5" i="13"/>
  <c r="AO13" i="7"/>
  <c r="AF8" i="7"/>
  <c r="AO4" i="7"/>
  <c r="AO5" i="3"/>
  <c r="AO11" i="3"/>
  <c r="AO4" i="5"/>
  <c r="V6" i="17"/>
  <c r="AO8" i="17"/>
  <c r="U8" i="5"/>
  <c r="W8" i="5" s="1"/>
  <c r="S9" i="10"/>
  <c r="N8" i="5"/>
  <c r="P8" i="5" s="1"/>
  <c r="Y6" i="17"/>
  <c r="X6" i="17"/>
  <c r="X8" i="5"/>
  <c r="V9" i="10"/>
  <c r="Z5" i="13"/>
  <c r="AF6" i="7"/>
  <c r="K6" i="7"/>
  <c r="AO8" i="13"/>
  <c r="AO2" i="13"/>
  <c r="Z6" i="7"/>
  <c r="AG6" i="7"/>
  <c r="O6" i="7"/>
  <c r="Q8" i="5"/>
  <c r="AF6" i="17"/>
  <c r="S8" i="5"/>
  <c r="K9" i="10"/>
  <c r="Y5" i="13"/>
  <c r="AB6" i="17"/>
  <c r="AD6" i="17" s="1"/>
  <c r="H8" i="5"/>
  <c r="Q6" i="17"/>
  <c r="K5" i="13"/>
  <c r="G9" i="10"/>
  <c r="I9" i="10" s="1"/>
  <c r="U9" i="10"/>
  <c r="W9" i="10" s="1"/>
  <c r="AG9" i="10"/>
  <c r="R9" i="10"/>
  <c r="H5" i="13"/>
  <c r="AC9" i="10"/>
  <c r="Q9" i="10"/>
  <c r="AF8" i="5"/>
  <c r="AC8" i="7"/>
  <c r="O6" i="17"/>
  <c r="AE8" i="5"/>
  <c r="G5" i="13"/>
  <c r="I5" i="13" s="1"/>
  <c r="V8" i="5"/>
  <c r="Z9" i="10"/>
  <c r="Y9" i="10"/>
  <c r="L6" i="17"/>
  <c r="L8" i="5"/>
  <c r="AO9" i="9"/>
  <c r="L4" i="3"/>
  <c r="AE6" i="7"/>
  <c r="H4" i="3"/>
  <c r="J4" i="3"/>
  <c r="L9" i="13"/>
  <c r="L6" i="5"/>
  <c r="X4" i="3"/>
  <c r="AC6" i="7"/>
  <c r="Y6" i="7"/>
  <c r="N9" i="13"/>
  <c r="P9" i="13" s="1"/>
  <c r="V8" i="15"/>
  <c r="Y7" i="10"/>
  <c r="Z4" i="3"/>
  <c r="J6" i="17"/>
  <c r="N6" i="17"/>
  <c r="P6" i="17" s="1"/>
  <c r="O8" i="5"/>
  <c r="AB8" i="5"/>
  <c r="AD8" i="5" s="1"/>
  <c r="U5" i="13"/>
  <c r="W5" i="13" s="1"/>
  <c r="AC8" i="5"/>
  <c r="J8" i="5"/>
  <c r="AC8" i="10"/>
  <c r="H9" i="10"/>
  <c r="AE9" i="10"/>
  <c r="AG5" i="13"/>
  <c r="X9" i="10"/>
  <c r="AG8" i="5"/>
  <c r="AB9" i="10"/>
  <c r="AD9" i="10" s="1"/>
  <c r="AG6" i="17"/>
  <c r="Y8" i="5"/>
  <c r="U6" i="17"/>
  <c r="W6" i="17" s="1"/>
  <c r="G6" i="17"/>
  <c r="I6" i="17" s="1"/>
  <c r="G8" i="5"/>
  <c r="I8" i="5" s="1"/>
  <c r="J5" i="13"/>
  <c r="Q5" i="13"/>
  <c r="O5" i="13"/>
  <c r="J9" i="10"/>
  <c r="Q8" i="10"/>
  <c r="Z8" i="5"/>
  <c r="N9" i="10"/>
  <c r="P9" i="10" s="1"/>
  <c r="AF9" i="10"/>
  <c r="O9" i="10"/>
  <c r="K8" i="5"/>
  <c r="S6" i="7"/>
  <c r="X6" i="7"/>
  <c r="H6" i="7"/>
  <c r="AE4" i="3"/>
  <c r="G9" i="7"/>
  <c r="I9" i="7" s="1"/>
  <c r="AE8" i="15"/>
  <c r="AB8" i="15"/>
  <c r="AD8" i="15" s="1"/>
  <c r="G6" i="7"/>
  <c r="I6" i="7" s="1"/>
  <c r="Q6" i="7"/>
  <c r="N6" i="7"/>
  <c r="P6" i="7" s="1"/>
  <c r="L6" i="7"/>
  <c r="J6" i="7"/>
  <c r="Q4" i="3"/>
  <c r="O4" i="3"/>
  <c r="Z9" i="13"/>
  <c r="S4" i="3"/>
  <c r="Y4" i="3"/>
  <c r="S9" i="13"/>
  <c r="AE4" i="13"/>
  <c r="J4" i="13"/>
  <c r="R6" i="7"/>
  <c r="AB6" i="7"/>
  <c r="AD6" i="7" s="1"/>
  <c r="V6" i="7"/>
  <c r="O4" i="13"/>
  <c r="U4" i="13"/>
  <c r="W4" i="13" s="1"/>
  <c r="Z4" i="13"/>
  <c r="Q4" i="13"/>
  <c r="L8" i="15"/>
  <c r="J4" i="5"/>
  <c r="X4" i="13"/>
  <c r="V4" i="13"/>
  <c r="AF4" i="13"/>
  <c r="G4" i="13"/>
  <c r="I4" i="13" s="1"/>
  <c r="N4" i="13"/>
  <c r="P4" i="13" s="1"/>
  <c r="O8" i="10"/>
  <c r="S4" i="13"/>
  <c r="AB4" i="13"/>
  <c r="AD4" i="13" s="1"/>
  <c r="Y4" i="13"/>
  <c r="H4" i="13"/>
  <c r="K4" i="13"/>
  <c r="AG4" i="13"/>
  <c r="AC4" i="13"/>
  <c r="R4" i="13"/>
  <c r="R25" i="11"/>
  <c r="S26" i="11" s="1"/>
  <c r="M7" i="11" s="1"/>
  <c r="B7" i="11" s="1"/>
  <c r="AO8" i="5"/>
  <c r="V9" i="13"/>
  <c r="O9" i="13"/>
  <c r="J8" i="10"/>
  <c r="AC8" i="15"/>
  <c r="Q7" i="13"/>
  <c r="AG9" i="13"/>
  <c r="R9" i="13"/>
  <c r="N4" i="5"/>
  <c r="P4" i="5" s="1"/>
  <c r="L7" i="7"/>
  <c r="J8" i="15"/>
  <c r="K9" i="13"/>
  <c r="G8" i="15"/>
  <c r="I8" i="15" s="1"/>
  <c r="L5" i="17"/>
  <c r="Y8" i="10"/>
  <c r="AF9" i="15"/>
  <c r="X9" i="15"/>
  <c r="Y9" i="15"/>
  <c r="AE9" i="15"/>
  <c r="U9" i="15"/>
  <c r="W9" i="15" s="1"/>
  <c r="AB9" i="15"/>
  <c r="AD9" i="15" s="1"/>
  <c r="R9" i="15"/>
  <c r="N9" i="15"/>
  <c r="L9" i="15"/>
  <c r="S9" i="15"/>
  <c r="O9" i="15"/>
  <c r="J9" i="15"/>
  <c r="V9" i="15"/>
  <c r="Z9" i="15"/>
  <c r="S6" i="9"/>
  <c r="AF6" i="9"/>
  <c r="O6" i="9"/>
  <c r="Q6" i="9"/>
  <c r="AB6" i="9"/>
  <c r="AD6" i="9" s="1"/>
  <c r="J6" i="9"/>
  <c r="Z6" i="9"/>
  <c r="H6" i="9"/>
  <c r="O4" i="5"/>
  <c r="Q9" i="15"/>
  <c r="K9" i="15"/>
  <c r="K7" i="5"/>
  <c r="H7" i="5"/>
  <c r="O7" i="5"/>
  <c r="L7" i="5"/>
  <c r="AB7" i="5"/>
  <c r="AD7" i="5" s="1"/>
  <c r="J7" i="5"/>
  <c r="AF7" i="5"/>
  <c r="Q4" i="5"/>
  <c r="AC4" i="5"/>
  <c r="X4" i="5"/>
  <c r="S4" i="5"/>
  <c r="R4" i="5"/>
  <c r="AE4" i="5"/>
  <c r="U4" i="5"/>
  <c r="W4" i="5" s="1"/>
  <c r="AB4" i="5"/>
  <c r="AD4" i="5" s="1"/>
  <c r="Z4" i="5"/>
  <c r="Y4" i="5"/>
  <c r="Y9" i="3"/>
  <c r="AC9" i="3"/>
  <c r="AC9" i="15"/>
  <c r="K6" i="10"/>
  <c r="H4" i="5"/>
  <c r="V4" i="5"/>
  <c r="G4" i="5"/>
  <c r="I4" i="5" s="1"/>
  <c r="G9" i="15"/>
  <c r="I9" i="15" s="1"/>
  <c r="AC7" i="5"/>
  <c r="Y7" i="5"/>
  <c r="AG9" i="15"/>
  <c r="Q9" i="13"/>
  <c r="AE9" i="13"/>
  <c r="G9" i="13"/>
  <c r="I9" i="13" s="1"/>
  <c r="AE8" i="10"/>
  <c r="H8" i="15"/>
  <c r="O8" i="15"/>
  <c r="H7" i="13"/>
  <c r="AG8" i="15"/>
  <c r="L6" i="13"/>
  <c r="Z8" i="15"/>
  <c r="R8" i="10"/>
  <c r="U8" i="15"/>
  <c r="W8" i="15" s="1"/>
  <c r="S8" i="15"/>
  <c r="AB9" i="13"/>
  <c r="AD9" i="13" s="1"/>
  <c r="H9" i="13"/>
  <c r="J9" i="13"/>
  <c r="U9" i="13"/>
  <c r="W9" i="13" s="1"/>
  <c r="AC9" i="13"/>
  <c r="X9" i="13"/>
  <c r="AB8" i="10"/>
  <c r="AD8" i="10" s="1"/>
  <c r="J7" i="13"/>
  <c r="X8" i="15"/>
  <c r="Q8" i="15"/>
  <c r="N8" i="15"/>
  <c r="P8" i="15" s="1"/>
  <c r="AF9" i="13"/>
  <c r="AF8" i="15"/>
  <c r="Z7" i="13"/>
  <c r="Y8" i="15"/>
  <c r="K8" i="15"/>
  <c r="K4" i="3"/>
  <c r="AO9" i="3"/>
  <c r="AO3" i="3"/>
  <c r="T25" i="22"/>
  <c r="T26" i="22" s="1"/>
  <c r="F7" i="22" s="1"/>
  <c r="B7" i="22" s="1"/>
  <c r="S25" i="8"/>
  <c r="S26" i="8" s="1"/>
  <c r="M6" i="8" s="1"/>
  <c r="B6" i="8" s="1"/>
  <c r="S25" i="12"/>
  <c r="S26" i="12" s="1"/>
  <c r="M6" i="12" s="1"/>
  <c r="B6" i="12" s="1"/>
  <c r="S25" i="14"/>
  <c r="S26" i="14" s="1"/>
  <c r="M7" i="14" s="1"/>
  <c r="B7" i="14" s="1"/>
  <c r="AB6" i="5"/>
  <c r="AD6" i="5" s="1"/>
  <c r="AG8" i="7"/>
  <c r="K6" i="13"/>
  <c r="AF7" i="13"/>
  <c r="O7" i="13"/>
  <c r="R25" i="16"/>
  <c r="S26" i="16" s="1"/>
  <c r="M6" i="16" s="1"/>
  <c r="B6" i="16" s="1"/>
  <c r="AG8" i="3"/>
  <c r="Q6" i="5"/>
  <c r="O6" i="5"/>
  <c r="AF6" i="5"/>
  <c r="V6" i="5"/>
  <c r="H6" i="5"/>
  <c r="X6" i="5"/>
  <c r="K6" i="5"/>
  <c r="N6" i="5"/>
  <c r="P6" i="5" s="1"/>
  <c r="Y6" i="5"/>
  <c r="Z6" i="5"/>
  <c r="AG6" i="5"/>
  <c r="AE6" i="5"/>
  <c r="AF8" i="3"/>
  <c r="J6" i="5"/>
  <c r="S6" i="5"/>
  <c r="G6" i="5"/>
  <c r="I6" i="5" s="1"/>
  <c r="L7" i="13"/>
  <c r="G7" i="13"/>
  <c r="I7" i="13" s="1"/>
  <c r="Y7" i="13"/>
  <c r="AG7" i="13"/>
  <c r="K7" i="13"/>
  <c r="AE7" i="13"/>
  <c r="X7" i="13"/>
  <c r="N7" i="13"/>
  <c r="S7" i="13"/>
  <c r="U7" i="13"/>
  <c r="W7" i="13" s="1"/>
  <c r="V7" i="13"/>
  <c r="AC6" i="5"/>
  <c r="AC7" i="13"/>
  <c r="U6" i="5"/>
  <c r="W6" i="5" s="1"/>
  <c r="R7" i="13"/>
  <c r="R6" i="17"/>
  <c r="K6" i="17"/>
  <c r="S6" i="17"/>
  <c r="Z6" i="17"/>
  <c r="AC6" i="17"/>
  <c r="H6" i="17"/>
  <c r="R5" i="13"/>
  <c r="L5" i="13"/>
  <c r="V5" i="13"/>
  <c r="X5" i="13"/>
  <c r="AC5" i="13"/>
  <c r="AB5" i="13"/>
  <c r="S5" i="13"/>
  <c r="AF5" i="13"/>
  <c r="AE5" i="13"/>
  <c r="AG8" i="10"/>
  <c r="AF8" i="10"/>
  <c r="K8" i="10"/>
  <c r="N8" i="10"/>
  <c r="P8" i="10" s="1"/>
  <c r="H8" i="10"/>
  <c r="S8" i="10"/>
  <c r="Z8" i="10"/>
  <c r="X8" i="10"/>
  <c r="G8" i="10"/>
  <c r="I8" i="10" s="1"/>
  <c r="V8" i="10"/>
  <c r="U8" i="10"/>
  <c r="W8" i="10" s="1"/>
  <c r="R25" i="6"/>
  <c r="S25" i="6"/>
  <c r="R7" i="5"/>
  <c r="S7" i="5"/>
  <c r="U7" i="5"/>
  <c r="W7" i="5" s="1"/>
  <c r="V7" i="5"/>
  <c r="AG7" i="5"/>
  <c r="Z7" i="5"/>
  <c r="AE7" i="5"/>
  <c r="G7" i="5"/>
  <c r="I7" i="5" s="1"/>
  <c r="Q7" i="5"/>
  <c r="N7" i="5"/>
  <c r="P7" i="5" s="1"/>
  <c r="AF4" i="5"/>
  <c r="AG4" i="5"/>
  <c r="K4" i="5"/>
  <c r="L4" i="5"/>
  <c r="G9" i="3"/>
  <c r="I9" i="3" s="1"/>
  <c r="H9" i="3"/>
  <c r="Q9" i="3"/>
  <c r="AE9" i="3"/>
  <c r="AB4" i="3"/>
  <c r="AD4" i="3" s="1"/>
  <c r="G4" i="3"/>
  <c r="I4" i="3" s="1"/>
  <c r="T22" i="20"/>
  <c r="T23" i="20" s="1"/>
  <c r="F11" i="20" s="1"/>
  <c r="B11" i="20" s="1"/>
  <c r="S25" i="4"/>
  <c r="S26" i="4" s="1"/>
  <c r="M9" i="4" s="1"/>
  <c r="B9" i="4" s="1"/>
  <c r="R25" i="1"/>
  <c r="S26" i="1" s="1"/>
  <c r="M6" i="1" s="1"/>
  <c r="B6" i="1" s="1"/>
  <c r="AG4" i="3"/>
  <c r="AF4" i="3"/>
  <c r="V4" i="3"/>
  <c r="N4" i="3"/>
  <c r="P4" i="3" s="1"/>
  <c r="U4" i="3"/>
  <c r="W4" i="3" s="1"/>
  <c r="AC4" i="3"/>
  <c r="S22" i="21"/>
  <c r="T23" i="21" s="1"/>
  <c r="F7" i="21" s="1"/>
  <c r="B7" i="21" s="1"/>
  <c r="F15" i="19"/>
  <c r="B15" i="19" s="1"/>
  <c r="S7" i="9"/>
  <c r="AG7" i="9"/>
  <c r="R7" i="9"/>
  <c r="K7" i="9"/>
  <c r="Y7" i="9"/>
  <c r="L7" i="9"/>
  <c r="AF7" i="9"/>
  <c r="Z7" i="9"/>
  <c r="Q7" i="9"/>
  <c r="N7" i="9"/>
  <c r="P7" i="9" s="1"/>
  <c r="V7" i="9"/>
  <c r="J7" i="9"/>
  <c r="AB7" i="9"/>
  <c r="AD7" i="9" s="1"/>
  <c r="U7" i="9"/>
  <c r="W7" i="9" s="1"/>
  <c r="AE7" i="9"/>
  <c r="AC7" i="9"/>
  <c r="G7" i="9"/>
  <c r="I7" i="9" s="1"/>
  <c r="O7" i="9"/>
  <c r="H7" i="9"/>
  <c r="X7" i="9"/>
  <c r="K5" i="5"/>
  <c r="AG5" i="5"/>
  <c r="AF5" i="5"/>
  <c r="Z5" i="5"/>
  <c r="Y5" i="5"/>
  <c r="R5" i="5"/>
  <c r="S5" i="5"/>
  <c r="L5" i="5"/>
  <c r="V5" i="5"/>
  <c r="H5" i="5"/>
  <c r="O5" i="5"/>
  <c r="N5" i="5"/>
  <c r="J5" i="5"/>
  <c r="G5" i="5"/>
  <c r="I5" i="5" s="1"/>
  <c r="AB5" i="5"/>
  <c r="U5" i="5"/>
  <c r="W5" i="5" s="1"/>
  <c r="Q5" i="5"/>
  <c r="X5" i="5"/>
  <c r="AC5" i="5"/>
  <c r="AE5" i="5"/>
  <c r="Y4" i="9"/>
  <c r="R4" i="9"/>
  <c r="AG4" i="9"/>
  <c r="L4" i="9"/>
  <c r="N4" i="9"/>
  <c r="V4" i="9"/>
  <c r="AF4" i="9"/>
  <c r="K4" i="9"/>
  <c r="Z4" i="9"/>
  <c r="H4" i="9"/>
  <c r="AB4" i="9"/>
  <c r="S4" i="9"/>
  <c r="U4" i="9"/>
  <c r="O4" i="9"/>
  <c r="AE4" i="9"/>
  <c r="Q4" i="9"/>
  <c r="X4" i="9"/>
  <c r="AC4" i="9"/>
  <c r="J4" i="9"/>
  <c r="G4" i="9"/>
  <c r="R9" i="7"/>
  <c r="AF9" i="17"/>
  <c r="Z5" i="17"/>
  <c r="K5" i="17"/>
  <c r="K5" i="10"/>
  <c r="K5" i="9"/>
  <c r="L5" i="9"/>
  <c r="K9" i="3"/>
  <c r="S9" i="3"/>
  <c r="AG9" i="3"/>
  <c r="O9" i="3"/>
  <c r="L9" i="3"/>
  <c r="U9" i="3"/>
  <c r="Z9" i="3"/>
  <c r="AF9" i="3"/>
  <c r="R9" i="3"/>
  <c r="AB9" i="3"/>
  <c r="N9" i="3"/>
  <c r="P9" i="3" s="1"/>
  <c r="X9" i="3"/>
  <c r="V9" i="3"/>
  <c r="R6" i="9"/>
  <c r="K6" i="9"/>
  <c r="X6" i="9"/>
  <c r="V6" i="9"/>
  <c r="AE6" i="9"/>
  <c r="AG6" i="9"/>
  <c r="L6" i="9"/>
  <c r="Y6" i="9"/>
  <c r="N6" i="9"/>
  <c r="P6" i="9" s="1"/>
  <c r="G6" i="9"/>
  <c r="I6" i="9" s="1"/>
  <c r="AC6" i="9"/>
  <c r="U6" i="9"/>
  <c r="W6" i="9" s="1"/>
  <c r="AN9" i="7" l="1"/>
  <c r="AO7" i="7"/>
  <c r="AO9" i="10"/>
  <c r="AE5" i="9"/>
  <c r="U5" i="9"/>
  <c r="W5" i="9" s="1"/>
  <c r="V5" i="9"/>
  <c r="AB5" i="9"/>
  <c r="AD5" i="9" s="1"/>
  <c r="AO11" i="17"/>
  <c r="N8" i="3"/>
  <c r="P8" i="3" s="1"/>
  <c r="AO7" i="5"/>
  <c r="AO13" i="5"/>
  <c r="AF4" i="7"/>
  <c r="AO5" i="17"/>
  <c r="AG9" i="17"/>
  <c r="AA16" i="28"/>
  <c r="AB16" i="28" s="1"/>
  <c r="AO7" i="17"/>
  <c r="K7" i="17"/>
  <c r="L7" i="17"/>
  <c r="Y4" i="17"/>
  <c r="AF8" i="13"/>
  <c r="L5" i="10"/>
  <c r="AO11" i="10"/>
  <c r="AB5" i="10"/>
  <c r="AD5" i="10" s="1"/>
  <c r="S7" i="10"/>
  <c r="AO3" i="10"/>
  <c r="AO5" i="10"/>
  <c r="AO2" i="7"/>
  <c r="AO9" i="7"/>
  <c r="AO3" i="7"/>
  <c r="G5" i="7"/>
  <c r="I5" i="7" s="1"/>
  <c r="O9" i="7"/>
  <c r="T23" i="19"/>
  <c r="F7" i="19" s="1"/>
  <c r="B7" i="19" s="1"/>
  <c r="AC5" i="3"/>
  <c r="K5" i="3"/>
  <c r="N5" i="3"/>
  <c r="P5" i="3" s="1"/>
  <c r="G8" i="3"/>
  <c r="I8" i="3" s="1"/>
  <c r="J6" i="3"/>
  <c r="H5" i="3"/>
  <c r="AF5" i="3"/>
  <c r="Q5" i="3"/>
  <c r="K6" i="3"/>
  <c r="X5" i="3"/>
  <c r="U5" i="3"/>
  <c r="W5" i="3" s="1"/>
  <c r="S6" i="3"/>
  <c r="AE5" i="3"/>
  <c r="Y5" i="3"/>
  <c r="AB5" i="3"/>
  <c r="AD5" i="3" s="1"/>
  <c r="R5" i="3"/>
  <c r="O5" i="3"/>
  <c r="AN9" i="3"/>
  <c r="AN3" i="3"/>
  <c r="V5" i="3"/>
  <c r="G5" i="3"/>
  <c r="I5" i="3" s="1"/>
  <c r="J5" i="3"/>
  <c r="Z5" i="3"/>
  <c r="AG5" i="3"/>
  <c r="S5" i="3"/>
  <c r="L9" i="17"/>
  <c r="AG8" i="17"/>
  <c r="H8" i="17"/>
  <c r="Z6" i="10"/>
  <c r="R6" i="13"/>
  <c r="X18" i="34"/>
  <c r="AA18" i="34" s="1"/>
  <c r="AB18" i="34" s="1"/>
  <c r="X18" i="32"/>
  <c r="AA18" i="32" s="1"/>
  <c r="AE18" i="32" s="1"/>
  <c r="X18" i="30"/>
  <c r="AA18" i="30" s="1"/>
  <c r="AE18" i="30" s="1"/>
  <c r="X16" i="30"/>
  <c r="AB16" i="30" s="1"/>
  <c r="AA19" i="34"/>
  <c r="X19" i="34"/>
  <c r="AE16" i="34"/>
  <c r="AB16" i="34"/>
  <c r="AA16" i="32"/>
  <c r="X16" i="32"/>
  <c r="AB19" i="32" s="1"/>
  <c r="AE16" i="30"/>
  <c r="AB19" i="30"/>
  <c r="K8" i="9"/>
  <c r="H9" i="7"/>
  <c r="S8" i="9"/>
  <c r="H7" i="10"/>
  <c r="AN6" i="7"/>
  <c r="AG8" i="9"/>
  <c r="AE9" i="7"/>
  <c r="U5" i="10"/>
  <c r="W5" i="10" s="1"/>
  <c r="Y8" i="9"/>
  <c r="AO6" i="9"/>
  <c r="AO7" i="9"/>
  <c r="X9" i="7"/>
  <c r="Y8" i="7"/>
  <c r="AC9" i="7"/>
  <c r="Y5" i="7"/>
  <c r="R8" i="9"/>
  <c r="K9" i="7"/>
  <c r="J8" i="7"/>
  <c r="AB8" i="7"/>
  <c r="AD8" i="7" s="1"/>
  <c r="R8" i="7"/>
  <c r="N9" i="7"/>
  <c r="P9" i="7" s="1"/>
  <c r="U8" i="7"/>
  <c r="W8" i="7" s="1"/>
  <c r="Z5" i="7"/>
  <c r="L8" i="9"/>
  <c r="Q9" i="7"/>
  <c r="AN12" i="7"/>
  <c r="AO12" i="7"/>
  <c r="Y5" i="10"/>
  <c r="X5" i="10"/>
  <c r="AB9" i="7"/>
  <c r="AD9" i="7" s="1"/>
  <c r="X8" i="7"/>
  <c r="J5" i="7"/>
  <c r="L8" i="7"/>
  <c r="H8" i="7"/>
  <c r="AB5" i="7"/>
  <c r="AD5" i="7" s="1"/>
  <c r="L7" i="10"/>
  <c r="AG7" i="10"/>
  <c r="AO13" i="17"/>
  <c r="AO3" i="15"/>
  <c r="AC8" i="17"/>
  <c r="G8" i="7"/>
  <c r="I8" i="7" s="1"/>
  <c r="K8" i="7"/>
  <c r="V8" i="7"/>
  <c r="Z7" i="10"/>
  <c r="S9" i="7"/>
  <c r="S8" i="7"/>
  <c r="AN7" i="17"/>
  <c r="Q8" i="7"/>
  <c r="K7" i="10"/>
  <c r="AF6" i="3"/>
  <c r="Y6" i="3"/>
  <c r="R6" i="3"/>
  <c r="Z6" i="3"/>
  <c r="AC6" i="3"/>
  <c r="AG6" i="3"/>
  <c r="X6" i="3"/>
  <c r="AG9" i="5"/>
  <c r="AG10" i="5" s="1"/>
  <c r="L19" i="5" s="1"/>
  <c r="L6" i="3"/>
  <c r="AB6" i="3"/>
  <c r="AD6" i="3" s="1"/>
  <c r="X18" i="28"/>
  <c r="AA18" i="28" s="1"/>
  <c r="AA19" i="28"/>
  <c r="X19" i="28"/>
  <c r="K4" i="17"/>
  <c r="N4" i="17"/>
  <c r="P4" i="17" s="1"/>
  <c r="O4" i="17"/>
  <c r="U4" i="17"/>
  <c r="W4" i="17" s="1"/>
  <c r="L4" i="17"/>
  <c r="AF4" i="17"/>
  <c r="G4" i="17"/>
  <c r="I4" i="17" s="1"/>
  <c r="AO6" i="17"/>
  <c r="N7" i="17"/>
  <c r="P7" i="17" s="1"/>
  <c r="AN13" i="17"/>
  <c r="Z9" i="17"/>
  <c r="N9" i="17"/>
  <c r="P9" i="17" s="1"/>
  <c r="AC9" i="17"/>
  <c r="K9" i="17"/>
  <c r="R9" i="17"/>
  <c r="U9" i="17"/>
  <c r="W9" i="17" s="1"/>
  <c r="O9" i="17"/>
  <c r="X9" i="17"/>
  <c r="AO8" i="15"/>
  <c r="R4" i="15"/>
  <c r="AF6" i="10"/>
  <c r="N4" i="10"/>
  <c r="P4" i="10" s="1"/>
  <c r="AG4" i="10"/>
  <c r="O7" i="10"/>
  <c r="AF7" i="10"/>
  <c r="Z8" i="9"/>
  <c r="AF8" i="9"/>
  <c r="G7" i="7"/>
  <c r="I7" i="7" s="1"/>
  <c r="S7" i="7"/>
  <c r="R7" i="7"/>
  <c r="AB7" i="7"/>
  <c r="AD7" i="7" s="1"/>
  <c r="X7" i="7"/>
  <c r="AC7" i="7"/>
  <c r="AE7" i="7"/>
  <c r="Q7" i="7"/>
  <c r="AG7" i="7"/>
  <c r="V7" i="7"/>
  <c r="U9" i="7"/>
  <c r="W9" i="7" s="1"/>
  <c r="V9" i="7"/>
  <c r="Z4" i="7"/>
  <c r="G4" i="7"/>
  <c r="I4" i="7" s="1"/>
  <c r="U4" i="7"/>
  <c r="W4" i="7" s="1"/>
  <c r="Z8" i="7"/>
  <c r="AE8" i="7"/>
  <c r="O8" i="7"/>
  <c r="R8" i="3"/>
  <c r="K7" i="3"/>
  <c r="Y7" i="3"/>
  <c r="S7" i="3"/>
  <c r="L7" i="3"/>
  <c r="Q7" i="3"/>
  <c r="Z7" i="3"/>
  <c r="R7" i="3"/>
  <c r="H7" i="3"/>
  <c r="AF7" i="3"/>
  <c r="AG7" i="3"/>
  <c r="K8" i="3"/>
  <c r="Y8" i="3"/>
  <c r="Z8" i="3"/>
  <c r="L8" i="3"/>
  <c r="H8" i="3"/>
  <c r="S8" i="3"/>
  <c r="U7" i="17"/>
  <c r="W7" i="17" s="1"/>
  <c r="G7" i="17"/>
  <c r="I7" i="17" s="1"/>
  <c r="V9" i="17"/>
  <c r="G9" i="17"/>
  <c r="I9" i="17" s="1"/>
  <c r="J9" i="17"/>
  <c r="Q9" i="17"/>
  <c r="AE7" i="17"/>
  <c r="J7" i="17"/>
  <c r="S9" i="17"/>
  <c r="H7" i="17"/>
  <c r="AC7" i="17"/>
  <c r="O7" i="17"/>
  <c r="S7" i="17"/>
  <c r="S8" i="17"/>
  <c r="AF7" i="17"/>
  <c r="AG7" i="17"/>
  <c r="Y9" i="17"/>
  <c r="X7" i="17"/>
  <c r="V7" i="17"/>
  <c r="H9" i="17"/>
  <c r="R7" i="17"/>
  <c r="Y7" i="17"/>
  <c r="AE9" i="17"/>
  <c r="Q7" i="17"/>
  <c r="AB9" i="17"/>
  <c r="AD9" i="17" s="1"/>
  <c r="AB7" i="17"/>
  <c r="AD7" i="17" s="1"/>
  <c r="Y5" i="17"/>
  <c r="Z7" i="17"/>
  <c r="AG4" i="15"/>
  <c r="Z4" i="15"/>
  <c r="O4" i="15"/>
  <c r="Y4" i="15"/>
  <c r="K4" i="15"/>
  <c r="L4" i="15"/>
  <c r="AN11" i="15"/>
  <c r="S4" i="15"/>
  <c r="H5" i="15"/>
  <c r="Z6" i="13"/>
  <c r="AO10" i="10"/>
  <c r="AN11" i="10"/>
  <c r="AO4" i="10"/>
  <c r="L6" i="10"/>
  <c r="Y5" i="9"/>
  <c r="H5" i="9"/>
  <c r="AO13" i="9"/>
  <c r="L9" i="9"/>
  <c r="AO12" i="9"/>
  <c r="AF9" i="9"/>
  <c r="O5" i="9"/>
  <c r="S9" i="9"/>
  <c r="AG5" i="9"/>
  <c r="S5" i="9"/>
  <c r="R5" i="9"/>
  <c r="Y9" i="9"/>
  <c r="Z9" i="9"/>
  <c r="R9" i="9"/>
  <c r="AF5" i="9"/>
  <c r="K9" i="9"/>
  <c r="Z5" i="9"/>
  <c r="AG9" i="9"/>
  <c r="G5" i="9"/>
  <c r="I5" i="9" s="1"/>
  <c r="R5" i="7"/>
  <c r="H5" i="7"/>
  <c r="N5" i="7"/>
  <c r="P5" i="7" s="1"/>
  <c r="Q5" i="7"/>
  <c r="V5" i="7"/>
  <c r="X5" i="7"/>
  <c r="S5" i="7"/>
  <c r="AG5" i="7"/>
  <c r="O5" i="7"/>
  <c r="S4" i="7"/>
  <c r="AF5" i="7"/>
  <c r="U5" i="7"/>
  <c r="W5" i="7" s="1"/>
  <c r="AC5" i="7"/>
  <c r="K5" i="7"/>
  <c r="AE5" i="7"/>
  <c r="Y4" i="7"/>
  <c r="O7" i="7"/>
  <c r="L5" i="7"/>
  <c r="AG4" i="7"/>
  <c r="N8" i="7"/>
  <c r="P8" i="7" s="1"/>
  <c r="X9" i="5"/>
  <c r="X10" i="5" s="1"/>
  <c r="J18" i="5" s="1"/>
  <c r="S9" i="5"/>
  <c r="S10" i="5" s="1"/>
  <c r="L17" i="5" s="1"/>
  <c r="F14" i="22"/>
  <c r="B14" i="22" s="1"/>
  <c r="H7" i="15"/>
  <c r="O7" i="15"/>
  <c r="G7" i="10"/>
  <c r="I7" i="10" s="1"/>
  <c r="U7" i="10"/>
  <c r="W7" i="10" s="1"/>
  <c r="N7" i="10"/>
  <c r="P7" i="10" s="1"/>
  <c r="AN5" i="10"/>
  <c r="AB7" i="10"/>
  <c r="AD7" i="10" s="1"/>
  <c r="AC7" i="10"/>
  <c r="V7" i="10"/>
  <c r="X7" i="10"/>
  <c r="J7" i="10"/>
  <c r="AE7" i="10"/>
  <c r="N6" i="13"/>
  <c r="P6" i="13" s="1"/>
  <c r="X6" i="13"/>
  <c r="J8" i="9"/>
  <c r="G8" i="9"/>
  <c r="I8" i="9" s="1"/>
  <c r="N8" i="9"/>
  <c r="P8" i="9" s="1"/>
  <c r="AE8" i="9"/>
  <c r="AB8" i="9"/>
  <c r="AD8" i="9" s="1"/>
  <c r="AN6" i="9"/>
  <c r="U8" i="9"/>
  <c r="W8" i="9" s="1"/>
  <c r="Q8" i="9"/>
  <c r="X4" i="15"/>
  <c r="V4" i="15"/>
  <c r="AN2" i="15"/>
  <c r="U4" i="15"/>
  <c r="W4" i="15" s="1"/>
  <c r="J4" i="15"/>
  <c r="AC4" i="15"/>
  <c r="AE5" i="10"/>
  <c r="V8" i="9"/>
  <c r="O8" i="9"/>
  <c r="AC8" i="9"/>
  <c r="X8" i="9"/>
  <c r="AB9" i="9"/>
  <c r="AD9" i="9" s="1"/>
  <c r="O9" i="9"/>
  <c r="U9" i="9"/>
  <c r="W9" i="9" s="1"/>
  <c r="AC9" i="9"/>
  <c r="X9" i="9"/>
  <c r="AN7" i="9"/>
  <c r="AE9" i="9"/>
  <c r="AN13" i="9"/>
  <c r="J9" i="9"/>
  <c r="V9" i="9"/>
  <c r="Q9" i="9"/>
  <c r="H9" i="9"/>
  <c r="G9" i="9"/>
  <c r="I9" i="9" s="1"/>
  <c r="L8" i="17"/>
  <c r="X4" i="17"/>
  <c r="AF8" i="17"/>
  <c r="R8" i="17"/>
  <c r="J5" i="17"/>
  <c r="AO12" i="17"/>
  <c r="Z7" i="15"/>
  <c r="G7" i="15"/>
  <c r="I7" i="15" s="1"/>
  <c r="AG7" i="15"/>
  <c r="Y7" i="15"/>
  <c r="J7" i="15"/>
  <c r="L7" i="15"/>
  <c r="S7" i="15"/>
  <c r="Q7" i="15"/>
  <c r="X7" i="15"/>
  <c r="N7" i="15"/>
  <c r="P7" i="15" s="1"/>
  <c r="V7" i="15"/>
  <c r="AB7" i="15"/>
  <c r="AD7" i="15" s="1"/>
  <c r="R7" i="15"/>
  <c r="AC7" i="15"/>
  <c r="U7" i="15"/>
  <c r="W7" i="15" s="1"/>
  <c r="AO5" i="15"/>
  <c r="AE7" i="15"/>
  <c r="J5" i="15"/>
  <c r="AF4" i="15"/>
  <c r="R6" i="15"/>
  <c r="N4" i="15"/>
  <c r="P4" i="15" s="1"/>
  <c r="AE4" i="15"/>
  <c r="G4" i="15"/>
  <c r="I4" i="15" s="1"/>
  <c r="Q4" i="15"/>
  <c r="AB4" i="15"/>
  <c r="AD4" i="15" s="1"/>
  <c r="AN10" i="15"/>
  <c r="AF6" i="15"/>
  <c r="AO2" i="15"/>
  <c r="AG6" i="15"/>
  <c r="H4" i="15"/>
  <c r="AG8" i="13"/>
  <c r="S8" i="13"/>
  <c r="V6" i="10"/>
  <c r="O6" i="10"/>
  <c r="X6" i="10"/>
  <c r="Q6" i="10"/>
  <c r="AG6" i="10"/>
  <c r="U4" i="10"/>
  <c r="W4" i="10" s="1"/>
  <c r="S6" i="10"/>
  <c r="H4" i="10"/>
  <c r="G6" i="10"/>
  <c r="I6" i="10" s="1"/>
  <c r="H6" i="10"/>
  <c r="J6" i="10"/>
  <c r="AC6" i="10"/>
  <c r="AE6" i="10"/>
  <c r="AB6" i="10"/>
  <c r="AD6" i="10" s="1"/>
  <c r="J5" i="9"/>
  <c r="Q5" i="9"/>
  <c r="X5" i="9"/>
  <c r="AN3" i="9"/>
  <c r="N5" i="9"/>
  <c r="P5" i="9" s="1"/>
  <c r="AC5" i="9"/>
  <c r="AF9" i="7"/>
  <c r="Y9" i="7"/>
  <c r="AG9" i="7"/>
  <c r="Z9" i="7"/>
  <c r="L9" i="7"/>
  <c r="J9" i="7"/>
  <c r="AN13" i="7"/>
  <c r="L4" i="7"/>
  <c r="K4" i="7"/>
  <c r="X4" i="7"/>
  <c r="J4" i="7"/>
  <c r="AO8" i="7"/>
  <c r="AN8" i="7"/>
  <c r="AE4" i="7"/>
  <c r="R4" i="7"/>
  <c r="V4" i="7"/>
  <c r="AB4" i="7"/>
  <c r="AD4" i="7" s="1"/>
  <c r="Q4" i="7"/>
  <c r="H4" i="7"/>
  <c r="O4" i="7"/>
  <c r="AC4" i="7"/>
  <c r="N4" i="7"/>
  <c r="P4" i="7" s="1"/>
  <c r="AE9" i="5"/>
  <c r="AE10" i="5" s="1"/>
  <c r="J19" i="5" s="1"/>
  <c r="Y9" i="5"/>
  <c r="Y10" i="5" s="1"/>
  <c r="K18" i="5" s="1"/>
  <c r="K9" i="5"/>
  <c r="K10" i="5" s="1"/>
  <c r="K16" i="5" s="1"/>
  <c r="AE7" i="3"/>
  <c r="AC7" i="3"/>
  <c r="N7" i="3"/>
  <c r="P7" i="3" s="1"/>
  <c r="AN11" i="3"/>
  <c r="X7" i="3"/>
  <c r="AB7" i="3"/>
  <c r="AD7" i="3" s="1"/>
  <c r="U7" i="3"/>
  <c r="W7" i="3" s="1"/>
  <c r="AN5" i="3"/>
  <c r="V7" i="3"/>
  <c r="J7" i="3"/>
  <c r="O7" i="3"/>
  <c r="AB8" i="3"/>
  <c r="AD8" i="3" s="1"/>
  <c r="O6" i="3"/>
  <c r="J8" i="3"/>
  <c r="AE6" i="3"/>
  <c r="X8" i="3"/>
  <c r="O8" i="3"/>
  <c r="Q8" i="3"/>
  <c r="AN12" i="3"/>
  <c r="AC8" i="3"/>
  <c r="N6" i="3"/>
  <c r="P6" i="3" s="1"/>
  <c r="AN6" i="3"/>
  <c r="AE8" i="3"/>
  <c r="V8" i="3"/>
  <c r="V6" i="3"/>
  <c r="Q6" i="3"/>
  <c r="H6" i="3"/>
  <c r="G6" i="3"/>
  <c r="I6" i="3" s="1"/>
  <c r="U6" i="3"/>
  <c r="W6" i="3" s="1"/>
  <c r="AG5" i="10"/>
  <c r="Z5" i="10"/>
  <c r="L8" i="13"/>
  <c r="L10" i="13" s="1"/>
  <c r="L16" i="13" s="1"/>
  <c r="N8" i="17"/>
  <c r="P8" i="17" s="1"/>
  <c r="AC5" i="10"/>
  <c r="G5" i="10"/>
  <c r="I5" i="10" s="1"/>
  <c r="Y5" i="15"/>
  <c r="O4" i="10"/>
  <c r="Y4" i="10"/>
  <c r="S5" i="10"/>
  <c r="Y8" i="17"/>
  <c r="AF4" i="10"/>
  <c r="K4" i="10"/>
  <c r="N5" i="15"/>
  <c r="P5" i="15" s="1"/>
  <c r="O6" i="15"/>
  <c r="Q6" i="15"/>
  <c r="O8" i="17"/>
  <c r="J8" i="17"/>
  <c r="X8" i="17"/>
  <c r="AO10" i="15"/>
  <c r="K7" i="15"/>
  <c r="AO4" i="3"/>
  <c r="AO10" i="13"/>
  <c r="AE8" i="17"/>
  <c r="R5" i="10"/>
  <c r="O5" i="10"/>
  <c r="Z8" i="17"/>
  <c r="AB4" i="10"/>
  <c r="AD4" i="10" s="1"/>
  <c r="R4" i="10"/>
  <c r="AG5" i="15"/>
  <c r="G5" i="15"/>
  <c r="I5" i="15" s="1"/>
  <c r="N6" i="15"/>
  <c r="P6" i="15" s="1"/>
  <c r="U5" i="15"/>
  <c r="W5" i="15" s="1"/>
  <c r="AB8" i="17"/>
  <c r="AD8" i="17" s="1"/>
  <c r="AO2" i="17"/>
  <c r="AO4" i="13"/>
  <c r="AE4" i="10"/>
  <c r="H5" i="10"/>
  <c r="Q5" i="10"/>
  <c r="K8" i="17"/>
  <c r="AF5" i="10"/>
  <c r="AC4" i="10"/>
  <c r="Z4" i="10"/>
  <c r="Y6" i="15"/>
  <c r="K6" i="15"/>
  <c r="H6" i="15"/>
  <c r="U8" i="17"/>
  <c r="W8" i="17" s="1"/>
  <c r="J5" i="10"/>
  <c r="G8" i="17"/>
  <c r="I8" i="17" s="1"/>
  <c r="O8" i="13"/>
  <c r="G4" i="10"/>
  <c r="I4" i="10" s="1"/>
  <c r="Z5" i="15"/>
  <c r="O5" i="15"/>
  <c r="V5" i="10"/>
  <c r="N5" i="10"/>
  <c r="P5" i="10" s="1"/>
  <c r="AB5" i="15"/>
  <c r="AD5" i="15" s="1"/>
  <c r="L4" i="10"/>
  <c r="J4" i="10"/>
  <c r="S4" i="10"/>
  <c r="Z6" i="15"/>
  <c r="L6" i="15"/>
  <c r="S6" i="15"/>
  <c r="V8" i="17"/>
  <c r="AO9" i="17"/>
  <c r="AN3" i="7"/>
  <c r="AO3" i="17"/>
  <c r="F27" i="19"/>
  <c r="B27" i="19" s="1"/>
  <c r="M7" i="1"/>
  <c r="B7" i="1" s="1"/>
  <c r="J8" i="13"/>
  <c r="AB8" i="13"/>
  <c r="AD8" i="13" s="1"/>
  <c r="N8" i="13"/>
  <c r="P8" i="13" s="1"/>
  <c r="V8" i="13"/>
  <c r="V10" i="13" s="1"/>
  <c r="H18" i="13" s="1"/>
  <c r="AC8" i="13"/>
  <c r="U9" i="5"/>
  <c r="W9" i="5" s="1"/>
  <c r="W10" i="5" s="1"/>
  <c r="I18" i="5" s="1"/>
  <c r="AN7" i="5"/>
  <c r="AB6" i="13"/>
  <c r="AD6" i="13" s="1"/>
  <c r="G6" i="13"/>
  <c r="I6" i="13" s="1"/>
  <c r="Q6" i="13"/>
  <c r="G5" i="17"/>
  <c r="I5" i="17" s="1"/>
  <c r="Q5" i="17"/>
  <c r="X4" i="10"/>
  <c r="V4" i="10"/>
  <c r="Q4" i="10"/>
  <c r="U6" i="15"/>
  <c r="W6" i="15" s="1"/>
  <c r="AE6" i="15"/>
  <c r="X6" i="15"/>
  <c r="V6" i="15"/>
  <c r="AC6" i="15"/>
  <c r="G6" i="15"/>
  <c r="I6" i="15" s="1"/>
  <c r="J6" i="15"/>
  <c r="AB6" i="15"/>
  <c r="AD6" i="15" s="1"/>
  <c r="H9" i="5"/>
  <c r="H10" i="5" s="1"/>
  <c r="H16" i="5" s="1"/>
  <c r="Z9" i="5"/>
  <c r="Z10" i="5" s="1"/>
  <c r="L18" i="5" s="1"/>
  <c r="AF9" i="5"/>
  <c r="AF10" i="5" s="1"/>
  <c r="K19" i="5" s="1"/>
  <c r="L9" i="5"/>
  <c r="L10" i="5" s="1"/>
  <c r="L16" i="5" s="1"/>
  <c r="O9" i="5"/>
  <c r="O10" i="5" s="1"/>
  <c r="H17" i="5" s="1"/>
  <c r="R9" i="5"/>
  <c r="R10" i="5" s="1"/>
  <c r="K17" i="5" s="1"/>
  <c r="AN13" i="5"/>
  <c r="AB9" i="5"/>
  <c r="AD9" i="5" s="1"/>
  <c r="N9" i="5"/>
  <c r="P9" i="5" s="1"/>
  <c r="J9" i="5"/>
  <c r="J10" i="5" s="1"/>
  <c r="J16" i="5" s="1"/>
  <c r="Q9" i="5"/>
  <c r="Q10" i="5" s="1"/>
  <c r="J17" i="5" s="1"/>
  <c r="G9" i="5"/>
  <c r="I9" i="5" s="1"/>
  <c r="I10" i="5" s="1"/>
  <c r="I16" i="5" s="1"/>
  <c r="AC9" i="5"/>
  <c r="AC10" i="5" s="1"/>
  <c r="H19" i="5" s="1"/>
  <c r="R5" i="17"/>
  <c r="AB5" i="17"/>
  <c r="AD5" i="17" s="1"/>
  <c r="AC5" i="17"/>
  <c r="AG5" i="17"/>
  <c r="X5" i="17"/>
  <c r="H5" i="17"/>
  <c r="U5" i="17"/>
  <c r="V5" i="17"/>
  <c r="N5" i="17"/>
  <c r="P5" i="17" s="1"/>
  <c r="AE5" i="17"/>
  <c r="AN3" i="17"/>
  <c r="O5" i="17"/>
  <c r="AF5" i="17"/>
  <c r="S5" i="17"/>
  <c r="AN11" i="17"/>
  <c r="AN9" i="15"/>
  <c r="K5" i="15"/>
  <c r="Q5" i="15"/>
  <c r="AN3" i="15"/>
  <c r="S5" i="15"/>
  <c r="V5" i="15"/>
  <c r="AC5" i="15"/>
  <c r="L5" i="15"/>
  <c r="X5" i="15"/>
  <c r="AE5" i="15"/>
  <c r="AF5" i="15"/>
  <c r="R5" i="15"/>
  <c r="AO9" i="15"/>
  <c r="AO11" i="15"/>
  <c r="AN10" i="3"/>
  <c r="AN4" i="3"/>
  <c r="AN5" i="7"/>
  <c r="AN11" i="7"/>
  <c r="Y7" i="7"/>
  <c r="Z7" i="7"/>
  <c r="U7" i="7"/>
  <c r="W7" i="7" s="1"/>
  <c r="J7" i="7"/>
  <c r="K7" i="7"/>
  <c r="AN2" i="7"/>
  <c r="N7" i="7"/>
  <c r="P7" i="7" s="1"/>
  <c r="H7" i="7"/>
  <c r="H8" i="9"/>
  <c r="AN9" i="10"/>
  <c r="R6" i="10"/>
  <c r="U6" i="10"/>
  <c r="W6" i="10" s="1"/>
  <c r="Y6" i="10"/>
  <c r="N6" i="10"/>
  <c r="P6" i="10" s="1"/>
  <c r="AN4" i="10"/>
  <c r="AN8" i="10"/>
  <c r="AO2" i="10"/>
  <c r="AN2" i="10"/>
  <c r="Q8" i="17"/>
  <c r="AE4" i="17"/>
  <c r="Z4" i="17"/>
  <c r="J4" i="17"/>
  <c r="H4" i="17"/>
  <c r="AC4" i="17"/>
  <c r="AG4" i="17"/>
  <c r="R4" i="17"/>
  <c r="AB4" i="17"/>
  <c r="AD4" i="17" s="1"/>
  <c r="V4" i="17"/>
  <c r="Q4" i="17"/>
  <c r="S4" i="17"/>
  <c r="AN8" i="17"/>
  <c r="S6" i="13"/>
  <c r="Y6" i="13"/>
  <c r="AE6" i="13"/>
  <c r="U6" i="13"/>
  <c r="W6" i="13" s="1"/>
  <c r="J6" i="13"/>
  <c r="AN10" i="13"/>
  <c r="AN4" i="13"/>
  <c r="AC6" i="13"/>
  <c r="O6" i="13"/>
  <c r="AG6" i="13"/>
  <c r="AF6" i="13"/>
  <c r="H6" i="13"/>
  <c r="U8" i="13"/>
  <c r="W8" i="13" s="1"/>
  <c r="R8" i="13"/>
  <c r="Z8" i="13"/>
  <c r="H8" i="13"/>
  <c r="G8" i="13"/>
  <c r="I8" i="13" s="1"/>
  <c r="AN6" i="13"/>
  <c r="AN12" i="13"/>
  <c r="AO12" i="13"/>
  <c r="AO6" i="13"/>
  <c r="X8" i="13"/>
  <c r="Y8" i="13"/>
  <c r="AE8" i="13"/>
  <c r="Q8" i="13"/>
  <c r="K8" i="13"/>
  <c r="K10" i="13" s="1"/>
  <c r="K16" i="13" s="1"/>
  <c r="AN4" i="15"/>
  <c r="AN5" i="15"/>
  <c r="AN12" i="17"/>
  <c r="AN6" i="17"/>
  <c r="F11" i="21"/>
  <c r="B11" i="21" s="1"/>
  <c r="F15" i="20"/>
  <c r="B15" i="20" s="1"/>
  <c r="F19" i="20"/>
  <c r="B19" i="20" s="1"/>
  <c r="F7" i="20"/>
  <c r="B7" i="20" s="1"/>
  <c r="F35" i="19"/>
  <c r="B35" i="19" s="1"/>
  <c r="F31" i="19"/>
  <c r="B31" i="19" s="1"/>
  <c r="F23" i="19"/>
  <c r="B23" i="19" s="1"/>
  <c r="F19" i="19"/>
  <c r="B19" i="19" s="1"/>
  <c r="M10" i="16"/>
  <c r="B10" i="16" s="1"/>
  <c r="M11" i="16"/>
  <c r="B11" i="16" s="1"/>
  <c r="M11" i="14"/>
  <c r="B11" i="14" s="1"/>
  <c r="M10" i="14"/>
  <c r="B10" i="14" s="1"/>
  <c r="M10" i="12"/>
  <c r="B10" i="12" s="1"/>
  <c r="M11" i="11"/>
  <c r="B11" i="11" s="1"/>
  <c r="M10" i="11"/>
  <c r="B10" i="11" s="1"/>
  <c r="M11" i="12"/>
  <c r="B11" i="12" s="1"/>
  <c r="M11" i="8"/>
  <c r="B11" i="8" s="1"/>
  <c r="M10" i="8"/>
  <c r="B10" i="8" s="1"/>
  <c r="M11" i="1"/>
  <c r="B11" i="1" s="1"/>
  <c r="M10" i="1"/>
  <c r="B10" i="1" s="1"/>
  <c r="M10" i="4"/>
  <c r="B10" i="4" s="1"/>
  <c r="M11" i="4"/>
  <c r="B11" i="4" s="1"/>
  <c r="M9" i="14"/>
  <c r="B9" i="14" s="1"/>
  <c r="M8" i="16"/>
  <c r="B8" i="16" s="1"/>
  <c r="M9" i="16"/>
  <c r="B9" i="16" s="1"/>
  <c r="M8" i="14"/>
  <c r="B8" i="14" s="1"/>
  <c r="M9" i="12"/>
  <c r="B9" i="12" s="1"/>
  <c r="M8" i="12"/>
  <c r="B8" i="12" s="1"/>
  <c r="M9" i="11"/>
  <c r="B9" i="11" s="1"/>
  <c r="M9" i="8"/>
  <c r="B9" i="8" s="1"/>
  <c r="M8" i="11"/>
  <c r="B8" i="11" s="1"/>
  <c r="M8" i="8"/>
  <c r="B8" i="8" s="1"/>
  <c r="M8" i="4"/>
  <c r="B8" i="4" s="1"/>
  <c r="M9" i="1"/>
  <c r="B9" i="1" s="1"/>
  <c r="M7" i="16"/>
  <c r="B7" i="16" s="1"/>
  <c r="M8" i="1"/>
  <c r="B8" i="1" s="1"/>
  <c r="M6" i="14"/>
  <c r="B6" i="14" s="1"/>
  <c r="M7" i="12"/>
  <c r="B7" i="12" s="1"/>
  <c r="M6" i="11"/>
  <c r="B6" i="11" s="1"/>
  <c r="M7" i="8"/>
  <c r="B7" i="8" s="1"/>
  <c r="V10" i="5"/>
  <c r="H18" i="5" s="1"/>
  <c r="P9" i="15"/>
  <c r="S26" i="6"/>
  <c r="M6" i="4"/>
  <c r="B6" i="4" s="1"/>
  <c r="M7" i="4"/>
  <c r="B7" i="4" s="1"/>
  <c r="P7" i="13"/>
  <c r="AD5" i="13"/>
  <c r="AD5" i="5"/>
  <c r="P4" i="9"/>
  <c r="I4" i="9"/>
  <c r="AD9" i="3"/>
  <c r="P5" i="5"/>
  <c r="AD4" i="9"/>
  <c r="W9" i="3"/>
  <c r="W4" i="9"/>
  <c r="AF10" i="13" l="1"/>
  <c r="K19" i="13" s="1"/>
  <c r="F11" i="19"/>
  <c r="B11" i="19" s="1"/>
  <c r="AE16" i="28"/>
  <c r="AF16" i="28" s="1"/>
  <c r="R10" i="13"/>
  <c r="K17" i="13" s="1"/>
  <c r="I10" i="3"/>
  <c r="I16" i="3" s="1"/>
  <c r="AB19" i="34"/>
  <c r="AA17" i="34"/>
  <c r="AB17" i="34" s="1"/>
  <c r="AE18" i="34"/>
  <c r="AA17" i="32"/>
  <c r="AB17" i="32" s="1"/>
  <c r="AE17" i="32" s="1"/>
  <c r="AB18" i="30"/>
  <c r="AA17" i="30"/>
  <c r="AB17" i="30" s="1"/>
  <c r="AE17" i="30" s="1"/>
  <c r="AI17" i="30" s="1"/>
  <c r="AF10" i="3"/>
  <c r="K19" i="3" s="1"/>
  <c r="I10" i="7"/>
  <c r="I16" i="7" s="1"/>
  <c r="Z10" i="13"/>
  <c r="L18" i="13" s="1"/>
  <c r="AF10" i="9"/>
  <c r="K19" i="9" s="1"/>
  <c r="AB18" i="32"/>
  <c r="AI16" i="34"/>
  <c r="AF16" i="34"/>
  <c r="AE16" i="32"/>
  <c r="AB16" i="32"/>
  <c r="AI16" i="30"/>
  <c r="AF16" i="30"/>
  <c r="K10" i="10"/>
  <c r="K16" i="10" s="1"/>
  <c r="S10" i="9"/>
  <c r="L17" i="9" s="1"/>
  <c r="G10" i="7"/>
  <c r="G16" i="7" s="1"/>
  <c r="K10" i="9"/>
  <c r="K16" i="9" s="1"/>
  <c r="AC10" i="7"/>
  <c r="H19" i="7" s="1"/>
  <c r="AB19" i="28"/>
  <c r="V10" i="7"/>
  <c r="H18" i="7" s="1"/>
  <c r="L10" i="9"/>
  <c r="L16" i="9" s="1"/>
  <c r="K10" i="17"/>
  <c r="K16" i="17" s="1"/>
  <c r="AG10" i="3"/>
  <c r="L19" i="3" s="1"/>
  <c r="AA17" i="28"/>
  <c r="AB17" i="28" s="1"/>
  <c r="L10" i="3"/>
  <c r="L16" i="3" s="1"/>
  <c r="R10" i="3"/>
  <c r="K17" i="3" s="1"/>
  <c r="K10" i="3"/>
  <c r="K16" i="3" s="1"/>
  <c r="AE18" i="28"/>
  <c r="AB18" i="28"/>
  <c r="Y10" i="3"/>
  <c r="K18" i="3" s="1"/>
  <c r="S10" i="3"/>
  <c r="L17" i="3" s="1"/>
  <c r="S10" i="7"/>
  <c r="L17" i="7" s="1"/>
  <c r="L10" i="17"/>
  <c r="L16" i="17" s="1"/>
  <c r="L10" i="10"/>
  <c r="L16" i="10" s="1"/>
  <c r="Z10" i="9"/>
  <c r="L18" i="9" s="1"/>
  <c r="R10" i="9"/>
  <c r="K17" i="9" s="1"/>
  <c r="AG10" i="9"/>
  <c r="L19" i="9" s="1"/>
  <c r="Y10" i="9"/>
  <c r="K18" i="9" s="1"/>
  <c r="AD10" i="7"/>
  <c r="I19" i="7" s="1"/>
  <c r="X10" i="7"/>
  <c r="J18" i="7" s="1"/>
  <c r="R10" i="7"/>
  <c r="K17" i="7" s="1"/>
  <c r="AG10" i="7"/>
  <c r="L19" i="7" s="1"/>
  <c r="AE10" i="7"/>
  <c r="J19" i="7" s="1"/>
  <c r="Z10" i="3"/>
  <c r="L18" i="3" s="1"/>
  <c r="H10" i="3"/>
  <c r="H16" i="3" s="1"/>
  <c r="Y10" i="17"/>
  <c r="K18" i="17" s="1"/>
  <c r="J10" i="13"/>
  <c r="J16" i="13" s="1"/>
  <c r="AF10" i="7"/>
  <c r="K19" i="7" s="1"/>
  <c r="O10" i="7"/>
  <c r="H17" i="7" s="1"/>
  <c r="Q10" i="7"/>
  <c r="J17" i="7" s="1"/>
  <c r="U10" i="17"/>
  <c r="G18" i="17" s="1"/>
  <c r="P10" i="7"/>
  <c r="I17" i="7" s="1"/>
  <c r="Q10" i="3"/>
  <c r="J17" i="3" s="1"/>
  <c r="H10" i="7"/>
  <c r="H16" i="7" s="1"/>
  <c r="AB10" i="9"/>
  <c r="G19" i="9" s="1"/>
  <c r="X10" i="13"/>
  <c r="J18" i="13" s="1"/>
  <c r="X10" i="10"/>
  <c r="J18" i="10" s="1"/>
  <c r="AD10" i="9"/>
  <c r="I19" i="9" s="1"/>
  <c r="AE10" i="9"/>
  <c r="J19" i="9" s="1"/>
  <c r="X10" i="9"/>
  <c r="J18" i="9" s="1"/>
  <c r="I10" i="9"/>
  <c r="I16" i="9" s="1"/>
  <c r="G10" i="9"/>
  <c r="G16" i="9" s="1"/>
  <c r="R10" i="15"/>
  <c r="K17" i="15" s="1"/>
  <c r="P10" i="10"/>
  <c r="I17" i="10" s="1"/>
  <c r="V10" i="9"/>
  <c r="H18" i="9" s="1"/>
  <c r="O10" i="9"/>
  <c r="H17" i="9" s="1"/>
  <c r="U10" i="9"/>
  <c r="G18" i="9" s="1"/>
  <c r="AC10" i="9"/>
  <c r="Q10" i="9"/>
  <c r="J17" i="9" s="1"/>
  <c r="W10" i="9"/>
  <c r="I18" i="9" s="1"/>
  <c r="H10" i="9"/>
  <c r="H16" i="9" s="1"/>
  <c r="J10" i="9"/>
  <c r="J16" i="9" s="1"/>
  <c r="AE10" i="10"/>
  <c r="J19" i="10" s="1"/>
  <c r="S10" i="13"/>
  <c r="L17" i="13" s="1"/>
  <c r="AF10" i="17"/>
  <c r="K19" i="17" s="1"/>
  <c r="H10" i="15"/>
  <c r="H16" i="15" s="1"/>
  <c r="J10" i="15"/>
  <c r="J16" i="15" s="1"/>
  <c r="AG10" i="15"/>
  <c r="L19" i="15" s="1"/>
  <c r="AF10" i="15"/>
  <c r="K19" i="15" s="1"/>
  <c r="H10" i="10"/>
  <c r="H16" i="10" s="1"/>
  <c r="AG10" i="10"/>
  <c r="L19" i="10" s="1"/>
  <c r="AB10" i="7"/>
  <c r="G19" i="7" s="1"/>
  <c r="P10" i="9"/>
  <c r="I17" i="9" s="1"/>
  <c r="AG10" i="13"/>
  <c r="L19" i="13" s="1"/>
  <c r="Z10" i="7"/>
  <c r="L18" i="7" s="1"/>
  <c r="J10" i="17"/>
  <c r="J16" i="17" s="1"/>
  <c r="N10" i="9"/>
  <c r="G17" i="9" s="1"/>
  <c r="L10" i="7"/>
  <c r="L16" i="7" s="1"/>
  <c r="Z10" i="15"/>
  <c r="L18" i="15" s="1"/>
  <c r="J10" i="7"/>
  <c r="J16" i="7" s="1"/>
  <c r="Y10" i="7"/>
  <c r="K18" i="7" s="1"/>
  <c r="K10" i="7"/>
  <c r="K16" i="7" s="1"/>
  <c r="AD10" i="10"/>
  <c r="Z10" i="17"/>
  <c r="L18" i="17" s="1"/>
  <c r="AB10" i="10"/>
  <c r="G19" i="10" s="1"/>
  <c r="G10" i="10"/>
  <c r="G16" i="10" s="1"/>
  <c r="AC10" i="10"/>
  <c r="H19" i="10" s="1"/>
  <c r="P10" i="17"/>
  <c r="I17" i="17" s="1"/>
  <c r="AF10" i="10"/>
  <c r="K19" i="10" s="1"/>
  <c r="N10" i="3"/>
  <c r="G17" i="3" s="1"/>
  <c r="J10" i="3"/>
  <c r="J16" i="3" s="1"/>
  <c r="J10" i="10"/>
  <c r="J16" i="10" s="1"/>
  <c r="O10" i="10"/>
  <c r="H17" i="10" s="1"/>
  <c r="S10" i="10"/>
  <c r="L17" i="10" s="1"/>
  <c r="Z10" i="10"/>
  <c r="L18" i="10" s="1"/>
  <c r="I10" i="17"/>
  <c r="I16" i="17" s="1"/>
  <c r="Y10" i="15"/>
  <c r="K18" i="15" s="1"/>
  <c r="Y10" i="10"/>
  <c r="K18" i="10" s="1"/>
  <c r="I10" i="10"/>
  <c r="I16" i="10" s="1"/>
  <c r="X10" i="17"/>
  <c r="J18" i="17" s="1"/>
  <c r="O10" i="17"/>
  <c r="H17" i="17" s="1"/>
  <c r="W10" i="15"/>
  <c r="I18" i="15" s="1"/>
  <c r="X10" i="3"/>
  <c r="J18" i="3" s="1"/>
  <c r="AC10" i="3"/>
  <c r="H19" i="3" s="1"/>
  <c r="Q10" i="10"/>
  <c r="J17" i="10" s="1"/>
  <c r="V10" i="3"/>
  <c r="H18" i="3" s="1"/>
  <c r="O10" i="13"/>
  <c r="H17" i="13" s="1"/>
  <c r="I10" i="15"/>
  <c r="I16" i="15" s="1"/>
  <c r="P10" i="3"/>
  <c r="I17" i="3" s="1"/>
  <c r="W10" i="3"/>
  <c r="I18" i="3" s="1"/>
  <c r="O10" i="15"/>
  <c r="H17" i="15" s="1"/>
  <c r="AE10" i="3"/>
  <c r="J19" i="3" s="1"/>
  <c r="AD10" i="3"/>
  <c r="I19" i="3" s="1"/>
  <c r="AB10" i="3"/>
  <c r="G19" i="3" s="1"/>
  <c r="G10" i="3"/>
  <c r="G16" i="3" s="1"/>
  <c r="O10" i="3"/>
  <c r="H17" i="3" s="1"/>
  <c r="U10" i="3"/>
  <c r="G18" i="3" s="1"/>
  <c r="P10" i="15"/>
  <c r="N10" i="15"/>
  <c r="G17" i="15" s="1"/>
  <c r="L10" i="15"/>
  <c r="L16" i="15" s="1"/>
  <c r="R10" i="10"/>
  <c r="K17" i="10" s="1"/>
  <c r="S10" i="15"/>
  <c r="L17" i="15" s="1"/>
  <c r="AD10" i="15"/>
  <c r="I19" i="15" s="1"/>
  <c r="Q10" i="15"/>
  <c r="J17" i="15" s="1"/>
  <c r="V10" i="10"/>
  <c r="H18" i="10" s="1"/>
  <c r="AE10" i="15"/>
  <c r="J19" i="15" s="1"/>
  <c r="K10" i="15"/>
  <c r="K16" i="15" s="1"/>
  <c r="H10" i="13"/>
  <c r="H16" i="13" s="1"/>
  <c r="U10" i="5"/>
  <c r="G18" i="5" s="1"/>
  <c r="Q10" i="13"/>
  <c r="J17" i="13" s="1"/>
  <c r="X10" i="15"/>
  <c r="J18" i="15" s="1"/>
  <c r="N10" i="17"/>
  <c r="G17" i="17" s="1"/>
  <c r="U10" i="7"/>
  <c r="G18" i="7" s="1"/>
  <c r="W5" i="17"/>
  <c r="W10" i="17" s="1"/>
  <c r="I18" i="17" s="1"/>
  <c r="AB10" i="15"/>
  <c r="G19" i="15" s="1"/>
  <c r="G10" i="17"/>
  <c r="G16" i="17" s="1"/>
  <c r="AC10" i="15"/>
  <c r="H19" i="15" s="1"/>
  <c r="P10" i="13"/>
  <c r="AC10" i="17"/>
  <c r="H19" i="17" s="1"/>
  <c r="V10" i="15"/>
  <c r="H18" i="15" s="1"/>
  <c r="N10" i="7"/>
  <c r="G17" i="7" s="1"/>
  <c r="W10" i="7"/>
  <c r="I18" i="7" s="1"/>
  <c r="Q10" i="17"/>
  <c r="J17" i="17" s="1"/>
  <c r="H10" i="17"/>
  <c r="H16" i="17" s="1"/>
  <c r="AD10" i="13"/>
  <c r="I19" i="13" s="1"/>
  <c r="U10" i="15"/>
  <c r="G18" i="15" s="1"/>
  <c r="AB10" i="13"/>
  <c r="G19" i="13" s="1"/>
  <c r="N10" i="13"/>
  <c r="G17" i="13" s="1"/>
  <c r="AC10" i="13"/>
  <c r="H19" i="13" s="1"/>
  <c r="N10" i="5"/>
  <c r="G17" i="5" s="1"/>
  <c r="AB10" i="5"/>
  <c r="G19" i="5" s="1"/>
  <c r="AD10" i="5"/>
  <c r="I19" i="5" s="1"/>
  <c r="W10" i="13"/>
  <c r="I18" i="13" s="1"/>
  <c r="AE10" i="17"/>
  <c r="J19" i="17" s="1"/>
  <c r="R10" i="17"/>
  <c r="K17" i="17" s="1"/>
  <c r="AG10" i="17"/>
  <c r="L19" i="17" s="1"/>
  <c r="V10" i="17"/>
  <c r="H18" i="17" s="1"/>
  <c r="G10" i="15"/>
  <c r="G16" i="15" s="1"/>
  <c r="G10" i="13"/>
  <c r="G16" i="13" s="1"/>
  <c r="U10" i="10"/>
  <c r="G18" i="10" s="1"/>
  <c r="P10" i="5"/>
  <c r="I17" i="5" s="1"/>
  <c r="G10" i="5"/>
  <c r="G16" i="5" s="1"/>
  <c r="S10" i="17"/>
  <c r="L17" i="17" s="1"/>
  <c r="AE10" i="13"/>
  <c r="J19" i="13" s="1"/>
  <c r="I10" i="13"/>
  <c r="I16" i="13" s="1"/>
  <c r="W10" i="10"/>
  <c r="I18" i="10" s="1"/>
  <c r="N10" i="10"/>
  <c r="G17" i="10" s="1"/>
  <c r="AB10" i="17"/>
  <c r="G19" i="17" s="1"/>
  <c r="AD10" i="17"/>
  <c r="I19" i="17" s="1"/>
  <c r="Y10" i="13"/>
  <c r="K18" i="13" s="1"/>
  <c r="U10" i="13"/>
  <c r="G18" i="13" s="1"/>
  <c r="M11" i="6"/>
  <c r="B11" i="6" s="1"/>
  <c r="M10" i="6"/>
  <c r="B10" i="6" s="1"/>
  <c r="M8" i="6"/>
  <c r="B8" i="6" s="1"/>
  <c r="M9" i="6"/>
  <c r="B9" i="6" s="1"/>
  <c r="M7" i="6"/>
  <c r="B7" i="6" s="1"/>
  <c r="M6" i="6"/>
  <c r="B6" i="6" s="1"/>
  <c r="AA10" i="5"/>
  <c r="M18" i="5" s="1"/>
  <c r="P18" i="5" s="1"/>
  <c r="M10" i="5"/>
  <c r="M16" i="5" s="1"/>
  <c r="AI16" i="28" l="1"/>
  <c r="K23" i="28" s="1"/>
  <c r="AE19" i="34"/>
  <c r="AF19" i="34" s="1"/>
  <c r="AF18" i="34"/>
  <c r="AE17" i="34"/>
  <c r="AF17" i="34" s="1"/>
  <c r="AE19" i="30"/>
  <c r="AF19" i="30" s="1"/>
  <c r="AF18" i="30"/>
  <c r="AF18" i="32"/>
  <c r="AE19" i="32"/>
  <c r="AF19" i="32" s="1"/>
  <c r="AF17" i="30"/>
  <c r="AJ17" i="30" s="1"/>
  <c r="J24" i="30" s="1"/>
  <c r="K23" i="34"/>
  <c r="F23" i="34"/>
  <c r="AJ16" i="34"/>
  <c r="J23" i="34" s="1"/>
  <c r="L23" i="34"/>
  <c r="AF16" i="32"/>
  <c r="AI16" i="32"/>
  <c r="AI17" i="32"/>
  <c r="AF17" i="32"/>
  <c r="L24" i="30"/>
  <c r="K24" i="30"/>
  <c r="F24" i="30"/>
  <c r="K23" i="30"/>
  <c r="L23" i="30"/>
  <c r="F23" i="30"/>
  <c r="AJ16" i="30"/>
  <c r="J23" i="30" s="1"/>
  <c r="AE17" i="28"/>
  <c r="AE19" i="28"/>
  <c r="AF19" i="28" s="1"/>
  <c r="AF18" i="28"/>
  <c r="M10" i="3"/>
  <c r="M16" i="3" s="1"/>
  <c r="AH10" i="7"/>
  <c r="M19" i="7" s="1"/>
  <c r="P19" i="7" s="1"/>
  <c r="T10" i="7"/>
  <c r="M17" i="7" s="1"/>
  <c r="M10" i="7"/>
  <c r="M16" i="7" s="1"/>
  <c r="AH10" i="9"/>
  <c r="M19" i="9" s="1"/>
  <c r="P19" i="9" s="1"/>
  <c r="H19" i="9"/>
  <c r="M10" i="9"/>
  <c r="M16" i="9" s="1"/>
  <c r="AA10" i="9"/>
  <c r="M18" i="9" s="1"/>
  <c r="P18" i="9" s="1"/>
  <c r="T10" i="9"/>
  <c r="M17" i="9" s="1"/>
  <c r="M10" i="15"/>
  <c r="M16" i="15" s="1"/>
  <c r="AH10" i="10"/>
  <c r="M19" i="10" s="1"/>
  <c r="P19" i="10" s="1"/>
  <c r="I19" i="10"/>
  <c r="M10" i="10"/>
  <c r="M16" i="10" s="1"/>
  <c r="T10" i="10"/>
  <c r="M17" i="10" s="1"/>
  <c r="T10" i="15"/>
  <c r="M17" i="15" s="1"/>
  <c r="T10" i="17"/>
  <c r="M17" i="17" s="1"/>
  <c r="I17" i="15"/>
  <c r="T10" i="13"/>
  <c r="M17" i="13" s="1"/>
  <c r="AH10" i="3"/>
  <c r="M19" i="3" s="1"/>
  <c r="P19" i="3" s="1"/>
  <c r="AA10" i="3"/>
  <c r="M18" i="3" s="1"/>
  <c r="P18" i="3" s="1"/>
  <c r="T10" i="3"/>
  <c r="M17" i="3" s="1"/>
  <c r="I17" i="13"/>
  <c r="AA10" i="7"/>
  <c r="M18" i="7" s="1"/>
  <c r="P18" i="7" s="1"/>
  <c r="AH10" i="5"/>
  <c r="M19" i="5" s="1"/>
  <c r="P19" i="5" s="1"/>
  <c r="AA10" i="15"/>
  <c r="M18" i="15" s="1"/>
  <c r="P18" i="15" s="1"/>
  <c r="AH10" i="15"/>
  <c r="M19" i="15" s="1"/>
  <c r="P19" i="15" s="1"/>
  <c r="AH10" i="13"/>
  <c r="M19" i="13" s="1"/>
  <c r="P19" i="13" s="1"/>
  <c r="M10" i="17"/>
  <c r="M16" i="17" s="1"/>
  <c r="AA10" i="13"/>
  <c r="M18" i="13" s="1"/>
  <c r="P18" i="13" s="1"/>
  <c r="AA10" i="17"/>
  <c r="M18" i="17" s="1"/>
  <c r="P18" i="17" s="1"/>
  <c r="T10" i="5"/>
  <c r="M17" i="5" s="1"/>
  <c r="O16" i="5" s="1"/>
  <c r="P16" i="5" s="1"/>
  <c r="M10" i="13"/>
  <c r="M16" i="13" s="1"/>
  <c r="AA10" i="10"/>
  <c r="M18" i="10" s="1"/>
  <c r="P18" i="10" s="1"/>
  <c r="AH10" i="17"/>
  <c r="M19" i="17" s="1"/>
  <c r="P19" i="17" s="1"/>
  <c r="L23" i="28" l="1"/>
  <c r="M23" i="28" s="1"/>
  <c r="F23" i="28"/>
  <c r="AJ16" i="28"/>
  <c r="J23" i="28" s="1"/>
  <c r="AI17" i="34"/>
  <c r="L24" i="34" s="1"/>
  <c r="AI18" i="34"/>
  <c r="AJ18" i="34" s="1"/>
  <c r="J25" i="34" s="1"/>
  <c r="AI19" i="34"/>
  <c r="F26" i="34" s="1"/>
  <c r="O26" i="34" s="1"/>
  <c r="S26" i="34" s="1"/>
  <c r="AI19" i="30"/>
  <c r="F26" i="30" s="1"/>
  <c r="O26" i="30" s="1"/>
  <c r="S26" i="30" s="1"/>
  <c r="AI18" i="30"/>
  <c r="K25" i="30" s="1"/>
  <c r="AI19" i="32"/>
  <c r="F26" i="32" s="1"/>
  <c r="O26" i="32" s="1"/>
  <c r="S26" i="32" s="1"/>
  <c r="AI18" i="32"/>
  <c r="K25" i="32" s="1"/>
  <c r="M23" i="30"/>
  <c r="M23" i="34"/>
  <c r="L24" i="32"/>
  <c r="K24" i="32"/>
  <c r="AJ17" i="32"/>
  <c r="J24" i="32" s="1"/>
  <c r="F24" i="32"/>
  <c r="K23" i="32"/>
  <c r="AJ16" i="32"/>
  <c r="J23" i="32" s="1"/>
  <c r="L23" i="32"/>
  <c r="F23" i="32"/>
  <c r="M24" i="30"/>
  <c r="AI18" i="28"/>
  <c r="L25" i="28" s="1"/>
  <c r="AI17" i="28"/>
  <c r="AF17" i="28"/>
  <c r="AI19" i="28"/>
  <c r="F26" i="28" s="1"/>
  <c r="O26" i="28" s="1"/>
  <c r="O16" i="3"/>
  <c r="P16" i="3" s="1"/>
  <c r="S18" i="3" s="1"/>
  <c r="O17" i="7"/>
  <c r="P17" i="7" s="1"/>
  <c r="O16" i="7"/>
  <c r="P16" i="7" s="1"/>
  <c r="S16" i="7" s="1"/>
  <c r="O17" i="9"/>
  <c r="P17" i="9" s="1"/>
  <c r="O16" i="9"/>
  <c r="P16" i="9" s="1"/>
  <c r="O16" i="15"/>
  <c r="P16" i="15" s="1"/>
  <c r="S16" i="15" s="1"/>
  <c r="O17" i="15"/>
  <c r="S17" i="15" s="1"/>
  <c r="W17" i="15" s="1"/>
  <c r="O17" i="10"/>
  <c r="S17" i="10" s="1"/>
  <c r="W17" i="10" s="1"/>
  <c r="O16" i="17"/>
  <c r="P16" i="17" s="1"/>
  <c r="S16" i="17" s="1"/>
  <c r="O16" i="10"/>
  <c r="P16" i="10" s="1"/>
  <c r="S18" i="10" s="1"/>
  <c r="W18" i="10" s="1"/>
  <c r="O17" i="13"/>
  <c r="P17" i="13" s="1"/>
  <c r="O17" i="3"/>
  <c r="S17" i="3" s="1"/>
  <c r="O17" i="17"/>
  <c r="S17" i="17" s="1"/>
  <c r="O17" i="5"/>
  <c r="S17" i="5" s="1"/>
  <c r="W17" i="5" s="1"/>
  <c r="O16" i="13"/>
  <c r="S16" i="5"/>
  <c r="S18" i="5"/>
  <c r="T16" i="7" l="1"/>
  <c r="K24" i="34"/>
  <c r="M24" i="34" s="1"/>
  <c r="AJ17" i="34"/>
  <c r="J24" i="34" s="1"/>
  <c r="F24" i="34"/>
  <c r="K26" i="30"/>
  <c r="K25" i="34"/>
  <c r="F25" i="34"/>
  <c r="O25" i="34" s="1"/>
  <c r="L25" i="34"/>
  <c r="AJ19" i="30"/>
  <c r="J26" i="30" s="1"/>
  <c r="L26" i="30"/>
  <c r="L25" i="30"/>
  <c r="M25" i="30" s="1"/>
  <c r="L26" i="32"/>
  <c r="K26" i="34"/>
  <c r="L26" i="34"/>
  <c r="AJ19" i="34"/>
  <c r="J26" i="34" s="1"/>
  <c r="L25" i="32"/>
  <c r="M25" i="32" s="1"/>
  <c r="K26" i="32"/>
  <c r="F25" i="30"/>
  <c r="O25" i="30" s="1"/>
  <c r="AJ18" i="30"/>
  <c r="J25" i="30" s="1"/>
  <c r="O23" i="30"/>
  <c r="P23" i="30" s="1"/>
  <c r="AJ19" i="32"/>
  <c r="J26" i="32" s="1"/>
  <c r="M24" i="32"/>
  <c r="AJ18" i="32"/>
  <c r="J25" i="32" s="1"/>
  <c r="F25" i="32"/>
  <c r="O25" i="32" s="1"/>
  <c r="M23" i="32"/>
  <c r="K26" i="28"/>
  <c r="AJ19" i="28"/>
  <c r="J26" i="28" s="1"/>
  <c r="O24" i="30"/>
  <c r="Q24" i="30" s="1"/>
  <c r="L26" i="28"/>
  <c r="F25" i="28"/>
  <c r="O25" i="28" s="1"/>
  <c r="K25" i="28"/>
  <c r="M25" i="28" s="1"/>
  <c r="AJ18" i="28"/>
  <c r="J25" i="28" s="1"/>
  <c r="K24" i="28"/>
  <c r="F24" i="28"/>
  <c r="AJ17" i="28"/>
  <c r="J24" i="28" s="1"/>
  <c r="L24" i="28"/>
  <c r="S26" i="28"/>
  <c r="S16" i="3"/>
  <c r="T16" i="3" s="1"/>
  <c r="S17" i="7"/>
  <c r="W17" i="7" s="1"/>
  <c r="S18" i="7"/>
  <c r="W18" i="7" s="1"/>
  <c r="T19" i="7"/>
  <c r="T16" i="15"/>
  <c r="T16" i="5"/>
  <c r="S17" i="9"/>
  <c r="T17" i="9" s="1"/>
  <c r="T19" i="9"/>
  <c r="S18" i="17"/>
  <c r="W18" i="17" s="1"/>
  <c r="P17" i="15"/>
  <c r="T17" i="15" s="1"/>
  <c r="X17" i="15" s="1"/>
  <c r="T19" i="15"/>
  <c r="T19" i="10"/>
  <c r="P17" i="10"/>
  <c r="T17" i="10" s="1"/>
  <c r="S16" i="10"/>
  <c r="T16" i="10" s="1"/>
  <c r="S17" i="13"/>
  <c r="T17" i="13" s="1"/>
  <c r="T19" i="13"/>
  <c r="T19" i="3"/>
  <c r="P17" i="3"/>
  <c r="T17" i="3" s="1"/>
  <c r="T16" i="17"/>
  <c r="P17" i="17"/>
  <c r="T17" i="17" s="1"/>
  <c r="T19" i="17"/>
  <c r="T19" i="5"/>
  <c r="P17" i="5"/>
  <c r="T17" i="5" s="1"/>
  <c r="X17" i="5" s="1"/>
  <c r="P16" i="13"/>
  <c r="S16" i="13" s="1"/>
  <c r="T16" i="13" s="1"/>
  <c r="T18" i="10"/>
  <c r="S18" i="15"/>
  <c r="T18" i="15" s="1"/>
  <c r="W17" i="17"/>
  <c r="W17" i="3"/>
  <c r="T18" i="5"/>
  <c r="W18" i="5"/>
  <c r="T18" i="3"/>
  <c r="W18" i="3"/>
  <c r="S16" i="9"/>
  <c r="T16" i="9" s="1"/>
  <c r="S18" i="9"/>
  <c r="W19" i="7" l="1"/>
  <c r="AA19" i="7" s="1"/>
  <c r="P25" i="34"/>
  <c r="O23" i="34"/>
  <c r="P23" i="34" s="1"/>
  <c r="P26" i="34"/>
  <c r="P26" i="30"/>
  <c r="T26" i="30" s="1"/>
  <c r="P25" i="30"/>
  <c r="M26" i="32"/>
  <c r="Q26" i="32" s="1"/>
  <c r="M26" i="30"/>
  <c r="Q26" i="30" s="1"/>
  <c r="U26" i="30" s="1"/>
  <c r="M25" i="34"/>
  <c r="Q25" i="34" s="1"/>
  <c r="Q25" i="30"/>
  <c r="Q25" i="32"/>
  <c r="M26" i="34"/>
  <c r="Q26" i="34" s="1"/>
  <c r="Q23" i="30"/>
  <c r="O24" i="34"/>
  <c r="P24" i="34" s="1"/>
  <c r="O23" i="32"/>
  <c r="P23" i="32" s="1"/>
  <c r="P26" i="32"/>
  <c r="P25" i="32"/>
  <c r="O24" i="32"/>
  <c r="Q24" i="32" s="1"/>
  <c r="S24" i="30"/>
  <c r="W24" i="30" s="1"/>
  <c r="P24" i="30"/>
  <c r="M26" i="28"/>
  <c r="Q26" i="28" s="1"/>
  <c r="Q25" i="28"/>
  <c r="P26" i="28"/>
  <c r="P25" i="28"/>
  <c r="M24" i="28"/>
  <c r="O23" i="28" s="1"/>
  <c r="T17" i="7"/>
  <c r="X17" i="7" s="1"/>
  <c r="W16" i="5"/>
  <c r="X16" i="5" s="1"/>
  <c r="W19" i="15"/>
  <c r="AA19" i="15" s="1"/>
  <c r="W16" i="7"/>
  <c r="X16" i="7" s="1"/>
  <c r="T18" i="7"/>
  <c r="X18" i="7" s="1"/>
  <c r="W19" i="3"/>
  <c r="AA19" i="3" s="1"/>
  <c r="W16" i="9"/>
  <c r="AA16" i="9" s="1"/>
  <c r="W17" i="9"/>
  <c r="X17" i="9" s="1"/>
  <c r="W19" i="10"/>
  <c r="X19" i="10" s="1"/>
  <c r="X18" i="10"/>
  <c r="T18" i="17"/>
  <c r="X18" i="17" s="1"/>
  <c r="X17" i="10"/>
  <c r="W16" i="15"/>
  <c r="X16" i="15" s="1"/>
  <c r="W17" i="13"/>
  <c r="X17" i="13" s="1"/>
  <c r="W16" i="10"/>
  <c r="AA16" i="10" s="1"/>
  <c r="AE16" i="10" s="1"/>
  <c r="W16" i="13"/>
  <c r="AA16" i="13" s="1"/>
  <c r="W16" i="3"/>
  <c r="AA16" i="3" s="1"/>
  <c r="AE16" i="3" s="1"/>
  <c r="W16" i="17"/>
  <c r="AA16" i="17" s="1"/>
  <c r="AE16" i="17" s="1"/>
  <c r="AI16" i="17" s="1"/>
  <c r="W19" i="5"/>
  <c r="X19" i="5" s="1"/>
  <c r="W19" i="17"/>
  <c r="AA19" i="17" s="1"/>
  <c r="S18" i="13"/>
  <c r="W18" i="13" s="1"/>
  <c r="X17" i="17"/>
  <c r="W18" i="15"/>
  <c r="X18" i="15" s="1"/>
  <c r="AA18" i="15" s="1"/>
  <c r="X18" i="5"/>
  <c r="AA17" i="5" s="1"/>
  <c r="W19" i="13"/>
  <c r="X17" i="3"/>
  <c r="W18" i="9"/>
  <c r="T18" i="9"/>
  <c r="X18" i="3"/>
  <c r="W19" i="9"/>
  <c r="X19" i="7" l="1"/>
  <c r="AB19" i="7" s="1"/>
  <c r="Q23" i="34"/>
  <c r="S25" i="34" s="1"/>
  <c r="W25" i="34" s="1"/>
  <c r="S23" i="30"/>
  <c r="U23" i="30" s="1"/>
  <c r="S25" i="30"/>
  <c r="U25" i="30" s="1"/>
  <c r="T24" i="30"/>
  <c r="U24" i="30"/>
  <c r="T26" i="34"/>
  <c r="Q24" i="34"/>
  <c r="S24" i="34"/>
  <c r="U26" i="34"/>
  <c r="S24" i="32"/>
  <c r="U24" i="32" s="1"/>
  <c r="P24" i="32"/>
  <c r="Q23" i="32"/>
  <c r="U26" i="32" s="1"/>
  <c r="T26" i="32"/>
  <c r="P23" i="28"/>
  <c r="Q23" i="28"/>
  <c r="O24" i="28"/>
  <c r="AB17" i="5"/>
  <c r="X19" i="15"/>
  <c r="AB19" i="15" s="1"/>
  <c r="AA16" i="5"/>
  <c r="AE16" i="5" s="1"/>
  <c r="AI16" i="5" s="1"/>
  <c r="AA16" i="7"/>
  <c r="AB16" i="7" s="1"/>
  <c r="X19" i="3"/>
  <c r="AB19" i="3" s="1"/>
  <c r="X16" i="9"/>
  <c r="AB16" i="9" s="1"/>
  <c r="AA18" i="10"/>
  <c r="AE18" i="10" s="1"/>
  <c r="AA19" i="10"/>
  <c r="AB19" i="10" s="1"/>
  <c r="AA17" i="10"/>
  <c r="AB17" i="10" s="1"/>
  <c r="AA17" i="17"/>
  <c r="AB17" i="17" s="1"/>
  <c r="AA16" i="15"/>
  <c r="AB16" i="15" s="1"/>
  <c r="X16" i="13"/>
  <c r="AB16" i="13" s="1"/>
  <c r="X16" i="10"/>
  <c r="AB16" i="10" s="1"/>
  <c r="AF16" i="10" s="1"/>
  <c r="X16" i="3"/>
  <c r="AB16" i="3" s="1"/>
  <c r="AF16" i="3" s="1"/>
  <c r="X16" i="17"/>
  <c r="AB16" i="17" s="1"/>
  <c r="AF16" i="17" s="1"/>
  <c r="AJ16" i="17" s="1"/>
  <c r="J23" i="17" s="1"/>
  <c r="AA19" i="5"/>
  <c r="AB19" i="5" s="1"/>
  <c r="T18" i="13"/>
  <c r="X18" i="13" s="1"/>
  <c r="X19" i="17"/>
  <c r="AB19" i="17" s="1"/>
  <c r="X19" i="13"/>
  <c r="AA18" i="17"/>
  <c r="AE18" i="17" s="1"/>
  <c r="AA17" i="15"/>
  <c r="AB17" i="15" s="1"/>
  <c r="AA19" i="13"/>
  <c r="AA18" i="7"/>
  <c r="AA17" i="7"/>
  <c r="AB17" i="7" s="1"/>
  <c r="AA18" i="5"/>
  <c r="AE18" i="5" s="1"/>
  <c r="AB18" i="15"/>
  <c r="AE18" i="15"/>
  <c r="AA18" i="3"/>
  <c r="AE18" i="3" s="1"/>
  <c r="AE16" i="13"/>
  <c r="AI16" i="10"/>
  <c r="AA17" i="3"/>
  <c r="AB17" i="3" s="1"/>
  <c r="AE16" i="9"/>
  <c r="AI16" i="3"/>
  <c r="X19" i="9"/>
  <c r="AA19" i="9"/>
  <c r="X18" i="9"/>
  <c r="AA18" i="9" s="1"/>
  <c r="K23" i="17"/>
  <c r="F23" i="17"/>
  <c r="L23" i="17"/>
  <c r="T23" i="30" l="1"/>
  <c r="W23" i="30" s="1"/>
  <c r="X24" i="30"/>
  <c r="S23" i="34"/>
  <c r="T23" i="34" s="1"/>
  <c r="U25" i="34"/>
  <c r="T25" i="34"/>
  <c r="T25" i="30"/>
  <c r="W25" i="30"/>
  <c r="Y25" i="30" s="1"/>
  <c r="Y24" i="30"/>
  <c r="W24" i="32"/>
  <c r="T24" i="32"/>
  <c r="T24" i="34"/>
  <c r="U24" i="34"/>
  <c r="W24" i="34"/>
  <c r="S25" i="32"/>
  <c r="W25" i="32" s="1"/>
  <c r="S23" i="32"/>
  <c r="U23" i="32" s="1"/>
  <c r="S24" i="28"/>
  <c r="Q24" i="28"/>
  <c r="P24" i="28"/>
  <c r="U26" i="28"/>
  <c r="T26" i="28"/>
  <c r="S23" i="28"/>
  <c r="S25" i="28"/>
  <c r="AE19" i="5"/>
  <c r="AF19" i="5" s="1"/>
  <c r="AE16" i="7"/>
  <c r="AF16" i="7" s="1"/>
  <c r="AB16" i="5"/>
  <c r="AF16" i="5" s="1"/>
  <c r="AJ16" i="5" s="1"/>
  <c r="J23" i="5" s="1"/>
  <c r="AB18" i="10"/>
  <c r="AF18" i="10" s="1"/>
  <c r="AE19" i="10"/>
  <c r="AF19" i="10" s="1"/>
  <c r="AE17" i="10"/>
  <c r="AF17" i="10" s="1"/>
  <c r="AE16" i="15"/>
  <c r="AI16" i="15" s="1"/>
  <c r="F23" i="15" s="1"/>
  <c r="AE17" i="17"/>
  <c r="AI17" i="17" s="1"/>
  <c r="K24" i="17" s="1"/>
  <c r="AB19" i="13"/>
  <c r="AE19" i="17"/>
  <c r="AF19" i="17" s="1"/>
  <c r="AB18" i="17"/>
  <c r="AF18" i="17" s="1"/>
  <c r="AE19" i="15"/>
  <c r="AF19" i="15" s="1"/>
  <c r="AE18" i="7"/>
  <c r="AB18" i="7"/>
  <c r="AB18" i="5"/>
  <c r="AF18" i="5" s="1"/>
  <c r="AF18" i="15"/>
  <c r="AE19" i="7"/>
  <c r="AF19" i="7" s="1"/>
  <c r="AE17" i="7"/>
  <c r="AE17" i="5"/>
  <c r="AF17" i="5" s="1"/>
  <c r="AB19" i="9"/>
  <c r="AB18" i="3"/>
  <c r="AF18" i="3" s="1"/>
  <c r="M23" i="17"/>
  <c r="AF16" i="13"/>
  <c r="AI16" i="13"/>
  <c r="AA18" i="13"/>
  <c r="AA17" i="13"/>
  <c r="AB17" i="13" s="1"/>
  <c r="K23" i="5"/>
  <c r="F23" i="5"/>
  <c r="L23" i="5"/>
  <c r="AE17" i="3"/>
  <c r="AE19" i="3"/>
  <c r="AF19" i="3" s="1"/>
  <c r="K23" i="3"/>
  <c r="AJ16" i="3"/>
  <c r="J23" i="3" s="1"/>
  <c r="L23" i="3"/>
  <c r="F23" i="3"/>
  <c r="AA17" i="9"/>
  <c r="AB17" i="9" s="1"/>
  <c r="AJ16" i="10"/>
  <c r="J23" i="10" s="1"/>
  <c r="K23" i="10"/>
  <c r="F23" i="10"/>
  <c r="L23" i="10"/>
  <c r="AB18" i="9"/>
  <c r="AE18" i="9"/>
  <c r="AI16" i="9"/>
  <c r="AF16" i="9"/>
  <c r="AE17" i="15"/>
  <c r="W26" i="30" l="1"/>
  <c r="X26" i="30" s="1"/>
  <c r="X25" i="34"/>
  <c r="U23" i="34"/>
  <c r="W23" i="34" s="1"/>
  <c r="Y23" i="34" s="1"/>
  <c r="Y25" i="34"/>
  <c r="Y24" i="32"/>
  <c r="X25" i="30"/>
  <c r="AA25" i="30" s="1"/>
  <c r="AE25" i="30" s="1"/>
  <c r="U25" i="32"/>
  <c r="Y25" i="32" s="1"/>
  <c r="T23" i="32"/>
  <c r="W26" i="32" s="1"/>
  <c r="T25" i="32"/>
  <c r="X25" i="32" s="1"/>
  <c r="X24" i="34"/>
  <c r="Y24" i="34"/>
  <c r="X24" i="32"/>
  <c r="AA23" i="30"/>
  <c r="Y23" i="30"/>
  <c r="X23" i="30"/>
  <c r="W25" i="28"/>
  <c r="U25" i="28"/>
  <c r="T25" i="28"/>
  <c r="T23" i="28"/>
  <c r="U23" i="28"/>
  <c r="U24" i="28"/>
  <c r="T24" i="28"/>
  <c r="W24" i="28"/>
  <c r="AI16" i="7"/>
  <c r="K23" i="7" s="1"/>
  <c r="L23" i="15"/>
  <c r="K23" i="15"/>
  <c r="AF16" i="15"/>
  <c r="AJ16" i="15" s="1"/>
  <c r="J23" i="15" s="1"/>
  <c r="AI18" i="10"/>
  <c r="L25" i="10" s="1"/>
  <c r="AI17" i="10"/>
  <c r="F24" i="10" s="1"/>
  <c r="AF17" i="17"/>
  <c r="AJ17" i="17" s="1"/>
  <c r="J24" i="17" s="1"/>
  <c r="AE17" i="13"/>
  <c r="AF17" i="13" s="1"/>
  <c r="AI19" i="17"/>
  <c r="AJ19" i="17" s="1"/>
  <c r="J26" i="17" s="1"/>
  <c r="AI18" i="17"/>
  <c r="F25" i="17" s="1"/>
  <c r="O25" i="17" s="1"/>
  <c r="AI18" i="15"/>
  <c r="L25" i="15" s="1"/>
  <c r="AI19" i="15"/>
  <c r="F26" i="15" s="1"/>
  <c r="O26" i="15" s="1"/>
  <c r="L24" i="17"/>
  <c r="M24" i="17" s="1"/>
  <c r="F24" i="17"/>
  <c r="AE17" i="9"/>
  <c r="AF17" i="9" s="1"/>
  <c r="AI17" i="7"/>
  <c r="AF17" i="7"/>
  <c r="AI17" i="5"/>
  <c r="L24" i="5" s="1"/>
  <c r="AF18" i="7"/>
  <c r="AE19" i="13"/>
  <c r="AF19" i="13" s="1"/>
  <c r="AF18" i="9"/>
  <c r="AE18" i="13"/>
  <c r="AB18" i="13"/>
  <c r="AI19" i="10"/>
  <c r="L26" i="10" s="1"/>
  <c r="AJ16" i="13"/>
  <c r="J23" i="13" s="1"/>
  <c r="K23" i="13"/>
  <c r="F23" i="13"/>
  <c r="L23" i="13"/>
  <c r="AI18" i="3"/>
  <c r="K25" i="3" s="1"/>
  <c r="AI18" i="5"/>
  <c r="AI19" i="5"/>
  <c r="AI19" i="3"/>
  <c r="M23" i="3"/>
  <c r="AI17" i="3"/>
  <c r="AF17" i="3"/>
  <c r="AI17" i="15"/>
  <c r="AF17" i="15"/>
  <c r="AJ16" i="9"/>
  <c r="J23" i="9" s="1"/>
  <c r="L23" i="9"/>
  <c r="K23" i="9"/>
  <c r="F23" i="9"/>
  <c r="M23" i="10"/>
  <c r="AE19" i="9"/>
  <c r="AF19" i="9" s="1"/>
  <c r="M23" i="5"/>
  <c r="AA26" i="30" l="1"/>
  <c r="AB26" i="30" s="1"/>
  <c r="Y26" i="30"/>
  <c r="AA24" i="30"/>
  <c r="AB24" i="30" s="1"/>
  <c r="W26" i="34"/>
  <c r="X26" i="34" s="1"/>
  <c r="X23" i="34"/>
  <c r="AA23" i="34"/>
  <c r="AC23" i="34" s="1"/>
  <c r="W23" i="32"/>
  <c r="AA23" i="32" s="1"/>
  <c r="AA25" i="34"/>
  <c r="AE25" i="34" s="1"/>
  <c r="AA24" i="34"/>
  <c r="AC24" i="34" s="1"/>
  <c r="AA25" i="32"/>
  <c r="AA24" i="32"/>
  <c r="X26" i="32"/>
  <c r="AA26" i="32"/>
  <c r="Y26" i="32"/>
  <c r="AC23" i="30"/>
  <c r="AE23" i="30"/>
  <c r="AB23" i="30"/>
  <c r="AB25" i="30"/>
  <c r="AC25" i="30"/>
  <c r="Y24" i="28"/>
  <c r="X24" i="28"/>
  <c r="W26" i="28"/>
  <c r="W23" i="28"/>
  <c r="X25" i="28"/>
  <c r="Y25" i="28"/>
  <c r="L23" i="7"/>
  <c r="M23" i="7" s="1"/>
  <c r="AJ16" i="7"/>
  <c r="J23" i="7" s="1"/>
  <c r="F23" i="7"/>
  <c r="M23" i="15"/>
  <c r="AJ18" i="10"/>
  <c r="J25" i="10" s="1"/>
  <c r="F25" i="10"/>
  <c r="O25" i="10" s="1"/>
  <c r="K25" i="10"/>
  <c r="M25" i="10" s="1"/>
  <c r="L24" i="10"/>
  <c r="AJ17" i="10"/>
  <c r="J24" i="10" s="1"/>
  <c r="K24" i="10"/>
  <c r="AI17" i="13"/>
  <c r="K24" i="13" s="1"/>
  <c r="F26" i="17"/>
  <c r="O26" i="17" s="1"/>
  <c r="S26" i="17" s="1"/>
  <c r="L25" i="17"/>
  <c r="K25" i="17"/>
  <c r="AJ18" i="17"/>
  <c r="J25" i="17" s="1"/>
  <c r="P25" i="17" s="1"/>
  <c r="L26" i="17"/>
  <c r="K26" i="17"/>
  <c r="K26" i="15"/>
  <c r="K25" i="15"/>
  <c r="M25" i="15" s="1"/>
  <c r="AJ18" i="15"/>
  <c r="J25" i="15" s="1"/>
  <c r="F25" i="15"/>
  <c r="O25" i="15" s="1"/>
  <c r="L26" i="15"/>
  <c r="AJ19" i="15"/>
  <c r="J26" i="15" s="1"/>
  <c r="O24" i="17"/>
  <c r="S24" i="17" s="1"/>
  <c r="W24" i="17" s="1"/>
  <c r="AI17" i="9"/>
  <c r="L24" i="9" s="1"/>
  <c r="AI19" i="9"/>
  <c r="AJ19" i="9" s="1"/>
  <c r="J26" i="9" s="1"/>
  <c r="AJ17" i="5"/>
  <c r="J24" i="5" s="1"/>
  <c r="K24" i="5"/>
  <c r="M24" i="5" s="1"/>
  <c r="F24" i="5"/>
  <c r="AI18" i="7"/>
  <c r="AI19" i="7"/>
  <c r="AJ17" i="7"/>
  <c r="J24" i="7" s="1"/>
  <c r="K24" i="7"/>
  <c r="L24" i="7"/>
  <c r="F24" i="7"/>
  <c r="M23" i="13"/>
  <c r="K26" i="10"/>
  <c r="M26" i="10" s="1"/>
  <c r="F26" i="10"/>
  <c r="O26" i="10" s="1"/>
  <c r="S26" i="10" s="1"/>
  <c r="L25" i="3"/>
  <c r="M25" i="3" s="1"/>
  <c r="AJ18" i="3"/>
  <c r="J25" i="3" s="1"/>
  <c r="F25" i="3"/>
  <c r="O25" i="3" s="1"/>
  <c r="AJ19" i="10"/>
  <c r="J26" i="10" s="1"/>
  <c r="O23" i="17"/>
  <c r="AF18" i="13"/>
  <c r="L26" i="3"/>
  <c r="F26" i="3"/>
  <c r="O26" i="3" s="1"/>
  <c r="AJ19" i="3"/>
  <c r="J26" i="3" s="1"/>
  <c r="K26" i="3"/>
  <c r="F25" i="5"/>
  <c r="O25" i="5" s="1"/>
  <c r="L25" i="5"/>
  <c r="K25" i="5"/>
  <c r="AJ18" i="5"/>
  <c r="J25" i="5" s="1"/>
  <c r="M23" i="9"/>
  <c r="L24" i="15"/>
  <c r="AJ17" i="15"/>
  <c r="J24" i="15" s="1"/>
  <c r="K24" i="15"/>
  <c r="F24" i="15"/>
  <c r="AI18" i="9"/>
  <c r="S26" i="15"/>
  <c r="K24" i="3"/>
  <c r="L24" i="3"/>
  <c r="AJ17" i="3"/>
  <c r="J24" i="3" s="1"/>
  <c r="F24" i="3"/>
  <c r="AJ19" i="5"/>
  <c r="J26" i="5" s="1"/>
  <c r="L26" i="5"/>
  <c r="K26" i="5"/>
  <c r="F26" i="5"/>
  <c r="O26" i="5" s="1"/>
  <c r="AF25" i="30" l="1"/>
  <c r="AC26" i="30"/>
  <c r="AC24" i="30"/>
  <c r="Y26" i="34"/>
  <c r="AA26" i="34"/>
  <c r="AB26" i="34" s="1"/>
  <c r="AB23" i="34"/>
  <c r="AE23" i="34"/>
  <c r="AI23" i="34" s="1"/>
  <c r="AC25" i="34"/>
  <c r="AG25" i="34" s="1"/>
  <c r="AB25" i="34"/>
  <c r="AF25" i="34" s="1"/>
  <c r="X23" i="32"/>
  <c r="AB23" i="32" s="1"/>
  <c r="Y23" i="32"/>
  <c r="AC23" i="32" s="1"/>
  <c r="AB24" i="34"/>
  <c r="AG25" i="30"/>
  <c r="AE23" i="32"/>
  <c r="AC26" i="32"/>
  <c r="AB26" i="32"/>
  <c r="AC25" i="32"/>
  <c r="AE25" i="32"/>
  <c r="AB25" i="32"/>
  <c r="AI23" i="30"/>
  <c r="AG23" i="30"/>
  <c r="AF23" i="30"/>
  <c r="AA24" i="28"/>
  <c r="X23" i="28"/>
  <c r="AA23" i="28"/>
  <c r="Y23" i="28"/>
  <c r="AA26" i="28"/>
  <c r="X26" i="28"/>
  <c r="Y26" i="28"/>
  <c r="AA25" i="28"/>
  <c r="P25" i="10"/>
  <c r="Q25" i="10"/>
  <c r="M24" i="10"/>
  <c r="O24" i="10" s="1"/>
  <c r="Q24" i="10" s="1"/>
  <c r="L24" i="13"/>
  <c r="M24" i="13" s="1"/>
  <c r="AJ17" i="13"/>
  <c r="J24" i="13" s="1"/>
  <c r="F24" i="13"/>
  <c r="M26" i="15"/>
  <c r="Q26" i="15" s="1"/>
  <c r="P26" i="17"/>
  <c r="T26" i="17" s="1"/>
  <c r="M25" i="17"/>
  <c r="Q25" i="17" s="1"/>
  <c r="M26" i="17"/>
  <c r="Q26" i="17" s="1"/>
  <c r="U26" i="17" s="1"/>
  <c r="Q24" i="17"/>
  <c r="U24" i="17" s="1"/>
  <c r="AJ17" i="9"/>
  <c r="J24" i="9" s="1"/>
  <c r="K24" i="9"/>
  <c r="M24" i="9" s="1"/>
  <c r="P24" i="17"/>
  <c r="T24" i="17" s="1"/>
  <c r="L26" i="9"/>
  <c r="F24" i="9"/>
  <c r="F26" i="9"/>
  <c r="O26" i="9" s="1"/>
  <c r="S26" i="9" s="1"/>
  <c r="K26" i="9"/>
  <c r="O23" i="5"/>
  <c r="Q23" i="5" s="1"/>
  <c r="O24" i="5"/>
  <c r="P24" i="5" s="1"/>
  <c r="Q26" i="10"/>
  <c r="K25" i="7"/>
  <c r="F25" i="7"/>
  <c r="O25" i="7" s="1"/>
  <c r="L25" i="7"/>
  <c r="AJ18" i="7"/>
  <c r="J25" i="7" s="1"/>
  <c r="M24" i="7"/>
  <c r="P26" i="10"/>
  <c r="L26" i="7"/>
  <c r="K26" i="7"/>
  <c r="F26" i="7"/>
  <c r="O26" i="7" s="1"/>
  <c r="AJ19" i="7"/>
  <c r="J26" i="7" s="1"/>
  <c r="Q23" i="17"/>
  <c r="P23" i="17"/>
  <c r="M26" i="5"/>
  <c r="Q26" i="5" s="1"/>
  <c r="AI18" i="13"/>
  <c r="AI19" i="13"/>
  <c r="Q25" i="3"/>
  <c r="P25" i="3"/>
  <c r="M26" i="3"/>
  <c r="Q26" i="3" s="1"/>
  <c r="F25" i="9"/>
  <c r="O25" i="9" s="1"/>
  <c r="K25" i="9"/>
  <c r="AJ18" i="9"/>
  <c r="J25" i="9" s="1"/>
  <c r="L25" i="9"/>
  <c r="P25" i="15"/>
  <c r="Q25" i="15"/>
  <c r="S26" i="3"/>
  <c r="P26" i="3"/>
  <c r="S26" i="5"/>
  <c r="P26" i="5"/>
  <c r="M24" i="3"/>
  <c r="O24" i="3" s="1"/>
  <c r="M24" i="15"/>
  <c r="O24" i="15" s="1"/>
  <c r="P25" i="5"/>
  <c r="P26" i="15"/>
  <c r="M25" i="5"/>
  <c r="Q25" i="5" s="1"/>
  <c r="AB24" i="32" l="1"/>
  <c r="AC24" i="32"/>
  <c r="AE24" i="30"/>
  <c r="AI24" i="30" s="1"/>
  <c r="F31" i="30" s="1"/>
  <c r="AE26" i="30"/>
  <c r="AF26" i="30" s="1"/>
  <c r="AC26" i="34"/>
  <c r="AE26" i="34" s="1"/>
  <c r="AF26" i="34" s="1"/>
  <c r="AF23" i="34"/>
  <c r="AJ23" i="34" s="1"/>
  <c r="AG23" i="34"/>
  <c r="AK23" i="34" s="1"/>
  <c r="F30" i="34"/>
  <c r="AG25" i="32"/>
  <c r="AF25" i="32"/>
  <c r="AI23" i="32"/>
  <c r="AF23" i="32"/>
  <c r="AG23" i="32"/>
  <c r="F30" i="30"/>
  <c r="AJ23" i="30"/>
  <c r="AK23" i="30"/>
  <c r="AC24" i="28"/>
  <c r="AB24" i="28"/>
  <c r="AB25" i="28"/>
  <c r="AC25" i="28"/>
  <c r="AE25" i="28"/>
  <c r="AB23" i="28"/>
  <c r="AE23" i="28"/>
  <c r="AC23" i="28"/>
  <c r="AC26" i="28"/>
  <c r="AB26" i="28"/>
  <c r="O23" i="10"/>
  <c r="P23" i="10" s="1"/>
  <c r="S24" i="10"/>
  <c r="W24" i="10" s="1"/>
  <c r="P24" i="10"/>
  <c r="O24" i="13"/>
  <c r="P24" i="13" s="1"/>
  <c r="M26" i="9"/>
  <c r="Q26" i="9" s="1"/>
  <c r="S24" i="5"/>
  <c r="T24" i="5" s="1"/>
  <c r="O23" i="9"/>
  <c r="P23" i="9" s="1"/>
  <c r="O24" i="9"/>
  <c r="S24" i="9" s="1"/>
  <c r="M26" i="7"/>
  <c r="Q26" i="7" s="1"/>
  <c r="Q24" i="5"/>
  <c r="P23" i="5"/>
  <c r="S23" i="5" s="1"/>
  <c r="P26" i="9"/>
  <c r="P25" i="7"/>
  <c r="S26" i="7"/>
  <c r="P26" i="7"/>
  <c r="O24" i="7"/>
  <c r="O23" i="7"/>
  <c r="M25" i="7"/>
  <c r="Q25" i="7" s="1"/>
  <c r="O23" i="13"/>
  <c r="K26" i="13"/>
  <c r="F26" i="13"/>
  <c r="O26" i="13" s="1"/>
  <c r="AJ19" i="13"/>
  <c r="J26" i="13" s="1"/>
  <c r="L26" i="13"/>
  <c r="K25" i="13"/>
  <c r="AJ18" i="13"/>
  <c r="J25" i="13" s="1"/>
  <c r="F25" i="13"/>
  <c r="O25" i="13" s="1"/>
  <c r="L25" i="13"/>
  <c r="S23" i="17"/>
  <c r="S25" i="17"/>
  <c r="O23" i="3"/>
  <c r="U26" i="3" s="1"/>
  <c r="P24" i="15"/>
  <c r="S24" i="15"/>
  <c r="Q24" i="15"/>
  <c r="U26" i="5"/>
  <c r="T26" i="5"/>
  <c r="O23" i="15"/>
  <c r="M25" i="9"/>
  <c r="Q25" i="9" s="1"/>
  <c r="P25" i="9"/>
  <c r="S24" i="3"/>
  <c r="Q24" i="3"/>
  <c r="P24" i="3"/>
  <c r="AE26" i="32" l="1"/>
  <c r="AG26" i="32" s="1"/>
  <c r="AE24" i="32"/>
  <c r="AF24" i="32" s="1"/>
  <c r="AG24" i="30"/>
  <c r="AK24" i="30" s="1"/>
  <c r="AF24" i="30"/>
  <c r="AJ24" i="30" s="1"/>
  <c r="AG26" i="30"/>
  <c r="AI25" i="30" s="1"/>
  <c r="AE24" i="34"/>
  <c r="AI24" i="34" s="1"/>
  <c r="F31" i="34" s="1"/>
  <c r="AG26" i="34"/>
  <c r="AI26" i="34" s="1"/>
  <c r="F33" i="34" s="1"/>
  <c r="O33" i="34" s="1"/>
  <c r="J30" i="34"/>
  <c r="L30" i="34"/>
  <c r="K30" i="34"/>
  <c r="F30" i="32"/>
  <c r="AJ23" i="32"/>
  <c r="AK23" i="32"/>
  <c r="L31" i="30"/>
  <c r="K31" i="30"/>
  <c r="J31" i="30"/>
  <c r="K30" i="30"/>
  <c r="L30" i="30"/>
  <c r="J30" i="30"/>
  <c r="AE26" i="28"/>
  <c r="AE24" i="28"/>
  <c r="AI23" i="28"/>
  <c r="AG23" i="28"/>
  <c r="AF23" i="28"/>
  <c r="AG25" i="28"/>
  <c r="AF25" i="28"/>
  <c r="T24" i="10"/>
  <c r="Q23" i="10"/>
  <c r="S25" i="10" s="1"/>
  <c r="U25" i="10" s="1"/>
  <c r="T26" i="10"/>
  <c r="U24" i="10"/>
  <c r="U26" i="10"/>
  <c r="S24" i="13"/>
  <c r="W24" i="13" s="1"/>
  <c r="Q24" i="13"/>
  <c r="W24" i="5"/>
  <c r="U24" i="5"/>
  <c r="Q23" i="9"/>
  <c r="S25" i="9" s="1"/>
  <c r="T26" i="9"/>
  <c r="U26" i="9"/>
  <c r="S25" i="5"/>
  <c r="T25" i="5" s="1"/>
  <c r="W24" i="9"/>
  <c r="Q24" i="9"/>
  <c r="P24" i="9"/>
  <c r="T24" i="9" s="1"/>
  <c r="T23" i="5"/>
  <c r="U23" i="5"/>
  <c r="T26" i="7"/>
  <c r="Q23" i="7"/>
  <c r="P23" i="7"/>
  <c r="P24" i="7"/>
  <c r="S24" i="7"/>
  <c r="Q24" i="7"/>
  <c r="U26" i="7"/>
  <c r="Q23" i="13"/>
  <c r="P23" i="13"/>
  <c r="P23" i="3"/>
  <c r="T26" i="3"/>
  <c r="Q23" i="3"/>
  <c r="Y24" i="17"/>
  <c r="X24" i="17"/>
  <c r="T23" i="17"/>
  <c r="U23" i="17"/>
  <c r="M25" i="13"/>
  <c r="Q25" i="13" s="1"/>
  <c r="M26" i="13"/>
  <c r="Q26" i="13" s="1"/>
  <c r="P25" i="13"/>
  <c r="W25" i="17"/>
  <c r="U25" i="17"/>
  <c r="T25" i="17"/>
  <c r="S26" i="13"/>
  <c r="P26" i="13"/>
  <c r="P23" i="15"/>
  <c r="Q23" i="15"/>
  <c r="U26" i="15"/>
  <c r="T26" i="15"/>
  <c r="W24" i="3"/>
  <c r="U24" i="3"/>
  <c r="T24" i="3"/>
  <c r="T24" i="15"/>
  <c r="W24" i="15"/>
  <c r="U24" i="15"/>
  <c r="AG24" i="32" l="1"/>
  <c r="AF26" i="32"/>
  <c r="AI26" i="32" s="1"/>
  <c r="AI24" i="32"/>
  <c r="AJ24" i="32" s="1"/>
  <c r="X24" i="5"/>
  <c r="AI26" i="30"/>
  <c r="AK26" i="30" s="1"/>
  <c r="AG24" i="34"/>
  <c r="AK24" i="34" s="1"/>
  <c r="AF24" i="34"/>
  <c r="AJ24" i="34" s="1"/>
  <c r="AI25" i="34"/>
  <c r="F32" i="34" s="1"/>
  <c r="L32" i="34" s="1"/>
  <c r="AK26" i="34"/>
  <c r="AJ26" i="34"/>
  <c r="J33" i="34"/>
  <c r="K33" i="34"/>
  <c r="L33" i="34"/>
  <c r="M31" i="30"/>
  <c r="L31" i="34"/>
  <c r="K31" i="34"/>
  <c r="J31" i="34"/>
  <c r="S33" i="34"/>
  <c r="M30" i="34"/>
  <c r="J30" i="32"/>
  <c r="L30" i="32"/>
  <c r="K30" i="32"/>
  <c r="M30" i="30"/>
  <c r="AK25" i="30"/>
  <c r="AJ25" i="30"/>
  <c r="F32" i="30"/>
  <c r="AI24" i="28"/>
  <c r="AG24" i="28"/>
  <c r="AF24" i="28"/>
  <c r="F30" i="28"/>
  <c r="AK23" i="28"/>
  <c r="AJ23" i="28"/>
  <c r="AG26" i="28"/>
  <c r="AF26" i="28"/>
  <c r="U24" i="9"/>
  <c r="S23" i="10"/>
  <c r="U23" i="10" s="1"/>
  <c r="W25" i="10"/>
  <c r="T25" i="10"/>
  <c r="T24" i="13"/>
  <c r="U24" i="13"/>
  <c r="S23" i="9"/>
  <c r="Y24" i="5"/>
  <c r="U25" i="5"/>
  <c r="W25" i="5"/>
  <c r="X25" i="5" s="1"/>
  <c r="W23" i="5"/>
  <c r="X23" i="5" s="1"/>
  <c r="W26" i="5"/>
  <c r="Y26" i="5" s="1"/>
  <c r="T24" i="7"/>
  <c r="W24" i="7"/>
  <c r="U24" i="7"/>
  <c r="S23" i="7"/>
  <c r="S25" i="7"/>
  <c r="S25" i="3"/>
  <c r="T25" i="3" s="1"/>
  <c r="S23" i="3"/>
  <c r="U23" i="3" s="1"/>
  <c r="W23" i="17"/>
  <c r="W26" i="17"/>
  <c r="X25" i="17"/>
  <c r="Y25" i="17"/>
  <c r="U26" i="13"/>
  <c r="T26" i="13"/>
  <c r="S23" i="13"/>
  <c r="S25" i="13"/>
  <c r="S23" i="15"/>
  <c r="Y24" i="15" s="1"/>
  <c r="S25" i="15"/>
  <c r="U25" i="9"/>
  <c r="T25" i="9"/>
  <c r="W25" i="9"/>
  <c r="AI25" i="32" l="1"/>
  <c r="AK25" i="32" s="1"/>
  <c r="F31" i="32"/>
  <c r="K31" i="32" s="1"/>
  <c r="AK24" i="32"/>
  <c r="F33" i="30"/>
  <c r="J33" i="30" s="1"/>
  <c r="AJ26" i="30"/>
  <c r="K32" i="34"/>
  <c r="M32" i="34" s="1"/>
  <c r="P33" i="34"/>
  <c r="O32" i="34"/>
  <c r="J32" i="34"/>
  <c r="R33" i="34"/>
  <c r="AK25" i="34"/>
  <c r="AJ25" i="34"/>
  <c r="M33" i="34"/>
  <c r="Q33" i="34" s="1"/>
  <c r="O30" i="30"/>
  <c r="R30" i="30" s="1"/>
  <c r="F32" i="32"/>
  <c r="L32" i="32" s="1"/>
  <c r="AJ25" i="32"/>
  <c r="AI26" i="28"/>
  <c r="AJ26" i="28" s="1"/>
  <c r="O31" i="30"/>
  <c r="S31" i="30" s="1"/>
  <c r="M30" i="32"/>
  <c r="M31" i="34"/>
  <c r="O31" i="34" s="1"/>
  <c r="AJ26" i="32"/>
  <c r="F33" i="32"/>
  <c r="AK26" i="32"/>
  <c r="L32" i="30"/>
  <c r="J32" i="30"/>
  <c r="O32" i="30"/>
  <c r="K32" i="30"/>
  <c r="L30" i="28"/>
  <c r="J30" i="28"/>
  <c r="K30" i="28"/>
  <c r="AK24" i="28"/>
  <c r="F31" i="28"/>
  <c r="AJ24" i="28"/>
  <c r="AI25" i="28"/>
  <c r="T23" i="10"/>
  <c r="W23" i="10" s="1"/>
  <c r="Y25" i="10"/>
  <c r="X25" i="10"/>
  <c r="Y24" i="10"/>
  <c r="U23" i="9"/>
  <c r="Y24" i="9" s="1"/>
  <c r="T23" i="9"/>
  <c r="X24" i="9" s="1"/>
  <c r="Y25" i="5"/>
  <c r="AA25" i="5" s="1"/>
  <c r="AC25" i="5" s="1"/>
  <c r="X26" i="5"/>
  <c r="AA26" i="5"/>
  <c r="AA23" i="5"/>
  <c r="AB23" i="5" s="1"/>
  <c r="Y23" i="5"/>
  <c r="Y24" i="7"/>
  <c r="U23" i="7"/>
  <c r="T23" i="7"/>
  <c r="X24" i="7"/>
  <c r="T25" i="7"/>
  <c r="W25" i="7"/>
  <c r="U25" i="7"/>
  <c r="AA24" i="17"/>
  <c r="AC24" i="17" s="1"/>
  <c r="AA25" i="17"/>
  <c r="AE25" i="17" s="1"/>
  <c r="W25" i="3"/>
  <c r="X25" i="3" s="1"/>
  <c r="U25" i="3"/>
  <c r="X24" i="3"/>
  <c r="T23" i="3"/>
  <c r="W26" i="3" s="1"/>
  <c r="Y24" i="3"/>
  <c r="T23" i="13"/>
  <c r="U23" i="13"/>
  <c r="Y24" i="13"/>
  <c r="X24" i="13"/>
  <c r="X26" i="17"/>
  <c r="Y26" i="17"/>
  <c r="AA26" i="17"/>
  <c r="U25" i="13"/>
  <c r="W25" i="13"/>
  <c r="T25" i="13"/>
  <c r="X23" i="17"/>
  <c r="Y23" i="17"/>
  <c r="AA23" i="17"/>
  <c r="X25" i="9"/>
  <c r="Y25" i="9"/>
  <c r="W25" i="15"/>
  <c r="U25" i="15"/>
  <c r="T25" i="15"/>
  <c r="T23" i="15"/>
  <c r="U23" i="15"/>
  <c r="X24" i="15"/>
  <c r="J31" i="32" l="1"/>
  <c r="L31" i="32"/>
  <c r="M31" i="32" s="1"/>
  <c r="L33" i="30"/>
  <c r="O33" i="30"/>
  <c r="S33" i="30" s="1"/>
  <c r="K33" i="30"/>
  <c r="R32" i="34"/>
  <c r="P32" i="34"/>
  <c r="Q32" i="34"/>
  <c r="O30" i="34"/>
  <c r="Q30" i="34" s="1"/>
  <c r="U33" i="34" s="1"/>
  <c r="Q30" i="30"/>
  <c r="P30" i="30"/>
  <c r="P31" i="30"/>
  <c r="T31" i="30" s="1"/>
  <c r="R31" i="30"/>
  <c r="V31" i="30" s="1"/>
  <c r="Q31" i="30"/>
  <c r="U31" i="30" s="1"/>
  <c r="J32" i="32"/>
  <c r="O32" i="32"/>
  <c r="K32" i="32"/>
  <c r="M32" i="32" s="1"/>
  <c r="AK26" i="28"/>
  <c r="F33" i="28"/>
  <c r="L33" i="28" s="1"/>
  <c r="S31" i="34"/>
  <c r="W31" i="34" s="1"/>
  <c r="R31" i="34"/>
  <c r="Q31" i="34"/>
  <c r="P31" i="34"/>
  <c r="L33" i="32"/>
  <c r="K33" i="32"/>
  <c r="O33" i="32"/>
  <c r="J33" i="32"/>
  <c r="M32" i="30"/>
  <c r="Q32" i="30" s="1"/>
  <c r="R32" i="30"/>
  <c r="P32" i="30"/>
  <c r="W31" i="30"/>
  <c r="AK25" i="28"/>
  <c r="AJ25" i="28"/>
  <c r="F32" i="28"/>
  <c r="J31" i="28"/>
  <c r="K31" i="28"/>
  <c r="L31" i="28"/>
  <c r="M30" i="28"/>
  <c r="X24" i="10"/>
  <c r="AA25" i="10" s="1"/>
  <c r="AB25" i="10" s="1"/>
  <c r="W26" i="10"/>
  <c r="X26" i="10" s="1"/>
  <c r="W23" i="9"/>
  <c r="Y23" i="9" s="1"/>
  <c r="AA23" i="10"/>
  <c r="Y23" i="10"/>
  <c r="X23" i="10"/>
  <c r="W26" i="9"/>
  <c r="AA26" i="9" s="1"/>
  <c r="AB24" i="17"/>
  <c r="Y25" i="3"/>
  <c r="AA24" i="3" s="1"/>
  <c r="AE25" i="5"/>
  <c r="AB25" i="5"/>
  <c r="AA24" i="5"/>
  <c r="AC24" i="5" s="1"/>
  <c r="AB26" i="5"/>
  <c r="AC26" i="5"/>
  <c r="AE23" i="5"/>
  <c r="AI23" i="5" s="1"/>
  <c r="AC23" i="5"/>
  <c r="Y25" i="7"/>
  <c r="X25" i="7"/>
  <c r="W26" i="7"/>
  <c r="W23" i="7"/>
  <c r="AB25" i="17"/>
  <c r="AF25" i="17" s="1"/>
  <c r="AC25" i="17"/>
  <c r="AG25" i="17" s="1"/>
  <c r="W23" i="3"/>
  <c r="Y23" i="3" s="1"/>
  <c r="AB26" i="17"/>
  <c r="AC26" i="17"/>
  <c r="W26" i="13"/>
  <c r="W23" i="13"/>
  <c r="AB23" i="17"/>
  <c r="AC23" i="17"/>
  <c r="AE23" i="17"/>
  <c r="X25" i="13"/>
  <c r="Y25" i="13"/>
  <c r="Y25" i="15"/>
  <c r="X25" i="15"/>
  <c r="AA24" i="9"/>
  <c r="AA25" i="9"/>
  <c r="AA26" i="3"/>
  <c r="Y26" i="3"/>
  <c r="X26" i="3"/>
  <c r="W23" i="15"/>
  <c r="W26" i="15"/>
  <c r="O31" i="32" l="1"/>
  <c r="S31" i="32" s="1"/>
  <c r="W31" i="32" s="1"/>
  <c r="P33" i="30"/>
  <c r="T33" i="30" s="1"/>
  <c r="M33" i="30"/>
  <c r="Q33" i="30" s="1"/>
  <c r="U33" i="30" s="1"/>
  <c r="R33" i="30"/>
  <c r="V33" i="30" s="1"/>
  <c r="R30" i="34"/>
  <c r="V33" i="34" s="1"/>
  <c r="P30" i="34"/>
  <c r="O33" i="28"/>
  <c r="S33" i="28" s="1"/>
  <c r="Q32" i="32"/>
  <c r="T31" i="34"/>
  <c r="P32" i="32"/>
  <c r="K33" i="28"/>
  <c r="J33" i="28"/>
  <c r="R32" i="32"/>
  <c r="V31" i="34"/>
  <c r="S30" i="30"/>
  <c r="Z31" i="30" s="1"/>
  <c r="S32" i="30"/>
  <c r="W32" i="30" s="1"/>
  <c r="M33" i="32"/>
  <c r="Q33" i="32" s="1"/>
  <c r="O30" i="32"/>
  <c r="Q30" i="32" s="1"/>
  <c r="U31" i="34"/>
  <c r="T33" i="34"/>
  <c r="S33" i="32"/>
  <c r="P33" i="32"/>
  <c r="R33" i="32"/>
  <c r="M31" i="28"/>
  <c r="O31" i="28" s="1"/>
  <c r="L32" i="28"/>
  <c r="K32" i="28"/>
  <c r="O32" i="28"/>
  <c r="J32" i="28"/>
  <c r="AA24" i="10"/>
  <c r="AC24" i="10" s="1"/>
  <c r="Y26" i="10"/>
  <c r="AA26" i="10"/>
  <c r="AB26" i="10" s="1"/>
  <c r="AC25" i="10"/>
  <c r="AE25" i="10"/>
  <c r="AA23" i="9"/>
  <c r="AE23" i="9" s="1"/>
  <c r="X23" i="9"/>
  <c r="AC23" i="10"/>
  <c r="AB23" i="10"/>
  <c r="AE23" i="10"/>
  <c r="X26" i="9"/>
  <c r="AB26" i="9" s="1"/>
  <c r="Y26" i="9"/>
  <c r="AC26" i="9" s="1"/>
  <c r="AA25" i="3"/>
  <c r="AE25" i="3" s="1"/>
  <c r="AG25" i="5"/>
  <c r="AF25" i="5"/>
  <c r="AB24" i="5"/>
  <c r="AE24" i="5" s="1"/>
  <c r="AF24" i="5" s="1"/>
  <c r="AF23" i="5"/>
  <c r="AJ23" i="5" s="1"/>
  <c r="AG23" i="5"/>
  <c r="AK23" i="5" s="1"/>
  <c r="AA23" i="7"/>
  <c r="Y23" i="7"/>
  <c r="X23" i="7"/>
  <c r="X26" i="7"/>
  <c r="AA26" i="7"/>
  <c r="Y26" i="7"/>
  <c r="AA24" i="7"/>
  <c r="AA25" i="7"/>
  <c r="AA24" i="15"/>
  <c r="AC24" i="15" s="1"/>
  <c r="AE24" i="17"/>
  <c r="AG24" i="17" s="1"/>
  <c r="X23" i="3"/>
  <c r="AA23" i="3"/>
  <c r="AC23" i="3" s="1"/>
  <c r="AI23" i="17"/>
  <c r="AF23" i="17"/>
  <c r="AG23" i="17"/>
  <c r="AA23" i="13"/>
  <c r="X23" i="13"/>
  <c r="Y23" i="13"/>
  <c r="X26" i="13"/>
  <c r="AA26" i="13"/>
  <c r="Y26" i="13"/>
  <c r="AA25" i="15"/>
  <c r="AC25" i="15" s="1"/>
  <c r="AA24" i="13"/>
  <c r="AA25" i="13"/>
  <c r="AE26" i="17"/>
  <c r="AA26" i="15"/>
  <c r="X26" i="15"/>
  <c r="Y26" i="15"/>
  <c r="AB26" i="3"/>
  <c r="AC26" i="3"/>
  <c r="AC25" i="9"/>
  <c r="AE25" i="9"/>
  <c r="AB25" i="9"/>
  <c r="X23" i="15"/>
  <c r="AA23" i="15"/>
  <c r="Y23" i="15"/>
  <c r="AB24" i="3"/>
  <c r="AC24" i="3"/>
  <c r="AC24" i="9"/>
  <c r="AB24" i="9"/>
  <c r="F30" i="5"/>
  <c r="P31" i="32" l="1"/>
  <c r="Q31" i="32"/>
  <c r="R31" i="32"/>
  <c r="S32" i="34"/>
  <c r="T32" i="34" s="1"/>
  <c r="S30" i="34"/>
  <c r="V30" i="34" s="1"/>
  <c r="Z31" i="34" s="1"/>
  <c r="P33" i="28"/>
  <c r="R33" i="28"/>
  <c r="U31" i="32"/>
  <c r="T30" i="30"/>
  <c r="X31" i="30" s="1"/>
  <c r="U30" i="30"/>
  <c r="Y31" i="30" s="1"/>
  <c r="V30" i="30"/>
  <c r="U32" i="30"/>
  <c r="Y32" i="30" s="1"/>
  <c r="T32" i="30"/>
  <c r="X32" i="30" s="1"/>
  <c r="M33" i="28"/>
  <c r="Q33" i="28" s="1"/>
  <c r="V32" i="30"/>
  <c r="Z32" i="30" s="1"/>
  <c r="O30" i="28"/>
  <c r="P30" i="28" s="1"/>
  <c r="R30" i="32"/>
  <c r="P30" i="32"/>
  <c r="T31" i="32" s="1"/>
  <c r="U33" i="32"/>
  <c r="V33" i="32"/>
  <c r="M32" i="28"/>
  <c r="Q32" i="28" s="1"/>
  <c r="S31" i="28"/>
  <c r="R31" i="28"/>
  <c r="Q31" i="28"/>
  <c r="P31" i="28"/>
  <c r="R32" i="28"/>
  <c r="P32" i="28"/>
  <c r="AB24" i="10"/>
  <c r="AC26" i="10"/>
  <c r="AG25" i="10"/>
  <c r="AF25" i="10"/>
  <c r="AC23" i="9"/>
  <c r="AG23" i="9" s="1"/>
  <c r="AB23" i="9"/>
  <c r="AF23" i="9" s="1"/>
  <c r="AI23" i="10"/>
  <c r="AG23" i="10"/>
  <c r="AF23" i="10"/>
  <c r="AC25" i="3"/>
  <c r="AG25" i="3" s="1"/>
  <c r="AB25" i="3"/>
  <c r="AF25" i="3" s="1"/>
  <c r="AB24" i="15"/>
  <c r="AB25" i="15"/>
  <c r="AE26" i="5"/>
  <c r="AG26" i="5" s="1"/>
  <c r="AI24" i="17"/>
  <c r="AK24" i="17" s="1"/>
  <c r="AI24" i="5"/>
  <c r="F31" i="5" s="1"/>
  <c r="AG24" i="5"/>
  <c r="AF24" i="17"/>
  <c r="AE25" i="7"/>
  <c r="AC25" i="7"/>
  <c r="AB25" i="7"/>
  <c r="AC24" i="7"/>
  <c r="AB24" i="7"/>
  <c r="AC26" i="7"/>
  <c r="AB26" i="7"/>
  <c r="AE23" i="7"/>
  <c r="AB23" i="7"/>
  <c r="AC23" i="7"/>
  <c r="AE25" i="15"/>
  <c r="AG25" i="15" s="1"/>
  <c r="AE23" i="3"/>
  <c r="AI23" i="3" s="1"/>
  <c r="AB23" i="3"/>
  <c r="AG26" i="17"/>
  <c r="AF26" i="17"/>
  <c r="AB26" i="13"/>
  <c r="AC26" i="13"/>
  <c r="AE23" i="13"/>
  <c r="AB23" i="13"/>
  <c r="AC23" i="13"/>
  <c r="AB25" i="13"/>
  <c r="AE25" i="13"/>
  <c r="AC25" i="13"/>
  <c r="AC24" i="13"/>
  <c r="AB24" i="13"/>
  <c r="AJ23" i="17"/>
  <c r="AK23" i="17"/>
  <c r="F30" i="17"/>
  <c r="J30" i="5"/>
  <c r="L30" i="5"/>
  <c r="K30" i="5"/>
  <c r="AE24" i="9"/>
  <c r="AE26" i="9"/>
  <c r="AC23" i="15"/>
  <c r="AE23" i="15"/>
  <c r="AB23" i="15"/>
  <c r="AF25" i="9"/>
  <c r="AG25" i="9"/>
  <c r="AE24" i="3"/>
  <c r="AE26" i="3"/>
  <c r="AI23" i="9"/>
  <c r="AC26" i="15"/>
  <c r="AB26" i="15"/>
  <c r="V31" i="32" l="1"/>
  <c r="W32" i="34"/>
  <c r="X32" i="34" s="1"/>
  <c r="U32" i="34"/>
  <c r="V32" i="34"/>
  <c r="T30" i="34"/>
  <c r="X31" i="34" s="1"/>
  <c r="U30" i="34"/>
  <c r="Y31" i="34" s="1"/>
  <c r="T33" i="28"/>
  <c r="W30" i="30"/>
  <c r="AA30" i="30" s="1"/>
  <c r="W33" i="30"/>
  <c r="AA33" i="30" s="1"/>
  <c r="R30" i="28"/>
  <c r="V33" i="28" s="1"/>
  <c r="Q30" i="28"/>
  <c r="U33" i="28" s="1"/>
  <c r="S32" i="32"/>
  <c r="W32" i="32" s="1"/>
  <c r="AA31" i="30"/>
  <c r="S30" i="32"/>
  <c r="T30" i="32" s="1"/>
  <c r="X31" i="32" s="1"/>
  <c r="T33" i="32"/>
  <c r="AA32" i="30"/>
  <c r="AE32" i="30" s="1"/>
  <c r="T31" i="28"/>
  <c r="W31" i="28"/>
  <c r="AE24" i="10"/>
  <c r="AF24" i="10" s="1"/>
  <c r="AE26" i="10"/>
  <c r="AG26" i="10" s="1"/>
  <c r="AJ23" i="10"/>
  <c r="F30" i="10"/>
  <c r="AK23" i="10"/>
  <c r="F31" i="17"/>
  <c r="L31" i="17" s="1"/>
  <c r="AJ24" i="17"/>
  <c r="AF26" i="5"/>
  <c r="AI26" i="5" s="1"/>
  <c r="F33" i="5" s="1"/>
  <c r="J33" i="5" s="1"/>
  <c r="AF25" i="15"/>
  <c r="AJ24" i="5"/>
  <c r="AK24" i="5"/>
  <c r="AI23" i="7"/>
  <c r="AF23" i="7"/>
  <c r="AG23" i="7"/>
  <c r="AE24" i="7"/>
  <c r="AE26" i="7"/>
  <c r="AF25" i="7"/>
  <c r="AG25" i="7"/>
  <c r="AG23" i="3"/>
  <c r="AK23" i="3" s="1"/>
  <c r="AF23" i="3"/>
  <c r="AJ23" i="3" s="1"/>
  <c r="AF25" i="13"/>
  <c r="AG25" i="13"/>
  <c r="AG23" i="13"/>
  <c r="AF23" i="13"/>
  <c r="AI23" i="13"/>
  <c r="AE26" i="13"/>
  <c r="K30" i="17"/>
  <c r="L30" i="17"/>
  <c r="J30" i="17"/>
  <c r="AE24" i="13"/>
  <c r="AI26" i="17"/>
  <c r="AI25" i="17"/>
  <c r="AE26" i="15"/>
  <c r="AF26" i="15" s="1"/>
  <c r="K31" i="5"/>
  <c r="L31" i="5"/>
  <c r="J31" i="5"/>
  <c r="AF23" i="15"/>
  <c r="AG23" i="15"/>
  <c r="AI23" i="15"/>
  <c r="F30" i="9"/>
  <c r="AK23" i="9"/>
  <c r="AJ23" i="9"/>
  <c r="F30" i="3"/>
  <c r="AF26" i="3"/>
  <c r="AG26" i="3"/>
  <c r="AE24" i="15"/>
  <c r="AG26" i="9"/>
  <c r="AF26" i="9"/>
  <c r="AG24" i="3"/>
  <c r="AF24" i="3"/>
  <c r="AI24" i="3"/>
  <c r="AI24" i="9"/>
  <c r="AG24" i="9"/>
  <c r="AF24" i="9"/>
  <c r="M30" i="5"/>
  <c r="V31" i="28" l="1"/>
  <c r="U31" i="28"/>
  <c r="Y32" i="34"/>
  <c r="W33" i="34"/>
  <c r="AA33" i="34" s="1"/>
  <c r="Z32" i="34"/>
  <c r="W30" i="34"/>
  <c r="X30" i="34" s="1"/>
  <c r="AD31" i="30"/>
  <c r="X33" i="30"/>
  <c r="AB33" i="30" s="1"/>
  <c r="Y30" i="30"/>
  <c r="AC30" i="30" s="1"/>
  <c r="S30" i="28"/>
  <c r="U30" i="28" s="1"/>
  <c r="S32" i="28"/>
  <c r="W32" i="28" s="1"/>
  <c r="Y33" i="30"/>
  <c r="AC33" i="30" s="1"/>
  <c r="Z30" i="30"/>
  <c r="AD30" i="30" s="1"/>
  <c r="X30" i="30"/>
  <c r="AB30" i="30" s="1"/>
  <c r="Z33" i="30"/>
  <c r="AD33" i="30" s="1"/>
  <c r="AB31" i="30"/>
  <c r="U32" i="32"/>
  <c r="Y32" i="32" s="1"/>
  <c r="V32" i="32"/>
  <c r="Z32" i="32" s="1"/>
  <c r="T32" i="32"/>
  <c r="X32" i="32" s="1"/>
  <c r="U30" i="32"/>
  <c r="Y31" i="32" s="1"/>
  <c r="V30" i="32"/>
  <c r="Z31" i="32" s="1"/>
  <c r="AC32" i="30"/>
  <c r="AD32" i="30"/>
  <c r="AB32" i="30"/>
  <c r="AF32" i="30" s="1"/>
  <c r="AC31" i="30"/>
  <c r="AE30" i="30"/>
  <c r="AG24" i="10"/>
  <c r="AI24" i="10"/>
  <c r="AJ24" i="10" s="1"/>
  <c r="AF26" i="10"/>
  <c r="AI25" i="10" s="1"/>
  <c r="J30" i="10"/>
  <c r="K30" i="10"/>
  <c r="L30" i="10"/>
  <c r="K31" i="17"/>
  <c r="M31" i="17" s="1"/>
  <c r="J31" i="17"/>
  <c r="O33" i="5"/>
  <c r="S33" i="5" s="1"/>
  <c r="AG26" i="15"/>
  <c r="AI25" i="15" s="1"/>
  <c r="L33" i="5"/>
  <c r="AJ26" i="5"/>
  <c r="AK26" i="5"/>
  <c r="K33" i="5"/>
  <c r="AI25" i="5"/>
  <c r="F32" i="5" s="1"/>
  <c r="L32" i="5" s="1"/>
  <c r="AF24" i="7"/>
  <c r="AI24" i="7"/>
  <c r="AG24" i="7"/>
  <c r="AF26" i="7"/>
  <c r="AG26" i="7"/>
  <c r="AK23" i="7"/>
  <c r="F30" i="7"/>
  <c r="AJ23" i="7"/>
  <c r="AI25" i="9"/>
  <c r="AJ25" i="9" s="1"/>
  <c r="M31" i="5"/>
  <c r="O30" i="5" s="1"/>
  <c r="AF24" i="13"/>
  <c r="AG24" i="13"/>
  <c r="AI24" i="13"/>
  <c r="AF26" i="13"/>
  <c r="AG26" i="13"/>
  <c r="AK25" i="17"/>
  <c r="F32" i="17"/>
  <c r="AJ25" i="17"/>
  <c r="AK26" i="17"/>
  <c r="AJ26" i="17"/>
  <c r="F33" i="17"/>
  <c r="M30" i="17"/>
  <c r="F30" i="13"/>
  <c r="AJ23" i="13"/>
  <c r="AK23" i="13"/>
  <c r="AG24" i="15"/>
  <c r="AI24" i="15"/>
  <c r="AF24" i="15"/>
  <c r="J30" i="9"/>
  <c r="K30" i="9"/>
  <c r="L30" i="9"/>
  <c r="AK24" i="9"/>
  <c r="AJ24" i="9"/>
  <c r="F31" i="9"/>
  <c r="AI26" i="9"/>
  <c r="AI25" i="3"/>
  <c r="AI26" i="3"/>
  <c r="J30" i="3"/>
  <c r="K30" i="3"/>
  <c r="L30" i="3"/>
  <c r="F30" i="15"/>
  <c r="AJ23" i="15"/>
  <c r="AK23" i="15"/>
  <c r="F31" i="3"/>
  <c r="AK24" i="3"/>
  <c r="AJ24" i="3"/>
  <c r="Y31" i="28" l="1"/>
  <c r="AA31" i="34"/>
  <c r="AD31" i="34" s="1"/>
  <c r="Y33" i="34"/>
  <c r="AC33" i="34" s="1"/>
  <c r="Z33" i="34"/>
  <c r="AD33" i="34" s="1"/>
  <c r="X33" i="34"/>
  <c r="AB33" i="34" s="1"/>
  <c r="AA32" i="34"/>
  <c r="AE32" i="34" s="1"/>
  <c r="AA30" i="34"/>
  <c r="AE30" i="34" s="1"/>
  <c r="Z30" i="34"/>
  <c r="Y30" i="34"/>
  <c r="U32" i="28"/>
  <c r="Y32" i="28" s="1"/>
  <c r="T32" i="28"/>
  <c r="X32" i="28" s="1"/>
  <c r="V32" i="28"/>
  <c r="Z32" i="28" s="1"/>
  <c r="T30" i="28"/>
  <c r="X31" i="28" s="1"/>
  <c r="V30" i="28"/>
  <c r="Z31" i="28" s="1"/>
  <c r="AH32" i="30"/>
  <c r="AG32" i="30"/>
  <c r="W33" i="32"/>
  <c r="Y33" i="32" s="1"/>
  <c r="W30" i="32"/>
  <c r="X30" i="32" s="1"/>
  <c r="AA31" i="32"/>
  <c r="AA32" i="32"/>
  <c r="AE32" i="32" s="1"/>
  <c r="AE31" i="30"/>
  <c r="AG31" i="30" s="1"/>
  <c r="AE33" i="30"/>
  <c r="AH30" i="30"/>
  <c r="AG30" i="30"/>
  <c r="AF30" i="30"/>
  <c r="AI30" i="30"/>
  <c r="F31" i="10"/>
  <c r="K31" i="10" s="1"/>
  <c r="AK24" i="10"/>
  <c r="AI26" i="10"/>
  <c r="F33" i="10" s="1"/>
  <c r="M30" i="10"/>
  <c r="AJ25" i="10"/>
  <c r="F32" i="10"/>
  <c r="AK25" i="10"/>
  <c r="P33" i="5"/>
  <c r="AI26" i="15"/>
  <c r="F33" i="15" s="1"/>
  <c r="O33" i="15" s="1"/>
  <c r="M33" i="5"/>
  <c r="Q33" i="5" s="1"/>
  <c r="AI25" i="7"/>
  <c r="F32" i="7" s="1"/>
  <c r="F32" i="15"/>
  <c r="J32" i="15" s="1"/>
  <c r="AJ25" i="15"/>
  <c r="AK25" i="15"/>
  <c r="J32" i="5"/>
  <c r="R33" i="5"/>
  <c r="AK25" i="5"/>
  <c r="O32" i="5"/>
  <c r="AJ25" i="5"/>
  <c r="K32" i="5"/>
  <c r="M32" i="5" s="1"/>
  <c r="AI26" i="7"/>
  <c r="AK26" i="7" s="1"/>
  <c r="F32" i="9"/>
  <c r="O32" i="9" s="1"/>
  <c r="F31" i="7"/>
  <c r="AK24" i="7"/>
  <c r="AJ24" i="7"/>
  <c r="AI25" i="13"/>
  <c r="AK25" i="13" s="1"/>
  <c r="J30" i="7"/>
  <c r="L30" i="7"/>
  <c r="K30" i="7"/>
  <c r="AK25" i="9"/>
  <c r="O31" i="5"/>
  <c r="AI26" i="13"/>
  <c r="F33" i="13" s="1"/>
  <c r="R30" i="5"/>
  <c r="P30" i="5"/>
  <c r="Q30" i="5"/>
  <c r="J32" i="17"/>
  <c r="K32" i="17"/>
  <c r="O32" i="17"/>
  <c r="L32" i="17"/>
  <c r="K30" i="13"/>
  <c r="J30" i="13"/>
  <c r="L30" i="13"/>
  <c r="AJ24" i="13"/>
  <c r="F31" i="13"/>
  <c r="AK24" i="13"/>
  <c r="O31" i="17"/>
  <c r="O30" i="17"/>
  <c r="J33" i="17"/>
  <c r="L33" i="17"/>
  <c r="K33" i="17"/>
  <c r="O33" i="17"/>
  <c r="K31" i="3"/>
  <c r="L31" i="3"/>
  <c r="J31" i="3"/>
  <c r="F33" i="9"/>
  <c r="AJ26" i="9"/>
  <c r="AK26" i="9"/>
  <c r="K30" i="15"/>
  <c r="L30" i="15"/>
  <c r="J30" i="15"/>
  <c r="J31" i="9"/>
  <c r="L31" i="9"/>
  <c r="K31" i="9"/>
  <c r="AJ26" i="3"/>
  <c r="AK26" i="3"/>
  <c r="F33" i="3"/>
  <c r="M30" i="3"/>
  <c r="F32" i="3"/>
  <c r="AJ25" i="3"/>
  <c r="AK25" i="3"/>
  <c r="M30" i="9"/>
  <c r="F31" i="15"/>
  <c r="AK24" i="15"/>
  <c r="AJ24" i="15"/>
  <c r="AC31" i="34" l="1"/>
  <c r="AB31" i="34"/>
  <c r="AD30" i="34"/>
  <c r="AH30" i="34" s="1"/>
  <c r="AB32" i="34"/>
  <c r="AF32" i="34" s="1"/>
  <c r="AD32" i="34"/>
  <c r="AH32" i="34" s="1"/>
  <c r="AC32" i="34"/>
  <c r="AG32" i="34" s="1"/>
  <c r="AB30" i="34"/>
  <c r="AF30" i="34" s="1"/>
  <c r="AC30" i="34"/>
  <c r="AG30" i="34" s="1"/>
  <c r="W30" i="28"/>
  <c r="AA30" i="28" s="1"/>
  <c r="W33" i="28"/>
  <c r="AA33" i="28" s="1"/>
  <c r="Y30" i="32"/>
  <c r="AC31" i="32" s="1"/>
  <c r="Z30" i="32"/>
  <c r="AD31" i="32" s="1"/>
  <c r="AA30" i="32"/>
  <c r="AB30" i="32" s="1"/>
  <c r="J31" i="10"/>
  <c r="Z33" i="32"/>
  <c r="AA33" i="32"/>
  <c r="AC33" i="32" s="1"/>
  <c r="X33" i="32"/>
  <c r="AB31" i="32"/>
  <c r="AB32" i="32"/>
  <c r="AC32" i="32"/>
  <c r="AD32" i="32"/>
  <c r="AH31" i="30"/>
  <c r="AF31" i="30"/>
  <c r="AI31" i="30"/>
  <c r="AA31" i="28"/>
  <c r="AI30" i="34"/>
  <c r="AG33" i="30"/>
  <c r="AF33" i="30"/>
  <c r="AH33" i="30"/>
  <c r="AX30" i="30"/>
  <c r="AL30" i="30"/>
  <c r="AK30" i="30"/>
  <c r="AJ30" i="30"/>
  <c r="AA32" i="28"/>
  <c r="AE32" i="28" s="1"/>
  <c r="L31" i="10"/>
  <c r="M31" i="10" s="1"/>
  <c r="AK26" i="10"/>
  <c r="AJ26" i="10"/>
  <c r="L33" i="10"/>
  <c r="K33" i="10"/>
  <c r="J33" i="10"/>
  <c r="O33" i="10"/>
  <c r="L32" i="10"/>
  <c r="J32" i="10"/>
  <c r="K32" i="10"/>
  <c r="O32" i="10"/>
  <c r="L32" i="15"/>
  <c r="O32" i="15"/>
  <c r="P32" i="15" s="1"/>
  <c r="AK25" i="7"/>
  <c r="K33" i="15"/>
  <c r="R33" i="15" s="1"/>
  <c r="L33" i="15"/>
  <c r="AK26" i="15"/>
  <c r="J33" i="15"/>
  <c r="P33" i="15" s="1"/>
  <c r="AJ26" i="15"/>
  <c r="AK26" i="13"/>
  <c r="K32" i="15"/>
  <c r="AJ25" i="7"/>
  <c r="AJ25" i="13"/>
  <c r="Q32" i="5"/>
  <c r="V33" i="5"/>
  <c r="F33" i="7"/>
  <c r="O33" i="7" s="1"/>
  <c r="F32" i="13"/>
  <c r="K32" i="13" s="1"/>
  <c r="AJ26" i="7"/>
  <c r="P32" i="5"/>
  <c r="R32" i="5"/>
  <c r="J32" i="9"/>
  <c r="P32" i="9" s="1"/>
  <c r="L32" i="9"/>
  <c r="K32" i="9"/>
  <c r="R32" i="9" s="1"/>
  <c r="S31" i="5"/>
  <c r="W31" i="5" s="1"/>
  <c r="R31" i="5"/>
  <c r="U33" i="5"/>
  <c r="T33" i="5"/>
  <c r="M30" i="7"/>
  <c r="P31" i="5"/>
  <c r="Q31" i="5"/>
  <c r="AJ26" i="13"/>
  <c r="L32" i="7"/>
  <c r="J32" i="7"/>
  <c r="K32" i="7"/>
  <c r="O32" i="7"/>
  <c r="J31" i="7"/>
  <c r="K31" i="7"/>
  <c r="L31" i="7"/>
  <c r="M31" i="9"/>
  <c r="O31" i="9" s="1"/>
  <c r="P30" i="17"/>
  <c r="R30" i="17"/>
  <c r="Q30" i="17"/>
  <c r="L31" i="13"/>
  <c r="K31" i="13"/>
  <c r="J31" i="13"/>
  <c r="M30" i="13"/>
  <c r="S33" i="17"/>
  <c r="P33" i="17"/>
  <c r="R33" i="17"/>
  <c r="P32" i="17"/>
  <c r="R32" i="17"/>
  <c r="O33" i="13"/>
  <c r="L33" i="13"/>
  <c r="J33" i="13"/>
  <c r="K33" i="13"/>
  <c r="M33" i="17"/>
  <c r="Q33" i="17" s="1"/>
  <c r="P31" i="17"/>
  <c r="S31" i="17"/>
  <c r="R31" i="17"/>
  <c r="Q31" i="17"/>
  <c r="M32" i="17"/>
  <c r="Q32" i="17" s="1"/>
  <c r="J31" i="15"/>
  <c r="L31" i="15"/>
  <c r="K31" i="15"/>
  <c r="O33" i="3"/>
  <c r="K33" i="3"/>
  <c r="J33" i="3"/>
  <c r="L33" i="3"/>
  <c r="O33" i="9"/>
  <c r="K33" i="9"/>
  <c r="L33" i="9"/>
  <c r="J33" i="9"/>
  <c r="M30" i="15"/>
  <c r="M31" i="3"/>
  <c r="O31" i="3" s="1"/>
  <c r="J32" i="3"/>
  <c r="O32" i="3"/>
  <c r="L32" i="3"/>
  <c r="K32" i="3"/>
  <c r="S33" i="15"/>
  <c r="AE33" i="34" l="1"/>
  <c r="AH33" i="34" s="1"/>
  <c r="AE31" i="34"/>
  <c r="AG31" i="34" s="1"/>
  <c r="Y33" i="28"/>
  <c r="AC33" i="28" s="1"/>
  <c r="Z33" i="28"/>
  <c r="AD33" i="28" s="1"/>
  <c r="X33" i="28"/>
  <c r="AB33" i="28" s="1"/>
  <c r="AD30" i="32"/>
  <c r="Z30" i="28"/>
  <c r="AD30" i="28" s="1"/>
  <c r="X30" i="28"/>
  <c r="AB30" i="28" s="1"/>
  <c r="Y30" i="28"/>
  <c r="AC30" i="28" s="1"/>
  <c r="AC31" i="28"/>
  <c r="AB33" i="32"/>
  <c r="AE30" i="32"/>
  <c r="AF30" i="32" s="1"/>
  <c r="AC30" i="32"/>
  <c r="AD33" i="32"/>
  <c r="AJ31" i="30"/>
  <c r="AX31" i="30"/>
  <c r="AK31" i="30"/>
  <c r="AL31" i="30"/>
  <c r="O30" i="10"/>
  <c r="Q30" i="10" s="1"/>
  <c r="AG32" i="32"/>
  <c r="AH32" i="32"/>
  <c r="AF32" i="32"/>
  <c r="AN30" i="30"/>
  <c r="AD31" i="28"/>
  <c r="AX30" i="34"/>
  <c r="AL30" i="34"/>
  <c r="AK30" i="34"/>
  <c r="AJ30" i="34"/>
  <c r="AI33" i="30"/>
  <c r="AI32" i="30"/>
  <c r="AB32" i="28"/>
  <c r="AD32" i="28"/>
  <c r="AC32" i="28"/>
  <c r="AE30" i="28"/>
  <c r="R32" i="15"/>
  <c r="L33" i="7"/>
  <c r="O32" i="13"/>
  <c r="R32" i="13" s="1"/>
  <c r="O31" i="10"/>
  <c r="R32" i="10"/>
  <c r="P32" i="10"/>
  <c r="R33" i="10"/>
  <c r="S33" i="10"/>
  <c r="P33" i="10"/>
  <c r="M32" i="10"/>
  <c r="Q32" i="10" s="1"/>
  <c r="M33" i="10"/>
  <c r="Q33" i="10" s="1"/>
  <c r="M33" i="15"/>
  <c r="Q33" i="15" s="1"/>
  <c r="M32" i="15"/>
  <c r="Q32" i="15" s="1"/>
  <c r="O30" i="9"/>
  <c r="Q30" i="9" s="1"/>
  <c r="L32" i="13"/>
  <c r="M32" i="13" s="1"/>
  <c r="S32" i="5"/>
  <c r="W32" i="5" s="1"/>
  <c r="S30" i="5"/>
  <c r="U30" i="5" s="1"/>
  <c r="J33" i="7"/>
  <c r="P33" i="7" s="1"/>
  <c r="U31" i="5"/>
  <c r="K33" i="7"/>
  <c r="J32" i="13"/>
  <c r="M32" i="9"/>
  <c r="Q32" i="9" s="1"/>
  <c r="V31" i="5"/>
  <c r="T31" i="5"/>
  <c r="M32" i="7"/>
  <c r="Q32" i="7" s="1"/>
  <c r="M31" i="7"/>
  <c r="S33" i="7"/>
  <c r="M33" i="13"/>
  <c r="Q33" i="13" s="1"/>
  <c r="P32" i="7"/>
  <c r="R32" i="7"/>
  <c r="M31" i="13"/>
  <c r="O31" i="13" s="1"/>
  <c r="P31" i="13" s="1"/>
  <c r="R33" i="13"/>
  <c r="S33" i="13"/>
  <c r="P33" i="13"/>
  <c r="M31" i="15"/>
  <c r="O30" i="15" s="1"/>
  <c r="R30" i="15" s="1"/>
  <c r="U31" i="17"/>
  <c r="W31" i="17"/>
  <c r="T31" i="17"/>
  <c r="V31" i="17"/>
  <c r="V33" i="17"/>
  <c r="U33" i="17"/>
  <c r="T33" i="17"/>
  <c r="S32" i="17"/>
  <c r="S30" i="17"/>
  <c r="O30" i="3"/>
  <c r="P30" i="3" s="1"/>
  <c r="M33" i="3"/>
  <c r="Q33" i="3" s="1"/>
  <c r="M32" i="3"/>
  <c r="Q32" i="3" s="1"/>
  <c r="P32" i="3"/>
  <c r="R32" i="3"/>
  <c r="S31" i="3"/>
  <c r="Q31" i="3"/>
  <c r="P31" i="3"/>
  <c r="R31" i="3"/>
  <c r="P33" i="9"/>
  <c r="S33" i="9"/>
  <c r="R33" i="9"/>
  <c r="Q31" i="9"/>
  <c r="R31" i="9"/>
  <c r="P31" i="9"/>
  <c r="S31" i="9"/>
  <c r="S33" i="3"/>
  <c r="P33" i="3"/>
  <c r="R33" i="3"/>
  <c r="M33" i="9"/>
  <c r="Q33" i="9" s="1"/>
  <c r="AB31" i="28" l="1"/>
  <c r="AE33" i="28" s="1"/>
  <c r="AF33" i="28" s="1"/>
  <c r="AF33" i="34"/>
  <c r="AI31" i="34"/>
  <c r="AK31" i="34" s="1"/>
  <c r="AF31" i="34"/>
  <c r="AH31" i="34"/>
  <c r="AG33" i="34"/>
  <c r="AE31" i="32"/>
  <c r="AG31" i="32" s="1"/>
  <c r="AI30" i="32"/>
  <c r="AJ30" i="32" s="1"/>
  <c r="AG30" i="32"/>
  <c r="AH30" i="32"/>
  <c r="AF32" i="28"/>
  <c r="AE33" i="32"/>
  <c r="AF33" i="32" s="1"/>
  <c r="AN31" i="30"/>
  <c r="AO31" i="30" s="1"/>
  <c r="AP31" i="30" s="1"/>
  <c r="AG32" i="28"/>
  <c r="P30" i="10"/>
  <c r="R30" i="10"/>
  <c r="AH32" i="28"/>
  <c r="AN30" i="34"/>
  <c r="AL32" i="30"/>
  <c r="AK32" i="30"/>
  <c r="AJ32" i="30"/>
  <c r="AX32" i="30"/>
  <c r="AX33" i="30"/>
  <c r="AL33" i="30"/>
  <c r="AK33" i="30"/>
  <c r="AJ33" i="30"/>
  <c r="AI30" i="28"/>
  <c r="AH30" i="28"/>
  <c r="AG30" i="28"/>
  <c r="AF30" i="28"/>
  <c r="M33" i="7"/>
  <c r="Q33" i="7" s="1"/>
  <c r="P32" i="13"/>
  <c r="Q32" i="13"/>
  <c r="R31" i="10"/>
  <c r="S31" i="10"/>
  <c r="Q31" i="10"/>
  <c r="P31" i="10"/>
  <c r="U33" i="10"/>
  <c r="T33" i="10"/>
  <c r="V33" i="10"/>
  <c r="V30" i="5"/>
  <c r="Z31" i="5"/>
  <c r="P30" i="9"/>
  <c r="R30" i="9"/>
  <c r="T32" i="5"/>
  <c r="X32" i="5" s="1"/>
  <c r="U32" i="5"/>
  <c r="Y32" i="5" s="1"/>
  <c r="Y31" i="5"/>
  <c r="T30" i="5"/>
  <c r="V32" i="5"/>
  <c r="Z32" i="5" s="1"/>
  <c r="X31" i="5"/>
  <c r="R33" i="7"/>
  <c r="O30" i="13"/>
  <c r="T33" i="13" s="1"/>
  <c r="Q30" i="15"/>
  <c r="S31" i="13"/>
  <c r="W31" i="13" s="1"/>
  <c r="R31" i="13"/>
  <c r="Q31" i="13"/>
  <c r="P30" i="15"/>
  <c r="O30" i="7"/>
  <c r="O31" i="7"/>
  <c r="O31" i="15"/>
  <c r="Q31" i="15" s="1"/>
  <c r="T30" i="17"/>
  <c r="V30" i="17"/>
  <c r="U30" i="17"/>
  <c r="T32" i="17"/>
  <c r="V32" i="17"/>
  <c r="W32" i="17"/>
  <c r="U32" i="17"/>
  <c r="Q30" i="3"/>
  <c r="Y31" i="17"/>
  <c r="X31" i="17"/>
  <c r="Z31" i="17"/>
  <c r="R30" i="3"/>
  <c r="W31" i="9"/>
  <c r="U31" i="9"/>
  <c r="V31" i="9"/>
  <c r="T31" i="9"/>
  <c r="T33" i="3"/>
  <c r="U33" i="3"/>
  <c r="V33" i="3"/>
  <c r="T33" i="9"/>
  <c r="V33" i="9"/>
  <c r="U33" i="9"/>
  <c r="W31" i="3"/>
  <c r="V31" i="3"/>
  <c r="U31" i="3"/>
  <c r="T31" i="3"/>
  <c r="AE31" i="28" l="1"/>
  <c r="AF31" i="28" s="1"/>
  <c r="AI33" i="34"/>
  <c r="AK33" i="34" s="1"/>
  <c r="AJ31" i="34"/>
  <c r="AX31" i="34"/>
  <c r="AL31" i="34"/>
  <c r="AI32" i="34"/>
  <c r="AX32" i="34" s="1"/>
  <c r="AI31" i="32"/>
  <c r="AX31" i="32" s="1"/>
  <c r="AH31" i="32"/>
  <c r="AF31" i="32"/>
  <c r="AO30" i="30"/>
  <c r="AP30" i="30" s="1"/>
  <c r="AH33" i="32"/>
  <c r="AL30" i="32"/>
  <c r="AX30" i="32"/>
  <c r="AK30" i="32"/>
  <c r="AG33" i="32"/>
  <c r="S32" i="10"/>
  <c r="T32" i="10" s="1"/>
  <c r="S30" i="10"/>
  <c r="V30" i="10" s="1"/>
  <c r="AN33" i="30"/>
  <c r="AV33" i="30" s="1"/>
  <c r="AN32" i="30"/>
  <c r="AQ31" i="30" s="1"/>
  <c r="AR31" i="30" s="1"/>
  <c r="AV31" i="30" s="1"/>
  <c r="AH33" i="28"/>
  <c r="AG33" i="28"/>
  <c r="AL30" i="28"/>
  <c r="AK30" i="28"/>
  <c r="AJ30" i="28"/>
  <c r="AX30" i="28"/>
  <c r="U31" i="10"/>
  <c r="T31" i="10"/>
  <c r="W31" i="10"/>
  <c r="V31" i="10"/>
  <c r="W33" i="5"/>
  <c r="Y33" i="5" s="1"/>
  <c r="S32" i="9"/>
  <c r="U32" i="9" s="1"/>
  <c r="R30" i="13"/>
  <c r="U33" i="13"/>
  <c r="U31" i="13"/>
  <c r="S30" i="9"/>
  <c r="P30" i="13"/>
  <c r="W30" i="5"/>
  <c r="X30" i="5" s="1"/>
  <c r="V33" i="13"/>
  <c r="AA31" i="5"/>
  <c r="Q30" i="13"/>
  <c r="AA32" i="5"/>
  <c r="T31" i="13"/>
  <c r="S30" i="15"/>
  <c r="U30" i="15" s="1"/>
  <c r="V31" i="13"/>
  <c r="S32" i="15"/>
  <c r="U32" i="15" s="1"/>
  <c r="S31" i="15"/>
  <c r="W31" i="15" s="1"/>
  <c r="T33" i="15"/>
  <c r="V33" i="15"/>
  <c r="R30" i="7"/>
  <c r="P30" i="7"/>
  <c r="Q30" i="7"/>
  <c r="V33" i="7"/>
  <c r="T33" i="7"/>
  <c r="S31" i="7"/>
  <c r="R31" i="7"/>
  <c r="Q31" i="7"/>
  <c r="P31" i="7"/>
  <c r="U33" i="7"/>
  <c r="P31" i="15"/>
  <c r="R31" i="15"/>
  <c r="U33" i="15"/>
  <c r="S30" i="3"/>
  <c r="Z31" i="3" s="1"/>
  <c r="S32" i="3"/>
  <c r="U32" i="3" s="1"/>
  <c r="W30" i="17"/>
  <c r="W33" i="17"/>
  <c r="X32" i="17"/>
  <c r="Z32" i="17"/>
  <c r="Y32" i="17"/>
  <c r="AG31" i="28" l="1"/>
  <c r="AI31" i="28"/>
  <c r="AH31" i="28"/>
  <c r="AX33" i="34"/>
  <c r="AJ33" i="34"/>
  <c r="AL33" i="34"/>
  <c r="AN31" i="34"/>
  <c r="AO31" i="34" s="1"/>
  <c r="AP31" i="34" s="1"/>
  <c r="AL32" i="34"/>
  <c r="AK32" i="34"/>
  <c r="AJ32" i="34"/>
  <c r="AK31" i="32"/>
  <c r="AJ31" i="32"/>
  <c r="AL31" i="32"/>
  <c r="U32" i="10"/>
  <c r="V32" i="10"/>
  <c r="AN30" i="32"/>
  <c r="W32" i="10"/>
  <c r="U30" i="10"/>
  <c r="AI33" i="32"/>
  <c r="AJ33" i="32" s="1"/>
  <c r="AI32" i="32"/>
  <c r="AL32" i="32" s="1"/>
  <c r="T30" i="10"/>
  <c r="AI32" i="28"/>
  <c r="AL32" i="28" s="1"/>
  <c r="AS30" i="30"/>
  <c r="AT30" i="30" s="1"/>
  <c r="AV30" i="30" s="1"/>
  <c r="AQ32" i="30"/>
  <c r="AR32" i="30" s="1"/>
  <c r="AS32" i="30"/>
  <c r="AT32" i="30" s="1"/>
  <c r="AI33" i="28"/>
  <c r="AN30" i="28"/>
  <c r="S32" i="13"/>
  <c r="V32" i="13" s="1"/>
  <c r="Z31" i="10"/>
  <c r="Y31" i="10"/>
  <c r="X31" i="10"/>
  <c r="Z33" i="5"/>
  <c r="AA33" i="5"/>
  <c r="X33" i="5"/>
  <c r="AA30" i="5"/>
  <c r="AE30" i="5" s="1"/>
  <c r="AI30" i="5" s="1"/>
  <c r="S30" i="13"/>
  <c r="U30" i="13" s="1"/>
  <c r="AB31" i="5"/>
  <c r="Y30" i="5"/>
  <c r="Z30" i="5"/>
  <c r="T32" i="9"/>
  <c r="W32" i="9"/>
  <c r="V32" i="9"/>
  <c r="T32" i="15"/>
  <c r="AC32" i="5"/>
  <c r="AD31" i="5"/>
  <c r="T30" i="15"/>
  <c r="T30" i="9"/>
  <c r="V30" i="9"/>
  <c r="Z31" i="9" s="1"/>
  <c r="U30" i="9"/>
  <c r="Y31" i="9"/>
  <c r="AC31" i="5"/>
  <c r="AE32" i="5"/>
  <c r="X31" i="9"/>
  <c r="AB32" i="5"/>
  <c r="AD32" i="5"/>
  <c r="V32" i="15"/>
  <c r="V30" i="15"/>
  <c r="W32" i="15"/>
  <c r="V31" i="15"/>
  <c r="Z31" i="15" s="1"/>
  <c r="U31" i="15"/>
  <c r="Y31" i="15" s="1"/>
  <c r="T31" i="15"/>
  <c r="X31" i="15" s="1"/>
  <c r="W31" i="7"/>
  <c r="T31" i="7"/>
  <c r="U31" i="7"/>
  <c r="V31" i="7"/>
  <c r="S30" i="7"/>
  <c r="S32" i="7"/>
  <c r="V30" i="3"/>
  <c r="V32" i="3"/>
  <c r="T32" i="3"/>
  <c r="X31" i="3"/>
  <c r="U30" i="3"/>
  <c r="Y31" i="3"/>
  <c r="T30" i="3"/>
  <c r="W32" i="3"/>
  <c r="AA30" i="17"/>
  <c r="X30" i="17"/>
  <c r="Z30" i="17"/>
  <c r="Y30" i="17"/>
  <c r="AA31" i="17"/>
  <c r="AA32" i="17"/>
  <c r="Z33" i="17"/>
  <c r="X33" i="17"/>
  <c r="AA33" i="17"/>
  <c r="Y33" i="17"/>
  <c r="AL31" i="28" l="1"/>
  <c r="AK31" i="28"/>
  <c r="AJ31" i="28"/>
  <c r="AX31" i="28"/>
  <c r="AN33" i="34"/>
  <c r="AV33" i="34" s="1"/>
  <c r="AO30" i="34"/>
  <c r="AP30" i="34" s="1"/>
  <c r="AN32" i="34"/>
  <c r="AS32" i="34" s="1"/>
  <c r="AT32" i="34" s="1"/>
  <c r="AN31" i="32"/>
  <c r="AO31" i="32" s="1"/>
  <c r="AP31" i="32" s="1"/>
  <c r="Z32" i="10"/>
  <c r="AX33" i="32"/>
  <c r="AK33" i="32"/>
  <c r="AL33" i="32"/>
  <c r="Y32" i="10"/>
  <c r="X32" i="10"/>
  <c r="W30" i="10"/>
  <c r="Y30" i="10" s="1"/>
  <c r="W33" i="10"/>
  <c r="Z33" i="10" s="1"/>
  <c r="AJ32" i="32"/>
  <c r="AX32" i="32"/>
  <c r="AK32" i="32"/>
  <c r="AV32" i="30"/>
  <c r="AW33" i="30" s="1"/>
  <c r="AK32" i="28"/>
  <c r="AJ32" i="28"/>
  <c r="AX32" i="28"/>
  <c r="AX33" i="28"/>
  <c r="AJ33" i="28"/>
  <c r="AL33" i="28"/>
  <c r="AK33" i="28"/>
  <c r="AD30" i="5"/>
  <c r="AH30" i="5" s="1"/>
  <c r="AL30" i="5" s="1"/>
  <c r="U32" i="13"/>
  <c r="T32" i="13"/>
  <c r="W32" i="13"/>
  <c r="X31" i="13"/>
  <c r="Y31" i="13"/>
  <c r="V30" i="13"/>
  <c r="Z31" i="13"/>
  <c r="T30" i="13"/>
  <c r="AC30" i="5"/>
  <c r="AG30" i="5" s="1"/>
  <c r="AK30" i="5" s="1"/>
  <c r="AB30" i="5"/>
  <c r="AF30" i="5" s="1"/>
  <c r="AJ30" i="5" s="1"/>
  <c r="AD33" i="5"/>
  <c r="AC33" i="5"/>
  <c r="AB33" i="5"/>
  <c r="Z32" i="15"/>
  <c r="X32" i="9"/>
  <c r="W33" i="15"/>
  <c r="Y33" i="15" s="1"/>
  <c r="Y32" i="9"/>
  <c r="Z32" i="9"/>
  <c r="AF32" i="5"/>
  <c r="Y32" i="15"/>
  <c r="AH32" i="5"/>
  <c r="W30" i="15"/>
  <c r="AA30" i="15" s="1"/>
  <c r="W33" i="9"/>
  <c r="W30" i="9"/>
  <c r="AG32" i="5"/>
  <c r="X32" i="15"/>
  <c r="W32" i="7"/>
  <c r="T32" i="7"/>
  <c r="U32" i="7"/>
  <c r="V32" i="7"/>
  <c r="U30" i="7"/>
  <c r="V30" i="7"/>
  <c r="T30" i="7"/>
  <c r="X31" i="7"/>
  <c r="Z31" i="7"/>
  <c r="Y31" i="7"/>
  <c r="X32" i="3"/>
  <c r="Z32" i="3"/>
  <c r="Y32" i="3"/>
  <c r="W30" i="3"/>
  <c r="AA30" i="3" s="1"/>
  <c r="W33" i="3"/>
  <c r="X33" i="3" s="1"/>
  <c r="AC32" i="17"/>
  <c r="AB32" i="17"/>
  <c r="AD32" i="17"/>
  <c r="AE32" i="17"/>
  <c r="AB33" i="17"/>
  <c r="AC33" i="17"/>
  <c r="AD33" i="17"/>
  <c r="AD31" i="17"/>
  <c r="AB31" i="17"/>
  <c r="AC31" i="17"/>
  <c r="AB30" i="17"/>
  <c r="AC30" i="17"/>
  <c r="AE30" i="17"/>
  <c r="AD30" i="17"/>
  <c r="AX30" i="5"/>
  <c r="AN31" i="28" l="1"/>
  <c r="AO31" i="28" s="1"/>
  <c r="AP31" i="28" s="1"/>
  <c r="AS30" i="34"/>
  <c r="AT30" i="34" s="1"/>
  <c r="AV30" i="34" s="1"/>
  <c r="AQ32" i="34"/>
  <c r="AR32" i="34" s="1"/>
  <c r="AV32" i="34" s="1"/>
  <c r="AQ31" i="34"/>
  <c r="AR31" i="34" s="1"/>
  <c r="AV31" i="34" s="1"/>
  <c r="AO30" i="32"/>
  <c r="AP30" i="32" s="1"/>
  <c r="AA32" i="10"/>
  <c r="AC32" i="10" s="1"/>
  <c r="AA31" i="10"/>
  <c r="AB31" i="10" s="1"/>
  <c r="X30" i="10"/>
  <c r="AA30" i="10"/>
  <c r="AC30" i="10" s="1"/>
  <c r="Z30" i="10"/>
  <c r="AW30" i="30"/>
  <c r="AV35" i="30" s="1"/>
  <c r="AN33" i="32"/>
  <c r="AV33" i="32" s="1"/>
  <c r="X33" i="10"/>
  <c r="AA33" i="10"/>
  <c r="Y33" i="10"/>
  <c r="AN32" i="32"/>
  <c r="AQ32" i="32" s="1"/>
  <c r="AR32" i="32" s="1"/>
  <c r="AW31" i="30"/>
  <c r="AW32" i="30"/>
  <c r="AN32" i="28"/>
  <c r="AS32" i="28" s="1"/>
  <c r="AT32" i="28" s="1"/>
  <c r="AN33" i="28"/>
  <c r="AV33" i="28" s="1"/>
  <c r="X32" i="13"/>
  <c r="Y32" i="13"/>
  <c r="Z32" i="13"/>
  <c r="X33" i="15"/>
  <c r="AA33" i="15"/>
  <c r="AC33" i="15" s="1"/>
  <c r="W33" i="13"/>
  <c r="Y33" i="13" s="1"/>
  <c r="W30" i="13"/>
  <c r="X30" i="13" s="1"/>
  <c r="Z33" i="15"/>
  <c r="AE33" i="5"/>
  <c r="AF33" i="5" s="1"/>
  <c r="AE31" i="5"/>
  <c r="AF31" i="5" s="1"/>
  <c r="AA32" i="9"/>
  <c r="AD32" i="9" s="1"/>
  <c r="AA31" i="9"/>
  <c r="X30" i="15"/>
  <c r="AB30" i="15" s="1"/>
  <c r="AA31" i="15"/>
  <c r="AB31" i="15" s="1"/>
  <c r="Z30" i="15"/>
  <c r="AD30" i="15" s="1"/>
  <c r="Y30" i="15"/>
  <c r="AC30" i="15" s="1"/>
  <c r="AA32" i="15"/>
  <c r="AE32" i="15" s="1"/>
  <c r="X30" i="9"/>
  <c r="AA30" i="9"/>
  <c r="Y30" i="9"/>
  <c r="Z30" i="9"/>
  <c r="X33" i="9"/>
  <c r="AA33" i="9"/>
  <c r="Z33" i="9"/>
  <c r="Y33" i="9"/>
  <c r="Z32" i="7"/>
  <c r="X32" i="7"/>
  <c r="Y32" i="7"/>
  <c r="W33" i="7"/>
  <c r="W30" i="7"/>
  <c r="AA33" i="3"/>
  <c r="AB33" i="3" s="1"/>
  <c r="AA32" i="3"/>
  <c r="AE32" i="3" s="1"/>
  <c r="Z30" i="3"/>
  <c r="AD30" i="3" s="1"/>
  <c r="Y30" i="3"/>
  <c r="AC30" i="3" s="1"/>
  <c r="AA31" i="3"/>
  <c r="AC31" i="3" s="1"/>
  <c r="X30" i="3"/>
  <c r="AB30" i="3" s="1"/>
  <c r="Y33" i="3"/>
  <c r="Z33" i="3"/>
  <c r="AG32" i="17"/>
  <c r="AF32" i="17"/>
  <c r="AH32" i="17"/>
  <c r="AI30" i="17"/>
  <c r="AG30" i="17"/>
  <c r="AF30" i="17"/>
  <c r="AH30" i="17"/>
  <c r="AE33" i="17"/>
  <c r="AE31" i="17"/>
  <c r="AE30" i="15"/>
  <c r="AN30" i="5"/>
  <c r="AE30" i="3"/>
  <c r="AO30" i="28" l="1"/>
  <c r="AP30" i="28" s="1"/>
  <c r="AW30" i="34"/>
  <c r="AW33" i="34"/>
  <c r="AW32" i="34"/>
  <c r="AW31" i="34"/>
  <c r="AC31" i="10"/>
  <c r="AD31" i="10"/>
  <c r="AC33" i="10"/>
  <c r="AD32" i="10"/>
  <c r="AE32" i="10"/>
  <c r="AG32" i="10" s="1"/>
  <c r="AB32" i="10"/>
  <c r="AB30" i="10"/>
  <c r="AE30" i="10"/>
  <c r="AG30" i="10" s="1"/>
  <c r="AD30" i="10"/>
  <c r="AV36" i="30"/>
  <c r="AB33" i="10"/>
  <c r="AD33" i="10"/>
  <c r="AV37" i="30"/>
  <c r="AQ31" i="32"/>
  <c r="AR31" i="32" s="1"/>
  <c r="AV31" i="32" s="1"/>
  <c r="AS32" i="32"/>
  <c r="AT32" i="32" s="1"/>
  <c r="AV32" i="32" s="1"/>
  <c r="AS30" i="32"/>
  <c r="AT30" i="32" s="1"/>
  <c r="AV30" i="32" s="1"/>
  <c r="AQ31" i="28"/>
  <c r="AR31" i="28" s="1"/>
  <c r="AV31" i="28" s="1"/>
  <c r="AV38" i="30"/>
  <c r="AQ32" i="28"/>
  <c r="AR32" i="28" s="1"/>
  <c r="AV32" i="28" s="1"/>
  <c r="AS30" i="28"/>
  <c r="AT30" i="28" s="1"/>
  <c r="AV30" i="28" s="1"/>
  <c r="AD31" i="9"/>
  <c r="AA31" i="13"/>
  <c r="AB31" i="13" s="1"/>
  <c r="AA32" i="13"/>
  <c r="AC32" i="13" s="1"/>
  <c r="AD33" i="15"/>
  <c r="AB33" i="15"/>
  <c r="AA33" i="13"/>
  <c r="AC33" i="13" s="1"/>
  <c r="Y30" i="13"/>
  <c r="X33" i="13"/>
  <c r="Z33" i="13"/>
  <c r="AH33" i="5"/>
  <c r="AG33" i="5"/>
  <c r="Z30" i="13"/>
  <c r="AA30" i="13"/>
  <c r="AB30" i="13" s="1"/>
  <c r="AB32" i="9"/>
  <c r="AC32" i="9"/>
  <c r="AE32" i="9"/>
  <c r="AH32" i="9" s="1"/>
  <c r="AC31" i="9"/>
  <c r="AB31" i="9"/>
  <c r="AG31" i="5"/>
  <c r="AI31" i="5"/>
  <c r="AJ31" i="5" s="1"/>
  <c r="AH31" i="5"/>
  <c r="AD33" i="3"/>
  <c r="AD31" i="15"/>
  <c r="AC31" i="15"/>
  <c r="AC32" i="15"/>
  <c r="AG32" i="15" s="1"/>
  <c r="AD32" i="15"/>
  <c r="AH32" i="15" s="1"/>
  <c r="AB32" i="15"/>
  <c r="AF32" i="15" s="1"/>
  <c r="AB33" i="9"/>
  <c r="AD33" i="9"/>
  <c r="AC33" i="9"/>
  <c r="AE30" i="9"/>
  <c r="AB30" i="9"/>
  <c r="AC30" i="9"/>
  <c r="AD30" i="9"/>
  <c r="AD32" i="3"/>
  <c r="AH32" i="3" s="1"/>
  <c r="AC32" i="3"/>
  <c r="AG32" i="3" s="1"/>
  <c r="AC33" i="3"/>
  <c r="Y30" i="7"/>
  <c r="Z30" i="7"/>
  <c r="X30" i="7"/>
  <c r="AA30" i="7"/>
  <c r="Z33" i="7"/>
  <c r="X33" i="7"/>
  <c r="Y33" i="7"/>
  <c r="AA33" i="7"/>
  <c r="AA32" i="7"/>
  <c r="AA31" i="7"/>
  <c r="AB32" i="3"/>
  <c r="AF32" i="3" s="1"/>
  <c r="AD31" i="3"/>
  <c r="AB31" i="3"/>
  <c r="AG31" i="17"/>
  <c r="AF31" i="17"/>
  <c r="AH31" i="17"/>
  <c r="AI31" i="17"/>
  <c r="AG33" i="17"/>
  <c r="AF33" i="17"/>
  <c r="AH33" i="17"/>
  <c r="AL30" i="17"/>
  <c r="AJ30" i="17"/>
  <c r="AX30" i="17"/>
  <c r="AK30" i="17"/>
  <c r="AF30" i="3"/>
  <c r="AI30" i="3"/>
  <c r="AG30" i="3"/>
  <c r="AH30" i="3"/>
  <c r="AG30" i="15"/>
  <c r="AI30" i="15"/>
  <c r="AF30" i="15"/>
  <c r="AH30" i="15"/>
  <c r="AV35" i="34" l="1"/>
  <c r="AV38" i="34"/>
  <c r="AV37" i="34"/>
  <c r="AV36" i="34"/>
  <c r="AF32" i="10"/>
  <c r="AI30" i="10"/>
  <c r="AX30" i="10" s="1"/>
  <c r="AH30" i="10"/>
  <c r="AF30" i="10"/>
  <c r="AH32" i="10"/>
  <c r="AW33" i="32"/>
  <c r="AE33" i="10"/>
  <c r="AG33" i="10" s="1"/>
  <c r="AV39" i="30"/>
  <c r="F38" i="30" s="1"/>
  <c r="M38" i="30" s="1"/>
  <c r="P18" i="29" s="1"/>
  <c r="AE31" i="10"/>
  <c r="AH31" i="10" s="1"/>
  <c r="AW31" i="32"/>
  <c r="AW32" i="32"/>
  <c r="AW30" i="32"/>
  <c r="AW33" i="28"/>
  <c r="AW31" i="28"/>
  <c r="AW32" i="28"/>
  <c r="AW30" i="28"/>
  <c r="AD31" i="13"/>
  <c r="AC31" i="13"/>
  <c r="AE32" i="13"/>
  <c r="AG32" i="13" s="1"/>
  <c r="AB32" i="13"/>
  <c r="AD32" i="13"/>
  <c r="AD33" i="13"/>
  <c r="AB33" i="13"/>
  <c r="AC30" i="13"/>
  <c r="AI33" i="5"/>
  <c r="AX33" i="5" s="1"/>
  <c r="AI32" i="5"/>
  <c r="AJ32" i="5" s="1"/>
  <c r="AD30" i="13"/>
  <c r="AE30" i="13"/>
  <c r="AI30" i="13" s="1"/>
  <c r="AX30" i="13" s="1"/>
  <c r="AF32" i="9"/>
  <c r="AG32" i="9"/>
  <c r="AK31" i="5"/>
  <c r="AL31" i="5"/>
  <c r="AX31" i="5"/>
  <c r="AE33" i="15"/>
  <c r="AH33" i="15" s="1"/>
  <c r="AE31" i="15"/>
  <c r="AF31" i="15" s="1"/>
  <c r="AE33" i="9"/>
  <c r="AG33" i="9" s="1"/>
  <c r="AE31" i="9"/>
  <c r="AH31" i="9" s="1"/>
  <c r="AF30" i="9"/>
  <c r="AI30" i="9"/>
  <c r="AH30" i="9"/>
  <c r="AG30" i="9"/>
  <c r="AC33" i="7"/>
  <c r="AD33" i="7"/>
  <c r="AB33" i="7"/>
  <c r="AE32" i="7"/>
  <c r="AD32" i="7"/>
  <c r="AC32" i="7"/>
  <c r="AB32" i="7"/>
  <c r="AB31" i="7"/>
  <c r="AD31" i="7"/>
  <c r="AC31" i="7"/>
  <c r="AC30" i="7"/>
  <c r="AE30" i="7"/>
  <c r="AD30" i="7"/>
  <c r="AB30" i="7"/>
  <c r="AI32" i="17"/>
  <c r="AK32" i="17" s="1"/>
  <c r="AI33" i="17"/>
  <c r="AK33" i="17" s="1"/>
  <c r="AE31" i="3"/>
  <c r="AF31" i="3" s="1"/>
  <c r="AE33" i="3"/>
  <c r="AF33" i="3" s="1"/>
  <c r="AN30" i="17"/>
  <c r="AK31" i="17"/>
  <c r="AL31" i="17"/>
  <c r="AJ31" i="17"/>
  <c r="AX31" i="17"/>
  <c r="AJ30" i="3"/>
  <c r="AX30" i="3"/>
  <c r="AK30" i="3"/>
  <c r="AL30" i="3"/>
  <c r="AJ30" i="15"/>
  <c r="AX30" i="15"/>
  <c r="AL30" i="15"/>
  <c r="AK30" i="15"/>
  <c r="AV35" i="28" l="1"/>
  <c r="AV39" i="34"/>
  <c r="F37" i="34" s="1"/>
  <c r="L37" i="34" s="1"/>
  <c r="N17" i="33" s="1"/>
  <c r="AL30" i="10"/>
  <c r="AV35" i="32"/>
  <c r="AJ30" i="10"/>
  <c r="AK30" i="10"/>
  <c r="AF33" i="10"/>
  <c r="AH33" i="10"/>
  <c r="I38" i="30"/>
  <c r="K18" i="29" s="1"/>
  <c r="H38" i="30"/>
  <c r="J18" i="29" s="1"/>
  <c r="H18" i="29"/>
  <c r="L38" i="30"/>
  <c r="N18" i="29" s="1"/>
  <c r="AG31" i="10"/>
  <c r="AF31" i="10"/>
  <c r="F40" i="30"/>
  <c r="M40" i="30" s="1"/>
  <c r="P20" i="29" s="1"/>
  <c r="AI31" i="10"/>
  <c r="F37" i="30"/>
  <c r="G37" i="30" s="1"/>
  <c r="I17" i="29" s="1"/>
  <c r="G38" i="30"/>
  <c r="I18" i="29" s="1"/>
  <c r="K38" i="30"/>
  <c r="M18" i="29" s="1"/>
  <c r="J38" i="30"/>
  <c r="L18" i="29" s="1"/>
  <c r="F39" i="30"/>
  <c r="H39" i="30" s="1"/>
  <c r="J19" i="29" s="1"/>
  <c r="F14" i="35" s="1"/>
  <c r="AV36" i="32"/>
  <c r="AV38" i="32"/>
  <c r="AV37" i="32"/>
  <c r="AV37" i="28"/>
  <c r="AV36" i="28"/>
  <c r="AV38" i="28"/>
  <c r="AH32" i="13"/>
  <c r="AF32" i="13"/>
  <c r="AJ33" i="5"/>
  <c r="AE31" i="13"/>
  <c r="AF31" i="13" s="1"/>
  <c r="AE33" i="13"/>
  <c r="AH33" i="13" s="1"/>
  <c r="AI31" i="15"/>
  <c r="AX31" i="15" s="1"/>
  <c r="AK33" i="5"/>
  <c r="AL32" i="5"/>
  <c r="AK32" i="5"/>
  <c r="AL33" i="5"/>
  <c r="AX32" i="5"/>
  <c r="AF30" i="13"/>
  <c r="AJ30" i="13" s="1"/>
  <c r="AH30" i="13"/>
  <c r="AL30" i="13" s="1"/>
  <c r="AG30" i="13"/>
  <c r="AK30" i="13" s="1"/>
  <c r="AN31" i="5"/>
  <c r="AO30" i="5" s="1"/>
  <c r="AP30" i="5" s="1"/>
  <c r="AF33" i="15"/>
  <c r="AG33" i="15"/>
  <c r="AH31" i="15"/>
  <c r="AG31" i="15"/>
  <c r="AF31" i="9"/>
  <c r="AF33" i="9"/>
  <c r="AG31" i="9"/>
  <c r="AH33" i="9"/>
  <c r="AI31" i="9"/>
  <c r="AK30" i="9"/>
  <c r="AJ30" i="9"/>
  <c r="AX30" i="9"/>
  <c r="AL30" i="9"/>
  <c r="AJ32" i="17"/>
  <c r="AJ33" i="17"/>
  <c r="AX33" i="17"/>
  <c r="AF32" i="7"/>
  <c r="AH32" i="7"/>
  <c r="AG32" i="7"/>
  <c r="AL33" i="17"/>
  <c r="AL32" i="17"/>
  <c r="AN31" i="17"/>
  <c r="AO31" i="17" s="1"/>
  <c r="AP31" i="17" s="1"/>
  <c r="AX32" i="17"/>
  <c r="AG30" i="7"/>
  <c r="AF30" i="7"/>
  <c r="AI30" i="7"/>
  <c r="AH30" i="7"/>
  <c r="AE31" i="7"/>
  <c r="AE33" i="7"/>
  <c r="AG33" i="3"/>
  <c r="AG31" i="3"/>
  <c r="AI31" i="3"/>
  <c r="AJ31" i="3" s="1"/>
  <c r="AH33" i="3"/>
  <c r="AH31" i="3"/>
  <c r="AN30" i="3"/>
  <c r="AN30" i="15"/>
  <c r="F40" i="34" l="1"/>
  <c r="K40" i="34" s="1"/>
  <c r="M20" i="33" s="1"/>
  <c r="G37" i="34"/>
  <c r="I17" i="33" s="1"/>
  <c r="M37" i="34"/>
  <c r="P17" i="33" s="1"/>
  <c r="F38" i="34"/>
  <c r="H38" i="34" s="1"/>
  <c r="J18" i="33" s="1"/>
  <c r="J37" i="34"/>
  <c r="L17" i="33" s="1"/>
  <c r="H37" i="34"/>
  <c r="J17" i="33" s="1"/>
  <c r="K37" i="34"/>
  <c r="M17" i="33" s="1"/>
  <c r="O17" i="33" s="1"/>
  <c r="F39" i="34"/>
  <c r="J39" i="34" s="1"/>
  <c r="L19" i="33" s="1"/>
  <c r="H16" i="35" s="1"/>
  <c r="H17" i="33"/>
  <c r="I37" i="34"/>
  <c r="K17" i="33" s="1"/>
  <c r="AN30" i="10"/>
  <c r="AI32" i="10"/>
  <c r="AL32" i="10" s="1"/>
  <c r="AK31" i="10"/>
  <c r="AI33" i="10"/>
  <c r="AL33" i="10" s="1"/>
  <c r="AJ31" i="10"/>
  <c r="K40" i="30"/>
  <c r="M20" i="29" s="1"/>
  <c r="AX31" i="10"/>
  <c r="AL31" i="10"/>
  <c r="O18" i="29"/>
  <c r="K37" i="30"/>
  <c r="M17" i="29" s="1"/>
  <c r="L40" i="30"/>
  <c r="N20" i="29" s="1"/>
  <c r="M37" i="30"/>
  <c r="P17" i="29" s="1"/>
  <c r="J37" i="30"/>
  <c r="L17" i="29" s="1"/>
  <c r="I37" i="30"/>
  <c r="K17" i="29" s="1"/>
  <c r="H37" i="30"/>
  <c r="J17" i="29" s="1"/>
  <c r="H20" i="29"/>
  <c r="J39" i="30"/>
  <c r="L19" i="29" s="1"/>
  <c r="H14" i="35" s="1"/>
  <c r="H19" i="29"/>
  <c r="C14" i="35" s="1"/>
  <c r="H17" i="29"/>
  <c r="J40" i="30"/>
  <c r="L20" i="29" s="1"/>
  <c r="G39" i="30"/>
  <c r="I19" i="29" s="1"/>
  <c r="E14" i="35" s="1"/>
  <c r="I39" i="30"/>
  <c r="K19" i="29" s="1"/>
  <c r="G14" i="35" s="1"/>
  <c r="M39" i="30"/>
  <c r="P19" i="29" s="1"/>
  <c r="L14" i="35" s="1"/>
  <c r="T14" i="35" s="1"/>
  <c r="L39" i="30"/>
  <c r="N19" i="29" s="1"/>
  <c r="J14" i="35" s="1"/>
  <c r="L37" i="30"/>
  <c r="N17" i="29" s="1"/>
  <c r="H40" i="30"/>
  <c r="J20" i="29" s="1"/>
  <c r="I40" i="30"/>
  <c r="K20" i="29" s="1"/>
  <c r="K39" i="30"/>
  <c r="M19" i="29" s="1"/>
  <c r="I14" i="35" s="1"/>
  <c r="V14" i="35" s="1"/>
  <c r="G40" i="30"/>
  <c r="I20" i="29" s="1"/>
  <c r="AV39" i="32"/>
  <c r="F40" i="32" s="1"/>
  <c r="H40" i="32" s="1"/>
  <c r="J20" i="31" s="1"/>
  <c r="AV39" i="28"/>
  <c r="F39" i="28" s="1"/>
  <c r="AK31" i="15"/>
  <c r="AI31" i="13"/>
  <c r="AX31" i="13" s="1"/>
  <c r="AH31" i="13"/>
  <c r="AG31" i="13"/>
  <c r="AJ31" i="15"/>
  <c r="AN30" i="13"/>
  <c r="AN32" i="5"/>
  <c r="AS32" i="5" s="1"/>
  <c r="AT32" i="5" s="1"/>
  <c r="AG33" i="13"/>
  <c r="AF33" i="13"/>
  <c r="AN33" i="5"/>
  <c r="AV33" i="5" s="1"/>
  <c r="AL31" i="15"/>
  <c r="AO31" i="5"/>
  <c r="AP31" i="5" s="1"/>
  <c r="AI33" i="15"/>
  <c r="AL33" i="15" s="1"/>
  <c r="AI32" i="15"/>
  <c r="AK32" i="15" s="1"/>
  <c r="AI32" i="9"/>
  <c r="AX32" i="9" s="1"/>
  <c r="AN32" i="17"/>
  <c r="AS30" i="17" s="1"/>
  <c r="AT30" i="17" s="1"/>
  <c r="AI33" i="9"/>
  <c r="AX33" i="9" s="1"/>
  <c r="AN30" i="9"/>
  <c r="AJ31" i="9"/>
  <c r="AK31" i="9"/>
  <c r="AL31" i="9"/>
  <c r="AX31" i="9"/>
  <c r="AN33" i="17"/>
  <c r="AV33" i="17" s="1"/>
  <c r="AO30" i="17"/>
  <c r="AP30" i="17" s="1"/>
  <c r="AJ30" i="7"/>
  <c r="AL30" i="7"/>
  <c r="AK30" i="7"/>
  <c r="AX30" i="7"/>
  <c r="AH33" i="7"/>
  <c r="AG33" i="7"/>
  <c r="AF33" i="7"/>
  <c r="AI31" i="7"/>
  <c r="AG31" i="7"/>
  <c r="AH31" i="7"/>
  <c r="AF31" i="7"/>
  <c r="AK31" i="3"/>
  <c r="AI32" i="3"/>
  <c r="AL32" i="3" s="1"/>
  <c r="AL31" i="3"/>
  <c r="AX31" i="3"/>
  <c r="AI33" i="3"/>
  <c r="AL33" i="3" s="1"/>
  <c r="H40" i="34" l="1"/>
  <c r="J20" i="33" s="1"/>
  <c r="H20" i="33"/>
  <c r="G40" i="34"/>
  <c r="I20" i="33" s="1"/>
  <c r="I40" i="34"/>
  <c r="K20" i="33" s="1"/>
  <c r="J40" i="34"/>
  <c r="L20" i="33" s="1"/>
  <c r="L40" i="34"/>
  <c r="N20" i="33" s="1"/>
  <c r="O20" i="33" s="1"/>
  <c r="M40" i="34"/>
  <c r="P20" i="33" s="1"/>
  <c r="J38" i="34"/>
  <c r="L18" i="33" s="1"/>
  <c r="H18" i="33"/>
  <c r="K38" i="34"/>
  <c r="M18" i="33" s="1"/>
  <c r="I38" i="34"/>
  <c r="K18" i="33" s="1"/>
  <c r="M39" i="34"/>
  <c r="P19" i="33" s="1"/>
  <c r="L16" i="35" s="1"/>
  <c r="T16" i="35" s="1"/>
  <c r="AK32" i="10"/>
  <c r="I39" i="34"/>
  <c r="K19" i="33" s="1"/>
  <c r="G16" i="35" s="1"/>
  <c r="H39" i="34"/>
  <c r="J19" i="33" s="1"/>
  <c r="F16" i="35" s="1"/>
  <c r="L38" i="34"/>
  <c r="N18" i="33" s="1"/>
  <c r="G38" i="34"/>
  <c r="I18" i="33" s="1"/>
  <c r="H19" i="33"/>
  <c r="C16" i="35" s="1"/>
  <c r="M38" i="34"/>
  <c r="P18" i="33" s="1"/>
  <c r="K39" i="34"/>
  <c r="M19" i="33" s="1"/>
  <c r="I16" i="35" s="1"/>
  <c r="V16" i="35" s="1"/>
  <c r="G39" i="34"/>
  <c r="I19" i="33" s="1"/>
  <c r="E16" i="35" s="1"/>
  <c r="L39" i="34"/>
  <c r="N19" i="33" s="1"/>
  <c r="J16" i="35" s="1"/>
  <c r="AJ32" i="10"/>
  <c r="AX32" i="10"/>
  <c r="AX33" i="10"/>
  <c r="AJ33" i="10"/>
  <c r="AK33" i="10"/>
  <c r="M14" i="35"/>
  <c r="W14" i="35" s="1"/>
  <c r="O20" i="29"/>
  <c r="F37" i="32"/>
  <c r="M37" i="32" s="1"/>
  <c r="P17" i="31" s="1"/>
  <c r="O17" i="29"/>
  <c r="AN31" i="10"/>
  <c r="AO30" i="10" s="1"/>
  <c r="AP30" i="10" s="1"/>
  <c r="F39" i="32"/>
  <c r="L39" i="32" s="1"/>
  <c r="N19" i="31" s="1"/>
  <c r="J15" i="35" s="1"/>
  <c r="I21" i="29"/>
  <c r="F62" i="36" s="1"/>
  <c r="C54" i="25" s="1"/>
  <c r="O19" i="29"/>
  <c r="K14" i="35" s="1"/>
  <c r="U14" i="35" s="1"/>
  <c r="F38" i="32"/>
  <c r="K38" i="32" s="1"/>
  <c r="M18" i="31" s="1"/>
  <c r="H20" i="31"/>
  <c r="G40" i="32"/>
  <c r="I20" i="31" s="1"/>
  <c r="M40" i="32"/>
  <c r="P20" i="31" s="1"/>
  <c r="L40" i="32"/>
  <c r="N20" i="31" s="1"/>
  <c r="K40" i="32"/>
  <c r="M20" i="31" s="1"/>
  <c r="J40" i="32"/>
  <c r="L20" i="31" s="1"/>
  <c r="I40" i="32"/>
  <c r="K20" i="31" s="1"/>
  <c r="F38" i="28"/>
  <c r="G38" i="28" s="1"/>
  <c r="I18" i="27" s="1"/>
  <c r="F37" i="28"/>
  <c r="I37" i="28" s="1"/>
  <c r="K17" i="27" s="1"/>
  <c r="F40" i="28"/>
  <c r="J40" i="28" s="1"/>
  <c r="L20" i="27" s="1"/>
  <c r="K39" i="28"/>
  <c r="M19" i="27" s="1"/>
  <c r="I13" i="35" s="1"/>
  <c r="V13" i="35" s="1"/>
  <c r="J39" i="28"/>
  <c r="L19" i="27" s="1"/>
  <c r="H13" i="35" s="1"/>
  <c r="H19" i="27"/>
  <c r="C13" i="35" s="1"/>
  <c r="L39" i="28"/>
  <c r="N19" i="27" s="1"/>
  <c r="J13" i="35" s="1"/>
  <c r="I39" i="28"/>
  <c r="K19" i="27" s="1"/>
  <c r="G13" i="35" s="1"/>
  <c r="H39" i="28"/>
  <c r="J19" i="27" s="1"/>
  <c r="F13" i="35" s="1"/>
  <c r="M39" i="28"/>
  <c r="P19" i="27" s="1"/>
  <c r="L13" i="35" s="1"/>
  <c r="T13" i="35" s="1"/>
  <c r="G39" i="28"/>
  <c r="I19" i="27" s="1"/>
  <c r="E13" i="35" s="1"/>
  <c r="AJ31" i="13"/>
  <c r="AQ32" i="5"/>
  <c r="AR32" i="5" s="1"/>
  <c r="AV32" i="5" s="1"/>
  <c r="AK31" i="13"/>
  <c r="AL31" i="13"/>
  <c r="AS30" i="5"/>
  <c r="AT30" i="5" s="1"/>
  <c r="AV30" i="5" s="1"/>
  <c r="AQ31" i="5"/>
  <c r="AR31" i="5" s="1"/>
  <c r="AV31" i="5" s="1"/>
  <c r="AN31" i="15"/>
  <c r="AO31" i="15" s="1"/>
  <c r="AP31" i="15" s="1"/>
  <c r="AI33" i="13"/>
  <c r="AJ33" i="13" s="1"/>
  <c r="AI32" i="13"/>
  <c r="AL32" i="13" s="1"/>
  <c r="AX33" i="15"/>
  <c r="AJ33" i="15"/>
  <c r="AK33" i="15"/>
  <c r="AJ32" i="15"/>
  <c r="AL32" i="15"/>
  <c r="AK32" i="9"/>
  <c r="AX32" i="15"/>
  <c r="AJ32" i="9"/>
  <c r="AL32" i="9"/>
  <c r="AL33" i="9"/>
  <c r="AS32" i="17"/>
  <c r="AT32" i="17" s="1"/>
  <c r="AQ32" i="17"/>
  <c r="AR32" i="17" s="1"/>
  <c r="AQ31" i="17"/>
  <c r="AR31" i="17" s="1"/>
  <c r="AV31" i="17" s="1"/>
  <c r="AV30" i="17"/>
  <c r="AJ33" i="9"/>
  <c r="AK33" i="9"/>
  <c r="AN31" i="9"/>
  <c r="AO30" i="9" s="1"/>
  <c r="AP30" i="9" s="1"/>
  <c r="AN31" i="3"/>
  <c r="AO31" i="3" s="1"/>
  <c r="AP31" i="3" s="1"/>
  <c r="AJ31" i="7"/>
  <c r="AX31" i="7"/>
  <c r="AK31" i="7"/>
  <c r="AL31" i="7"/>
  <c r="AN30" i="7"/>
  <c r="AI32" i="7"/>
  <c r="AI33" i="7"/>
  <c r="AX32" i="3"/>
  <c r="AK32" i="3"/>
  <c r="AJ32" i="3"/>
  <c r="AK33" i="3"/>
  <c r="AJ33" i="3"/>
  <c r="AX33" i="3"/>
  <c r="O18" i="33" l="1"/>
  <c r="AN32" i="10"/>
  <c r="AQ32" i="10" s="1"/>
  <c r="AR32" i="10" s="1"/>
  <c r="AN33" i="10"/>
  <c r="AV33" i="10" s="1"/>
  <c r="O19" i="33"/>
  <c r="K16" i="35" s="1"/>
  <c r="U16" i="35" s="1"/>
  <c r="I21" i="33"/>
  <c r="F34" i="36" s="1"/>
  <c r="C50" i="25" s="1"/>
  <c r="AO31" i="10"/>
  <c r="AP31" i="10" s="1"/>
  <c r="M16" i="35"/>
  <c r="W16" i="35" s="1"/>
  <c r="H17" i="31"/>
  <c r="H37" i="32"/>
  <c r="J17" i="31" s="1"/>
  <c r="L37" i="32"/>
  <c r="N17" i="31" s="1"/>
  <c r="I37" i="32"/>
  <c r="K17" i="31" s="1"/>
  <c r="G37" i="32"/>
  <c r="I17" i="31" s="1"/>
  <c r="J37" i="32"/>
  <c r="L17" i="31" s="1"/>
  <c r="K39" i="32"/>
  <c r="M19" i="31" s="1"/>
  <c r="I15" i="35" s="1"/>
  <c r="V15" i="35" s="1"/>
  <c r="G39" i="32"/>
  <c r="I19" i="31" s="1"/>
  <c r="E15" i="35" s="1"/>
  <c r="M39" i="32"/>
  <c r="P19" i="31" s="1"/>
  <c r="L15" i="35" s="1"/>
  <c r="T15" i="35" s="1"/>
  <c r="I39" i="32"/>
  <c r="K19" i="31" s="1"/>
  <c r="G15" i="35" s="1"/>
  <c r="S14" i="35"/>
  <c r="J39" i="32"/>
  <c r="L19" i="31" s="1"/>
  <c r="H15" i="35" s="1"/>
  <c r="K37" i="32"/>
  <c r="M17" i="31" s="1"/>
  <c r="H19" i="31"/>
  <c r="C15" i="35" s="1"/>
  <c r="H39" i="32"/>
  <c r="J19" i="31" s="1"/>
  <c r="F15" i="35" s="1"/>
  <c r="F48" i="36"/>
  <c r="G37" i="25" s="1"/>
  <c r="H38" i="32"/>
  <c r="J18" i="31" s="1"/>
  <c r="G38" i="32"/>
  <c r="I18" i="31" s="1"/>
  <c r="J38" i="32"/>
  <c r="L18" i="31" s="1"/>
  <c r="M38" i="32"/>
  <c r="P18" i="31" s="1"/>
  <c r="I38" i="32"/>
  <c r="K18" i="31" s="1"/>
  <c r="L38" i="32"/>
  <c r="N18" i="31" s="1"/>
  <c r="O18" i="31" s="1"/>
  <c r="H18" i="31"/>
  <c r="M13" i="35"/>
  <c r="W13" i="35" s="1"/>
  <c r="O20" i="31"/>
  <c r="L38" i="28"/>
  <c r="N18" i="27" s="1"/>
  <c r="I38" i="28"/>
  <c r="K18" i="27" s="1"/>
  <c r="J38" i="28"/>
  <c r="L18" i="27" s="1"/>
  <c r="K38" i="28"/>
  <c r="M18" i="27" s="1"/>
  <c r="H18" i="27"/>
  <c r="K37" i="28"/>
  <c r="M17" i="27" s="1"/>
  <c r="L40" i="28"/>
  <c r="N20" i="27" s="1"/>
  <c r="H20" i="27"/>
  <c r="M40" i="28"/>
  <c r="P20" i="27" s="1"/>
  <c r="H17" i="27"/>
  <c r="I40" i="28"/>
  <c r="K20" i="27" s="1"/>
  <c r="J37" i="28"/>
  <c r="L17" i="27" s="1"/>
  <c r="L37" i="28"/>
  <c r="N17" i="27" s="1"/>
  <c r="H37" i="28"/>
  <c r="J17" i="27" s="1"/>
  <c r="H38" i="28"/>
  <c r="J18" i="27" s="1"/>
  <c r="G37" i="28"/>
  <c r="I17" i="27" s="1"/>
  <c r="M38" i="28"/>
  <c r="P18" i="27" s="1"/>
  <c r="K40" i="28"/>
  <c r="M20" i="27" s="1"/>
  <c r="M37" i="28"/>
  <c r="P17" i="27" s="1"/>
  <c r="G40" i="28"/>
  <c r="I20" i="27" s="1"/>
  <c r="H40" i="28"/>
  <c r="J20" i="27" s="1"/>
  <c r="O19" i="27"/>
  <c r="K13" i="35" s="1"/>
  <c r="U13" i="35" s="1"/>
  <c r="AN31" i="13"/>
  <c r="AO31" i="13" s="1"/>
  <c r="AP31" i="13" s="1"/>
  <c r="AO30" i="15"/>
  <c r="AP30" i="15" s="1"/>
  <c r="AJ32" i="13"/>
  <c r="AK32" i="13"/>
  <c r="AX32" i="13"/>
  <c r="AK33" i="13"/>
  <c r="AW31" i="5"/>
  <c r="AW32" i="5"/>
  <c r="AL33" i="13"/>
  <c r="AW30" i="5"/>
  <c r="AN33" i="15"/>
  <c r="AV33" i="15" s="1"/>
  <c r="AX33" i="13"/>
  <c r="AW33" i="5"/>
  <c r="AN32" i="15"/>
  <c r="AS32" i="15" s="1"/>
  <c r="AT32" i="15" s="1"/>
  <c r="AN32" i="9"/>
  <c r="AS32" i="9" s="1"/>
  <c r="AT32" i="9" s="1"/>
  <c r="AV32" i="17"/>
  <c r="AW31" i="17" s="1"/>
  <c r="AN33" i="9"/>
  <c r="AV33" i="9" s="1"/>
  <c r="AO31" i="9"/>
  <c r="AP31" i="9" s="1"/>
  <c r="AO30" i="3"/>
  <c r="AP30" i="3" s="1"/>
  <c r="AL33" i="7"/>
  <c r="AK33" i="7"/>
  <c r="AJ33" i="7"/>
  <c r="AX33" i="7"/>
  <c r="AJ32" i="7"/>
  <c r="AL32" i="7"/>
  <c r="AX32" i="7"/>
  <c r="AK32" i="7"/>
  <c r="AN31" i="7"/>
  <c r="AN32" i="3"/>
  <c r="AQ31" i="3" s="1"/>
  <c r="AR31" i="3" s="1"/>
  <c r="AV31" i="3" s="1"/>
  <c r="AN33" i="3"/>
  <c r="AV33" i="3" s="1"/>
  <c r="AS32" i="10" l="1"/>
  <c r="AT32" i="10" s="1"/>
  <c r="AV32" i="10" s="1"/>
  <c r="AS30" i="10"/>
  <c r="AT30" i="10" s="1"/>
  <c r="AV30" i="10" s="1"/>
  <c r="AQ31" i="10"/>
  <c r="AR31" i="10" s="1"/>
  <c r="AV31" i="10" s="1"/>
  <c r="F52" i="36"/>
  <c r="G36" i="25" s="1"/>
  <c r="S16" i="35"/>
  <c r="O17" i="31"/>
  <c r="M15" i="35"/>
  <c r="W15" i="35" s="1"/>
  <c r="O19" i="31"/>
  <c r="K15" i="35" s="1"/>
  <c r="U15" i="35" s="1"/>
  <c r="I21" i="31"/>
  <c r="F50" i="36" s="1"/>
  <c r="S13" i="35"/>
  <c r="O18" i="27"/>
  <c r="O17" i="27"/>
  <c r="O20" i="27"/>
  <c r="I21" i="27"/>
  <c r="AV35" i="5"/>
  <c r="AO30" i="13"/>
  <c r="AP30" i="13" s="1"/>
  <c r="AV37" i="5"/>
  <c r="AV36" i="5"/>
  <c r="AN32" i="13"/>
  <c r="AQ31" i="13" s="1"/>
  <c r="AR31" i="13" s="1"/>
  <c r="AV31" i="13" s="1"/>
  <c r="AN33" i="13"/>
  <c r="AV33" i="13" s="1"/>
  <c r="AV38" i="5"/>
  <c r="AQ32" i="15"/>
  <c r="AR32" i="15" s="1"/>
  <c r="AV32" i="15" s="1"/>
  <c r="AQ31" i="15"/>
  <c r="AR31" i="15" s="1"/>
  <c r="AV31" i="15" s="1"/>
  <c r="AS30" i="15"/>
  <c r="AT30" i="15" s="1"/>
  <c r="AV30" i="15" s="1"/>
  <c r="AS30" i="9"/>
  <c r="AT30" i="9" s="1"/>
  <c r="AV30" i="9" s="1"/>
  <c r="AQ31" i="9"/>
  <c r="AR31" i="9" s="1"/>
  <c r="AV31" i="9" s="1"/>
  <c r="AQ32" i="9"/>
  <c r="AR32" i="9" s="1"/>
  <c r="AV32" i="9" s="1"/>
  <c r="AW33" i="17"/>
  <c r="AW30" i="17"/>
  <c r="AW32" i="17"/>
  <c r="AN33" i="7"/>
  <c r="AV33" i="7" s="1"/>
  <c r="AS30" i="3"/>
  <c r="AT30" i="3" s="1"/>
  <c r="AV30" i="3" s="1"/>
  <c r="AS32" i="3"/>
  <c r="AT32" i="3" s="1"/>
  <c r="AQ32" i="3"/>
  <c r="AR32" i="3" s="1"/>
  <c r="AO31" i="7"/>
  <c r="AP31" i="7" s="1"/>
  <c r="AO30" i="7"/>
  <c r="AP30" i="7" s="1"/>
  <c r="AN32" i="7"/>
  <c r="AW30" i="10" l="1"/>
  <c r="AW31" i="10"/>
  <c r="AW32" i="10"/>
  <c r="AW33" i="10"/>
  <c r="K51" i="36"/>
  <c r="C36" i="25"/>
  <c r="F66" i="36"/>
  <c r="C59" i="25" s="1"/>
  <c r="S15" i="35"/>
  <c r="F26" i="36"/>
  <c r="C32" i="25" s="1"/>
  <c r="F24" i="36"/>
  <c r="G46" i="25" s="1"/>
  <c r="AV35" i="17"/>
  <c r="AV39" i="5"/>
  <c r="F40" i="5" s="1"/>
  <c r="L40" i="5" s="1"/>
  <c r="N20" i="4" s="1"/>
  <c r="AS32" i="13"/>
  <c r="AT32" i="13" s="1"/>
  <c r="AS30" i="13"/>
  <c r="AT30" i="13" s="1"/>
  <c r="AV30" i="13" s="1"/>
  <c r="AQ32" i="13"/>
  <c r="AR32" i="13" s="1"/>
  <c r="AW31" i="15"/>
  <c r="AW32" i="15"/>
  <c r="AW30" i="15"/>
  <c r="AW33" i="15"/>
  <c r="AW30" i="9"/>
  <c r="AV38" i="17"/>
  <c r="AV36" i="17"/>
  <c r="AV37" i="17"/>
  <c r="AW31" i="9"/>
  <c r="AW33" i="9"/>
  <c r="AW32" i="9"/>
  <c r="AV32" i="3"/>
  <c r="AW33" i="3" s="1"/>
  <c r="AQ31" i="7"/>
  <c r="AR31" i="7" s="1"/>
  <c r="AV31" i="7" s="1"/>
  <c r="AS30" i="7"/>
  <c r="AT30" i="7" s="1"/>
  <c r="AV30" i="7" s="1"/>
  <c r="AS32" i="7"/>
  <c r="AT32" i="7" s="1"/>
  <c r="AQ32" i="7"/>
  <c r="AR32" i="7" s="1"/>
  <c r="AV35" i="10" l="1"/>
  <c r="AV36" i="10"/>
  <c r="F22" i="19"/>
  <c r="R51" i="36"/>
  <c r="AV37" i="10"/>
  <c r="AV38" i="10"/>
  <c r="C68" i="25"/>
  <c r="C85" i="25"/>
  <c r="AV35" i="15"/>
  <c r="AV35" i="9"/>
  <c r="J40" i="5"/>
  <c r="L20" i="4" s="1"/>
  <c r="K40" i="5"/>
  <c r="M20" i="4" s="1"/>
  <c r="O20" i="4" s="1"/>
  <c r="H40" i="5"/>
  <c r="J20" i="4" s="1"/>
  <c r="H20" i="4"/>
  <c r="M40" i="5"/>
  <c r="P20" i="4" s="1"/>
  <c r="F38" i="5"/>
  <c r="L38" i="5" s="1"/>
  <c r="N18" i="4" s="1"/>
  <c r="I40" i="5"/>
  <c r="K20" i="4" s="1"/>
  <c r="F37" i="5"/>
  <c r="G37" i="5" s="1"/>
  <c r="I17" i="4" s="1"/>
  <c r="G40" i="5"/>
  <c r="I20" i="4" s="1"/>
  <c r="F39" i="5"/>
  <c r="G39" i="5" s="1"/>
  <c r="I19" i="4" s="1"/>
  <c r="E6" i="35" s="1"/>
  <c r="AV32" i="13"/>
  <c r="AW33" i="13" s="1"/>
  <c r="AV36" i="9"/>
  <c r="AV37" i="15"/>
  <c r="AW31" i="3"/>
  <c r="AV36" i="15"/>
  <c r="AV38" i="15"/>
  <c r="AV39" i="17"/>
  <c r="F40" i="17" s="1"/>
  <c r="M40" i="17" s="1"/>
  <c r="P20" i="16" s="1"/>
  <c r="AV38" i="9"/>
  <c r="AV37" i="9"/>
  <c r="AW32" i="3"/>
  <c r="AW30" i="3"/>
  <c r="AV32" i="7"/>
  <c r="AW32" i="7" s="1"/>
  <c r="AV39" i="10" l="1"/>
  <c r="F38" i="10" s="1"/>
  <c r="L38" i="10" s="1"/>
  <c r="N18" i="11" s="1"/>
  <c r="AW30" i="13"/>
  <c r="J39" i="5"/>
  <c r="L19" i="4" s="1"/>
  <c r="H6" i="35" s="1"/>
  <c r="I39" i="5"/>
  <c r="K19" i="4" s="1"/>
  <c r="G6" i="35" s="1"/>
  <c r="G38" i="5"/>
  <c r="I18" i="4" s="1"/>
  <c r="I38" i="5"/>
  <c r="K18" i="4" s="1"/>
  <c r="M38" i="5"/>
  <c r="P18" i="4" s="1"/>
  <c r="H39" i="5"/>
  <c r="J19" i="4" s="1"/>
  <c r="F6" i="35" s="1"/>
  <c r="H38" i="5"/>
  <c r="J18" i="4" s="1"/>
  <c r="L39" i="5"/>
  <c r="N19" i="4" s="1"/>
  <c r="J6" i="35" s="1"/>
  <c r="H18" i="4"/>
  <c r="J38" i="5"/>
  <c r="L18" i="4" s="1"/>
  <c r="H19" i="4"/>
  <c r="C6" i="35" s="1"/>
  <c r="K38" i="5"/>
  <c r="M18" i="4" s="1"/>
  <c r="O18" i="4" s="1"/>
  <c r="M39" i="5"/>
  <c r="P19" i="4" s="1"/>
  <c r="L6" i="35" s="1"/>
  <c r="T6" i="35" s="1"/>
  <c r="H17" i="4"/>
  <c r="K39" i="5"/>
  <c r="M19" i="4" s="1"/>
  <c r="I6" i="35" s="1"/>
  <c r="V6" i="35" s="1"/>
  <c r="L37" i="5"/>
  <c r="N17" i="4" s="1"/>
  <c r="K37" i="5"/>
  <c r="M17" i="4" s="1"/>
  <c r="J37" i="5"/>
  <c r="L17" i="4" s="1"/>
  <c r="H37" i="5"/>
  <c r="J17" i="4" s="1"/>
  <c r="I37" i="5"/>
  <c r="K17" i="4" s="1"/>
  <c r="AW31" i="13"/>
  <c r="AW32" i="13"/>
  <c r="M37" i="5"/>
  <c r="P17" i="4" s="1"/>
  <c r="AV39" i="15"/>
  <c r="F39" i="15" s="1"/>
  <c r="L39" i="15" s="1"/>
  <c r="N19" i="14" s="1"/>
  <c r="J11" i="35" s="1"/>
  <c r="AV36" i="3"/>
  <c r="K40" i="17"/>
  <c r="M20" i="16" s="1"/>
  <c r="G40" i="17"/>
  <c r="I20" i="16" s="1"/>
  <c r="I40" i="17"/>
  <c r="K20" i="16" s="1"/>
  <c r="F39" i="17"/>
  <c r="M39" i="17" s="1"/>
  <c r="P19" i="16" s="1"/>
  <c r="L12" i="35" s="1"/>
  <c r="T12" i="35" s="1"/>
  <c r="F38" i="17"/>
  <c r="J38" i="17" s="1"/>
  <c r="L18" i="16" s="1"/>
  <c r="L40" i="17"/>
  <c r="N20" i="16" s="1"/>
  <c r="F37" i="17"/>
  <c r="K37" i="17" s="1"/>
  <c r="M17" i="16" s="1"/>
  <c r="J40" i="17"/>
  <c r="L20" i="16" s="1"/>
  <c r="H40" i="17"/>
  <c r="J20" i="16" s="1"/>
  <c r="H20" i="16"/>
  <c r="AV39" i="9"/>
  <c r="F37" i="9" s="1"/>
  <c r="AV37" i="3"/>
  <c r="AV35" i="3"/>
  <c r="AV38" i="3"/>
  <c r="AW33" i="7"/>
  <c r="AW31" i="7"/>
  <c r="AW30" i="7"/>
  <c r="H18" i="11" l="1"/>
  <c r="G38" i="10"/>
  <c r="I18" i="11" s="1"/>
  <c r="J38" i="10"/>
  <c r="L18" i="11" s="1"/>
  <c r="H38" i="10"/>
  <c r="J18" i="11" s="1"/>
  <c r="I38" i="10"/>
  <c r="K18" i="11" s="1"/>
  <c r="K38" i="10"/>
  <c r="M18" i="11" s="1"/>
  <c r="O18" i="11" s="1"/>
  <c r="M38" i="10"/>
  <c r="P18" i="11" s="1"/>
  <c r="F40" i="10"/>
  <c r="I40" i="10" s="1"/>
  <c r="K20" i="11" s="1"/>
  <c r="F39" i="10"/>
  <c r="M39" i="10" s="1"/>
  <c r="P19" i="11" s="1"/>
  <c r="L9" i="35" s="1"/>
  <c r="T9" i="35" s="1"/>
  <c r="F37" i="10"/>
  <c r="H37" i="10" s="1"/>
  <c r="J17" i="11" s="1"/>
  <c r="M6" i="35"/>
  <c r="W6" i="35" s="1"/>
  <c r="I21" i="4"/>
  <c r="AV35" i="13"/>
  <c r="AV38" i="13"/>
  <c r="AV36" i="13"/>
  <c r="O17" i="4"/>
  <c r="AV37" i="13"/>
  <c r="O19" i="4"/>
  <c r="K6" i="35" s="1"/>
  <c r="U6" i="35" s="1"/>
  <c r="F38" i="15"/>
  <c r="I38" i="15" s="1"/>
  <c r="K18" i="14" s="1"/>
  <c r="M39" i="15"/>
  <c r="P19" i="14" s="1"/>
  <c r="L11" i="35" s="1"/>
  <c r="T11" i="35" s="1"/>
  <c r="K39" i="15"/>
  <c r="M19" i="14" s="1"/>
  <c r="I11" i="35" s="1"/>
  <c r="V11" i="35" s="1"/>
  <c r="H19" i="14"/>
  <c r="C11" i="35" s="1"/>
  <c r="G39" i="15"/>
  <c r="I19" i="14" s="1"/>
  <c r="E11" i="35" s="1"/>
  <c r="H39" i="15"/>
  <c r="J19" i="14" s="1"/>
  <c r="F11" i="35" s="1"/>
  <c r="J39" i="15"/>
  <c r="L19" i="14" s="1"/>
  <c r="H11" i="35" s="1"/>
  <c r="I39" i="15"/>
  <c r="K19" i="14" s="1"/>
  <c r="G11" i="35" s="1"/>
  <c r="F40" i="15"/>
  <c r="L40" i="15" s="1"/>
  <c r="N20" i="14" s="1"/>
  <c r="F37" i="15"/>
  <c r="G37" i="15" s="1"/>
  <c r="I17" i="14" s="1"/>
  <c r="O20" i="16"/>
  <c r="J39" i="17"/>
  <c r="L19" i="16" s="1"/>
  <c r="H12" i="35" s="1"/>
  <c r="L39" i="17"/>
  <c r="N19" i="16" s="1"/>
  <c r="J12" i="35" s="1"/>
  <c r="G39" i="17"/>
  <c r="I19" i="16" s="1"/>
  <c r="E12" i="35" s="1"/>
  <c r="M38" i="17"/>
  <c r="P18" i="16" s="1"/>
  <c r="I39" i="17"/>
  <c r="K19" i="16" s="1"/>
  <c r="G12" i="35" s="1"/>
  <c r="G37" i="17"/>
  <c r="I17" i="16" s="1"/>
  <c r="J37" i="17"/>
  <c r="L17" i="16" s="1"/>
  <c r="H37" i="17"/>
  <c r="J17" i="16" s="1"/>
  <c r="L37" i="17"/>
  <c r="N17" i="16" s="1"/>
  <c r="O17" i="16" s="1"/>
  <c r="K38" i="17"/>
  <c r="M18" i="16" s="1"/>
  <c r="G38" i="17"/>
  <c r="I18" i="16" s="1"/>
  <c r="H17" i="16"/>
  <c r="H19" i="16"/>
  <c r="C12" i="35" s="1"/>
  <c r="H38" i="17"/>
  <c r="J18" i="16" s="1"/>
  <c r="I38" i="17"/>
  <c r="K18" i="16" s="1"/>
  <c r="H18" i="16"/>
  <c r="L38" i="17"/>
  <c r="N18" i="16" s="1"/>
  <c r="M37" i="17"/>
  <c r="P17" i="16" s="1"/>
  <c r="I37" i="17"/>
  <c r="K17" i="16" s="1"/>
  <c r="H39" i="17"/>
  <c r="J19" i="16" s="1"/>
  <c r="F12" i="35" s="1"/>
  <c r="K39" i="17"/>
  <c r="M19" i="16" s="1"/>
  <c r="I12" i="35" s="1"/>
  <c r="V12" i="35" s="1"/>
  <c r="F39" i="9"/>
  <c r="G39" i="9" s="1"/>
  <c r="I19" i="8" s="1"/>
  <c r="E8" i="35" s="1"/>
  <c r="F38" i="9"/>
  <c r="H38" i="9" s="1"/>
  <c r="J18" i="8" s="1"/>
  <c r="F40" i="9"/>
  <c r="L40" i="9" s="1"/>
  <c r="N20" i="8" s="1"/>
  <c r="I37" i="9"/>
  <c r="K17" i="8" s="1"/>
  <c r="J37" i="9"/>
  <c r="L17" i="8" s="1"/>
  <c r="H17" i="8"/>
  <c r="L37" i="9"/>
  <c r="N17" i="8" s="1"/>
  <c r="H37" i="9"/>
  <c r="J17" i="8" s="1"/>
  <c r="K37" i="9"/>
  <c r="M17" i="8" s="1"/>
  <c r="G37" i="9"/>
  <c r="I17" i="8" s="1"/>
  <c r="M37" i="9"/>
  <c r="P17" i="8" s="1"/>
  <c r="AV39" i="3"/>
  <c r="F37" i="3" s="1"/>
  <c r="J37" i="3" s="1"/>
  <c r="L17" i="1" s="1"/>
  <c r="AV38" i="7"/>
  <c r="AV37" i="7"/>
  <c r="AV35" i="7"/>
  <c r="AV36" i="7"/>
  <c r="H40" i="10" l="1"/>
  <c r="J20" i="11" s="1"/>
  <c r="M40" i="10"/>
  <c r="P20" i="11" s="1"/>
  <c r="L40" i="10"/>
  <c r="N20" i="11" s="1"/>
  <c r="K40" i="10"/>
  <c r="M20" i="11" s="1"/>
  <c r="G39" i="10"/>
  <c r="I19" i="11" s="1"/>
  <c r="E9" i="35" s="1"/>
  <c r="H20" i="11"/>
  <c r="G40" i="10"/>
  <c r="I20" i="11" s="1"/>
  <c r="K39" i="10"/>
  <c r="M19" i="11" s="1"/>
  <c r="I9" i="35" s="1"/>
  <c r="V9" i="35" s="1"/>
  <c r="J40" i="10"/>
  <c r="L20" i="11" s="1"/>
  <c r="H39" i="10"/>
  <c r="J19" i="11" s="1"/>
  <c r="F9" i="35" s="1"/>
  <c r="J39" i="10"/>
  <c r="L19" i="11" s="1"/>
  <c r="H9" i="35" s="1"/>
  <c r="L37" i="10"/>
  <c r="N17" i="11" s="1"/>
  <c r="M37" i="10"/>
  <c r="P17" i="11" s="1"/>
  <c r="J37" i="10"/>
  <c r="L17" i="11" s="1"/>
  <c r="L39" i="10"/>
  <c r="N19" i="11" s="1"/>
  <c r="J9" i="35" s="1"/>
  <c r="K37" i="10"/>
  <c r="M17" i="11" s="1"/>
  <c r="G37" i="10"/>
  <c r="I17" i="11" s="1"/>
  <c r="I39" i="10"/>
  <c r="K19" i="11" s="1"/>
  <c r="G9" i="35" s="1"/>
  <c r="H17" i="11"/>
  <c r="H19" i="11"/>
  <c r="C9" i="35" s="1"/>
  <c r="I37" i="10"/>
  <c r="K17" i="11" s="1"/>
  <c r="F54" i="36"/>
  <c r="C58" i="25" s="1"/>
  <c r="F8" i="36"/>
  <c r="G27" i="25" s="1"/>
  <c r="S6" i="35"/>
  <c r="M12" i="35"/>
  <c r="W12" i="35" s="1"/>
  <c r="M11" i="35"/>
  <c r="W11" i="35" s="1"/>
  <c r="O19" i="14"/>
  <c r="K11" i="35" s="1"/>
  <c r="U11" i="35" s="1"/>
  <c r="AV39" i="13"/>
  <c r="F39" i="13" s="1"/>
  <c r="I39" i="13" s="1"/>
  <c r="K19" i="12" s="1"/>
  <c r="G10" i="35" s="1"/>
  <c r="J38" i="15"/>
  <c r="L18" i="14" s="1"/>
  <c r="H18" i="14"/>
  <c r="J39" i="9"/>
  <c r="L19" i="8" s="1"/>
  <c r="H8" i="35" s="1"/>
  <c r="G38" i="15"/>
  <c r="I18" i="14" s="1"/>
  <c r="K38" i="15"/>
  <c r="M18" i="14" s="1"/>
  <c r="M38" i="15"/>
  <c r="P18" i="14" s="1"/>
  <c r="L38" i="15"/>
  <c r="N18" i="14" s="1"/>
  <c r="H38" i="15"/>
  <c r="J18" i="14" s="1"/>
  <c r="M40" i="15"/>
  <c r="P20" i="14" s="1"/>
  <c r="H40" i="15"/>
  <c r="J20" i="14" s="1"/>
  <c r="H20" i="14"/>
  <c r="I40" i="15"/>
  <c r="K20" i="14" s="1"/>
  <c r="J40" i="15"/>
  <c r="L20" i="14" s="1"/>
  <c r="G40" i="15"/>
  <c r="I20" i="14" s="1"/>
  <c r="K40" i="15"/>
  <c r="M20" i="14" s="1"/>
  <c r="O20" i="14" s="1"/>
  <c r="I37" i="15"/>
  <c r="K17" i="14" s="1"/>
  <c r="H17" i="14"/>
  <c r="M37" i="15"/>
  <c r="P17" i="14" s="1"/>
  <c r="J37" i="15"/>
  <c r="L17" i="14" s="1"/>
  <c r="L37" i="15"/>
  <c r="N17" i="14" s="1"/>
  <c r="H37" i="15"/>
  <c r="J17" i="14" s="1"/>
  <c r="K37" i="15"/>
  <c r="M17" i="14" s="1"/>
  <c r="I21" i="16"/>
  <c r="O19" i="16"/>
  <c r="K12" i="35" s="1"/>
  <c r="U12" i="35" s="1"/>
  <c r="O18" i="16"/>
  <c r="M38" i="9"/>
  <c r="P18" i="8" s="1"/>
  <c r="L39" i="9"/>
  <c r="N19" i="8" s="1"/>
  <c r="J8" i="35" s="1"/>
  <c r="H39" i="9"/>
  <c r="J19" i="8" s="1"/>
  <c r="F8" i="35" s="1"/>
  <c r="M39" i="9"/>
  <c r="P19" i="8" s="1"/>
  <c r="L8" i="35" s="1"/>
  <c r="T8" i="35" s="1"/>
  <c r="M40" i="9"/>
  <c r="P20" i="8" s="1"/>
  <c r="J40" i="9"/>
  <c r="L20" i="8" s="1"/>
  <c r="H19" i="8"/>
  <c r="C8" i="35" s="1"/>
  <c r="K40" i="9"/>
  <c r="M20" i="8" s="1"/>
  <c r="O20" i="8" s="1"/>
  <c r="K39" i="9"/>
  <c r="M19" i="8" s="1"/>
  <c r="I8" i="35" s="1"/>
  <c r="V8" i="35" s="1"/>
  <c r="I39" i="9"/>
  <c r="K19" i="8" s="1"/>
  <c r="G8" i="35" s="1"/>
  <c r="O17" i="8"/>
  <c r="H40" i="9"/>
  <c r="J20" i="8" s="1"/>
  <c r="K38" i="9"/>
  <c r="M18" i="8" s="1"/>
  <c r="H20" i="8"/>
  <c r="L38" i="9"/>
  <c r="N18" i="8" s="1"/>
  <c r="J38" i="9"/>
  <c r="L18" i="8" s="1"/>
  <c r="G38" i="9"/>
  <c r="I18" i="8" s="1"/>
  <c r="H18" i="8"/>
  <c r="I38" i="9"/>
  <c r="K18" i="8" s="1"/>
  <c r="G40" i="9"/>
  <c r="I20" i="8" s="1"/>
  <c r="I40" i="9"/>
  <c r="K20" i="8" s="1"/>
  <c r="F40" i="3"/>
  <c r="G40" i="3" s="1"/>
  <c r="I20" i="1" s="1"/>
  <c r="I37" i="3"/>
  <c r="K17" i="1" s="1"/>
  <c r="F39" i="3"/>
  <c r="H19" i="1" s="1"/>
  <c r="C5" i="35" s="1"/>
  <c r="K37" i="3"/>
  <c r="M17" i="1" s="1"/>
  <c r="H37" i="3"/>
  <c r="J17" i="1" s="1"/>
  <c r="H17" i="1"/>
  <c r="F38" i="3"/>
  <c r="H38" i="3" s="1"/>
  <c r="J18" i="1" s="1"/>
  <c r="L37" i="3"/>
  <c r="N17" i="1" s="1"/>
  <c r="G37" i="3"/>
  <c r="I17" i="1" s="1"/>
  <c r="M37" i="3"/>
  <c r="P17" i="1" s="1"/>
  <c r="AV39" i="7"/>
  <c r="F38" i="7" s="1"/>
  <c r="M9" i="35" l="1"/>
  <c r="W9" i="35" s="1"/>
  <c r="O20" i="11"/>
  <c r="I21" i="11"/>
  <c r="F14" i="36" s="1"/>
  <c r="C31" i="25" s="1"/>
  <c r="O17" i="11"/>
  <c r="O19" i="11"/>
  <c r="K9" i="35" s="1"/>
  <c r="U9" i="35" s="1"/>
  <c r="F46" i="36"/>
  <c r="F64" i="36"/>
  <c r="M5" i="35"/>
  <c r="W5" i="35" s="1"/>
  <c r="S11" i="35"/>
  <c r="S12" i="35"/>
  <c r="M8" i="35"/>
  <c r="W8" i="35" s="1"/>
  <c r="M39" i="13"/>
  <c r="P19" i="12" s="1"/>
  <c r="L10" i="35" s="1"/>
  <c r="T10" i="35" s="1"/>
  <c r="F38" i="13"/>
  <c r="J38" i="13" s="1"/>
  <c r="L18" i="12" s="1"/>
  <c r="H19" i="12"/>
  <c r="C10" i="35" s="1"/>
  <c r="F37" i="13"/>
  <c r="K37" i="13" s="1"/>
  <c r="M17" i="12" s="1"/>
  <c r="L39" i="13"/>
  <c r="N19" i="12" s="1"/>
  <c r="J10" i="35" s="1"/>
  <c r="F40" i="13"/>
  <c r="K40" i="13" s="1"/>
  <c r="M20" i="12" s="1"/>
  <c r="K39" i="13"/>
  <c r="M19" i="12" s="1"/>
  <c r="I10" i="35" s="1"/>
  <c r="V10" i="35" s="1"/>
  <c r="H39" i="13"/>
  <c r="J19" i="12" s="1"/>
  <c r="F10" i="35" s="1"/>
  <c r="G39" i="13"/>
  <c r="I19" i="12" s="1"/>
  <c r="E10" i="35" s="1"/>
  <c r="J39" i="13"/>
  <c r="L19" i="12" s="1"/>
  <c r="H10" i="35" s="1"/>
  <c r="O18" i="14"/>
  <c r="O17" i="14"/>
  <c r="I21" i="14"/>
  <c r="J36" i="25"/>
  <c r="O19" i="8"/>
  <c r="K8" i="35" s="1"/>
  <c r="U8" i="35" s="1"/>
  <c r="O18" i="8"/>
  <c r="J40" i="3"/>
  <c r="L20" i="1" s="1"/>
  <c r="I21" i="8"/>
  <c r="F42" i="36" s="1"/>
  <c r="C40" i="25" s="1"/>
  <c r="G38" i="3"/>
  <c r="I18" i="1" s="1"/>
  <c r="L39" i="3"/>
  <c r="N19" i="1" s="1"/>
  <c r="J5" i="35" s="1"/>
  <c r="O17" i="1"/>
  <c r="M38" i="3"/>
  <c r="P18" i="1" s="1"/>
  <c r="J38" i="3"/>
  <c r="L18" i="1" s="1"/>
  <c r="H20" i="1"/>
  <c r="K40" i="3"/>
  <c r="M20" i="1" s="1"/>
  <c r="L40" i="3"/>
  <c r="N20" i="1" s="1"/>
  <c r="H40" i="3"/>
  <c r="J20" i="1" s="1"/>
  <c r="M40" i="3"/>
  <c r="P20" i="1" s="1"/>
  <c r="I40" i="3"/>
  <c r="K20" i="1" s="1"/>
  <c r="I38" i="3"/>
  <c r="K18" i="1" s="1"/>
  <c r="K38" i="3"/>
  <c r="M18" i="1" s="1"/>
  <c r="M39" i="3"/>
  <c r="P19" i="1" s="1"/>
  <c r="L5" i="35" s="1"/>
  <c r="T5" i="35" s="1"/>
  <c r="H18" i="1"/>
  <c r="H39" i="3"/>
  <c r="J19" i="1" s="1"/>
  <c r="F5" i="35" s="1"/>
  <c r="I39" i="3"/>
  <c r="K19" i="1" s="1"/>
  <c r="G5" i="35" s="1"/>
  <c r="G39" i="3"/>
  <c r="I19" i="1" s="1"/>
  <c r="E5" i="35" s="1"/>
  <c r="J39" i="3"/>
  <c r="L19" i="1" s="1"/>
  <c r="H5" i="35" s="1"/>
  <c r="K39" i="3"/>
  <c r="M19" i="1" s="1"/>
  <c r="I5" i="35" s="1"/>
  <c r="V5" i="35" s="1"/>
  <c r="L38" i="3"/>
  <c r="N18" i="1" s="1"/>
  <c r="F37" i="7"/>
  <c r="L37" i="7" s="1"/>
  <c r="N17" i="6" s="1"/>
  <c r="F39" i="7"/>
  <c r="F40" i="7"/>
  <c r="L40" i="7" s="1"/>
  <c r="N20" i="6" s="1"/>
  <c r="H18" i="6"/>
  <c r="M38" i="7"/>
  <c r="P18" i="6" s="1"/>
  <c r="H38" i="7"/>
  <c r="J18" i="6" s="1"/>
  <c r="K38" i="7"/>
  <c r="M18" i="6" s="1"/>
  <c r="J38" i="7"/>
  <c r="L18" i="6" s="1"/>
  <c r="I38" i="7"/>
  <c r="K18" i="6" s="1"/>
  <c r="L38" i="7"/>
  <c r="N18" i="6" s="1"/>
  <c r="G38" i="7"/>
  <c r="I18" i="6" s="1"/>
  <c r="G39" i="7" l="1"/>
  <c r="I19" i="6" s="1"/>
  <c r="E7" i="35" s="1"/>
  <c r="H19" i="6"/>
  <c r="C7" i="35" s="1"/>
  <c r="S9" i="35"/>
  <c r="F22" i="36"/>
  <c r="C46" i="25" s="1"/>
  <c r="K63" i="36"/>
  <c r="G54" i="25"/>
  <c r="K47" i="36"/>
  <c r="C37" i="25"/>
  <c r="F38" i="36"/>
  <c r="C41" i="25" s="1"/>
  <c r="F60" i="36"/>
  <c r="G55" i="25" s="1"/>
  <c r="F58" i="36"/>
  <c r="C55" i="25" s="1"/>
  <c r="M10" i="35"/>
  <c r="W10" i="35" s="1"/>
  <c r="S8" i="35"/>
  <c r="G38" i="13"/>
  <c r="I18" i="12" s="1"/>
  <c r="L40" i="13"/>
  <c r="N20" i="12" s="1"/>
  <c r="O20" i="12" s="1"/>
  <c r="J40" i="13"/>
  <c r="L20" i="12" s="1"/>
  <c r="M40" i="13"/>
  <c r="P20" i="12" s="1"/>
  <c r="I38" i="13"/>
  <c r="K18" i="12" s="1"/>
  <c r="H38" i="13"/>
  <c r="J18" i="12" s="1"/>
  <c r="H20" i="12"/>
  <c r="H18" i="12"/>
  <c r="O19" i="12"/>
  <c r="K10" i="35" s="1"/>
  <c r="U10" i="35" s="1"/>
  <c r="K38" i="13"/>
  <c r="M18" i="12" s="1"/>
  <c r="G40" i="13"/>
  <c r="I20" i="12" s="1"/>
  <c r="L38" i="13"/>
  <c r="N18" i="12" s="1"/>
  <c r="I37" i="13"/>
  <c r="K17" i="12" s="1"/>
  <c r="M37" i="13"/>
  <c r="P17" i="12" s="1"/>
  <c r="G37" i="13"/>
  <c r="I17" i="12" s="1"/>
  <c r="L37" i="13"/>
  <c r="N17" i="12" s="1"/>
  <c r="O17" i="12" s="1"/>
  <c r="J37" i="13"/>
  <c r="L17" i="12" s="1"/>
  <c r="H37" i="13"/>
  <c r="J17" i="12" s="1"/>
  <c r="H17" i="12"/>
  <c r="H40" i="13"/>
  <c r="J20" i="12" s="1"/>
  <c r="M38" i="13"/>
  <c r="P18" i="12" s="1"/>
  <c r="I40" i="13"/>
  <c r="K20" i="12" s="1"/>
  <c r="O19" i="1"/>
  <c r="O20" i="1"/>
  <c r="O18" i="1"/>
  <c r="I21" i="1"/>
  <c r="F6" i="36" s="1"/>
  <c r="K37" i="7"/>
  <c r="M17" i="6" s="1"/>
  <c r="O17" i="6" s="1"/>
  <c r="H37" i="7"/>
  <c r="J17" i="6" s="1"/>
  <c r="J37" i="7"/>
  <c r="L17" i="6" s="1"/>
  <c r="H17" i="6"/>
  <c r="G37" i="7"/>
  <c r="I17" i="6" s="1"/>
  <c r="M37" i="7"/>
  <c r="P17" i="6" s="1"/>
  <c r="M40" i="7"/>
  <c r="P20" i="6" s="1"/>
  <c r="I37" i="7"/>
  <c r="K17" i="6" s="1"/>
  <c r="M39" i="7"/>
  <c r="P19" i="6" s="1"/>
  <c r="L7" i="35" s="1"/>
  <c r="T7" i="35" s="1"/>
  <c r="H39" i="7"/>
  <c r="J19" i="6" s="1"/>
  <c r="F7" i="35" s="1"/>
  <c r="I39" i="7"/>
  <c r="K19" i="6" s="1"/>
  <c r="G7" i="35" s="1"/>
  <c r="K39" i="7"/>
  <c r="M19" i="6" s="1"/>
  <c r="I7" i="35" s="1"/>
  <c r="V7" i="35" s="1"/>
  <c r="L39" i="7"/>
  <c r="N19" i="6" s="1"/>
  <c r="J7" i="35" s="1"/>
  <c r="I40" i="7"/>
  <c r="K20" i="6" s="1"/>
  <c r="H40" i="7"/>
  <c r="J20" i="6" s="1"/>
  <c r="K40" i="7"/>
  <c r="M20" i="6" s="1"/>
  <c r="O20" i="6" s="1"/>
  <c r="H20" i="6"/>
  <c r="J40" i="7"/>
  <c r="L20" i="6" s="1"/>
  <c r="G40" i="7"/>
  <c r="I20" i="6" s="1"/>
  <c r="J39" i="7"/>
  <c r="L19" i="6" s="1"/>
  <c r="H7" i="35" s="1"/>
  <c r="O18" i="6"/>
  <c r="C90" i="25" l="1"/>
  <c r="C73" i="25"/>
  <c r="F24" i="19"/>
  <c r="K23" i="19" s="1"/>
  <c r="R47" i="36"/>
  <c r="F30" i="19"/>
  <c r="R63" i="36"/>
  <c r="C86" i="25"/>
  <c r="C69" i="25"/>
  <c r="C76" i="25"/>
  <c r="C93" i="25"/>
  <c r="C94" i="25"/>
  <c r="C77" i="25"/>
  <c r="K5" i="35"/>
  <c r="U5" i="35" s="1"/>
  <c r="S5" i="35" s="1"/>
  <c r="K59" i="36"/>
  <c r="K7" i="36"/>
  <c r="F30" i="36"/>
  <c r="C49" i="25" s="1"/>
  <c r="S10" i="35"/>
  <c r="M7" i="35"/>
  <c r="W7" i="35" s="1"/>
  <c r="I21" i="12"/>
  <c r="O18" i="12"/>
  <c r="I21" i="6"/>
  <c r="O19" i="6"/>
  <c r="K7" i="35" s="1"/>
  <c r="U7" i="35" s="1"/>
  <c r="F3" i="36" l="1"/>
  <c r="F32" i="19"/>
  <c r="N54" i="25" s="1"/>
  <c r="R59" i="36"/>
  <c r="F10" i="20"/>
  <c r="R23" i="19"/>
  <c r="R7" i="36"/>
  <c r="C27" i="25"/>
  <c r="F12" i="36"/>
  <c r="G45" i="25" s="1"/>
  <c r="F18" i="36"/>
  <c r="C28" i="25" s="1"/>
  <c r="F10" i="36"/>
  <c r="C45" i="25" s="1"/>
  <c r="F20" i="36"/>
  <c r="G28" i="25" s="1"/>
  <c r="K23" i="36"/>
  <c r="S7" i="35"/>
  <c r="A16" i="35" l="1"/>
  <c r="B21" i="35" a="1"/>
  <c r="K31" i="19"/>
  <c r="F18" i="20" s="1"/>
  <c r="Q56" i="25" s="1"/>
  <c r="H16" i="37"/>
  <c r="AU8" i="25"/>
  <c r="AS8" i="25" s="1"/>
  <c r="F16" i="19"/>
  <c r="N45" i="25" s="1"/>
  <c r="R23" i="36"/>
  <c r="F6" i="19"/>
  <c r="J27" i="25" s="1"/>
  <c r="C65" i="25"/>
  <c r="C82" i="25"/>
  <c r="C89" i="25"/>
  <c r="C72" i="25"/>
  <c r="C81" i="25"/>
  <c r="C64" i="25"/>
  <c r="A10" i="35"/>
  <c r="A14" i="35"/>
  <c r="A5" i="35"/>
  <c r="A13" i="35"/>
  <c r="K19" i="36"/>
  <c r="K11" i="36"/>
  <c r="J54" i="25"/>
  <c r="A15" i="35"/>
  <c r="A9" i="35"/>
  <c r="A12" i="35"/>
  <c r="A8" i="35"/>
  <c r="A6" i="35"/>
  <c r="A11" i="35"/>
  <c r="A7" i="35"/>
  <c r="Q38" i="25"/>
  <c r="N36" i="25"/>
  <c r="C13" i="37" l="1"/>
  <c r="B21" i="35"/>
  <c r="R31" i="19"/>
  <c r="F14" i="19"/>
  <c r="K15" i="19" s="1"/>
  <c r="R15" i="19" s="1"/>
  <c r="R11" i="36"/>
  <c r="F8" i="19"/>
  <c r="N27" i="25" s="1"/>
  <c r="R19" i="36"/>
  <c r="J70" i="25"/>
  <c r="J79" i="25"/>
  <c r="J66" i="25"/>
  <c r="J75" i="25"/>
  <c r="Q17" i="37" l="1"/>
  <c r="K7" i="19"/>
  <c r="F8" i="20" s="1"/>
  <c r="J45" i="25"/>
  <c r="F14" i="20"/>
  <c r="J73" i="25"/>
  <c r="J64" i="25"/>
  <c r="J77" i="25" l="1"/>
  <c r="J68" i="25"/>
  <c r="R7" i="19"/>
  <c r="Q47" i="25"/>
  <c r="U29" i="25" l="1"/>
  <c r="P28" i="37" s="1"/>
  <c r="O28" i="37" s="1"/>
  <c r="N28" i="37" s="1"/>
  <c r="M28" i="37" s="1"/>
  <c r="L28" i="37" s="1"/>
  <c r="K28" i="37" s="1"/>
  <c r="J28" i="37" s="1"/>
  <c r="I28" i="37" s="1"/>
  <c r="H28" i="37" s="1"/>
  <c r="Q28" i="37" s="1"/>
  <c r="P27" i="37" s="1"/>
  <c r="O27" i="37" s="1"/>
  <c r="N27" i="37" s="1"/>
  <c r="M27" i="37" s="1"/>
  <c r="L27" i="37" s="1"/>
  <c r="K27" i="37" s="1"/>
  <c r="J27" i="37" s="1"/>
  <c r="I27" i="37" s="1"/>
  <c r="H27" i="37" s="1"/>
  <c r="Q27" i="37" s="1"/>
  <c r="P26" i="37" s="1"/>
  <c r="O26" i="37" s="1"/>
  <c r="N26" i="37" s="1"/>
  <c r="M26" i="37" s="1"/>
  <c r="L26" i="37" s="1"/>
  <c r="K26" i="37" s="1"/>
  <c r="J26" i="37" s="1"/>
  <c r="I26" i="37" s="1"/>
  <c r="H26" i="37" s="1"/>
  <c r="Q26" i="37" s="1"/>
  <c r="P25" i="37" s="1"/>
  <c r="O25" i="37" s="1"/>
  <c r="N25" i="37" s="1"/>
  <c r="M25" i="37" s="1"/>
  <c r="L25" i="37" s="1"/>
  <c r="K25" i="37" s="1"/>
  <c r="J25" i="37" s="1"/>
  <c r="I25" i="37" s="1"/>
  <c r="H25" i="37" s="1"/>
  <c r="Q25" i="37" s="1"/>
  <c r="P24" i="37" s="1"/>
  <c r="O24" i="37" s="1"/>
  <c r="N24" i="37" s="1"/>
  <c r="M24" i="37" s="1"/>
  <c r="L24" i="37" s="1"/>
  <c r="K24" i="37" s="1"/>
  <c r="J24" i="37" s="1"/>
  <c r="I24" i="37" s="1"/>
  <c r="H24" i="37" s="1"/>
  <c r="Q24" i="37" s="1"/>
  <c r="P23" i="37" s="1"/>
  <c r="O23" i="37" s="1"/>
  <c r="N23" i="37" s="1"/>
  <c r="M23" i="37" s="1"/>
  <c r="L23" i="37" s="1"/>
  <c r="K23" i="37" s="1"/>
  <c r="J23" i="37" s="1"/>
  <c r="I23" i="37" s="1"/>
  <c r="H23" i="37" s="1"/>
  <c r="Q23" i="37" s="1"/>
  <c r="P22" i="37" s="1"/>
  <c r="O22" i="37" s="1"/>
  <c r="N22" i="37" s="1"/>
  <c r="M22" i="37" s="1"/>
  <c r="L22" i="37" s="1"/>
  <c r="K22" i="37" s="1"/>
  <c r="J22" i="37" s="1"/>
  <c r="I22" i="37" s="1"/>
  <c r="H22" i="37" s="1"/>
  <c r="Q22" i="37" s="1"/>
  <c r="P21" i="37" s="1"/>
  <c r="O21" i="37" s="1"/>
  <c r="N21" i="37" s="1"/>
  <c r="M21" i="37" s="1"/>
  <c r="L21" i="37" s="1"/>
  <c r="K21" i="37" s="1"/>
  <c r="J21" i="37" s="1"/>
  <c r="I21" i="37" s="1"/>
  <c r="H21" i="37" s="1"/>
  <c r="Q21" i="37" s="1"/>
  <c r="P20" i="37" s="1"/>
  <c r="O20" i="37" s="1"/>
  <c r="N20" i="37" s="1"/>
  <c r="M20" i="37" s="1"/>
  <c r="L20" i="37" s="1"/>
  <c r="K20" i="37" s="1"/>
  <c r="J20" i="37" s="1"/>
  <c r="I20" i="37" s="1"/>
  <c r="H20" i="37" s="1"/>
  <c r="Q20" i="37" s="1"/>
  <c r="P19" i="37" s="1"/>
  <c r="O19" i="37" s="1"/>
  <c r="N19" i="37" s="1"/>
  <c r="M19" i="37" s="1"/>
  <c r="L19" i="37" s="1"/>
  <c r="K19" i="37" s="1"/>
  <c r="J19" i="37" s="1"/>
  <c r="I19" i="37" s="1"/>
  <c r="H19" i="37" s="1"/>
  <c r="Q19" i="37" s="1"/>
  <c r="P18" i="37" s="1"/>
  <c r="O18" i="37" s="1"/>
  <c r="N18" i="37" s="1"/>
  <c r="M18" i="37" s="1"/>
  <c r="L18" i="37" s="1"/>
  <c r="K18" i="37" s="1"/>
  <c r="J18" i="37" s="1"/>
  <c r="I18" i="37" s="1"/>
  <c r="H18" i="37" s="1"/>
  <c r="Q18" i="37" s="1"/>
  <c r="P17" i="37" s="1"/>
  <c r="O17" i="37" s="1"/>
  <c r="N17" i="37" s="1"/>
  <c r="M17" i="37" s="1"/>
  <c r="L17" i="37" s="1"/>
  <c r="K17" i="37" s="1"/>
  <c r="J17" i="37" s="1"/>
  <c r="I17" i="37" s="1"/>
  <c r="I29" i="37" l="1"/>
  <c r="G19" i="4"/>
  <c r="G19" i="33"/>
  <c r="G19" i="6"/>
  <c r="G19" i="12"/>
  <c r="G19" i="8"/>
  <c r="G19" i="11"/>
  <c r="G19" i="1"/>
  <c r="G19" i="14"/>
  <c r="H17" i="37"/>
  <c r="G19" i="31"/>
  <c r="G19" i="16"/>
  <c r="G19" i="27"/>
  <c r="G19" i="29"/>
  <c r="AG196" i="35"/>
  <c r="AN407" i="35"/>
  <c r="AM315" i="35"/>
  <c r="AK482" i="35"/>
  <c r="AN398" i="35"/>
  <c r="AG231" i="35"/>
  <c r="AH436" i="35"/>
  <c r="AN380" i="35"/>
  <c r="AM216" i="35"/>
  <c r="AJ423" i="35"/>
  <c r="AK259" i="35"/>
  <c r="AH21" i="35"/>
  <c r="AI507" i="35"/>
  <c r="AM328" i="35"/>
  <c r="AL486" i="35"/>
  <c r="AN502" i="35"/>
  <c r="AL171" i="35"/>
  <c r="AL440" i="35"/>
  <c r="AN373" i="35"/>
  <c r="AI371" i="35"/>
  <c r="AM440" i="35"/>
  <c r="AN166" i="35"/>
  <c r="AI412" i="35"/>
  <c r="AN437" i="35"/>
  <c r="AH513" i="35"/>
  <c r="AI293" i="35"/>
  <c r="AN124" i="35"/>
  <c r="AK387" i="35"/>
  <c r="AG460" i="35"/>
  <c r="AH512" i="35"/>
  <c r="AK228" i="35"/>
  <c r="AJ89" i="35"/>
  <c r="AK284" i="35"/>
  <c r="AL333" i="35"/>
  <c r="AM477" i="35"/>
  <c r="AL195" i="35"/>
  <c r="AI490" i="35"/>
  <c r="AI43" i="35"/>
  <c r="AM285" i="35"/>
  <c r="AK432" i="35"/>
  <c r="AM312" i="35"/>
  <c r="AJ448" i="35"/>
  <c r="AG126" i="35"/>
  <c r="AJ430" i="35"/>
  <c r="AK37" i="35"/>
  <c r="AK251" i="35"/>
  <c r="AH399" i="35"/>
  <c r="AM434" i="35"/>
  <c r="AK356" i="35"/>
  <c r="AH199" i="35"/>
  <c r="AN470" i="35"/>
  <c r="AL339" i="35"/>
  <c r="AI476" i="35"/>
  <c r="AM379" i="35"/>
  <c r="AH381" i="35"/>
  <c r="AL274" i="35"/>
  <c r="AH491" i="35"/>
  <c r="AM471" i="35"/>
  <c r="AN495" i="35"/>
  <c r="AG483" i="35"/>
  <c r="AN494" i="35"/>
  <c r="AI317" i="35"/>
  <c r="AK487" i="35"/>
  <c r="AN471" i="35"/>
  <c r="AK414" i="35"/>
  <c r="AJ316" i="35"/>
  <c r="AI272" i="35"/>
  <c r="AL408" i="35"/>
  <c r="AK330" i="35"/>
  <c r="AL382" i="35"/>
  <c r="AM462" i="35"/>
  <c r="AN106" i="35"/>
  <c r="AK388" i="35"/>
  <c r="AK172" i="35"/>
  <c r="AL357" i="35"/>
  <c r="AN375" i="35"/>
  <c r="AG165" i="35"/>
  <c r="AN383" i="35"/>
  <c r="AH404" i="35"/>
  <c r="AJ259" i="35"/>
  <c r="AH239" i="35"/>
  <c r="AL163" i="35"/>
  <c r="AJ183" i="35"/>
  <c r="AG318" i="35"/>
  <c r="AH246" i="35"/>
  <c r="AL217" i="35"/>
  <c r="AG489" i="35"/>
  <c r="AI153" i="35"/>
  <c r="AK350" i="35"/>
  <c r="AL409" i="35"/>
  <c r="AG57" i="35"/>
  <c r="AM472" i="35"/>
  <c r="AK431" i="35"/>
  <c r="AI355" i="35"/>
  <c r="AJ376" i="35"/>
  <c r="AH83" i="35"/>
  <c r="AJ290" i="35"/>
  <c r="AJ466" i="35"/>
  <c r="AL381" i="35"/>
  <c r="AH418" i="35"/>
  <c r="AN305" i="35"/>
  <c r="AI23" i="35"/>
  <c r="AG504" i="35"/>
  <c r="AH426" i="35"/>
  <c r="AM467" i="35"/>
  <c r="AI451" i="35"/>
  <c r="AJ91" i="35"/>
  <c r="AJ404" i="35"/>
  <c r="AK509" i="35"/>
  <c r="AJ512" i="35"/>
  <c r="AI439" i="35"/>
  <c r="AJ79" i="35"/>
  <c r="AG363" i="35"/>
  <c r="AN429" i="35"/>
  <c r="AH383" i="35"/>
  <c r="AH392" i="35"/>
  <c r="AM386" i="35"/>
  <c r="AK367" i="35"/>
  <c r="AG453" i="35"/>
  <c r="AJ427" i="35"/>
  <c r="AI162" i="35"/>
  <c r="AN432" i="35"/>
  <c r="AK429" i="35"/>
  <c r="AI218" i="35"/>
  <c r="AH432" i="35"/>
  <c r="AM342" i="35"/>
  <c r="AM504" i="35"/>
  <c r="AJ72" i="35"/>
  <c r="AH402" i="35"/>
  <c r="AL35" i="35"/>
  <c r="AI485" i="35"/>
  <c r="AI475" i="35"/>
  <c r="AK495" i="35"/>
  <c r="AL495" i="35"/>
  <c r="AN442" i="35"/>
  <c r="AN326" i="35"/>
  <c r="AM500" i="35"/>
  <c r="AN480" i="35"/>
  <c r="AI290" i="35"/>
  <c r="AK441" i="35"/>
  <c r="AJ479" i="35"/>
  <c r="AH374" i="35"/>
  <c r="AI510" i="35"/>
  <c r="AL52" i="35"/>
  <c r="AH307" i="35"/>
  <c r="AH498" i="35"/>
  <c r="AI432" i="35"/>
  <c r="AH462" i="35"/>
  <c r="AM305" i="35"/>
  <c r="AN414" i="35"/>
  <c r="AG472" i="35"/>
  <c r="AM339" i="35"/>
  <c r="AM237" i="35"/>
  <c r="AL423" i="35"/>
  <c r="AM511" i="35"/>
  <c r="AH411" i="35"/>
  <c r="AK468" i="35"/>
  <c r="AJ204" i="35"/>
  <c r="AJ147" i="35"/>
  <c r="AH385" i="35"/>
  <c r="AN210" i="35"/>
  <c r="AM226" i="35"/>
  <c r="AG288" i="35"/>
  <c r="AM281" i="35"/>
  <c r="AM132" i="35"/>
  <c r="AJ330" i="35"/>
  <c r="AH281" i="35"/>
  <c r="AK75" i="35"/>
  <c r="AG283" i="35"/>
  <c r="AH490" i="35"/>
  <c r="AG154" i="35"/>
  <c r="AL433" i="35"/>
  <c r="AM451" i="35"/>
  <c r="AI453" i="35"/>
  <c r="AJ120" i="35"/>
  <c r="AI423" i="35"/>
  <c r="AG378" i="35"/>
  <c r="AH477" i="35"/>
  <c r="AN446" i="35"/>
  <c r="AN50" i="35"/>
  <c r="AI446" i="35"/>
  <c r="AK403" i="35"/>
  <c r="AK333" i="35"/>
  <c r="AG428" i="35"/>
  <c r="AG35" i="35"/>
  <c r="AG25" i="35"/>
  <c r="AH401" i="35"/>
  <c r="AJ363" i="35"/>
  <c r="AN208" i="35"/>
  <c r="AJ351" i="35"/>
  <c r="AN70" i="35"/>
  <c r="AG362" i="35"/>
  <c r="AI481" i="35"/>
  <c r="AK424" i="35"/>
  <c r="AH437" i="35"/>
  <c r="AN22" i="35"/>
  <c r="AN431" i="35"/>
  <c r="AH455" i="35"/>
  <c r="AK143" i="35"/>
  <c r="AL484" i="35"/>
  <c r="AG44" i="35"/>
  <c r="AH514" i="35"/>
  <c r="AL373" i="35"/>
  <c r="AK363" i="35"/>
  <c r="AN260" i="35"/>
  <c r="AG444" i="35"/>
  <c r="AG360" i="35"/>
  <c r="AG485" i="35"/>
  <c r="AI242" i="35"/>
  <c r="AN498" i="35"/>
  <c r="AG405" i="35"/>
  <c r="AI73" i="35"/>
  <c r="AI194" i="35"/>
  <c r="AK123" i="35"/>
  <c r="AH363" i="35"/>
  <c r="AL430" i="35"/>
  <c r="AJ451" i="35"/>
  <c r="AK355" i="35"/>
  <c r="AG213" i="35"/>
  <c r="AN87" i="35"/>
  <c r="AL499" i="35"/>
  <c r="AH357" i="35"/>
  <c r="AH397" i="35"/>
  <c r="AL415" i="35"/>
  <c r="AM288" i="35"/>
  <c r="AJ362" i="35"/>
  <c r="AK435" i="35"/>
  <c r="AJ348" i="35"/>
  <c r="AG512" i="35"/>
  <c r="AN435" i="35"/>
  <c r="AM496" i="35"/>
  <c r="AN29" i="35"/>
  <c r="AJ491" i="35"/>
  <c r="AM450" i="35"/>
  <c r="AL383" i="35"/>
  <c r="AN462" i="35"/>
  <c r="AH504" i="35"/>
  <c r="AM324" i="35"/>
  <c r="AK479" i="35"/>
  <c r="AI316" i="35"/>
  <c r="AL348" i="35"/>
  <c r="AM303" i="35"/>
  <c r="AN410" i="35"/>
  <c r="AL449" i="35"/>
  <c r="AJ352" i="35"/>
  <c r="AN236" i="35"/>
  <c r="AG117" i="35"/>
  <c r="AH414" i="35"/>
  <c r="AG456" i="35"/>
  <c r="AH503" i="35"/>
  <c r="AM124" i="35"/>
  <c r="AI511" i="35"/>
  <c r="AL47" i="35"/>
  <c r="AN249" i="35"/>
  <c r="AN356" i="35"/>
  <c r="AI189" i="35"/>
  <c r="AJ459" i="35"/>
  <c r="AK101" i="35"/>
  <c r="AG310" i="35"/>
  <c r="AH289" i="35"/>
  <c r="AI185" i="35"/>
  <c r="AM454" i="35"/>
  <c r="AN131" i="35"/>
  <c r="AL95" i="35"/>
  <c r="AM201" i="35"/>
  <c r="AH325" i="35"/>
  <c r="AI370" i="35"/>
  <c r="AM424" i="35"/>
  <c r="AN35" i="35"/>
  <c r="AI206" i="35"/>
  <c r="AL407" i="35"/>
  <c r="AK161" i="35"/>
  <c r="AG365" i="35"/>
  <c r="AN60" i="35"/>
  <c r="AM403" i="35"/>
  <c r="AG431" i="35"/>
  <c r="AJ368" i="35"/>
  <c r="AG491" i="35"/>
  <c r="AG48" i="35"/>
  <c r="AG327" i="35"/>
  <c r="AL428" i="35"/>
  <c r="AM476" i="35"/>
  <c r="AK59" i="35"/>
  <c r="AM270" i="35"/>
  <c r="AN509" i="35"/>
  <c r="AK349" i="35"/>
  <c r="AM470" i="35"/>
  <c r="AI357" i="35"/>
  <c r="AJ393" i="35"/>
  <c r="AK55" i="35"/>
  <c r="AH467" i="35"/>
  <c r="AJ149" i="35"/>
  <c r="AJ399" i="35"/>
  <c r="AL444" i="35"/>
  <c r="AL429" i="35"/>
  <c r="AG430" i="35"/>
  <c r="AK453" i="35"/>
  <c r="AI47" i="35"/>
  <c r="AN309" i="35"/>
  <c r="AH390" i="35"/>
  <c r="AK385" i="35"/>
  <c r="AL451" i="35"/>
  <c r="AI207" i="35"/>
  <c r="AG498" i="35"/>
  <c r="AG462" i="35"/>
  <c r="AN447" i="35"/>
  <c r="AL386" i="35"/>
  <c r="AN354" i="35"/>
  <c r="AK152" i="35"/>
  <c r="AM375" i="35"/>
  <c r="AL470" i="35"/>
  <c r="AK179" i="35"/>
  <c r="AN450" i="35"/>
  <c r="AL374" i="35"/>
  <c r="AK211" i="35"/>
  <c r="AM225" i="35"/>
  <c r="AL479" i="35"/>
  <c r="AG383" i="35"/>
  <c r="AJ51" i="35"/>
  <c r="AI172" i="35"/>
  <c r="AK379" i="35"/>
  <c r="AJ170" i="35"/>
  <c r="AI184" i="35"/>
  <c r="AN492" i="35"/>
  <c r="AK33" i="35"/>
  <c r="AH434" i="35"/>
  <c r="AN295" i="35"/>
  <c r="AN439" i="35"/>
  <c r="AL397" i="35"/>
  <c r="AJ429" i="35"/>
  <c r="AK249" i="35"/>
  <c r="AI418" i="35"/>
  <c r="AI420" i="35"/>
  <c r="AM228" i="35"/>
  <c r="AH439" i="35"/>
  <c r="AG62" i="35"/>
  <c r="AI509" i="35"/>
  <c r="AI294" i="35"/>
  <c r="AI424" i="35"/>
  <c r="AM381" i="35"/>
  <c r="AK219" i="35"/>
  <c r="AM61" i="35"/>
  <c r="AH317" i="35"/>
  <c r="AK389" i="35"/>
  <c r="AL463" i="35"/>
  <c r="AK433" i="35"/>
  <c r="AM39" i="35"/>
  <c r="AJ343" i="35"/>
  <c r="AN361" i="35"/>
  <c r="AM397" i="35"/>
  <c r="AH456" i="35"/>
  <c r="AL294" i="35"/>
  <c r="AH230" i="35"/>
  <c r="AK438" i="35"/>
  <c r="AN418" i="35"/>
  <c r="AL355" i="35"/>
  <c r="AH108" i="35"/>
  <c r="AI462" i="35"/>
  <c r="AN464" i="35"/>
  <c r="AJ450" i="35"/>
  <c r="AG75" i="35"/>
  <c r="AI287" i="35"/>
  <c r="AJ502" i="35"/>
  <c r="AN226" i="35"/>
  <c r="AJ319" i="35"/>
  <c r="AI188" i="35"/>
  <c r="AL417" i="35"/>
  <c r="AK46" i="35"/>
  <c r="AJ354" i="35"/>
  <c r="AN75" i="35"/>
  <c r="AJ508" i="35"/>
  <c r="AH419" i="35"/>
  <c r="AJ25" i="35"/>
  <c r="AN505" i="35"/>
  <c r="AI440" i="35"/>
  <c r="AN191" i="35"/>
  <c r="AN493" i="35"/>
  <c r="AM318" i="35"/>
  <c r="AL500" i="35"/>
  <c r="AN203" i="35"/>
  <c r="AI389" i="35"/>
  <c r="AM55" i="35"/>
  <c r="AN322" i="35"/>
  <c r="AL356" i="35"/>
  <c r="AN371" i="35"/>
  <c r="AI275" i="35"/>
  <c r="AK508" i="35"/>
  <c r="AH451" i="35"/>
  <c r="AN430" i="35"/>
  <c r="AH420" i="35"/>
  <c r="AL318" i="35"/>
  <c r="AL376" i="35"/>
  <c r="AH268" i="35"/>
  <c r="AG364" i="35"/>
  <c r="AG420" i="35"/>
  <c r="AM170" i="35"/>
  <c r="AN427" i="35"/>
  <c r="AG501" i="35"/>
  <c r="AK501" i="35"/>
  <c r="AH241" i="35"/>
  <c r="AJ166" i="35"/>
  <c r="AJ163" i="35"/>
  <c r="AH139" i="35"/>
  <c r="AL248" i="35"/>
  <c r="AM81" i="35"/>
  <c r="AL304" i="35"/>
  <c r="AJ230" i="35"/>
  <c r="AJ43" i="35"/>
  <c r="AJ283" i="35"/>
  <c r="AL299" i="35"/>
  <c r="AN357" i="35"/>
  <c r="AH366" i="35"/>
  <c r="AM444" i="35"/>
  <c r="AH474" i="35"/>
  <c r="AH485" i="35"/>
  <c r="AJ106" i="35"/>
  <c r="AI500" i="35"/>
  <c r="AI366" i="35"/>
  <c r="AM364" i="35"/>
  <c r="AI353" i="35"/>
  <c r="AN103" i="35"/>
  <c r="AG377" i="35"/>
  <c r="AL411" i="35"/>
  <c r="AG484" i="35"/>
  <c r="AL505" i="35"/>
  <c r="AN111" i="35"/>
  <c r="AI121" i="35"/>
  <c r="AI362" i="35"/>
  <c r="AJ307" i="35"/>
  <c r="AK493" i="35"/>
  <c r="AM383" i="35"/>
  <c r="AJ36" i="35"/>
  <c r="AM478" i="35"/>
  <c r="AK315" i="35"/>
  <c r="AM458" i="35"/>
  <c r="AI503" i="35"/>
  <c r="AJ69" i="35"/>
  <c r="AL399" i="35"/>
  <c r="AJ465" i="35"/>
  <c r="AL413" i="35"/>
  <c r="AG401" i="35"/>
  <c r="AL178" i="35"/>
  <c r="AN512" i="35"/>
  <c r="AK443" i="35"/>
  <c r="AK511" i="35"/>
  <c r="AM30" i="35"/>
  <c r="AJ83" i="35"/>
  <c r="AG292" i="35"/>
  <c r="AH488" i="35"/>
  <c r="AH349" i="35"/>
  <c r="AG436" i="35"/>
  <c r="AM503" i="35"/>
  <c r="AN34" i="35"/>
  <c r="AM486" i="35"/>
  <c r="AL213" i="35"/>
  <c r="AK353" i="35"/>
  <c r="AI299" i="35"/>
  <c r="AG79" i="35"/>
  <c r="AJ458" i="35"/>
  <c r="AK448" i="35"/>
  <c r="AJ146" i="35"/>
  <c r="AI502" i="35"/>
  <c r="AJ470" i="35"/>
  <c r="AJ496" i="35"/>
  <c r="AJ344" i="35"/>
  <c r="AG357" i="35"/>
  <c r="AH148" i="35"/>
  <c r="AL422" i="35"/>
  <c r="AG329" i="35"/>
  <c r="AM465" i="35"/>
  <c r="AI215" i="35"/>
  <c r="AG356" i="35"/>
  <c r="AN66" i="35"/>
  <c r="AI200" i="35"/>
  <c r="AH473" i="35"/>
  <c r="AI448" i="35"/>
  <c r="AL341" i="35"/>
  <c r="AK499" i="35"/>
  <c r="AN467" i="35"/>
  <c r="AL363" i="35"/>
  <c r="AG85" i="35"/>
  <c r="AI156" i="35"/>
  <c r="AG407" i="35"/>
  <c r="AK218" i="35"/>
  <c r="AI358" i="35"/>
  <c r="AJ289" i="35"/>
  <c r="AI226" i="35"/>
  <c r="AL101" i="35"/>
  <c r="AN152" i="35"/>
  <c r="AK282" i="35"/>
  <c r="AH470" i="35"/>
  <c r="AJ145" i="35"/>
  <c r="AM193" i="35"/>
  <c r="AG312" i="35"/>
  <c r="AI433" i="35"/>
  <c r="AL457" i="35"/>
  <c r="AI486" i="35"/>
  <c r="AG404" i="35"/>
  <c r="AI450" i="35"/>
  <c r="AM265" i="35"/>
  <c r="AM101" i="35"/>
  <c r="AM466" i="35"/>
  <c r="AJ480" i="35"/>
  <c r="AH500" i="35"/>
  <c r="AH331" i="35"/>
  <c r="AJ32" i="35"/>
  <c r="AH371" i="35"/>
  <c r="AJ453" i="35"/>
  <c r="AM258" i="35"/>
  <c r="AN393" i="35"/>
  <c r="AG89" i="35"/>
  <c r="AM360" i="35"/>
  <c r="AN507" i="35"/>
  <c r="AK359" i="35"/>
  <c r="AH481" i="35"/>
  <c r="AG311" i="35"/>
  <c r="AM27" i="35"/>
  <c r="AG418" i="35"/>
  <c r="AM213" i="35"/>
  <c r="AG505" i="35"/>
  <c r="AL406" i="35"/>
  <c r="AM50" i="35"/>
  <c r="AN397" i="35"/>
  <c r="AI395" i="35"/>
  <c r="AI471" i="35"/>
  <c r="AJ468" i="35"/>
  <c r="AM141" i="35"/>
  <c r="AN482" i="35"/>
  <c r="AG438" i="35"/>
  <c r="AJ326" i="35"/>
  <c r="AG218" i="35"/>
  <c r="AJ277" i="35"/>
  <c r="AJ432" i="35"/>
  <c r="AN501" i="35"/>
  <c r="AM463" i="35"/>
  <c r="AN496" i="35"/>
  <c r="AI335" i="35"/>
  <c r="AK411" i="35"/>
  <c r="AM356" i="35"/>
  <c r="AL338" i="35"/>
  <c r="AG452" i="35"/>
  <c r="AL504" i="35"/>
  <c r="AJ173" i="35"/>
  <c r="AK467" i="35"/>
  <c r="AM376" i="35"/>
  <c r="AN74" i="35"/>
  <c r="AK474" i="35"/>
  <c r="AM396" i="35"/>
  <c r="AM432" i="35"/>
  <c r="AL62" i="35"/>
  <c r="AI384" i="35"/>
  <c r="AJ117" i="35"/>
  <c r="AK488" i="35"/>
  <c r="AH343" i="35"/>
  <c r="AN336" i="35"/>
  <c r="AI311" i="35"/>
  <c r="AL353" i="35"/>
  <c r="AG486" i="35"/>
  <c r="AH354" i="35"/>
  <c r="AI467" i="35"/>
  <c r="AL478" i="35"/>
  <c r="AI477" i="35"/>
  <c r="AG511" i="35"/>
  <c r="AJ22" i="35"/>
  <c r="AL497" i="35"/>
  <c r="AL472" i="35"/>
  <c r="AI239" i="35"/>
  <c r="AH327" i="35"/>
  <c r="AJ464" i="35"/>
  <c r="AH117" i="35"/>
  <c r="AG429" i="35"/>
  <c r="AG95" i="35"/>
  <c r="AJ46" i="35"/>
  <c r="AK122" i="35"/>
  <c r="AL276" i="35"/>
  <c r="AJ187" i="35"/>
  <c r="AK203" i="35"/>
  <c r="AL199" i="35"/>
  <c r="AK427" i="35"/>
  <c r="AG426" i="35"/>
  <c r="AN486" i="35"/>
  <c r="AM446" i="35"/>
  <c r="AL206" i="35"/>
  <c r="AG191" i="35"/>
  <c r="AJ439" i="35"/>
  <c r="AK457" i="35"/>
  <c r="AI278" i="35"/>
  <c r="AL491" i="35"/>
  <c r="AL168" i="35"/>
  <c r="AI416" i="35"/>
  <c r="AJ493" i="35"/>
  <c r="AJ331" i="35"/>
  <c r="AN463" i="35"/>
  <c r="AI159" i="35"/>
  <c r="AL464" i="35"/>
  <c r="AM331" i="35"/>
  <c r="AH276" i="35"/>
  <c r="AI508" i="35"/>
  <c r="AN21" i="35"/>
  <c r="AN388" i="35"/>
  <c r="AN455" i="35"/>
  <c r="AJ507" i="35"/>
  <c r="AG309" i="35"/>
  <c r="AJ334" i="35"/>
  <c r="AK119" i="35"/>
  <c r="AK192" i="35"/>
  <c r="AJ426" i="35"/>
  <c r="AG136" i="35"/>
  <c r="AJ478" i="35"/>
  <c r="AG43" i="35"/>
  <c r="AN461" i="35"/>
  <c r="AM433" i="35"/>
  <c r="AH441" i="35"/>
  <c r="AG193" i="35"/>
  <c r="AJ143" i="35"/>
  <c r="AK484" i="35"/>
  <c r="AL468" i="35"/>
  <c r="AG482" i="35"/>
  <c r="AM277" i="35"/>
  <c r="AN436" i="35"/>
  <c r="AM264" i="35"/>
  <c r="AM399" i="35"/>
  <c r="AK406" i="35"/>
  <c r="AJ366" i="35"/>
  <c r="AJ438" i="35"/>
  <c r="AG228" i="35"/>
  <c r="AL391" i="35"/>
  <c r="AI496" i="35"/>
  <c r="AJ67" i="35"/>
  <c r="AK400" i="35"/>
  <c r="AN154" i="35"/>
  <c r="AK505" i="35"/>
  <c r="AL31" i="35"/>
  <c r="AH471" i="35"/>
  <c r="AN135" i="35"/>
  <c r="AI191" i="35"/>
  <c r="AH22" i="35"/>
  <c r="AI387" i="35"/>
  <c r="AG479" i="35"/>
  <c r="AJ340" i="35"/>
  <c r="AI174" i="35"/>
  <c r="AJ408" i="35"/>
  <c r="AI435" i="35"/>
  <c r="AG439" i="35"/>
  <c r="AL384" i="35"/>
  <c r="AN466" i="35"/>
  <c r="AL400" i="35"/>
  <c r="AI457" i="35"/>
  <c r="AI434" i="35"/>
  <c r="AG497" i="35"/>
  <c r="AN346" i="35"/>
  <c r="AM319" i="35"/>
  <c r="AI177" i="35"/>
  <c r="AL24" i="35"/>
  <c r="AL445" i="35"/>
  <c r="AJ412" i="35"/>
  <c r="AG351" i="35"/>
  <c r="AN389" i="35"/>
  <c r="AI82" i="35"/>
  <c r="AI363" i="35"/>
  <c r="AJ377" i="35"/>
  <c r="AM295" i="35"/>
  <c r="AM452" i="35"/>
  <c r="AL104" i="35"/>
  <c r="AK397" i="35"/>
  <c r="AN458" i="35"/>
  <c r="AK496" i="35"/>
  <c r="AJ428" i="35"/>
  <c r="AL90" i="35"/>
  <c r="AN46" i="35"/>
  <c r="AJ446" i="35"/>
  <c r="AJ449" i="35"/>
  <c r="AG394" i="35"/>
  <c r="AM455" i="35"/>
  <c r="AL25" i="35"/>
  <c r="AH510" i="35"/>
  <c r="AN451" i="35"/>
  <c r="AK458" i="35"/>
  <c r="AI459" i="35"/>
  <c r="AK200" i="35"/>
  <c r="AK405" i="35"/>
  <c r="AL508" i="35"/>
  <c r="AI233" i="35"/>
  <c r="AH70" i="35"/>
  <c r="AN248" i="35"/>
  <c r="AJ411" i="35"/>
  <c r="AN454" i="35"/>
  <c r="AL347" i="35"/>
  <c r="AG502" i="35"/>
  <c r="AI336" i="35"/>
  <c r="AL496" i="35"/>
  <c r="AM273" i="35"/>
  <c r="AM291" i="35"/>
  <c r="AN481" i="35"/>
  <c r="AM427" i="35"/>
  <c r="AN372" i="35"/>
  <c r="AG26" i="35"/>
  <c r="AN478" i="35"/>
  <c r="AM177" i="35"/>
  <c r="AI257" i="35"/>
  <c r="AI408" i="35"/>
  <c r="AK471" i="35"/>
  <c r="AN185" i="35"/>
  <c r="AH384" i="35"/>
  <c r="AL22" i="35"/>
  <c r="AJ505" i="35"/>
  <c r="AK126" i="35"/>
  <c r="AK450" i="35"/>
  <c r="AJ441" i="35"/>
  <c r="AI458" i="35"/>
  <c r="AI64" i="35"/>
  <c r="AL398" i="35"/>
  <c r="AK207" i="35"/>
  <c r="AL332" i="35"/>
  <c r="AL344" i="35"/>
  <c r="AI350" i="35"/>
  <c r="AM297" i="35"/>
  <c r="AJ406" i="35"/>
  <c r="AI419" i="35"/>
  <c r="AH379" i="35"/>
  <c r="AG211" i="35"/>
  <c r="AL177" i="35"/>
  <c r="AI306" i="35"/>
  <c r="AI232" i="35"/>
  <c r="AG96" i="35"/>
  <c r="AL152" i="35"/>
  <c r="AL322" i="35"/>
  <c r="AM150" i="35"/>
  <c r="AI164" i="35"/>
  <c r="AK329" i="35"/>
  <c r="AH347" i="35"/>
  <c r="AM155" i="35"/>
  <c r="AK169" i="35"/>
  <c r="AI393" i="35"/>
  <c r="AK358" i="35"/>
  <c r="AL296" i="35"/>
  <c r="AL208" i="35"/>
  <c r="AJ57" i="35"/>
  <c r="AK92" i="35"/>
  <c r="AI297" i="35"/>
  <c r="AH435" i="35"/>
  <c r="AN453" i="35"/>
  <c r="AM494" i="35"/>
  <c r="AL189" i="35"/>
  <c r="AJ422" i="35"/>
  <c r="AK134" i="35"/>
  <c r="AM512" i="35"/>
  <c r="AI449" i="35"/>
  <c r="AI255" i="35"/>
  <c r="AM367" i="35"/>
  <c r="AI248" i="35"/>
  <c r="AK472" i="35"/>
  <c r="AI488" i="35"/>
  <c r="AK80" i="35"/>
  <c r="AK257" i="35"/>
  <c r="AN440" i="35"/>
  <c r="AM313" i="35"/>
  <c r="AI487" i="35"/>
  <c r="AJ495" i="35"/>
  <c r="AG135" i="35"/>
  <c r="AK447" i="35"/>
  <c r="AI406" i="35"/>
  <c r="AM491" i="35"/>
  <c r="AI402" i="35"/>
  <c r="AH101" i="35"/>
  <c r="AM347" i="35"/>
  <c r="AN417" i="35"/>
  <c r="AJ440" i="35"/>
  <c r="AM97" i="35"/>
  <c r="AH85" i="35"/>
  <c r="AN488" i="35"/>
  <c r="AK383" i="35"/>
  <c r="AN474" i="35"/>
  <c r="AM475" i="35"/>
  <c r="AM330" i="35"/>
  <c r="AJ409" i="35"/>
  <c r="AI334" i="35"/>
  <c r="AK404" i="35"/>
  <c r="AJ425" i="35"/>
  <c r="AG372" i="35"/>
  <c r="AN377" i="35"/>
  <c r="AJ435" i="35"/>
  <c r="AN490" i="35"/>
  <c r="AI378" i="35"/>
  <c r="AL507" i="35"/>
  <c r="AH360" i="35"/>
  <c r="AM489" i="35"/>
  <c r="AN69" i="35"/>
  <c r="AL305" i="35"/>
  <c r="AJ28" i="35"/>
  <c r="AJ477" i="35"/>
  <c r="AG250" i="35"/>
  <c r="AH495" i="35"/>
  <c r="AN424" i="35"/>
  <c r="AN448" i="35"/>
  <c r="AM21" i="35"/>
  <c r="AN374" i="35"/>
  <c r="AK354" i="35"/>
  <c r="AH294" i="35"/>
  <c r="AL442" i="35"/>
  <c r="AG447" i="35"/>
  <c r="AM506" i="35"/>
  <c r="AM112" i="35"/>
  <c r="AK89" i="35"/>
  <c r="AM186" i="35"/>
  <c r="AI422" i="35"/>
  <c r="AK300" i="35"/>
  <c r="AI497" i="35"/>
  <c r="AG147" i="35"/>
  <c r="AJ481" i="35"/>
  <c r="AL513" i="35"/>
  <c r="AL308" i="35"/>
  <c r="AM217" i="35"/>
  <c r="AJ135" i="35"/>
  <c r="AK260" i="35"/>
  <c r="AK116" i="35"/>
  <c r="AK223" i="35"/>
  <c r="AM63" i="35"/>
  <c r="AG443" i="35"/>
  <c r="AL277" i="35"/>
  <c r="AH287" i="35"/>
  <c r="AK425" i="35"/>
  <c r="AN164" i="35"/>
  <c r="AJ126" i="35"/>
  <c r="AL334" i="35"/>
  <c r="AK465" i="35"/>
  <c r="AM309" i="35"/>
  <c r="AG69" i="35"/>
  <c r="AJ96" i="35"/>
  <c r="AG451" i="35"/>
  <c r="AI61" i="35"/>
  <c r="AL50" i="35"/>
  <c r="AM388" i="35"/>
  <c r="AM389" i="35"/>
  <c r="AL351" i="35"/>
  <c r="AK486" i="35"/>
  <c r="AL74" i="35"/>
  <c r="AI470" i="35"/>
  <c r="AN358" i="35"/>
  <c r="AM487" i="35"/>
  <c r="AN479" i="35"/>
  <c r="AL65" i="35"/>
  <c r="AI437" i="35"/>
  <c r="AJ385" i="35"/>
  <c r="AI443" i="35"/>
  <c r="AG449" i="35"/>
  <c r="AJ132" i="35"/>
  <c r="AK137" i="35"/>
  <c r="AM415" i="35"/>
  <c r="AI320" i="35"/>
  <c r="AJ328" i="35"/>
  <c r="AK129" i="35"/>
  <c r="AH62" i="35"/>
  <c r="AL365" i="35"/>
  <c r="AH352" i="35"/>
  <c r="AL393" i="35"/>
  <c r="AN499" i="35"/>
  <c r="AG162" i="35"/>
  <c r="AM323" i="35"/>
  <c r="AH452" i="35"/>
  <c r="AL392" i="35"/>
  <c r="AL246" i="35"/>
  <c r="AI49" i="35"/>
  <c r="AH337" i="35"/>
  <c r="AI385" i="35"/>
  <c r="AL454" i="35"/>
  <c r="AN443" i="35"/>
  <c r="AM205" i="35"/>
  <c r="AM402" i="35"/>
  <c r="AM480" i="35"/>
  <c r="AH464" i="35"/>
  <c r="AJ403" i="35"/>
  <c r="AG492" i="35"/>
  <c r="AH375" i="35"/>
  <c r="AJ501" i="35"/>
  <c r="AG412" i="35"/>
  <c r="AG416" i="35"/>
  <c r="AK512" i="35"/>
  <c r="AM276" i="35"/>
  <c r="AK352" i="35"/>
  <c r="AM372" i="35"/>
  <c r="AH405" i="35"/>
  <c r="AH300" i="35"/>
  <c r="AI368" i="35"/>
  <c r="AJ127" i="35"/>
  <c r="AH313" i="35"/>
  <c r="AI281" i="35"/>
  <c r="AI302" i="35"/>
  <c r="AJ81" i="35"/>
  <c r="AM456" i="35"/>
  <c r="AL80" i="35"/>
  <c r="AM473" i="35"/>
  <c r="AJ467" i="35"/>
  <c r="AK507" i="35"/>
  <c r="AI466" i="35"/>
  <c r="AH344" i="35"/>
  <c r="AN452" i="35"/>
  <c r="AL310" i="35"/>
  <c r="AH312" i="35"/>
  <c r="AH323" i="35"/>
  <c r="AH272" i="35"/>
  <c r="AN199" i="35"/>
  <c r="AH223" i="35"/>
  <c r="AG437" i="35"/>
  <c r="AG284" i="35"/>
  <c r="AI98" i="35"/>
  <c r="AJ347" i="35"/>
  <c r="AG77" i="35"/>
  <c r="AL249" i="35"/>
  <c r="AM102" i="35"/>
  <c r="AI392" i="35"/>
  <c r="AN391" i="35"/>
  <c r="AG441" i="35"/>
  <c r="AI263" i="35"/>
  <c r="AK514" i="35"/>
  <c r="AL127" i="35"/>
  <c r="AM479" i="35"/>
  <c r="AJ358" i="35"/>
  <c r="AN362" i="35"/>
  <c r="AL446" i="35"/>
  <c r="AH242" i="35"/>
  <c r="AL175" i="35"/>
  <c r="AJ476" i="35"/>
  <c r="AM405" i="35"/>
  <c r="AG446" i="35"/>
  <c r="AH483" i="35"/>
  <c r="AK125" i="35"/>
  <c r="AG133" i="35"/>
  <c r="AI489" i="35"/>
  <c r="AM361" i="35"/>
  <c r="AI227" i="35"/>
  <c r="AM122" i="35"/>
  <c r="AK489" i="35"/>
  <c r="AM510" i="35"/>
  <c r="AH346" i="35"/>
  <c r="AG464" i="35"/>
  <c r="AI259" i="35"/>
  <c r="AI338" i="35"/>
  <c r="AK399" i="35"/>
  <c r="AK368" i="35"/>
  <c r="AG286" i="35"/>
  <c r="AK422" i="35"/>
  <c r="AN82" i="35"/>
  <c r="AL404" i="35"/>
  <c r="AJ494" i="35"/>
  <c r="AG448" i="35"/>
  <c r="AM222" i="35"/>
  <c r="AJ225" i="35"/>
  <c r="AH368" i="35"/>
  <c r="AL469" i="35"/>
  <c r="AL364" i="35"/>
  <c r="AI296" i="35"/>
  <c r="AG111" i="35"/>
  <c r="AL367" i="35"/>
  <c r="AH449" i="35"/>
  <c r="AG328" i="35"/>
  <c r="AN426" i="35"/>
  <c r="AM448" i="35"/>
  <c r="AJ500" i="35"/>
  <c r="AN352" i="35"/>
  <c r="AK35" i="35"/>
  <c r="AM261" i="35"/>
  <c r="AG475" i="35"/>
  <c r="AN179" i="35"/>
  <c r="AN406" i="35"/>
  <c r="AN484" i="35"/>
  <c r="AI245" i="35"/>
  <c r="AI428" i="35"/>
  <c r="AN433" i="35"/>
  <c r="AL122" i="35"/>
  <c r="AG435" i="35"/>
  <c r="AG333" i="35"/>
  <c r="AL388" i="35"/>
  <c r="AJ201" i="35"/>
  <c r="AJ310" i="35"/>
  <c r="AI25" i="35"/>
  <c r="AI369" i="35"/>
  <c r="AM357" i="35"/>
  <c r="AI480" i="35"/>
  <c r="AH286" i="35"/>
  <c r="AG465" i="35"/>
  <c r="AK416" i="35"/>
  <c r="AK413" i="35"/>
  <c r="AI324" i="35"/>
  <c r="AJ152" i="35"/>
  <c r="AN165" i="35"/>
  <c r="AG478" i="35"/>
  <c r="AK93" i="35"/>
  <c r="AG324" i="35"/>
  <c r="AN170" i="35"/>
  <c r="AM354" i="35"/>
  <c r="AL368" i="35"/>
  <c r="AH225" i="35"/>
  <c r="AG376" i="35"/>
  <c r="AJ397" i="35"/>
  <c r="AN441" i="35"/>
  <c r="AK401" i="35"/>
  <c r="AK460" i="35"/>
  <c r="AG427" i="35"/>
  <c r="AK476" i="35"/>
  <c r="AL71" i="35"/>
  <c r="AM267" i="35"/>
  <c r="AN459" i="35"/>
  <c r="AN434" i="35"/>
  <c r="AH395" i="35"/>
  <c r="AN284" i="35"/>
  <c r="AI219" i="35"/>
  <c r="AK269" i="35"/>
  <c r="AM219" i="35"/>
  <c r="AJ381" i="35"/>
  <c r="AK506" i="35"/>
  <c r="AK95" i="35"/>
  <c r="AG461" i="35"/>
  <c r="AK407" i="35"/>
  <c r="AK376" i="35"/>
  <c r="AH458" i="35"/>
  <c r="AG66" i="35"/>
  <c r="AK155" i="35"/>
  <c r="AJ485" i="35"/>
  <c r="AJ454" i="35"/>
  <c r="AN491" i="35"/>
  <c r="AM154" i="35"/>
  <c r="AJ194" i="35"/>
  <c r="AM231" i="35"/>
  <c r="AI426" i="35"/>
  <c r="AH494" i="35"/>
  <c r="AM418" i="35"/>
  <c r="AH466" i="35"/>
  <c r="AG466" i="35"/>
  <c r="AK452" i="35"/>
  <c r="AG278" i="35"/>
  <c r="AL475" i="35"/>
  <c r="AH29" i="35"/>
  <c r="AH380" i="35"/>
  <c r="AI429" i="35"/>
  <c r="AG474" i="35"/>
  <c r="AK502" i="35"/>
  <c r="AH97" i="35"/>
  <c r="AH212" i="35"/>
  <c r="AI465" i="35"/>
  <c r="AG506" i="35"/>
  <c r="AI456" i="35"/>
  <c r="AL436" i="35"/>
  <c r="AL337" i="35"/>
  <c r="AI512" i="35"/>
  <c r="AG258" i="35"/>
  <c r="AG151" i="35"/>
  <c r="AG336" i="35"/>
  <c r="AJ161" i="35"/>
  <c r="AH468" i="35"/>
  <c r="AM382" i="35"/>
  <c r="AN513" i="35"/>
  <c r="AK492" i="35"/>
  <c r="AI499" i="35"/>
  <c r="AJ55" i="35"/>
  <c r="AM366" i="35"/>
  <c r="AJ511" i="35"/>
  <c r="AH479" i="35"/>
  <c r="AN473" i="35"/>
  <c r="AM243" i="35"/>
  <c r="AL64" i="35"/>
  <c r="AL432" i="35"/>
  <c r="AG88" i="35"/>
  <c r="AG499" i="35"/>
  <c r="AN421" i="35"/>
  <c r="AM321" i="35"/>
  <c r="AG49" i="35"/>
  <c r="AL453" i="35"/>
  <c r="AN311" i="35"/>
  <c r="AL219" i="35"/>
  <c r="AL137" i="35"/>
  <c r="AG308" i="35"/>
  <c r="AL271" i="35"/>
  <c r="AK187" i="35"/>
  <c r="AN144" i="35"/>
  <c r="AM377" i="35"/>
  <c r="AM208" i="35"/>
  <c r="AK445" i="35"/>
  <c r="AG487" i="35"/>
  <c r="AK480" i="35"/>
  <c r="AL288" i="35"/>
  <c r="AG425" i="35"/>
  <c r="AN121" i="35"/>
  <c r="AM493" i="35"/>
  <c r="AI40" i="35"/>
  <c r="AL439" i="35"/>
  <c r="AN331" i="35"/>
  <c r="AM290" i="35"/>
  <c r="AL425" i="35"/>
  <c r="AM37" i="35"/>
  <c r="AM32" i="35"/>
  <c r="AN510" i="35"/>
  <c r="AJ504" i="35"/>
  <c r="AM420" i="35"/>
  <c r="AK423" i="35"/>
  <c r="AH50" i="35"/>
  <c r="AK421" i="35"/>
  <c r="AI381" i="35"/>
  <c r="AM299" i="35"/>
  <c r="AJ443" i="35"/>
  <c r="AL154" i="35"/>
  <c r="AK382" i="35"/>
  <c r="AM365" i="35"/>
  <c r="AK372" i="35"/>
  <c r="AH417" i="35"/>
  <c r="AL57" i="35"/>
  <c r="AK449" i="35"/>
  <c r="AJ487" i="35"/>
  <c r="AG500" i="35"/>
  <c r="AM481" i="35"/>
  <c r="AM488" i="35"/>
  <c r="AM394" i="35"/>
  <c r="AH422" i="35"/>
  <c r="AJ489" i="35"/>
  <c r="AI214" i="35"/>
  <c r="AH493" i="35"/>
  <c r="AI51" i="35"/>
  <c r="AJ483" i="35"/>
  <c r="AL473" i="35"/>
  <c r="AG390" i="35"/>
  <c r="AN506" i="35"/>
  <c r="AK109" i="35"/>
  <c r="AL455" i="35"/>
  <c r="AI104" i="35"/>
  <c r="AH355" i="35"/>
  <c r="AJ400" i="35"/>
  <c r="AL389" i="35"/>
  <c r="AJ447" i="35"/>
  <c r="AH465" i="35"/>
  <c r="AG470" i="35"/>
  <c r="AG397" i="35"/>
  <c r="AL487" i="35"/>
  <c r="AI364" i="35"/>
  <c r="AJ463" i="35"/>
  <c r="AK347" i="35"/>
  <c r="AI479" i="35"/>
  <c r="AG169" i="35"/>
  <c r="AN337" i="35"/>
  <c r="AJ85" i="35"/>
  <c r="AI436" i="35"/>
  <c r="AN387" i="35"/>
  <c r="AM485" i="35"/>
  <c r="AG382" i="35"/>
  <c r="AL426" i="35"/>
  <c r="AN269" i="35"/>
  <c r="AM474" i="35"/>
  <c r="AI323" i="35"/>
  <c r="AM497" i="35"/>
  <c r="AH475" i="35"/>
  <c r="AM380" i="35"/>
  <c r="AN469" i="35"/>
  <c r="AI253" i="35"/>
  <c r="AG197" i="35"/>
  <c r="AK248" i="35"/>
  <c r="AM352" i="35"/>
  <c r="AH364" i="35"/>
  <c r="AL416" i="35"/>
  <c r="AJ513" i="35"/>
  <c r="AG172" i="35"/>
  <c r="AH196" i="35"/>
  <c r="AM294" i="35"/>
  <c r="AN316" i="35"/>
  <c r="AH336" i="35"/>
  <c r="AI411" i="35"/>
  <c r="AH174" i="35"/>
  <c r="AL67" i="35"/>
  <c r="AH369" i="35"/>
  <c r="AK477" i="35"/>
  <c r="AJ460" i="35"/>
  <c r="AI498" i="35"/>
  <c r="AG103" i="35"/>
  <c r="AN365" i="35"/>
  <c r="AH378" i="35"/>
  <c r="AI442" i="35"/>
  <c r="AJ442" i="35"/>
  <c r="AL228" i="35"/>
  <c r="AM447" i="35"/>
  <c r="AK469" i="35"/>
  <c r="AM252" i="35"/>
  <c r="AL512" i="35"/>
  <c r="AK52" i="35"/>
  <c r="AN30" i="35"/>
  <c r="AK398" i="35"/>
  <c r="AH271" i="35"/>
  <c r="AJ461" i="35"/>
  <c r="AL466" i="35"/>
  <c r="AM373" i="35"/>
  <c r="AI312" i="35"/>
  <c r="AN511" i="35"/>
  <c r="AH256" i="35"/>
  <c r="AI494" i="35"/>
  <c r="AG27" i="35"/>
  <c r="AH415" i="35"/>
  <c r="AL477" i="35"/>
  <c r="AI409" i="35"/>
  <c r="AL435" i="35"/>
  <c r="AH32" i="35"/>
  <c r="AH400" i="35"/>
  <c r="AK114" i="35"/>
  <c r="AJ514" i="35"/>
  <c r="AH484" i="35"/>
  <c r="AL366" i="35"/>
  <c r="AN487" i="35"/>
  <c r="AI501" i="35"/>
  <c r="AM308" i="35"/>
  <c r="AI468" i="35"/>
  <c r="AI394" i="35"/>
  <c r="AN77" i="35"/>
  <c r="AN460" i="35"/>
  <c r="AM378" i="35"/>
  <c r="AN400" i="35"/>
  <c r="AJ369" i="35"/>
  <c r="AG469" i="35"/>
  <c r="AL448" i="35"/>
  <c r="AK409" i="35"/>
  <c r="AL510" i="35"/>
  <c r="AM300" i="35"/>
  <c r="AI224" i="35"/>
  <c r="AI505" i="35"/>
  <c r="AM20" i="35"/>
  <c r="AM287" i="35"/>
  <c r="AI445" i="35"/>
  <c r="AN402" i="35"/>
  <c r="AK127" i="35"/>
  <c r="AJ387" i="35"/>
  <c r="AM387" i="35"/>
  <c r="AI425" i="35"/>
  <c r="AL290" i="35"/>
  <c r="AM99" i="35"/>
  <c r="AI349" i="35"/>
  <c r="AI313" i="35"/>
  <c r="AM314" i="35"/>
  <c r="AG371" i="35"/>
  <c r="AI469" i="35"/>
  <c r="AI63" i="35"/>
  <c r="AM168" i="35"/>
  <c r="AN68" i="35"/>
  <c r="AK194" i="35"/>
  <c r="AN113" i="35"/>
  <c r="AN184" i="35"/>
  <c r="AL97" i="35"/>
  <c r="AH200" i="35"/>
  <c r="AH408" i="35"/>
  <c r="AG271" i="35"/>
  <c r="AN183" i="35"/>
  <c r="AM83" i="35"/>
  <c r="AI441" i="35"/>
  <c r="AL316" i="35"/>
  <c r="AG353" i="35"/>
  <c r="AM233" i="35"/>
  <c r="AG223" i="35"/>
  <c r="AI149" i="35"/>
  <c r="AL420" i="35"/>
  <c r="AG114" i="35"/>
  <c r="AL205" i="35"/>
  <c r="AL87" i="35"/>
  <c r="AG422" i="35"/>
  <c r="AN118" i="35"/>
  <c r="AN347" i="35"/>
  <c r="AJ228" i="35"/>
  <c r="AL186" i="35"/>
  <c r="AL160" i="35"/>
  <c r="AK386" i="35"/>
  <c r="AK273" i="35"/>
  <c r="AJ322" i="35"/>
  <c r="AI478" i="35"/>
  <c r="AK239" i="35"/>
  <c r="AN239" i="35"/>
  <c r="AK199" i="35"/>
  <c r="AN297" i="35"/>
  <c r="AK141" i="35"/>
  <c r="AK196" i="35"/>
  <c r="AH166" i="35"/>
  <c r="AG110" i="35"/>
  <c r="AL431" i="35"/>
  <c r="AI217" i="35"/>
  <c r="AI208" i="35"/>
  <c r="AI65" i="35"/>
  <c r="AM119" i="35"/>
  <c r="AG290" i="35"/>
  <c r="AN228" i="35"/>
  <c r="AG323" i="35"/>
  <c r="AK99" i="35"/>
  <c r="AN476" i="35"/>
  <c r="AH109" i="35"/>
  <c r="AL291" i="35"/>
  <c r="AK81" i="35"/>
  <c r="AM501" i="35"/>
  <c r="AN90" i="35"/>
  <c r="AJ313" i="35"/>
  <c r="AK63" i="35"/>
  <c r="AN218" i="35"/>
  <c r="AJ488" i="35"/>
  <c r="AG105" i="35"/>
  <c r="AL143" i="35"/>
  <c r="AH43" i="35"/>
  <c r="AI359" i="35"/>
  <c r="AM431" i="35"/>
  <c r="AL49" i="35"/>
  <c r="AG93" i="35"/>
  <c r="AG279" i="35"/>
  <c r="AH42" i="35"/>
  <c r="AI427" i="35"/>
  <c r="AL233" i="35"/>
  <c r="AI87" i="35"/>
  <c r="AN58" i="35"/>
  <c r="AG236" i="35"/>
  <c r="AL130" i="35"/>
  <c r="AK144" i="35"/>
  <c r="AN151" i="35"/>
  <c r="AN288" i="35"/>
  <c r="AI108" i="35"/>
  <c r="AJ395" i="35"/>
  <c r="AK110" i="35"/>
  <c r="AI238" i="35"/>
  <c r="AK504" i="35"/>
  <c r="AI513" i="35"/>
  <c r="AM509" i="35"/>
  <c r="AJ455" i="35"/>
  <c r="AM435" i="35"/>
  <c r="AN254" i="35"/>
  <c r="AK115" i="35"/>
  <c r="AG186" i="35"/>
  <c r="AL203" i="35"/>
  <c r="AL282" i="35"/>
  <c r="AH152" i="35"/>
  <c r="AJ48" i="35"/>
  <c r="AK213" i="35"/>
  <c r="AK149" i="35"/>
  <c r="AH295" i="35"/>
  <c r="AH263" i="35"/>
  <c r="AK261" i="35"/>
  <c r="AK176" i="35"/>
  <c r="AH197" i="35"/>
  <c r="AJ171" i="35"/>
  <c r="AM93" i="35"/>
  <c r="AH104" i="35"/>
  <c r="AH454" i="35"/>
  <c r="AI176" i="35"/>
  <c r="AH496" i="35"/>
  <c r="AG370" i="35"/>
  <c r="AM266" i="35"/>
  <c r="AN44" i="35"/>
  <c r="AL379" i="35"/>
  <c r="AM245" i="35"/>
  <c r="AK266" i="35"/>
  <c r="AH190" i="35"/>
  <c r="AG109" i="35"/>
  <c r="AN261" i="35"/>
  <c r="AH173" i="35"/>
  <c r="AN93" i="35"/>
  <c r="AG142" i="35"/>
  <c r="AM176" i="35"/>
  <c r="AI213" i="35"/>
  <c r="AH25" i="35"/>
  <c r="AN263" i="35"/>
  <c r="AH191" i="35"/>
  <c r="AM390" i="35"/>
  <c r="AN419" i="35"/>
  <c r="AM148" i="35"/>
  <c r="AH180" i="35"/>
  <c r="AN329" i="35"/>
  <c r="AL323" i="35"/>
  <c r="AG122" i="35"/>
  <c r="AM104" i="35"/>
  <c r="AK188" i="35"/>
  <c r="AN367" i="35"/>
  <c r="AJ200" i="35"/>
  <c r="AK307" i="35"/>
  <c r="AI122" i="35"/>
  <c r="AM391" i="35"/>
  <c r="AM138" i="35"/>
  <c r="AI235" i="35"/>
  <c r="AJ281" i="35"/>
  <c r="AH283" i="35"/>
  <c r="AK225" i="35"/>
  <c r="AG195" i="35"/>
  <c r="AL264" i="35"/>
  <c r="AH433" i="35"/>
  <c r="AI76" i="35"/>
  <c r="AJ131" i="35"/>
  <c r="AL92" i="35"/>
  <c r="AH89" i="35"/>
  <c r="AM197" i="35"/>
  <c r="AM67" i="35"/>
  <c r="AL66" i="35"/>
  <c r="AL201" i="35"/>
  <c r="AM136" i="35"/>
  <c r="AM232" i="35"/>
  <c r="AK139" i="35"/>
  <c r="AG46" i="35"/>
  <c r="AN62" i="35"/>
  <c r="AL148" i="35"/>
  <c r="AM133" i="35"/>
  <c r="AL39" i="35"/>
  <c r="AM212" i="35"/>
  <c r="AN109" i="35"/>
  <c r="AN83" i="35"/>
  <c r="AH186" i="35"/>
  <c r="AL91" i="35"/>
  <c r="AJ56" i="35"/>
  <c r="AM461" i="35"/>
  <c r="AL421" i="35"/>
  <c r="AJ472" i="35"/>
  <c r="AH423" i="35"/>
  <c r="AI492" i="35"/>
  <c r="AH332" i="35"/>
  <c r="AJ284" i="35"/>
  <c r="AG289" i="35"/>
  <c r="AI80" i="35"/>
  <c r="AG303" i="35"/>
  <c r="AG59" i="35"/>
  <c r="AJ156" i="35"/>
  <c r="AM84" i="35"/>
  <c r="AL278" i="35"/>
  <c r="AK147" i="35"/>
  <c r="AG161" i="35"/>
  <c r="AG150" i="35"/>
  <c r="AJ309" i="35"/>
  <c r="AI241" i="35"/>
  <c r="AM163" i="35"/>
  <c r="AI341" i="35"/>
  <c r="AK21" i="35"/>
  <c r="AG217" i="35"/>
  <c r="AJ172" i="35"/>
  <c r="AI365" i="35"/>
  <c r="AH410" i="35"/>
  <c r="AH105" i="35"/>
  <c r="AI125" i="35"/>
  <c r="AJ413" i="35"/>
  <c r="AG146" i="35"/>
  <c r="AH150" i="35"/>
  <c r="AI74" i="35"/>
  <c r="AG152" i="35"/>
  <c r="AM160" i="35"/>
  <c r="AK236" i="35"/>
  <c r="AK454" i="35"/>
  <c r="AN270" i="35"/>
  <c r="AK241" i="35"/>
  <c r="AH258" i="35"/>
  <c r="AH252" i="35"/>
  <c r="AG208" i="35"/>
  <c r="AG70" i="35"/>
  <c r="AK216" i="35"/>
  <c r="AH163" i="35"/>
  <c r="AI178" i="35"/>
  <c r="AK430" i="35"/>
  <c r="AM174" i="35"/>
  <c r="AH135" i="35"/>
  <c r="AM91" i="35"/>
  <c r="AN244" i="35"/>
  <c r="AL193" i="35"/>
  <c r="AG185" i="35"/>
  <c r="AG243" i="35"/>
  <c r="AK100" i="35"/>
  <c r="AN81" i="35"/>
  <c r="AN146" i="35"/>
  <c r="AN202" i="35"/>
  <c r="AK82" i="35"/>
  <c r="AK268" i="35"/>
  <c r="AJ338" i="35"/>
  <c r="AI166" i="35"/>
  <c r="AK217" i="35"/>
  <c r="AK332" i="35"/>
  <c r="AI330" i="35"/>
  <c r="AG253" i="35"/>
  <c r="AK45" i="35"/>
  <c r="AJ269" i="35"/>
  <c r="AJ141" i="35"/>
  <c r="AI205" i="35"/>
  <c r="AM179" i="35"/>
  <c r="AI75" i="35"/>
  <c r="AL250" i="35"/>
  <c r="AN246" i="35"/>
  <c r="AL164" i="35"/>
  <c r="AI84" i="35"/>
  <c r="AK202" i="35"/>
  <c r="AI267" i="35"/>
  <c r="AH210" i="35"/>
  <c r="AJ218" i="35"/>
  <c r="AI39" i="35"/>
  <c r="AJ314" i="35"/>
  <c r="AN86" i="35"/>
  <c r="AJ373" i="35"/>
  <c r="AH259" i="35"/>
  <c r="AJ61" i="35"/>
  <c r="AI44" i="35"/>
  <c r="AI132" i="35"/>
  <c r="AL361" i="35"/>
  <c r="AK304" i="35"/>
  <c r="AK391" i="35"/>
  <c r="AJ320" i="35"/>
  <c r="AL269" i="35"/>
  <c r="AI167" i="35"/>
  <c r="AN280" i="35"/>
  <c r="AJ452" i="35"/>
  <c r="AJ185" i="35"/>
  <c r="AG192" i="35"/>
  <c r="AN303" i="35"/>
  <c r="AL321" i="35"/>
  <c r="AG214" i="35"/>
  <c r="AL131" i="35"/>
  <c r="AN278" i="35"/>
  <c r="AN333" i="35"/>
  <c r="AI461" i="35"/>
  <c r="AM60" i="35"/>
  <c r="AN350" i="35"/>
  <c r="AJ123" i="35"/>
  <c r="AM460" i="35"/>
  <c r="AM249" i="35"/>
  <c r="AN415" i="35"/>
  <c r="AL126" i="35"/>
  <c r="AL56" i="35"/>
  <c r="AH425" i="35"/>
  <c r="AJ249" i="35"/>
  <c r="AG216" i="35"/>
  <c r="AM131" i="35"/>
  <c r="AM385" i="35"/>
  <c r="AJ113" i="35"/>
  <c r="AM221" i="35"/>
  <c r="AM257" i="35"/>
  <c r="AJ285" i="35"/>
  <c r="AN293" i="35"/>
  <c r="AH35" i="35"/>
  <c r="AK234" i="35"/>
  <c r="AG171" i="35"/>
  <c r="AK163" i="35"/>
  <c r="AH103" i="35"/>
  <c r="AN174" i="35"/>
  <c r="AJ224" i="35"/>
  <c r="AH376" i="35"/>
  <c r="AK112" i="35"/>
  <c r="AI307" i="35"/>
  <c r="AG322" i="35"/>
  <c r="AI123" i="35"/>
  <c r="AL118" i="35"/>
  <c r="AM286" i="35"/>
  <c r="AM182" i="35"/>
  <c r="AK102" i="35"/>
  <c r="AK70" i="35"/>
  <c r="AG260" i="35"/>
  <c r="AJ255" i="35"/>
  <c r="AK84" i="35"/>
  <c r="AN49" i="35"/>
  <c r="AM355" i="35"/>
  <c r="AG182" i="35"/>
  <c r="AK66" i="35"/>
  <c r="AI30" i="35"/>
  <c r="AK244" i="35"/>
  <c r="AK475" i="35"/>
  <c r="AN159" i="35"/>
  <c r="AL159" i="35"/>
  <c r="AN120" i="35"/>
  <c r="AM54" i="35"/>
  <c r="AI38" i="35"/>
  <c r="AL182" i="35"/>
  <c r="AJ211" i="35"/>
  <c r="AK206" i="35"/>
  <c r="AK47" i="35"/>
  <c r="AG272" i="35"/>
  <c r="AH165" i="35"/>
  <c r="AM85" i="35"/>
  <c r="AM139" i="35"/>
  <c r="AN403" i="35"/>
  <c r="AJ26" i="35"/>
  <c r="AN339" i="35"/>
  <c r="AN186" i="35"/>
  <c r="AI410" i="35"/>
  <c r="AM76" i="35"/>
  <c r="AL166" i="35"/>
  <c r="AN133" i="35"/>
  <c r="AJ492" i="35"/>
  <c r="AH476" i="35"/>
  <c r="AH499" i="35"/>
  <c r="AM498" i="35"/>
  <c r="AN385" i="35"/>
  <c r="AG326" i="35"/>
  <c r="AJ350" i="35"/>
  <c r="AI407" i="35"/>
  <c r="AN272" i="35"/>
  <c r="AL185" i="35"/>
  <c r="AN193" i="35"/>
  <c r="AG471" i="35"/>
  <c r="AG300" i="35"/>
  <c r="AI373" i="35"/>
  <c r="AG237" i="35"/>
  <c r="AK278" i="35"/>
  <c r="AG202" i="35"/>
  <c r="AN465" i="35"/>
  <c r="AL115" i="35"/>
  <c r="AN213" i="35"/>
  <c r="AI405" i="35"/>
  <c r="AJ76" i="35"/>
  <c r="AG178" i="35"/>
  <c r="AH377" i="35"/>
  <c r="AK230" i="35"/>
  <c r="AL188" i="35"/>
  <c r="AH367" i="35"/>
  <c r="AL461" i="35"/>
  <c r="AH250" i="35"/>
  <c r="AM334" i="35"/>
  <c r="AI514" i="35"/>
  <c r="AG187" i="35"/>
  <c r="AM153" i="35"/>
  <c r="AN386" i="35"/>
  <c r="AM414" i="35"/>
  <c r="AL289" i="35"/>
  <c r="AI318" i="35"/>
  <c r="AN335" i="35"/>
  <c r="AJ389" i="35"/>
  <c r="AK318" i="35"/>
  <c r="AG65" i="35"/>
  <c r="AJ234" i="35"/>
  <c r="AH215" i="35"/>
  <c r="AL209" i="35"/>
  <c r="AI145" i="35"/>
  <c r="AJ49" i="35"/>
  <c r="AI193" i="35"/>
  <c r="AI133" i="35"/>
  <c r="AL112" i="35"/>
  <c r="AN194" i="35"/>
  <c r="AH155" i="35"/>
  <c r="AL113" i="35"/>
  <c r="AK343" i="35"/>
  <c r="AK296" i="35"/>
  <c r="AJ365" i="35"/>
  <c r="AL146" i="35"/>
  <c r="AM241" i="35"/>
  <c r="AL438" i="35"/>
  <c r="AK271" i="35"/>
  <c r="AM121" i="35"/>
  <c r="AN201" i="35"/>
  <c r="AL266" i="35"/>
  <c r="AG220" i="35"/>
  <c r="AH301" i="35"/>
  <c r="AI135" i="35"/>
  <c r="AG134" i="35"/>
  <c r="AJ295" i="35"/>
  <c r="AG315" i="35"/>
  <c r="AM113" i="35"/>
  <c r="AG45" i="35"/>
  <c r="AI89" i="35"/>
  <c r="AG168" i="35"/>
  <c r="AJ181" i="35"/>
  <c r="AH54" i="35"/>
  <c r="AK208" i="35"/>
  <c r="AL155" i="35"/>
  <c r="AI58" i="35"/>
  <c r="AN204" i="35"/>
  <c r="AL83" i="35"/>
  <c r="AN315" i="35"/>
  <c r="AJ253" i="35"/>
  <c r="AH114" i="35"/>
  <c r="AN47" i="35"/>
  <c r="AN127" i="35"/>
  <c r="AN256" i="35"/>
  <c r="AL465" i="35"/>
  <c r="AG393" i="35"/>
  <c r="AH340" i="35"/>
  <c r="AI455" i="35"/>
  <c r="AM191" i="35"/>
  <c r="AN348" i="35"/>
  <c r="AH339" i="35"/>
  <c r="AI303" i="35"/>
  <c r="AJ298" i="35"/>
  <c r="AJ266" i="35"/>
  <c r="AM320" i="35"/>
  <c r="AK158" i="35"/>
  <c r="AI331" i="35"/>
  <c r="AG173" i="35"/>
  <c r="AI95" i="35"/>
  <c r="AM325" i="35"/>
  <c r="AN283" i="35"/>
  <c r="AN177" i="35"/>
  <c r="AL498" i="35"/>
  <c r="AL377" i="35"/>
  <c r="AN163" i="35"/>
  <c r="AM423" i="35"/>
  <c r="AN500" i="35"/>
  <c r="AK256" i="35"/>
  <c r="AM269" i="35"/>
  <c r="AK193" i="35"/>
  <c r="AM157" i="35"/>
  <c r="AH511" i="35"/>
  <c r="AL279" i="35"/>
  <c r="AJ95" i="35"/>
  <c r="AG145" i="35"/>
  <c r="AI348" i="35"/>
  <c r="AI192" i="35"/>
  <c r="AN99" i="35"/>
  <c r="AK392" i="35"/>
  <c r="AH182" i="35"/>
  <c r="AK166" i="35"/>
  <c r="AI304" i="35"/>
  <c r="AL190" i="35"/>
  <c r="AL268" i="35"/>
  <c r="AK198" i="35"/>
  <c r="AL26" i="35"/>
  <c r="AI211" i="35"/>
  <c r="AG127" i="35"/>
  <c r="AJ133" i="35"/>
  <c r="AL69" i="35"/>
  <c r="AK142" i="35"/>
  <c r="AK138" i="35"/>
  <c r="AJ299" i="35"/>
  <c r="AJ70" i="35"/>
  <c r="AL390" i="35"/>
  <c r="AH181" i="35"/>
  <c r="AK103" i="35"/>
  <c r="AJ388" i="35"/>
  <c r="AK283" i="35"/>
  <c r="AI252" i="35"/>
  <c r="AK85" i="35"/>
  <c r="AN192" i="35"/>
  <c r="AK373" i="35"/>
  <c r="AI180" i="35"/>
  <c r="AN233" i="35"/>
  <c r="AN116" i="35"/>
  <c r="AJ272" i="35"/>
  <c r="AL123" i="35"/>
  <c r="AK48" i="35"/>
  <c r="AG22" i="35"/>
  <c r="AG249" i="35"/>
  <c r="AJ197" i="35"/>
  <c r="AL94" i="35"/>
  <c r="AK86" i="35"/>
  <c r="AN156" i="35"/>
  <c r="AL240" i="35"/>
  <c r="AL116" i="35"/>
  <c r="AN130" i="35"/>
  <c r="AH169" i="35"/>
  <c r="AN27" i="35"/>
  <c r="AK322" i="35"/>
  <c r="AI134" i="35"/>
  <c r="AM33" i="35"/>
  <c r="AG92" i="35"/>
  <c r="AN167" i="35"/>
  <c r="AK117" i="35"/>
  <c r="AJ162" i="35"/>
  <c r="AK136" i="35"/>
  <c r="AI228" i="35"/>
  <c r="AK503" i="35"/>
  <c r="AN384" i="35"/>
  <c r="AN489" i="35"/>
  <c r="AI386" i="35"/>
  <c r="AK293" i="35"/>
  <c r="AJ175" i="35"/>
  <c r="AK182" i="35"/>
  <c r="AM335" i="35"/>
  <c r="AH149" i="35"/>
  <c r="AL162" i="35"/>
  <c r="AH183" i="35"/>
  <c r="AH497" i="35"/>
  <c r="AH154" i="35"/>
  <c r="AM166" i="35"/>
  <c r="AG343" i="35"/>
  <c r="AN125" i="35"/>
  <c r="AM28" i="35"/>
  <c r="AH175" i="35"/>
  <c r="AJ371" i="35"/>
  <c r="AK418" i="35"/>
  <c r="AJ233" i="35"/>
  <c r="AM126" i="35"/>
  <c r="AI417" i="35"/>
  <c r="AN155" i="35"/>
  <c r="AM151" i="35"/>
  <c r="AM75" i="35"/>
  <c r="AH86" i="35"/>
  <c r="AL395" i="35"/>
  <c r="AL156" i="35"/>
  <c r="AL476" i="35"/>
  <c r="AL272" i="35"/>
  <c r="AG219" i="35"/>
  <c r="AK497" i="35"/>
  <c r="AM374" i="35"/>
  <c r="AG320" i="35"/>
  <c r="AK235" i="35"/>
  <c r="AJ155" i="35"/>
  <c r="AM69" i="35"/>
  <c r="AI230" i="35"/>
  <c r="AL78" i="35"/>
  <c r="AM224" i="35"/>
  <c r="AH193" i="35"/>
  <c r="AG313" i="35"/>
  <c r="AL324" i="35"/>
  <c r="AG47" i="35"/>
  <c r="AL43" i="35"/>
  <c r="AK390" i="35"/>
  <c r="AM171" i="35"/>
  <c r="AJ250" i="35"/>
  <c r="AM29" i="35"/>
  <c r="AH172" i="35"/>
  <c r="AG112" i="35"/>
  <c r="AJ74" i="35"/>
  <c r="AG118" i="35"/>
  <c r="AK153" i="35"/>
  <c r="AH144" i="35"/>
  <c r="AI53" i="35"/>
  <c r="AN301" i="35"/>
  <c r="AK419" i="35"/>
  <c r="AG120" i="35"/>
  <c r="AL33" i="35"/>
  <c r="AN104" i="35"/>
  <c r="AL238" i="35"/>
  <c r="AI102" i="35"/>
  <c r="AI165" i="35"/>
  <c r="AG247" i="35"/>
  <c r="AH132" i="35"/>
  <c r="AL331" i="35"/>
  <c r="AH416" i="35"/>
  <c r="AL85" i="35"/>
  <c r="AH231" i="35"/>
  <c r="AH95" i="35"/>
  <c r="AJ294" i="35"/>
  <c r="AI216" i="35"/>
  <c r="AL136" i="35"/>
  <c r="AK201" i="35"/>
  <c r="AK34" i="35"/>
  <c r="AH78" i="35"/>
  <c r="AH28" i="35"/>
  <c r="AL23" i="35"/>
  <c r="AG113" i="35"/>
  <c r="AN182" i="35"/>
  <c r="AG53" i="35"/>
  <c r="AL256" i="35"/>
  <c r="AH129" i="35"/>
  <c r="AL418" i="35"/>
  <c r="AH450" i="35"/>
  <c r="AJ510" i="35"/>
  <c r="AK113" i="35"/>
  <c r="AL287" i="35"/>
  <c r="AK310" i="35"/>
  <c r="AJ424" i="35"/>
  <c r="AN257" i="35"/>
  <c r="AN215" i="35"/>
  <c r="AK133" i="35"/>
  <c r="AM149" i="35"/>
  <c r="AN317" i="35"/>
  <c r="AL221" i="35"/>
  <c r="AI62" i="35"/>
  <c r="AJ357" i="35"/>
  <c r="AG41" i="35"/>
  <c r="AN100" i="35"/>
  <c r="AM66" i="35"/>
  <c r="AK426" i="35"/>
  <c r="AH128" i="35"/>
  <c r="AK290" i="35"/>
  <c r="AJ86" i="35"/>
  <c r="AH251" i="35"/>
  <c r="AN217" i="35"/>
  <c r="AL133" i="35"/>
  <c r="AJ274" i="35"/>
  <c r="AG261" i="35"/>
  <c r="AN271" i="35"/>
  <c r="AH140" i="35"/>
  <c r="AG287" i="35"/>
  <c r="AJ300" i="35"/>
  <c r="AI379" i="35"/>
  <c r="AK224" i="35"/>
  <c r="AK316" i="35"/>
  <c r="AM108" i="35"/>
  <c r="AM371" i="35"/>
  <c r="AH353" i="35"/>
  <c r="AM125" i="35"/>
  <c r="AM142" i="35"/>
  <c r="AN238" i="35"/>
  <c r="AG346" i="35"/>
  <c r="AJ215" i="35"/>
  <c r="AN169" i="35"/>
  <c r="AM147" i="35"/>
  <c r="AK162" i="35"/>
  <c r="AI24" i="35"/>
  <c r="AN187" i="35"/>
  <c r="AK106" i="35"/>
  <c r="AH112" i="35"/>
  <c r="AH49" i="35"/>
  <c r="AM118" i="35"/>
  <c r="AJ90" i="35"/>
  <c r="AG349" i="35"/>
  <c r="AJ38" i="35"/>
  <c r="AN363" i="35"/>
  <c r="AI344" i="35"/>
  <c r="AH282" i="35"/>
  <c r="AN107" i="35"/>
  <c r="AK297" i="35"/>
  <c r="AM304" i="35"/>
  <c r="AM220" i="35"/>
  <c r="AM44" i="35"/>
  <c r="AM317" i="35"/>
  <c r="AH122" i="35"/>
  <c r="AL145" i="35"/>
  <c r="AG74" i="35"/>
  <c r="AK212" i="35"/>
  <c r="AI327" i="35"/>
  <c r="AL144" i="35"/>
  <c r="AL27" i="35"/>
  <c r="AL369" i="35"/>
  <c r="AJ271" i="35"/>
  <c r="AG61" i="35"/>
  <c r="AH102" i="35"/>
  <c r="AM368" i="35"/>
  <c r="AI179" i="35"/>
  <c r="AI343" i="35"/>
  <c r="AJ137" i="35"/>
  <c r="AJ130" i="35"/>
  <c r="AH133" i="35"/>
  <c r="AK56" i="35"/>
  <c r="AH229" i="35"/>
  <c r="AN207" i="35"/>
  <c r="AN36" i="35"/>
  <c r="AJ64" i="35"/>
  <c r="AM25" i="35"/>
  <c r="AH220" i="35"/>
  <c r="AH445" i="35"/>
  <c r="AK442" i="35"/>
  <c r="AJ189" i="35"/>
  <c r="AH195" i="35"/>
  <c r="AH208" i="35"/>
  <c r="AM344" i="35"/>
  <c r="AJ240" i="35"/>
  <c r="AK348" i="35"/>
  <c r="AK57" i="35"/>
  <c r="AN259" i="35"/>
  <c r="AK253" i="35"/>
  <c r="AK215" i="35"/>
  <c r="AM413" i="35"/>
  <c r="AJ151" i="35"/>
  <c r="AK344" i="35"/>
  <c r="AG240" i="35"/>
  <c r="AJ232" i="35"/>
  <c r="AK190" i="35"/>
  <c r="AL110" i="35"/>
  <c r="AH226" i="35"/>
  <c r="AJ252" i="35"/>
  <c r="AI347" i="35"/>
  <c r="AH393" i="35"/>
  <c r="AJ267" i="35"/>
  <c r="AL103" i="35"/>
  <c r="AM507" i="35"/>
  <c r="AG417" i="35"/>
  <c r="AN292" i="35"/>
  <c r="AM326" i="35"/>
  <c r="AG37" i="35"/>
  <c r="AK272" i="35"/>
  <c r="AH324" i="35"/>
  <c r="AL192" i="35"/>
  <c r="AM110" i="35"/>
  <c r="AK175" i="35"/>
  <c r="AH407" i="35"/>
  <c r="AJ92" i="35"/>
  <c r="AH96" i="35"/>
  <c r="AG203" i="35"/>
  <c r="AM190" i="35"/>
  <c r="AG495" i="35"/>
  <c r="AH273" i="35"/>
  <c r="AL139" i="35"/>
  <c r="AH288" i="35"/>
  <c r="AG440" i="35"/>
  <c r="AJ293" i="35"/>
  <c r="AG29" i="35"/>
  <c r="AI37" i="35"/>
  <c r="AJ282" i="35"/>
  <c r="AN139" i="35"/>
  <c r="AG179" i="35"/>
  <c r="AK237" i="35"/>
  <c r="AJ270" i="35"/>
  <c r="AK105" i="35"/>
  <c r="AG227" i="35"/>
  <c r="AI148" i="35"/>
  <c r="AG238" i="35"/>
  <c r="AK87" i="35"/>
  <c r="AH126" i="35"/>
  <c r="AN95" i="35"/>
  <c r="AH279" i="35"/>
  <c r="AM100" i="35"/>
  <c r="AM31" i="35"/>
  <c r="AL38" i="35"/>
  <c r="AJ24" i="35"/>
  <c r="AG226" i="35"/>
  <c r="AG102" i="35"/>
  <c r="AH178" i="35"/>
  <c r="AJ288" i="35"/>
  <c r="AG205" i="35"/>
  <c r="AL60" i="35"/>
  <c r="AL128" i="35"/>
  <c r="AH77" i="35"/>
  <c r="AK150" i="35"/>
  <c r="AJ129" i="35"/>
  <c r="AN114" i="35"/>
  <c r="AI124" i="35"/>
  <c r="AM203" i="35"/>
  <c r="AJ115" i="35"/>
  <c r="AG167" i="35"/>
  <c r="AL169" i="35"/>
  <c r="AL96" i="35"/>
  <c r="AI106" i="35"/>
  <c r="AL346" i="35"/>
  <c r="AL187" i="35"/>
  <c r="AH328" i="35"/>
  <c r="AH51" i="35"/>
  <c r="AN209" i="35"/>
  <c r="AH235" i="35"/>
  <c r="AL196" i="35"/>
  <c r="AM173" i="35"/>
  <c r="AM96" i="35"/>
  <c r="AL345" i="35"/>
  <c r="AJ182" i="35"/>
  <c r="AI128" i="35"/>
  <c r="AH505" i="35"/>
  <c r="AG385" i="35"/>
  <c r="AK165" i="35"/>
  <c r="AH121" i="35"/>
  <c r="AI337" i="35"/>
  <c r="AI244" i="35"/>
  <c r="AG273" i="35"/>
  <c r="AM196" i="35"/>
  <c r="AJ247" i="35"/>
  <c r="AJ165" i="35"/>
  <c r="AL284" i="35"/>
  <c r="AN96" i="35"/>
  <c r="AK146" i="35"/>
  <c r="AK288" i="35"/>
  <c r="AG55" i="35"/>
  <c r="AK420" i="35"/>
  <c r="AL434" i="35"/>
  <c r="AG184" i="35"/>
  <c r="AH168" i="35"/>
  <c r="AG347" i="35"/>
  <c r="AI399" i="35"/>
  <c r="AI201" i="35"/>
  <c r="AH265" i="35"/>
  <c r="AH502" i="35"/>
  <c r="AN105" i="35"/>
  <c r="AN320" i="35"/>
  <c r="AJ286" i="35"/>
  <c r="AM46" i="35"/>
  <c r="AI155" i="35"/>
  <c r="AH100" i="35"/>
  <c r="AJ490" i="35"/>
  <c r="AL198" i="35"/>
  <c r="AG432" i="35"/>
  <c r="AN128" i="35"/>
  <c r="AI150" i="35"/>
  <c r="AN84" i="35"/>
  <c r="AK132" i="35"/>
  <c r="AM429" i="35"/>
  <c r="AL167" i="35"/>
  <c r="AK88" i="35"/>
  <c r="AL93" i="35"/>
  <c r="AK29" i="35"/>
  <c r="AK252" i="35"/>
  <c r="AN251" i="35"/>
  <c r="AL75" i="35"/>
  <c r="AM146" i="35"/>
  <c r="AM209" i="35"/>
  <c r="AL158" i="35"/>
  <c r="AK262" i="35"/>
  <c r="AG282" i="35"/>
  <c r="AG369" i="35"/>
  <c r="AG342" i="35"/>
  <c r="AG359" i="35"/>
  <c r="AI222" i="35"/>
  <c r="AL312" i="35"/>
  <c r="AN353" i="35"/>
  <c r="AN247" i="35"/>
  <c r="AG174" i="35"/>
  <c r="AK229" i="35"/>
  <c r="AI120" i="35"/>
  <c r="AM77" i="35"/>
  <c r="AH299" i="35"/>
  <c r="AK221" i="35"/>
  <c r="AI41" i="35"/>
  <c r="AL231" i="35"/>
  <c r="AI190" i="35"/>
  <c r="AH118" i="35"/>
  <c r="AM338" i="35"/>
  <c r="AG87" i="35"/>
  <c r="AN232" i="35"/>
  <c r="AL58" i="35"/>
  <c r="AG241" i="35"/>
  <c r="AI147" i="35"/>
  <c r="AK341" i="35"/>
  <c r="AI421" i="35"/>
  <c r="AH36" i="35"/>
  <c r="AJ434" i="35"/>
  <c r="AJ205" i="35"/>
  <c r="AG480" i="35"/>
  <c r="AJ186" i="35"/>
  <c r="AL502" i="35"/>
  <c r="AN344" i="35"/>
  <c r="AH361" i="35"/>
  <c r="AM184" i="35"/>
  <c r="AL313" i="35"/>
  <c r="AH403" i="35"/>
  <c r="AN428" i="35"/>
  <c r="AJ235" i="35"/>
  <c r="AH267" i="35"/>
  <c r="AM483" i="35"/>
  <c r="AG263" i="35"/>
  <c r="AJ153" i="35"/>
  <c r="AI77" i="35"/>
  <c r="AN224" i="35"/>
  <c r="AH228" i="35"/>
  <c r="AI158" i="35"/>
  <c r="AK371" i="35"/>
  <c r="AK274" i="35"/>
  <c r="AI144" i="35"/>
  <c r="AK513" i="35"/>
  <c r="AJ391" i="35"/>
  <c r="AJ345" i="35"/>
  <c r="AJ237" i="35"/>
  <c r="AH158" i="35"/>
  <c r="AL183" i="35"/>
  <c r="AG387" i="35"/>
  <c r="AJ243" i="35"/>
  <c r="AN485" i="35"/>
  <c r="AL359" i="35"/>
  <c r="AN242" i="35"/>
  <c r="AG403" i="35"/>
  <c r="AI352" i="35"/>
  <c r="AK470" i="35"/>
  <c r="AJ174" i="35"/>
  <c r="AK336" i="35"/>
  <c r="AH358" i="35"/>
  <c r="AN276" i="35"/>
  <c r="AG141" i="35"/>
  <c r="AK184" i="35"/>
  <c r="AJ360" i="35"/>
  <c r="AN222" i="35"/>
  <c r="AG91" i="35"/>
  <c r="AK177" i="35"/>
  <c r="AI351" i="35"/>
  <c r="AJ317" i="35"/>
  <c r="AG297" i="35"/>
  <c r="AL98" i="35"/>
  <c r="AG316" i="35"/>
  <c r="AG159" i="35"/>
  <c r="AH232" i="35"/>
  <c r="AN48" i="35"/>
  <c r="AI256" i="35"/>
  <c r="AL297" i="35"/>
  <c r="AH192" i="35"/>
  <c r="AN92" i="35"/>
  <c r="AL214" i="35"/>
  <c r="AK69" i="35"/>
  <c r="AG301" i="35"/>
  <c r="AH66" i="35"/>
  <c r="AN235" i="35"/>
  <c r="AJ382" i="35"/>
  <c r="AG229" i="35"/>
  <c r="AM41" i="35"/>
  <c r="AL452" i="35"/>
  <c r="AG84" i="35"/>
  <c r="AL179" i="35"/>
  <c r="AN382" i="35"/>
  <c r="AL142" i="35"/>
  <c r="AN40" i="35"/>
  <c r="AG78" i="35"/>
  <c r="AK267" i="35"/>
  <c r="AN89" i="35"/>
  <c r="AL84" i="35"/>
  <c r="AG340" i="35"/>
  <c r="AK250" i="35"/>
  <c r="AJ337" i="35"/>
  <c r="AK255" i="35"/>
  <c r="AK159" i="35"/>
  <c r="AM436" i="35"/>
  <c r="AM401" i="35"/>
  <c r="AH492" i="35"/>
  <c r="AG433" i="35"/>
  <c r="AN250" i="35"/>
  <c r="AJ196" i="35"/>
  <c r="AM327" i="35"/>
  <c r="AG166" i="35"/>
  <c r="AJ370" i="35"/>
  <c r="AN206" i="35"/>
  <c r="AM23" i="35"/>
  <c r="AK306" i="35"/>
  <c r="AN245" i="35"/>
  <c r="AL129" i="35"/>
  <c r="AI301" i="35"/>
  <c r="AK317" i="35"/>
  <c r="AK189" i="35"/>
  <c r="AJ134" i="35"/>
  <c r="AK135" i="35"/>
  <c r="AG276" i="35"/>
  <c r="AL105" i="35"/>
  <c r="AL119" i="35"/>
  <c r="AN142" i="35"/>
  <c r="AI295" i="35"/>
  <c r="AG307" i="35"/>
  <c r="AG210" i="35"/>
  <c r="AJ226" i="35"/>
  <c r="AH318" i="35"/>
  <c r="AM117" i="35"/>
  <c r="AK394" i="35"/>
  <c r="AK396" i="35"/>
  <c r="AL325" i="35"/>
  <c r="AK393" i="35"/>
  <c r="AG137" i="35"/>
  <c r="AI236" i="35"/>
  <c r="AG400" i="35"/>
  <c r="AJ179" i="35"/>
  <c r="AJ361" i="35"/>
  <c r="AG348" i="35"/>
  <c r="AK222" i="35"/>
  <c r="AI127" i="35"/>
  <c r="AM278" i="35"/>
  <c r="AL501" i="35"/>
  <c r="AH27" i="35"/>
  <c r="AI101" i="35"/>
  <c r="AH68" i="35"/>
  <c r="AJ264" i="35"/>
  <c r="AM162" i="35"/>
  <c r="AH253" i="35"/>
  <c r="AG319" i="35"/>
  <c r="AL372" i="35"/>
  <c r="AK186" i="35"/>
  <c r="AK111" i="35"/>
  <c r="AM200" i="35"/>
  <c r="AJ262" i="35"/>
  <c r="AJ107" i="35"/>
  <c r="AH93" i="35"/>
  <c r="AL286" i="35"/>
  <c r="AL232" i="35"/>
  <c r="AI68" i="35"/>
  <c r="AN265" i="35"/>
  <c r="AJ278" i="35"/>
  <c r="AN171" i="35"/>
  <c r="AG121" i="35"/>
  <c r="AH216" i="35"/>
  <c r="AI173" i="35"/>
  <c r="AK97" i="35"/>
  <c r="AJ312" i="35"/>
  <c r="AI56" i="35"/>
  <c r="AG128" i="35"/>
  <c r="AN307" i="35"/>
  <c r="AJ177" i="35"/>
  <c r="AG115" i="35"/>
  <c r="AH159" i="35"/>
  <c r="AG101" i="35"/>
  <c r="AN112" i="35"/>
  <c r="AL437" i="35"/>
  <c r="AI94" i="35"/>
  <c r="AL21" i="35"/>
  <c r="AN138" i="35"/>
  <c r="AJ219" i="35"/>
  <c r="AG58" i="35"/>
  <c r="AI229" i="35"/>
  <c r="AK30" i="35"/>
  <c r="AG176" i="35"/>
  <c r="AN285" i="35"/>
  <c r="AN240" i="35"/>
  <c r="AJ418" i="35"/>
  <c r="AI493" i="35"/>
  <c r="AL258" i="35"/>
  <c r="AM206" i="35"/>
  <c r="AH257" i="35"/>
  <c r="AK395" i="35"/>
  <c r="AN422" i="35"/>
  <c r="AN325" i="35"/>
  <c r="AM348" i="35"/>
  <c r="AL241" i="35"/>
  <c r="AL244" i="35"/>
  <c r="AJ192" i="35"/>
  <c r="AI112" i="35"/>
  <c r="AH124" i="35"/>
  <c r="AG295" i="35"/>
  <c r="AI198" i="35"/>
  <c r="AL394" i="35"/>
  <c r="AH269" i="35"/>
  <c r="AG23" i="35"/>
  <c r="AL68" i="35"/>
  <c r="AL514" i="35"/>
  <c r="AH296" i="35"/>
  <c r="AI339" i="35"/>
  <c r="AG230" i="35"/>
  <c r="AG190" i="35"/>
  <c r="AL328" i="35"/>
  <c r="AL194" i="35"/>
  <c r="AJ112" i="35"/>
  <c r="AG204" i="35"/>
  <c r="AL215" i="35"/>
  <c r="AH461" i="35"/>
  <c r="AI117" i="35"/>
  <c r="AN345" i="35"/>
  <c r="AK226" i="35"/>
  <c r="AK245" i="35"/>
  <c r="AM274" i="35"/>
  <c r="AL260" i="35"/>
  <c r="AK183" i="35"/>
  <c r="AH176" i="35"/>
  <c r="AH472" i="35"/>
  <c r="AL307" i="35"/>
  <c r="AG358" i="35"/>
  <c r="AI142" i="35"/>
  <c r="AK191" i="35"/>
  <c r="AK243" i="35"/>
  <c r="AG225" i="35"/>
  <c r="AH254" i="35"/>
  <c r="AG108" i="35"/>
  <c r="AG291" i="35"/>
  <c r="AG183" i="35"/>
  <c r="AJ63" i="35"/>
  <c r="AN108" i="35"/>
  <c r="AJ342" i="35"/>
  <c r="AL149" i="35"/>
  <c r="AK43" i="35"/>
  <c r="AH310" i="35"/>
  <c r="AG374" i="35"/>
  <c r="AG124" i="35"/>
  <c r="AN23" i="35"/>
  <c r="AH189" i="35"/>
  <c r="AJ213" i="35"/>
  <c r="AI202" i="35"/>
  <c r="AH157" i="35"/>
  <c r="AH227" i="35"/>
  <c r="AN162" i="35"/>
  <c r="AL309" i="35"/>
  <c r="AH222" i="35"/>
  <c r="AN126" i="35"/>
  <c r="AI107" i="35"/>
  <c r="AN188" i="35"/>
  <c r="AK124" i="35"/>
  <c r="AG302" i="35"/>
  <c r="AH275" i="35"/>
  <c r="AM175" i="35"/>
  <c r="AK220" i="35"/>
  <c r="AJ257" i="35"/>
  <c r="AI21" i="35"/>
  <c r="AJ372" i="35"/>
  <c r="AJ65" i="35"/>
  <c r="AL197" i="35"/>
  <c r="AI234" i="35"/>
  <c r="AH45" i="35"/>
  <c r="AG123" i="35"/>
  <c r="AJ73" i="35"/>
  <c r="AG71" i="35"/>
  <c r="AI404" i="35"/>
  <c r="AL506" i="35"/>
  <c r="AG277" i="35"/>
  <c r="AL301" i="35"/>
  <c r="AN221" i="35"/>
  <c r="AL174" i="35"/>
  <c r="AH167" i="35"/>
  <c r="AL180" i="35"/>
  <c r="AG274" i="35"/>
  <c r="AG246" i="35"/>
  <c r="AL275" i="35"/>
  <c r="AG200" i="35"/>
  <c r="AG281" i="35"/>
  <c r="AK39" i="35"/>
  <c r="AK238" i="35"/>
  <c r="AI210" i="35"/>
  <c r="AG148" i="35"/>
  <c r="AN291" i="35"/>
  <c r="AJ125" i="35"/>
  <c r="AN258" i="35"/>
  <c r="AG175" i="35"/>
  <c r="AM185" i="35"/>
  <c r="AM169" i="35"/>
  <c r="AI92" i="35"/>
  <c r="AI186" i="35"/>
  <c r="AH203" i="35"/>
  <c r="AI268" i="35"/>
  <c r="AH487" i="35"/>
  <c r="AM362" i="35"/>
  <c r="AN342" i="35"/>
  <c r="AG411" i="35"/>
  <c r="AG442" i="35"/>
  <c r="AG244" i="35"/>
  <c r="AJ263" i="35"/>
  <c r="AG40" i="35"/>
  <c r="AI383" i="35"/>
  <c r="AN475" i="35"/>
  <c r="AG180" i="35"/>
  <c r="AH264" i="35"/>
  <c r="AH274" i="35"/>
  <c r="AI506" i="35"/>
  <c r="AJ157" i="35"/>
  <c r="AM106" i="35"/>
  <c r="AJ258" i="35"/>
  <c r="AH309" i="35"/>
  <c r="AM89" i="35"/>
  <c r="AN310" i="35"/>
  <c r="AM47" i="35"/>
  <c r="AH234" i="35"/>
  <c r="AL132" i="35"/>
  <c r="AM409" i="35"/>
  <c r="AL191" i="35"/>
  <c r="AG212" i="35"/>
  <c r="AL111" i="35"/>
  <c r="AJ392" i="35"/>
  <c r="AJ116" i="35"/>
  <c r="AM188" i="35"/>
  <c r="AI93" i="35"/>
  <c r="AJ251" i="35"/>
  <c r="AM275" i="35"/>
  <c r="AJ209" i="35"/>
  <c r="AG248" i="35"/>
  <c r="AH218" i="35"/>
  <c r="AL342" i="35"/>
  <c r="AG189" i="35"/>
  <c r="AL224" i="35"/>
  <c r="AN161" i="35"/>
  <c r="AG82" i="35"/>
  <c r="AK254" i="35"/>
  <c r="AJ318" i="35"/>
  <c r="AK83" i="35"/>
  <c r="AJ191" i="35"/>
  <c r="AJ223" i="35"/>
  <c r="AM284" i="35"/>
  <c r="AM120" i="35"/>
  <c r="AG83" i="35"/>
  <c r="AN38" i="35"/>
  <c r="AJ198" i="35"/>
  <c r="AI183" i="35"/>
  <c r="AI85" i="35"/>
  <c r="AJ176" i="35"/>
  <c r="AL317" i="35"/>
  <c r="AN227" i="35"/>
  <c r="AH134" i="35"/>
  <c r="AM180" i="35"/>
  <c r="AH266" i="35"/>
  <c r="AM441" i="35"/>
  <c r="AM161" i="35"/>
  <c r="AL243" i="35"/>
  <c r="AK335" i="35"/>
  <c r="AH217" i="35"/>
  <c r="AI237" i="35"/>
  <c r="AN160" i="35"/>
  <c r="AH80" i="35"/>
  <c r="AN264" i="35"/>
  <c r="AG155" i="35"/>
  <c r="AM78" i="35"/>
  <c r="AJ301" i="35"/>
  <c r="AN148" i="35"/>
  <c r="AN306" i="35"/>
  <c r="AH373" i="35"/>
  <c r="AK276" i="35"/>
  <c r="AN145" i="35"/>
  <c r="AJ78" i="35"/>
  <c r="AM301" i="35"/>
  <c r="AH306" i="35"/>
  <c r="AJ239" i="35"/>
  <c r="AH161" i="35"/>
  <c r="AN413" i="35"/>
  <c r="AN134" i="35"/>
  <c r="AI246" i="35"/>
  <c r="AN78" i="35"/>
  <c r="AK362" i="35"/>
  <c r="AN401" i="35"/>
  <c r="AJ35" i="35"/>
  <c r="AJ321" i="35"/>
  <c r="AH326" i="35"/>
  <c r="AJ144" i="35"/>
  <c r="AK148" i="35"/>
  <c r="AL165" i="35"/>
  <c r="AN219" i="35"/>
  <c r="AL202" i="35"/>
  <c r="AM130" i="35"/>
  <c r="AK28" i="35"/>
  <c r="AK240" i="35"/>
  <c r="AK231" i="35"/>
  <c r="AM105" i="35"/>
  <c r="AN143" i="35"/>
  <c r="AJ333" i="35"/>
  <c r="AG256" i="35"/>
  <c r="AI315" i="35"/>
  <c r="AK118" i="35"/>
  <c r="AI131" i="35"/>
  <c r="AJ203" i="35"/>
  <c r="AH185" i="35"/>
  <c r="AK181" i="35"/>
  <c r="AH359" i="35"/>
  <c r="AG513" i="35"/>
  <c r="AI151" i="35"/>
  <c r="AI310" i="35"/>
  <c r="AI333" i="35"/>
  <c r="AI221" i="35"/>
  <c r="AG125" i="35"/>
  <c r="AG206" i="35"/>
  <c r="AK104" i="35"/>
  <c r="AJ311" i="35"/>
  <c r="AG104" i="35"/>
  <c r="AM64" i="35"/>
  <c r="AI115" i="35"/>
  <c r="AL281" i="35"/>
  <c r="AM87" i="35"/>
  <c r="AM140" i="35"/>
  <c r="AL210" i="35"/>
  <c r="AJ261" i="35"/>
  <c r="AI139" i="35"/>
  <c r="AL82" i="35"/>
  <c r="AL267" i="35"/>
  <c r="AJ154" i="35"/>
  <c r="AG275" i="35"/>
  <c r="AJ336" i="35"/>
  <c r="AI170" i="35"/>
  <c r="AN102" i="35"/>
  <c r="AH277" i="35"/>
  <c r="AG129" i="35"/>
  <c r="AM52" i="35"/>
  <c r="AN241" i="35"/>
  <c r="AJ108" i="35"/>
  <c r="AH79" i="35"/>
  <c r="AG490" i="35"/>
  <c r="AK378" i="35"/>
  <c r="AM62" i="35"/>
  <c r="AI380" i="35"/>
  <c r="AK94" i="35"/>
  <c r="AG434" i="35"/>
  <c r="AH98" i="35"/>
  <c r="AH131" i="35"/>
  <c r="AM311" i="35"/>
  <c r="AM350" i="35"/>
  <c r="AK242" i="35"/>
  <c r="AH136" i="35"/>
  <c r="AG138" i="35"/>
  <c r="AI279" i="35"/>
  <c r="AJ436" i="35"/>
  <c r="AM116" i="35"/>
  <c r="AI243" i="35"/>
  <c r="AL306" i="35"/>
  <c r="AG314" i="35"/>
  <c r="AN211" i="35"/>
  <c r="AL236" i="35"/>
  <c r="AK377" i="35"/>
  <c r="AJ329" i="35"/>
  <c r="AJ419" i="35"/>
  <c r="AN468" i="35"/>
  <c r="AJ159" i="35"/>
  <c r="AH188" i="35"/>
  <c r="AL138" i="35"/>
  <c r="AM246" i="35"/>
  <c r="AG408" i="35"/>
  <c r="AH125" i="35"/>
  <c r="AG459" i="35"/>
  <c r="AM306" i="35"/>
  <c r="AM268" i="35"/>
  <c r="AH214" i="35"/>
  <c r="AN129" i="35"/>
  <c r="AJ104" i="35"/>
  <c r="AH322" i="35"/>
  <c r="AI474" i="35"/>
  <c r="AN181" i="35"/>
  <c r="AL298" i="35"/>
  <c r="AL447" i="35"/>
  <c r="AJ437" i="35"/>
  <c r="AH147" i="35"/>
  <c r="AJ164" i="35"/>
  <c r="AI231" i="35"/>
  <c r="AN338" i="35"/>
  <c r="AH291" i="35"/>
  <c r="AM88" i="35"/>
  <c r="AK247" i="35"/>
  <c r="AL252" i="35"/>
  <c r="AN334" i="35"/>
  <c r="AJ236" i="35"/>
  <c r="AH351" i="35"/>
  <c r="AJ180" i="35"/>
  <c r="AL184" i="35"/>
  <c r="AI196" i="35"/>
  <c r="AG331" i="35"/>
  <c r="AH141" i="35"/>
  <c r="AH116" i="35"/>
  <c r="AK160" i="35"/>
  <c r="AG143" i="35"/>
  <c r="AI168" i="35"/>
  <c r="AJ379" i="35"/>
  <c r="AM341" i="35"/>
  <c r="AJ84" i="35"/>
  <c r="AG60" i="35"/>
  <c r="AM82" i="35"/>
  <c r="AJ212" i="35"/>
  <c r="AJ142" i="35"/>
  <c r="AM178" i="35"/>
  <c r="AJ103" i="35"/>
  <c r="AK303" i="35"/>
  <c r="AL211" i="35"/>
  <c r="AM215" i="35"/>
  <c r="AI59" i="35"/>
  <c r="AK171" i="35"/>
  <c r="AJ124" i="35"/>
  <c r="AL176" i="35"/>
  <c r="AH243" i="35"/>
  <c r="AK108" i="35"/>
  <c r="AK120" i="35"/>
  <c r="AH213" i="35"/>
  <c r="AI72" i="35"/>
  <c r="AM229" i="35"/>
  <c r="AG402" i="35"/>
  <c r="AM260" i="35"/>
  <c r="AI70" i="35"/>
  <c r="AL292" i="35"/>
  <c r="AK27" i="35"/>
  <c r="AJ217" i="35"/>
  <c r="AK209" i="35"/>
  <c r="AJ27" i="35"/>
  <c r="AG116" i="35"/>
  <c r="AL79" i="35"/>
  <c r="AH65" i="35"/>
  <c r="AM58" i="35"/>
  <c r="AI81" i="35"/>
  <c r="AM495" i="35"/>
  <c r="AJ102" i="35"/>
  <c r="AJ273" i="35"/>
  <c r="AJ60" i="35"/>
  <c r="AL81" i="35"/>
  <c r="AG510" i="35"/>
  <c r="AG32" i="35"/>
  <c r="AK151" i="35"/>
  <c r="AN43" i="35"/>
  <c r="AI109" i="35"/>
  <c r="AJ359" i="35"/>
  <c r="AJ407" i="35"/>
  <c r="AG235" i="35"/>
  <c r="AN71" i="35"/>
  <c r="AJ221" i="35"/>
  <c r="AN72" i="35"/>
  <c r="AI473" i="35"/>
  <c r="AH406" i="35"/>
  <c r="AK205" i="35"/>
  <c r="AM38" i="35"/>
  <c r="AI96" i="35"/>
  <c r="AJ383" i="35"/>
  <c r="AH67" i="35"/>
  <c r="AN153" i="35"/>
  <c r="AL20" i="35"/>
  <c r="AN176" i="35"/>
  <c r="AN381" i="35"/>
  <c r="AI438" i="35"/>
  <c r="AN141" i="35"/>
  <c r="AH278" i="35"/>
  <c r="AI42" i="35"/>
  <c r="AH164" i="35"/>
  <c r="AL412" i="35"/>
  <c r="AJ254" i="35"/>
  <c r="AG181" i="35"/>
  <c r="AM49" i="35"/>
  <c r="AH255" i="35"/>
  <c r="AG380" i="35"/>
  <c r="AI444" i="35"/>
  <c r="AN394" i="35"/>
  <c r="AM398" i="35"/>
  <c r="AI447" i="35"/>
  <c r="AJ355" i="35"/>
  <c r="AH398" i="35"/>
  <c r="AG335" i="35"/>
  <c r="AG415" i="35"/>
  <c r="AJ401" i="35"/>
  <c r="AJ276" i="35"/>
  <c r="AK157" i="35"/>
  <c r="AH478" i="35"/>
  <c r="AI391" i="35"/>
  <c r="AN456" i="35"/>
  <c r="AG413" i="35"/>
  <c r="AL419" i="35"/>
  <c r="AH240" i="35"/>
  <c r="AK280" i="35"/>
  <c r="AL320" i="35"/>
  <c r="AN299" i="35"/>
  <c r="AI276" i="35"/>
  <c r="AI504" i="35"/>
  <c r="AH224" i="35"/>
  <c r="AK321" i="35"/>
  <c r="AL245" i="35"/>
  <c r="AG325" i="35"/>
  <c r="AI261" i="35"/>
  <c r="AK323" i="35"/>
  <c r="AM514" i="35"/>
  <c r="AJ323" i="35"/>
  <c r="AH290" i="35"/>
  <c r="AK440" i="35"/>
  <c r="AH249" i="35"/>
  <c r="AJ469" i="35"/>
  <c r="AG119" i="35"/>
  <c r="AM230" i="35"/>
  <c r="AM251" i="35"/>
  <c r="AK77" i="35"/>
  <c r="AK434" i="35"/>
  <c r="AN41" i="35"/>
  <c r="AH207" i="35"/>
  <c r="AG90" i="35"/>
  <c r="AM34" i="35"/>
  <c r="AM417" i="35"/>
  <c r="AK91" i="35"/>
  <c r="AK462" i="35"/>
  <c r="AL45" i="35"/>
  <c r="AJ245" i="35"/>
  <c r="AH345" i="35"/>
  <c r="AL70" i="35"/>
  <c r="AN230" i="35"/>
  <c r="AK50" i="35"/>
  <c r="AH184" i="35"/>
  <c r="AM453" i="35"/>
  <c r="AM159" i="35"/>
  <c r="AN31" i="35"/>
  <c r="AK31" i="35"/>
  <c r="AI282" i="35"/>
  <c r="AH413" i="35"/>
  <c r="AN444" i="35"/>
  <c r="AH71" i="35"/>
  <c r="AJ52" i="35"/>
  <c r="AN33" i="35"/>
  <c r="AK74" i="35"/>
  <c r="AG458" i="35"/>
  <c r="AK23" i="35"/>
  <c r="AL204" i="35"/>
  <c r="AG39" i="35"/>
  <c r="AG259" i="35"/>
  <c r="AG317" i="35"/>
  <c r="AL492" i="35"/>
  <c r="AL124" i="35"/>
  <c r="AH119" i="35"/>
  <c r="AK308" i="35"/>
  <c r="AK510" i="35"/>
  <c r="AI305" i="35"/>
  <c r="AH53" i="35"/>
  <c r="AN205" i="35"/>
  <c r="AH143" i="35"/>
  <c r="AM244" i="35"/>
  <c r="AK498" i="35"/>
  <c r="AK96" i="35"/>
  <c r="AM242" i="35"/>
  <c r="AI78" i="35"/>
  <c r="AH88" i="35"/>
  <c r="AL403" i="35"/>
  <c r="AL311" i="35"/>
  <c r="AH370" i="35"/>
  <c r="AL350" i="35"/>
  <c r="AI209" i="35"/>
  <c r="AN281" i="35"/>
  <c r="AI110" i="35"/>
  <c r="AJ303" i="35"/>
  <c r="AG481" i="35"/>
  <c r="AN328" i="35"/>
  <c r="AI195" i="35"/>
  <c r="AI326" i="35"/>
  <c r="AG450" i="35"/>
  <c r="AM359" i="35"/>
  <c r="AK298" i="35"/>
  <c r="AK357" i="35"/>
  <c r="AI309" i="35"/>
  <c r="AN423" i="35"/>
  <c r="AG330" i="35"/>
  <c r="AL483" i="35"/>
  <c r="AH194" i="35"/>
  <c r="AJ475" i="35"/>
  <c r="AG254" i="35"/>
  <c r="AJ296" i="35"/>
  <c r="AK275" i="35"/>
  <c r="AJ346" i="35"/>
  <c r="AL319" i="35"/>
  <c r="AG391" i="35"/>
  <c r="AI377" i="35"/>
  <c r="AM464" i="35"/>
  <c r="AG251" i="35"/>
  <c r="AN412" i="35"/>
  <c r="AK279" i="35"/>
  <c r="AH356" i="35"/>
  <c r="AI220" i="35"/>
  <c r="AM239" i="35"/>
  <c r="AK61" i="35"/>
  <c r="AM135" i="35"/>
  <c r="AL340" i="35"/>
  <c r="AI223" i="35"/>
  <c r="AG64" i="35"/>
  <c r="AI138" i="35"/>
  <c r="AG153" i="35"/>
  <c r="AI169" i="35"/>
  <c r="AI388" i="35"/>
  <c r="AJ97" i="35"/>
  <c r="AG80" i="35"/>
  <c r="AM74" i="35"/>
  <c r="AM459" i="35"/>
  <c r="AH64" i="35"/>
  <c r="AM194" i="35"/>
  <c r="AH221" i="35"/>
  <c r="AH26" i="35"/>
  <c r="AN405" i="35"/>
  <c r="AH179" i="35"/>
  <c r="AH115" i="35"/>
  <c r="AN39" i="35"/>
  <c r="AK32" i="35"/>
  <c r="AL460" i="35"/>
  <c r="AG463" i="35"/>
  <c r="AL200" i="35"/>
  <c r="AH202" i="35"/>
  <c r="AL40" i="35"/>
  <c r="AH237" i="35"/>
  <c r="AH330" i="35"/>
  <c r="AJ353" i="35"/>
  <c r="AM107" i="35"/>
  <c r="AH146" i="35"/>
  <c r="AN158" i="35"/>
  <c r="AM346" i="35"/>
  <c r="AN323" i="35"/>
  <c r="AL34" i="35"/>
  <c r="AH72" i="35"/>
  <c r="AN101" i="35"/>
  <c r="AG473" i="35"/>
  <c r="AH362" i="35"/>
  <c r="AI175" i="35"/>
  <c r="AL107" i="35"/>
  <c r="AN123" i="35"/>
  <c r="AL76" i="35"/>
  <c r="AH333" i="35"/>
  <c r="AJ227" i="35"/>
  <c r="AG149" i="35"/>
  <c r="AL456" i="35"/>
  <c r="AN237" i="35"/>
  <c r="AJ498" i="35"/>
  <c r="AM340" i="35"/>
  <c r="AK410" i="35"/>
  <c r="AK491" i="35"/>
  <c r="AH430" i="35"/>
  <c r="AL441" i="35"/>
  <c r="AN304" i="35"/>
  <c r="AL147" i="35"/>
  <c r="AK466" i="35"/>
  <c r="AI415" i="35"/>
  <c r="AH316" i="35"/>
  <c r="AH177" i="35"/>
  <c r="AJ193" i="35"/>
  <c r="AK286" i="35"/>
  <c r="AM192" i="35"/>
  <c r="AH260" i="35"/>
  <c r="AJ302" i="35"/>
  <c r="AL503" i="35"/>
  <c r="AM263" i="35"/>
  <c r="AK340" i="35"/>
  <c r="AJ394" i="35"/>
  <c r="AH334" i="35"/>
  <c r="AK263" i="35"/>
  <c r="AN503" i="35"/>
  <c r="AK289" i="35"/>
  <c r="AH303" i="35"/>
  <c r="AN321" i="35"/>
  <c r="AM508" i="35"/>
  <c r="AM114" i="35"/>
  <c r="AJ305" i="35"/>
  <c r="AN408" i="35"/>
  <c r="AN298" i="35"/>
  <c r="AL222" i="35"/>
  <c r="AJ306" i="35"/>
  <c r="AN63" i="35"/>
  <c r="AK107" i="35"/>
  <c r="AI161" i="35"/>
  <c r="AK178" i="35"/>
  <c r="AJ482" i="35"/>
  <c r="AN57" i="35"/>
  <c r="AM22" i="35"/>
  <c r="AM167" i="35"/>
  <c r="AJ59" i="35"/>
  <c r="AJ207" i="35"/>
  <c r="AG188" i="35"/>
  <c r="AI187" i="35"/>
  <c r="AL141" i="35"/>
  <c r="AG34" i="35"/>
  <c r="AJ390" i="35"/>
  <c r="AN59" i="35"/>
  <c r="AJ54" i="35"/>
  <c r="AG51" i="35"/>
  <c r="AM35" i="35"/>
  <c r="AK461" i="35"/>
  <c r="AL61" i="35"/>
  <c r="AJ114" i="35"/>
  <c r="AG221" i="35"/>
  <c r="AJ231" i="35"/>
  <c r="AJ367" i="35"/>
  <c r="AH446" i="35"/>
  <c r="AN55" i="35"/>
  <c r="AK128" i="35"/>
  <c r="AH23" i="35"/>
  <c r="AL140" i="35"/>
  <c r="AJ279" i="35"/>
  <c r="AI20" i="35"/>
  <c r="AG199" i="35"/>
  <c r="AN56" i="35"/>
  <c r="AM152" i="35"/>
  <c r="AM240" i="35"/>
  <c r="AK294" i="35"/>
  <c r="AJ34" i="35"/>
  <c r="AJ160" i="35"/>
  <c r="AN26" i="35"/>
  <c r="AM412" i="35"/>
  <c r="AL467" i="35"/>
  <c r="AM65" i="35"/>
  <c r="AL44" i="35"/>
  <c r="AK53" i="35"/>
  <c r="AH120" i="35"/>
  <c r="AM234" i="35"/>
  <c r="AJ101" i="35"/>
  <c r="AN140" i="35"/>
  <c r="AL46" i="35"/>
  <c r="AJ37" i="35"/>
  <c r="AI464" i="35"/>
  <c r="AJ486" i="35"/>
  <c r="AL489" i="35"/>
  <c r="AM457" i="35"/>
  <c r="AI460" i="35"/>
  <c r="AL157" i="35"/>
  <c r="AL280" i="35"/>
  <c r="AH469" i="35"/>
  <c r="AN340" i="35"/>
  <c r="AK380" i="35"/>
  <c r="AG305" i="35"/>
  <c r="AI197" i="35"/>
  <c r="AH293" i="35"/>
  <c r="AL300" i="35"/>
  <c r="AG367" i="35"/>
  <c r="AJ335" i="35"/>
  <c r="AJ405" i="35"/>
  <c r="AJ364" i="35"/>
  <c r="AG409" i="35"/>
  <c r="AM254" i="35"/>
  <c r="AJ503" i="35"/>
  <c r="AI285" i="35"/>
  <c r="AH428" i="35"/>
  <c r="AK164" i="35"/>
  <c r="AK258" i="35"/>
  <c r="AK197" i="35"/>
  <c r="AK366" i="35"/>
  <c r="AL257" i="35"/>
  <c r="AH315" i="35"/>
  <c r="AL459" i="35"/>
  <c r="AH365" i="35"/>
  <c r="AH391" i="35"/>
  <c r="AL354" i="35"/>
  <c r="AJ497" i="35"/>
  <c r="AJ139" i="35"/>
  <c r="AL114" i="35"/>
  <c r="AM248" i="35"/>
  <c r="AH160" i="35"/>
  <c r="AH233" i="35"/>
  <c r="AL32" i="35"/>
  <c r="AH56" i="35"/>
  <c r="AH211" i="35"/>
  <c r="AH209" i="35"/>
  <c r="AL227" i="35"/>
  <c r="AM293" i="35"/>
  <c r="AI46" i="35"/>
  <c r="AL109" i="35"/>
  <c r="AH91" i="35"/>
  <c r="AJ444" i="35"/>
  <c r="AJ62" i="35"/>
  <c r="AG67" i="35"/>
  <c r="AH219" i="35"/>
  <c r="AJ47" i="35"/>
  <c r="AM419" i="35"/>
  <c r="AI52" i="35"/>
  <c r="AJ58" i="35"/>
  <c r="AM80" i="35"/>
  <c r="AH138" i="35"/>
  <c r="AN364" i="35"/>
  <c r="AM370" i="35"/>
  <c r="AL55" i="35"/>
  <c r="AM40" i="35"/>
  <c r="AM92" i="35"/>
  <c r="AM79" i="35"/>
  <c r="AK446" i="35"/>
  <c r="AL89" i="35"/>
  <c r="AN115" i="35"/>
  <c r="AI129" i="35"/>
  <c r="AJ50" i="35"/>
  <c r="AH388" i="35"/>
  <c r="AG245" i="35"/>
  <c r="AM145" i="35"/>
  <c r="AK73" i="35"/>
  <c r="AN65" i="35"/>
  <c r="AN472" i="35"/>
  <c r="AI163" i="35"/>
  <c r="AI83" i="35"/>
  <c r="AN42" i="35"/>
  <c r="AH280" i="35"/>
  <c r="AN282" i="35"/>
  <c r="AK444" i="35"/>
  <c r="AN37" i="35"/>
  <c r="AK60" i="35"/>
  <c r="AK365" i="35"/>
  <c r="AL108" i="35"/>
  <c r="AJ349" i="35"/>
  <c r="AG355" i="35"/>
  <c r="AJ378" i="35"/>
  <c r="AJ308" i="35"/>
  <c r="AH486" i="35"/>
  <c r="AG257" i="35"/>
  <c r="AJ416" i="35"/>
  <c r="AI400" i="35"/>
  <c r="AM214" i="35"/>
  <c r="AN252" i="35"/>
  <c r="AG334" i="35"/>
  <c r="AN370" i="35"/>
  <c r="AJ386" i="35"/>
  <c r="AL216" i="35"/>
  <c r="AK291" i="35"/>
  <c r="AI361" i="35"/>
  <c r="AH463" i="35"/>
  <c r="AJ396" i="35"/>
  <c r="AJ506" i="35"/>
  <c r="AM358" i="35"/>
  <c r="AG381" i="35"/>
  <c r="AG269" i="35"/>
  <c r="AH321" i="35"/>
  <c r="AK320" i="35"/>
  <c r="AG344" i="35"/>
  <c r="AI401" i="35"/>
  <c r="AI113" i="35"/>
  <c r="AG267" i="35"/>
  <c r="AL336" i="35"/>
  <c r="AK325" i="35"/>
  <c r="AN368" i="35"/>
  <c r="AK408" i="35"/>
  <c r="AG384" i="35"/>
  <c r="AJ471" i="35"/>
  <c r="AM271" i="35"/>
  <c r="AI204" i="35"/>
  <c r="AM59" i="35"/>
  <c r="AH171" i="35"/>
  <c r="AI86" i="35"/>
  <c r="AK72" i="35"/>
  <c r="AM90" i="35"/>
  <c r="AJ128" i="35"/>
  <c r="AG233" i="35"/>
  <c r="AG68" i="35"/>
  <c r="AK42" i="35"/>
  <c r="AH52" i="35"/>
  <c r="AH127" i="35"/>
  <c r="AK456" i="35"/>
  <c r="AM430" i="35"/>
  <c r="AG266" i="35"/>
  <c r="AL135" i="35"/>
  <c r="AN52" i="35"/>
  <c r="AI34" i="35"/>
  <c r="AJ384" i="35"/>
  <c r="AH245" i="35"/>
  <c r="AK174" i="35"/>
  <c r="AG31" i="35"/>
  <c r="AJ110" i="35"/>
  <c r="AM469" i="35"/>
  <c r="AI273" i="35"/>
  <c r="AI140" i="35"/>
  <c r="AJ210" i="35"/>
  <c r="AH448" i="35"/>
  <c r="AN25" i="35"/>
  <c r="AL370" i="35"/>
  <c r="AJ100" i="35"/>
  <c r="AK22" i="35"/>
  <c r="AM71" i="35"/>
  <c r="AH342" i="35"/>
  <c r="AL493" i="35"/>
  <c r="AM316" i="35"/>
  <c r="AG232" i="35"/>
  <c r="AN51" i="35"/>
  <c r="AL121" i="35"/>
  <c r="AI325" i="35"/>
  <c r="AN54" i="35"/>
  <c r="AL100" i="35"/>
  <c r="AI270" i="35"/>
  <c r="AL59" i="35"/>
  <c r="AJ431" i="35"/>
  <c r="AG424" i="35"/>
  <c r="AJ168" i="35"/>
  <c r="AK98" i="35"/>
  <c r="AI130" i="35"/>
  <c r="AJ148" i="35"/>
  <c r="AM425" i="35"/>
  <c r="AK494" i="35"/>
  <c r="AH424" i="35"/>
  <c r="AG395" i="35"/>
  <c r="AH507" i="35"/>
  <c r="AJ140" i="35"/>
  <c r="AL385" i="35"/>
  <c r="AI374" i="35"/>
  <c r="AM255" i="35"/>
  <c r="AN425" i="35"/>
  <c r="AG476" i="35"/>
  <c r="AJ199" i="35"/>
  <c r="AK312" i="35"/>
  <c r="AK314" i="35"/>
  <c r="AL330" i="35"/>
  <c r="AI390" i="35"/>
  <c r="AG388" i="35"/>
  <c r="AM384" i="35"/>
  <c r="AJ499" i="35"/>
  <c r="AI495" i="35"/>
  <c r="AJ222" i="35"/>
  <c r="AN314" i="35"/>
  <c r="AL223" i="35"/>
  <c r="AJ421" i="35"/>
  <c r="AL259" i="35"/>
  <c r="AI463" i="35"/>
  <c r="AK311" i="35"/>
  <c r="AH457" i="35"/>
  <c r="AN286" i="35"/>
  <c r="AN296" i="35"/>
  <c r="AM195" i="35"/>
  <c r="AL380" i="35"/>
  <c r="AN343" i="35"/>
  <c r="AH261" i="35"/>
  <c r="AH84" i="35"/>
  <c r="AL41" i="35"/>
  <c r="AJ44" i="35"/>
  <c r="AH40" i="35"/>
  <c r="AK51" i="35"/>
  <c r="AJ214" i="35"/>
  <c r="AL106" i="35"/>
  <c r="AK78" i="35"/>
  <c r="AI48" i="35"/>
  <c r="AL235" i="35"/>
  <c r="AI157" i="35"/>
  <c r="AN117" i="35"/>
  <c r="AG100" i="35"/>
  <c r="AJ456" i="35"/>
  <c r="AJ509" i="35"/>
  <c r="AI57" i="35"/>
  <c r="AJ93" i="35"/>
  <c r="AJ29" i="35"/>
  <c r="AN119" i="35"/>
  <c r="AI454" i="35"/>
  <c r="AH48" i="35"/>
  <c r="AI33" i="35"/>
  <c r="AI100" i="35"/>
  <c r="AK168" i="35"/>
  <c r="AI396" i="35"/>
  <c r="AJ246" i="35"/>
  <c r="AI99" i="35"/>
  <c r="AM164" i="35"/>
  <c r="AI250" i="35"/>
  <c r="AN190" i="35"/>
  <c r="AL462" i="35"/>
  <c r="AM137" i="35"/>
  <c r="AN147" i="35"/>
  <c r="AL151" i="35"/>
  <c r="AL150" i="35"/>
  <c r="AG514" i="35"/>
  <c r="AI143" i="35"/>
  <c r="AN67" i="35"/>
  <c r="AL53" i="35"/>
  <c r="AN88" i="35"/>
  <c r="AH442" i="35"/>
  <c r="AN277" i="35"/>
  <c r="AH76" i="35"/>
  <c r="AL242" i="35"/>
  <c r="AN98" i="35"/>
  <c r="AH509" i="35"/>
  <c r="AM262" i="35"/>
  <c r="AH292" i="35"/>
  <c r="AG81" i="35"/>
  <c r="AK49" i="35"/>
  <c r="AH187" i="35"/>
  <c r="AM337" i="35"/>
  <c r="AJ462" i="35"/>
  <c r="AH447" i="35"/>
  <c r="AL401" i="35"/>
  <c r="AL482" i="35"/>
  <c r="AJ80" i="35"/>
  <c r="AI240" i="35"/>
  <c r="AL427" i="35"/>
  <c r="AJ332" i="35"/>
  <c r="AN212" i="35"/>
  <c r="AG160" i="35"/>
  <c r="AG375" i="35"/>
  <c r="AH386" i="35"/>
  <c r="AN504" i="35"/>
  <c r="AN273" i="35"/>
  <c r="AN312" i="35"/>
  <c r="AH285" i="35"/>
  <c r="AG496" i="35"/>
  <c r="AN420" i="35"/>
  <c r="AN483" i="35"/>
  <c r="AG293" i="35"/>
  <c r="AG396" i="35"/>
  <c r="AM392" i="35"/>
  <c r="AG455" i="35"/>
  <c r="AH389" i="35"/>
  <c r="AI482" i="35"/>
  <c r="AM332" i="35"/>
  <c r="AJ324" i="35"/>
  <c r="AH409" i="35"/>
  <c r="AN290" i="35"/>
  <c r="AN132" i="35"/>
  <c r="AJ206" i="35"/>
  <c r="AN409" i="35"/>
  <c r="AK270" i="35"/>
  <c r="AN197" i="35"/>
  <c r="AG86" i="35"/>
  <c r="AG419" i="35"/>
  <c r="AH123" i="35"/>
  <c r="AL161" i="35"/>
  <c r="AL153" i="35"/>
  <c r="AN80" i="35"/>
  <c r="AH111" i="35"/>
  <c r="AN45" i="35"/>
  <c r="AI319" i="35"/>
  <c r="AL315" i="35"/>
  <c r="AJ188" i="35"/>
  <c r="AN94" i="35"/>
  <c r="AM183" i="35"/>
  <c r="AM351" i="35"/>
  <c r="AG130" i="35"/>
  <c r="AJ265" i="35"/>
  <c r="AL86" i="35"/>
  <c r="AN85" i="35"/>
  <c r="AI314" i="35"/>
  <c r="AH44" i="35"/>
  <c r="AH47" i="35"/>
  <c r="AG28" i="35"/>
  <c r="AH348" i="35"/>
  <c r="AG494" i="35"/>
  <c r="AH113" i="35"/>
  <c r="AG63" i="35"/>
  <c r="AM410" i="35"/>
  <c r="AM95" i="35"/>
  <c r="AM218" i="35"/>
  <c r="AH137" i="35"/>
  <c r="AH81" i="35"/>
  <c r="AL226" i="35"/>
  <c r="AH82" i="35"/>
  <c r="AL88" i="35"/>
  <c r="AK287" i="35"/>
  <c r="AI328" i="35"/>
  <c r="AI91" i="35"/>
  <c r="AI50" i="35"/>
  <c r="AK58" i="35"/>
  <c r="AL410" i="35"/>
  <c r="AH270" i="35"/>
  <c r="AG270" i="35"/>
  <c r="AM86" i="35"/>
  <c r="AH60" i="35"/>
  <c r="AM421" i="35"/>
  <c r="AJ169" i="35"/>
  <c r="AN32" i="35"/>
  <c r="AJ167" i="35"/>
  <c r="AG414" i="35"/>
  <c r="AH61" i="35"/>
  <c r="AL378" i="35"/>
  <c r="AN379" i="35"/>
  <c r="AM502" i="35"/>
  <c r="AJ315" i="35"/>
  <c r="AL329" i="35"/>
  <c r="AI247" i="35"/>
  <c r="AG366" i="35"/>
  <c r="AI283" i="35"/>
  <c r="AI292" i="35"/>
  <c r="AH311" i="35"/>
  <c r="AG201" i="35"/>
  <c r="AN268" i="35"/>
  <c r="AL302" i="35"/>
  <c r="AH338" i="35"/>
  <c r="AM336" i="35"/>
  <c r="AK381" i="35"/>
  <c r="AN300" i="35"/>
  <c r="AL218" i="35"/>
  <c r="AJ242" i="35"/>
  <c r="AL261" i="35"/>
  <c r="AM492" i="35"/>
  <c r="AH284" i="35"/>
  <c r="AH438" i="35"/>
  <c r="AI397" i="35"/>
  <c r="AM505" i="35"/>
  <c r="AI340" i="35"/>
  <c r="AL283" i="35"/>
  <c r="AK233" i="35"/>
  <c r="AL295" i="35"/>
  <c r="AL352" i="35"/>
  <c r="AJ374" i="35"/>
  <c r="AH298" i="35"/>
  <c r="AJ484" i="35"/>
  <c r="AH508" i="35"/>
  <c r="AN196" i="35"/>
  <c r="AH151" i="35"/>
  <c r="AL99" i="35"/>
  <c r="AN122" i="35"/>
  <c r="AI322" i="35"/>
  <c r="AH205" i="35"/>
  <c r="AL181" i="35"/>
  <c r="AJ109" i="35"/>
  <c r="AI67" i="35"/>
  <c r="AN214" i="35"/>
  <c r="AH314" i="35"/>
  <c r="AG139" i="35"/>
  <c r="AJ121" i="35"/>
  <c r="AH341" i="35"/>
  <c r="AI403" i="35"/>
  <c r="AJ119" i="35"/>
  <c r="AG30" i="35"/>
  <c r="AM109" i="35"/>
  <c r="AG234" i="35"/>
  <c r="AG337" i="35"/>
  <c r="AH30" i="35"/>
  <c r="AH421" i="35"/>
  <c r="AN220" i="35"/>
  <c r="AJ68" i="35"/>
  <c r="AL511" i="35"/>
  <c r="AK121" i="35"/>
  <c r="AJ75" i="35"/>
  <c r="AH58" i="35"/>
  <c r="AM56" i="35"/>
  <c r="AJ410" i="35"/>
  <c r="AG140" i="35"/>
  <c r="AI36" i="35"/>
  <c r="AG198" i="35"/>
  <c r="AM187" i="35"/>
  <c r="AH37" i="35"/>
  <c r="AN438" i="35"/>
  <c r="AN411" i="35"/>
  <c r="AJ445" i="35"/>
  <c r="AG106" i="35"/>
  <c r="AI26" i="35"/>
  <c r="AL488" i="35"/>
  <c r="AN216" i="35"/>
  <c r="AI60" i="35"/>
  <c r="AK36" i="35"/>
  <c r="AK41" i="35"/>
  <c r="AH444" i="35"/>
  <c r="AL229" i="35"/>
  <c r="AH335" i="35"/>
  <c r="AH55" i="35"/>
  <c r="AL237" i="35"/>
  <c r="AM235" i="35"/>
  <c r="AI266" i="35"/>
  <c r="AN231" i="35"/>
  <c r="AK170" i="35"/>
  <c r="AH396" i="35"/>
  <c r="AI483" i="35"/>
  <c r="AH74" i="35"/>
  <c r="AN355" i="35"/>
  <c r="AK485" i="35"/>
  <c r="AL375" i="35"/>
  <c r="AJ375" i="35"/>
  <c r="AN173" i="35"/>
  <c r="AI288" i="35"/>
  <c r="AL285" i="35"/>
  <c r="AI203" i="35"/>
  <c r="AL134" i="35"/>
  <c r="AK327" i="35"/>
  <c r="AH387" i="35"/>
  <c r="AI345" i="35"/>
  <c r="AK436" i="35"/>
  <c r="AJ417" i="35"/>
  <c r="AG163" i="35"/>
  <c r="AN351" i="35"/>
  <c r="AL371" i="35"/>
  <c r="AN302" i="35"/>
  <c r="AN255" i="35"/>
  <c r="AL265" i="35"/>
  <c r="AG406" i="35"/>
  <c r="AL402" i="35"/>
  <c r="AG373" i="35"/>
  <c r="AN168" i="35"/>
  <c r="AJ415" i="35"/>
  <c r="AK415" i="35"/>
  <c r="AH247" i="35"/>
  <c r="AN327" i="35"/>
  <c r="AG361" i="35"/>
  <c r="AM123" i="35"/>
  <c r="AG99" i="35"/>
  <c r="AI136" i="35"/>
  <c r="AI35" i="35"/>
  <c r="AG56" i="35"/>
  <c r="AN266" i="35"/>
  <c r="AJ45" i="35"/>
  <c r="AH99" i="35"/>
  <c r="AH110" i="35"/>
  <c r="AJ244" i="35"/>
  <c r="AL207" i="35"/>
  <c r="AN149" i="35"/>
  <c r="AK374" i="35"/>
  <c r="AG350" i="35"/>
  <c r="AJ118" i="35"/>
  <c r="AI160" i="35"/>
  <c r="AI264" i="35"/>
  <c r="AG285" i="35"/>
  <c r="AI376" i="35"/>
  <c r="AJ42" i="35"/>
  <c r="AG156" i="35"/>
  <c r="AI71" i="35"/>
  <c r="AL30" i="35"/>
  <c r="AG389" i="35"/>
  <c r="AI22" i="35"/>
  <c r="AH75" i="35"/>
  <c r="AM72" i="35"/>
  <c r="AN287" i="35"/>
  <c r="AL471" i="35"/>
  <c r="AH482" i="35"/>
  <c r="AG36" i="35"/>
  <c r="AH153" i="35"/>
  <c r="AH59" i="35"/>
  <c r="AJ111" i="35"/>
  <c r="AH459" i="35"/>
  <c r="AM158" i="35"/>
  <c r="AN175" i="35"/>
  <c r="AK24" i="35"/>
  <c r="AN275" i="35"/>
  <c r="AJ457" i="35"/>
  <c r="AN180" i="35"/>
  <c r="AH33" i="35"/>
  <c r="AK26" i="35"/>
  <c r="AJ304" i="35"/>
  <c r="AL458" i="35"/>
  <c r="AK227" i="35"/>
  <c r="AG131" i="35"/>
  <c r="AK65" i="35"/>
  <c r="AG20" i="35"/>
  <c r="AH248" i="35"/>
  <c r="AK437" i="35"/>
  <c r="AI260" i="35"/>
  <c r="AG467" i="35"/>
  <c r="AM437" i="35"/>
  <c r="AM445" i="35"/>
  <c r="AN360" i="35"/>
  <c r="AI430" i="35"/>
  <c r="AK361" i="35"/>
  <c r="AM279" i="35"/>
  <c r="AL220" i="35"/>
  <c r="AG304" i="35"/>
  <c r="AK463" i="35"/>
  <c r="AK299" i="35"/>
  <c r="AG454" i="35"/>
  <c r="AK428" i="35"/>
  <c r="AG368" i="35"/>
  <c r="AI271" i="35"/>
  <c r="AM369" i="35"/>
  <c r="AH244" i="35"/>
  <c r="AK319" i="35"/>
  <c r="AN313" i="35"/>
  <c r="AK313" i="35"/>
  <c r="AN243" i="35"/>
  <c r="AI346" i="35"/>
  <c r="AI265" i="35"/>
  <c r="AK167" i="35"/>
  <c r="AG294" i="35"/>
  <c r="AH489" i="35"/>
  <c r="AL343" i="35"/>
  <c r="AI382" i="35"/>
  <c r="AM333" i="35"/>
  <c r="AJ339" i="35"/>
  <c r="AL474" i="35"/>
  <c r="AG345" i="35"/>
  <c r="AI137" i="35"/>
  <c r="AM307" i="35"/>
  <c r="AM73" i="35"/>
  <c r="AK90" i="35"/>
  <c r="AH145" i="35"/>
  <c r="AK232" i="35"/>
  <c r="AH156" i="35"/>
  <c r="AK79" i="35"/>
  <c r="AI55" i="35"/>
  <c r="AM24" i="35"/>
  <c r="AH204" i="35"/>
  <c r="AI114" i="35"/>
  <c r="AL262" i="35"/>
  <c r="AM468" i="35"/>
  <c r="AN229" i="35"/>
  <c r="AL120" i="35"/>
  <c r="AL73" i="35"/>
  <c r="AM172" i="35"/>
  <c r="AJ105" i="35"/>
  <c r="AH460" i="35"/>
  <c r="AL173" i="35"/>
  <c r="AI280" i="35"/>
  <c r="AN198" i="35"/>
  <c r="AM57" i="35"/>
  <c r="AL405" i="35"/>
  <c r="AN172" i="35"/>
  <c r="AM70" i="35"/>
  <c r="AN223" i="35"/>
  <c r="AI126" i="35"/>
  <c r="AM428" i="35"/>
  <c r="AH142" i="35"/>
  <c r="AK154" i="35"/>
  <c r="AK40" i="35"/>
  <c r="AJ268" i="35"/>
  <c r="AM349" i="35"/>
  <c r="AN318" i="35"/>
  <c r="AI262" i="35"/>
  <c r="AH24" i="35"/>
  <c r="AI103" i="35"/>
  <c r="AK281" i="35"/>
  <c r="AN508" i="35"/>
  <c r="AK204" i="35"/>
  <c r="AH305" i="35"/>
  <c r="AI29" i="35"/>
  <c r="AK130" i="35"/>
  <c r="AH304" i="35"/>
  <c r="AG264" i="35"/>
  <c r="AM51" i="35"/>
  <c r="AG97" i="35"/>
  <c r="AI66" i="35"/>
  <c r="AI452" i="35"/>
  <c r="AM439" i="35"/>
  <c r="AG507" i="35"/>
  <c r="AM406" i="35"/>
  <c r="AL358" i="35"/>
  <c r="AG386" i="35"/>
  <c r="AJ98" i="35"/>
  <c r="AM353" i="35"/>
  <c r="AG339" i="35"/>
  <c r="AI372" i="35"/>
  <c r="AK302" i="35"/>
  <c r="AM204" i="35"/>
  <c r="AK483" i="35"/>
  <c r="AK309" i="35"/>
  <c r="AL327" i="35"/>
  <c r="AM282" i="35"/>
  <c r="AI154" i="35"/>
  <c r="AI199" i="35"/>
  <c r="AK338" i="35"/>
  <c r="AK370" i="35"/>
  <c r="AG222" i="35"/>
  <c r="AG410" i="35"/>
  <c r="AL273" i="35"/>
  <c r="AN341" i="35"/>
  <c r="AH308" i="35"/>
  <c r="AK439" i="35"/>
  <c r="AL349" i="35"/>
  <c r="AK369" i="35"/>
  <c r="AJ433" i="35"/>
  <c r="AG280" i="35"/>
  <c r="AL270" i="35"/>
  <c r="AK324" i="35"/>
  <c r="AG468" i="35"/>
  <c r="AL247" i="35"/>
  <c r="AJ202" i="35"/>
  <c r="AI308" i="35"/>
  <c r="AK25" i="35"/>
  <c r="AN79" i="35"/>
  <c r="AJ53" i="35"/>
  <c r="AM134" i="35"/>
  <c r="AJ291" i="35"/>
  <c r="AM103" i="35"/>
  <c r="AK62" i="35"/>
  <c r="AG21" i="35"/>
  <c r="AJ178" i="35"/>
  <c r="AG239" i="35"/>
  <c r="AM48" i="35"/>
  <c r="AL36" i="35"/>
  <c r="AM395" i="35"/>
  <c r="AG50" i="35"/>
  <c r="AM250" i="35"/>
  <c r="AI45" i="35"/>
  <c r="AH162" i="35"/>
  <c r="AL509" i="35"/>
  <c r="AG421" i="35"/>
  <c r="AL37" i="35"/>
  <c r="AG33" i="35"/>
  <c r="AG73" i="35"/>
  <c r="AM128" i="35"/>
  <c r="AM490" i="35"/>
  <c r="AJ99" i="35"/>
  <c r="AG252" i="35"/>
  <c r="AI79" i="35"/>
  <c r="AG445" i="35"/>
  <c r="AM345" i="35"/>
  <c r="AN97" i="35"/>
  <c r="AL255" i="35"/>
  <c r="AM411" i="35"/>
  <c r="AL28" i="35"/>
  <c r="AJ297" i="35"/>
  <c r="AM513" i="35"/>
  <c r="AJ158" i="35"/>
  <c r="AI111" i="35"/>
  <c r="AH38" i="35"/>
  <c r="AK20" i="35"/>
  <c r="AN396" i="35"/>
  <c r="AG170" i="35"/>
  <c r="AJ21" i="35"/>
  <c r="AG207" i="35"/>
  <c r="AJ39" i="35"/>
  <c r="AG509" i="35"/>
  <c r="AL239" i="35"/>
  <c r="AN274" i="35"/>
  <c r="AG38" i="35"/>
  <c r="AN28" i="35"/>
  <c r="AI484" i="35"/>
  <c r="AG352" i="35"/>
  <c r="AM198" i="35"/>
  <c r="AL424" i="35"/>
  <c r="AM499" i="35"/>
  <c r="AG493" i="35"/>
  <c r="AG177" i="35"/>
  <c r="AN324" i="35"/>
  <c r="AK195" i="35"/>
  <c r="AG306" i="35"/>
  <c r="AI274" i="35"/>
  <c r="AG332" i="35"/>
  <c r="AH236" i="35"/>
  <c r="AG157" i="35"/>
  <c r="AK345" i="35"/>
  <c r="AI258" i="35"/>
  <c r="AN294" i="35"/>
  <c r="AG262" i="35"/>
  <c r="AK342" i="35"/>
  <c r="AN399" i="35"/>
  <c r="AN390" i="35"/>
  <c r="AI277" i="35"/>
  <c r="AI286" i="35"/>
  <c r="AK301" i="35"/>
  <c r="AK328" i="35"/>
  <c r="AM322" i="35"/>
  <c r="AI360" i="35"/>
  <c r="AN330" i="35"/>
  <c r="AG423" i="35"/>
  <c r="AG296" i="35"/>
  <c r="AN289" i="35"/>
  <c r="AI332" i="35"/>
  <c r="AM408" i="35"/>
  <c r="AN376" i="35"/>
  <c r="AL485" i="35"/>
  <c r="AM156" i="35"/>
  <c r="AG158" i="35"/>
  <c r="AI141" i="35"/>
  <c r="AI414" i="35"/>
  <c r="AK264" i="35"/>
  <c r="AI69" i="35"/>
  <c r="AK38" i="35"/>
  <c r="AJ122" i="35"/>
  <c r="AI118" i="35"/>
  <c r="AN91" i="35"/>
  <c r="AM45" i="35"/>
  <c r="AK68" i="35"/>
  <c r="AN53" i="35"/>
  <c r="AM289" i="35"/>
  <c r="AJ195" i="35"/>
  <c r="AM68" i="35"/>
  <c r="AJ66" i="35"/>
  <c r="AH41" i="35"/>
  <c r="AI367" i="35"/>
  <c r="AG338" i="35"/>
  <c r="AM259" i="35"/>
  <c r="AH201" i="35"/>
  <c r="AM253" i="35"/>
  <c r="AL29" i="35"/>
  <c r="AM442" i="35"/>
  <c r="AH94" i="35"/>
  <c r="AH46" i="35"/>
  <c r="AN20" i="35"/>
  <c r="AK64" i="35"/>
  <c r="AK210" i="35"/>
  <c r="AG76" i="35"/>
  <c r="AG224" i="35"/>
  <c r="AN234" i="35"/>
  <c r="AL42" i="35"/>
  <c r="AJ325" i="35"/>
  <c r="AK180" i="35"/>
  <c r="AG72" i="35"/>
  <c r="AN157" i="35"/>
  <c r="AH297" i="35"/>
  <c r="AH31" i="35"/>
  <c r="AL450" i="35"/>
  <c r="AN319" i="35"/>
  <c r="AG52" i="35"/>
  <c r="AI27" i="35"/>
  <c r="AJ23" i="35"/>
  <c r="AI491" i="35"/>
  <c r="AL212" i="35"/>
  <c r="AI31" i="35"/>
  <c r="AL48" i="35"/>
  <c r="AG298" i="35"/>
  <c r="AN445" i="35"/>
  <c r="AG299" i="35"/>
  <c r="AM449" i="35"/>
  <c r="AH440" i="35"/>
  <c r="AK478" i="35"/>
  <c r="AM482" i="35"/>
  <c r="AI300" i="35"/>
  <c r="AK326" i="35"/>
  <c r="AG255" i="35"/>
  <c r="AG392" i="35"/>
  <c r="AL254" i="35"/>
  <c r="AM227" i="35"/>
  <c r="AM302" i="35"/>
  <c r="AI251" i="35"/>
  <c r="AK331" i="35"/>
  <c r="AI398" i="35"/>
  <c r="AN395" i="35"/>
  <c r="AJ402" i="35"/>
  <c r="AJ341" i="35"/>
  <c r="AL387" i="35"/>
  <c r="AH429" i="35"/>
  <c r="AM202" i="35"/>
  <c r="AM256" i="35"/>
  <c r="AN195" i="35"/>
  <c r="AM280" i="35"/>
  <c r="AI225" i="35"/>
  <c r="AJ473" i="35"/>
  <c r="AK277" i="35"/>
  <c r="AK346" i="35"/>
  <c r="AH262" i="35"/>
  <c r="AJ420" i="35"/>
  <c r="AG379" i="35"/>
  <c r="AI119" i="35"/>
  <c r="AK140" i="35"/>
  <c r="AH302" i="35"/>
  <c r="AG215" i="35"/>
  <c r="AI90" i="35"/>
  <c r="AN225" i="35"/>
  <c r="AH427" i="35"/>
  <c r="AM199" i="35"/>
  <c r="AM98" i="35"/>
  <c r="AJ190" i="35"/>
  <c r="AH106" i="35"/>
  <c r="AN24" i="35"/>
  <c r="AI171" i="35"/>
  <c r="AG265" i="35"/>
  <c r="AJ20" i="35"/>
  <c r="AM165" i="35"/>
  <c r="AM207" i="35"/>
  <c r="AM238" i="35"/>
  <c r="AM181" i="35"/>
  <c r="AH198" i="35"/>
  <c r="AI28" i="35"/>
  <c r="AN449" i="35"/>
  <c r="AI289" i="35"/>
  <c r="AL77" i="35"/>
  <c r="AI97" i="35"/>
  <c r="AN136" i="35"/>
  <c r="AN178" i="35"/>
  <c r="AK173" i="35"/>
  <c r="AJ94" i="35"/>
  <c r="AL253" i="35"/>
  <c r="AJ82" i="35"/>
  <c r="AG24" i="35"/>
  <c r="AJ238" i="35"/>
  <c r="AJ280" i="35"/>
  <c r="AI54" i="35"/>
  <c r="AK334" i="35"/>
  <c r="AH20" i="35"/>
  <c r="AI212" i="35"/>
  <c r="AK412" i="35"/>
  <c r="AK285" i="35"/>
  <c r="AM26" i="35"/>
  <c r="AL125" i="35"/>
  <c r="AM53" i="35"/>
  <c r="AN369" i="35"/>
  <c r="AJ150" i="35"/>
  <c r="AI152" i="35"/>
  <c r="AN61" i="35"/>
  <c r="AH34" i="35"/>
  <c r="AM484" i="35"/>
  <c r="AK214" i="35"/>
  <c r="AH57" i="35"/>
  <c r="AN200" i="35"/>
  <c r="AL63" i="35"/>
  <c r="AM422" i="35"/>
  <c r="AK459" i="35"/>
  <c r="AH431" i="35"/>
  <c r="AN457" i="35"/>
  <c r="AM189" i="35"/>
  <c r="AN497" i="35"/>
  <c r="AM94" i="35"/>
  <c r="AK451" i="35"/>
  <c r="AH320" i="35"/>
  <c r="AM298" i="35"/>
  <c r="AL362" i="35"/>
  <c r="AL414" i="35"/>
  <c r="AI298" i="35"/>
  <c r="AG268" i="35"/>
  <c r="AJ184" i="35"/>
  <c r="AM438" i="35"/>
  <c r="AG321" i="35"/>
  <c r="AL494" i="35"/>
  <c r="AL326" i="35"/>
  <c r="AK500" i="35"/>
  <c r="AM363" i="35"/>
  <c r="AK265" i="35"/>
  <c r="AI342" i="35"/>
  <c r="AG398" i="35"/>
  <c r="AK402" i="35"/>
  <c r="AM400" i="35"/>
  <c r="AM129" i="35"/>
  <c r="AM292" i="35"/>
  <c r="AM407" i="35"/>
  <c r="AJ356" i="35"/>
  <c r="AH443" i="35"/>
  <c r="AI116" i="35"/>
  <c r="AJ327" i="35"/>
  <c r="AI472" i="35"/>
  <c r="AL335" i="35"/>
  <c r="AN189" i="35"/>
  <c r="AL51" i="35"/>
  <c r="AM144" i="35"/>
  <c r="AJ216" i="35"/>
  <c r="AI146" i="35"/>
  <c r="AG164" i="35"/>
  <c r="AN366" i="35"/>
  <c r="AK185" i="35"/>
  <c r="AG42" i="35"/>
  <c r="AJ88" i="35"/>
  <c r="AJ30" i="35"/>
  <c r="AL225" i="35"/>
  <c r="AK71" i="35"/>
  <c r="AK384" i="35"/>
  <c r="AJ87" i="35"/>
  <c r="AI181" i="35"/>
  <c r="AM310" i="35"/>
  <c r="AH130" i="35"/>
  <c r="AH372" i="35"/>
  <c r="AM283" i="35"/>
  <c r="AJ77" i="35"/>
  <c r="AJ71" i="35"/>
  <c r="AN73" i="35"/>
  <c r="AG107" i="35"/>
  <c r="AI182" i="35"/>
  <c r="AH87" i="35"/>
  <c r="AL263" i="35"/>
  <c r="AN76" i="35"/>
  <c r="AJ40" i="35"/>
  <c r="AK481" i="35"/>
  <c r="AN253" i="35"/>
  <c r="AG54" i="35"/>
  <c r="AH107" i="35"/>
  <c r="AH90" i="35"/>
  <c r="AI354" i="35"/>
  <c r="AH506" i="35"/>
  <c r="AL234" i="35"/>
  <c r="AL72" i="35"/>
  <c r="AL117" i="35"/>
  <c r="AK145" i="35"/>
  <c r="AK455" i="35"/>
  <c r="AM43" i="35"/>
  <c r="AI291" i="35"/>
  <c r="AG144" i="35"/>
  <c r="AJ208" i="35"/>
  <c r="AL481" i="35"/>
  <c r="AJ33" i="35"/>
  <c r="AM247" i="35"/>
  <c r="AN110" i="35"/>
  <c r="AH206" i="35"/>
  <c r="AM329" i="35"/>
  <c r="AI413" i="35"/>
  <c r="AN416" i="35"/>
  <c r="AK246" i="35"/>
  <c r="AI269" i="35"/>
  <c r="AJ248" i="35"/>
  <c r="AK464" i="35"/>
  <c r="AI249" i="35"/>
  <c r="AM111" i="35"/>
  <c r="AK295" i="35"/>
  <c r="AI375" i="35"/>
  <c r="AM404" i="35"/>
  <c r="AN477" i="35"/>
  <c r="AH350" i="35"/>
  <c r="AK473" i="35"/>
  <c r="AI356" i="35"/>
  <c r="AH501" i="35"/>
  <c r="AG488" i="35"/>
  <c r="AI284" i="35"/>
  <c r="AI431" i="35"/>
  <c r="AG242" i="35"/>
  <c r="AH412" i="35"/>
  <c r="AJ256" i="35"/>
  <c r="AM443" i="35"/>
  <c r="AJ292" i="35"/>
  <c r="AH480" i="35"/>
  <c r="AN359" i="35"/>
  <c r="AJ260" i="35"/>
  <c r="AI329" i="35"/>
  <c r="AN262" i="35"/>
  <c r="AI254" i="35"/>
  <c r="AH319" i="35"/>
  <c r="AN349" i="35"/>
  <c r="AL490" i="35"/>
  <c r="AG457" i="35"/>
  <c r="AJ275" i="35"/>
  <c r="AH92" i="35"/>
  <c r="AK156" i="35"/>
  <c r="AL314" i="35"/>
  <c r="AG209" i="35"/>
  <c r="AK54" i="35"/>
  <c r="AN332" i="35"/>
  <c r="AK44" i="35"/>
  <c r="AJ241" i="35"/>
  <c r="AI105" i="35"/>
  <c r="AH39" i="35"/>
  <c r="AH63" i="35"/>
  <c r="AG132" i="35"/>
  <c r="AL396" i="35"/>
  <c r="AH73" i="35"/>
  <c r="AK67" i="35"/>
  <c r="AN64" i="35"/>
  <c r="AJ136" i="35"/>
  <c r="AG503" i="35"/>
  <c r="AM127" i="35"/>
  <c r="AM143" i="35"/>
  <c r="AK76" i="35"/>
  <c r="AM115" i="35"/>
  <c r="AH69" i="35"/>
  <c r="AK339" i="35"/>
  <c r="AI88" i="35"/>
  <c r="AG94" i="35"/>
  <c r="AL102" i="35"/>
  <c r="AG194" i="35"/>
  <c r="AK375" i="35"/>
  <c r="AL251" i="35"/>
  <c r="AI32" i="35"/>
  <c r="AL230" i="35"/>
  <c r="AJ31" i="35"/>
  <c r="AH453" i="35"/>
  <c r="AJ229" i="35"/>
  <c r="AN279" i="35"/>
  <c r="AM211" i="35"/>
  <c r="AM223" i="35"/>
  <c r="AK305" i="35"/>
  <c r="AG399" i="35"/>
  <c r="AJ138" i="35"/>
  <c r="AJ41" i="35"/>
  <c r="AM42" i="35"/>
  <c r="AL303" i="35"/>
  <c r="AG508" i="35"/>
  <c r="AG98" i="35"/>
  <c r="AL54" i="35"/>
  <c r="AL172" i="35"/>
  <c r="AH170" i="35"/>
  <c r="AN267" i="35"/>
  <c r="AL480" i="35"/>
  <c r="AL293" i="35"/>
  <c r="AL443" i="35"/>
  <c r="AG477" i="35"/>
  <c r="AM36" i="35"/>
  <c r="AL170" i="35"/>
  <c r="AK292" i="35"/>
  <c r="AH329" i="35"/>
  <c r="AH382" i="35"/>
  <c r="AK417" i="35"/>
  <c r="AN137" i="35"/>
  <c r="AH238" i="35"/>
  <c r="AK351" i="35"/>
  <c r="AM343" i="35"/>
  <c r="AJ220" i="35"/>
  <c r="AK364" i="35"/>
  <c r="AJ414" i="35"/>
  <c r="AJ287" i="35"/>
  <c r="AK490" i="35"/>
  <c r="AK337" i="35"/>
  <c r="AK131" i="35"/>
  <c r="AK360" i="35"/>
  <c r="AN404" i="35"/>
  <c r="AL360" i="35"/>
  <c r="AN378" i="35"/>
  <c r="AJ398" i="35"/>
  <c r="AG354" i="35"/>
  <c r="AI321" i="35"/>
  <c r="AN392" i="35"/>
  <c r="AN150" i="35"/>
  <c r="AG341" i="35"/>
  <c r="AM296" i="35"/>
  <c r="AM393" i="35"/>
  <c r="AN308" i="35"/>
  <c r="AU38" i="35"/>
  <c r="AU62" i="35"/>
  <c r="AU86" i="35"/>
  <c r="AU110" i="35"/>
  <c r="AU134" i="35"/>
  <c r="AV32" i="35"/>
  <c r="AV56" i="35"/>
  <c r="AV80" i="35"/>
  <c r="AV104" i="35"/>
  <c r="AV128" i="35"/>
  <c r="AS25" i="35"/>
  <c r="AS49" i="35"/>
  <c r="AS73" i="35"/>
  <c r="AS97" i="35"/>
  <c r="AS121" i="35"/>
  <c r="AS145" i="35"/>
  <c r="AP42" i="35"/>
  <c r="AU40" i="35"/>
  <c r="AU64" i="35"/>
  <c r="AU88" i="35"/>
  <c r="AU112" i="35"/>
  <c r="AU136" i="35"/>
  <c r="AR36" i="35"/>
  <c r="AR60" i="35"/>
  <c r="AS33" i="35"/>
  <c r="AS57" i="35"/>
  <c r="AS81" i="35"/>
  <c r="AS105" i="35"/>
  <c r="AS129" i="35"/>
  <c r="AT33" i="35"/>
  <c r="AT57" i="35"/>
  <c r="AT81" i="35"/>
  <c r="AT105" i="35"/>
  <c r="AT129" i="35"/>
  <c r="AU51" i="35"/>
  <c r="AV102" i="35"/>
  <c r="AO148" i="35"/>
  <c r="AV21" i="35"/>
  <c r="AO82" i="35"/>
  <c r="AO130" i="35"/>
  <c r="AT161" i="35"/>
  <c r="AT35" i="35"/>
  <c r="AT91" i="35"/>
  <c r="AT139" i="35"/>
  <c r="AR166" i="35"/>
  <c r="AR190" i="35"/>
  <c r="AR214" i="35"/>
  <c r="AV76" i="35"/>
  <c r="AV124" i="35"/>
  <c r="AO37" i="35"/>
  <c r="AR92" i="35"/>
  <c r="AP57" i="35"/>
  <c r="AS107" i="35"/>
  <c r="AP34" i="35"/>
  <c r="AU90" i="35"/>
  <c r="AU138" i="35"/>
  <c r="AV165" i="35"/>
  <c r="AV189" i="35"/>
  <c r="AU24" i="35"/>
  <c r="AV145" i="35"/>
  <c r="AU180" i="35"/>
  <c r="AS209" i="35"/>
  <c r="AP234" i="35"/>
  <c r="AP258" i="35"/>
  <c r="AP124" i="35"/>
  <c r="AU173" i="35"/>
  <c r="AO25" i="35"/>
  <c r="AP147" i="35"/>
  <c r="AP181" i="35"/>
  <c r="AP208" i="35"/>
  <c r="AP78" i="35"/>
  <c r="AS159" i="35"/>
  <c r="AP84" i="35"/>
  <c r="AT178" i="35"/>
  <c r="AR213" i="35"/>
  <c r="AU240" i="35"/>
  <c r="AT266" i="35"/>
  <c r="AQ153" i="35"/>
  <c r="AR195" i="35"/>
  <c r="AP226" i="35"/>
  <c r="AR252" i="35"/>
  <c r="AQ277" i="35"/>
  <c r="AV144" i="35"/>
  <c r="AO191" i="35"/>
  <c r="AM236" i="35"/>
  <c r="AQ40" i="35"/>
  <c r="AQ64" i="35"/>
  <c r="AQ88" i="35"/>
  <c r="AQ112" i="35"/>
  <c r="AQ136" i="35"/>
  <c r="AR34" i="35"/>
  <c r="AR58" i="35"/>
  <c r="AR82" i="35"/>
  <c r="AR106" i="35"/>
  <c r="AR130" i="35"/>
  <c r="AO27" i="35"/>
  <c r="AO51" i="35"/>
  <c r="AO75" i="35"/>
  <c r="AO99" i="35"/>
  <c r="AO123" i="35"/>
  <c r="AO147" i="35"/>
  <c r="AT43" i="35"/>
  <c r="AQ42" i="35"/>
  <c r="AQ66" i="35"/>
  <c r="AQ90" i="35"/>
  <c r="AQ114" i="35"/>
  <c r="AQ138" i="35"/>
  <c r="AV37" i="35"/>
  <c r="AV61" i="35"/>
  <c r="AO35" i="35"/>
  <c r="AO59" i="35"/>
  <c r="AO83" i="35"/>
  <c r="AO107" i="35"/>
  <c r="AO131" i="35"/>
  <c r="AP35" i="35"/>
  <c r="AP59" i="35"/>
  <c r="AP83" i="35"/>
  <c r="AP107" i="35"/>
  <c r="AP131" i="35"/>
  <c r="AO55" i="35"/>
  <c r="AV105" i="35"/>
  <c r="AS149" i="35"/>
  <c r="AR26" i="35"/>
  <c r="AO85" i="35"/>
  <c r="AO133" i="35"/>
  <c r="AP163" i="35"/>
  <c r="AP40" i="35"/>
  <c r="AT94" i="35"/>
  <c r="AP142" i="35"/>
  <c r="AV167" i="35"/>
  <c r="AV191" i="35"/>
  <c r="AV215" i="35"/>
  <c r="AV79" i="35"/>
  <c r="AV127" i="35"/>
  <c r="AS41" i="35"/>
  <c r="AR95" i="35"/>
  <c r="AV60" i="35"/>
  <c r="AS110" i="35"/>
  <c r="AT38" i="35"/>
  <c r="AU93" i="35"/>
  <c r="AS141" i="35"/>
  <c r="AR167" i="35"/>
  <c r="AR23" i="35"/>
  <c r="AQ38" i="35"/>
  <c r="AO149" i="35"/>
  <c r="AT182" i="35"/>
  <c r="AP211" i="35"/>
  <c r="AT235" i="35"/>
  <c r="AT259" i="35"/>
  <c r="AP130" i="35"/>
  <c r="AT175" i="35"/>
  <c r="AS38" i="35"/>
  <c r="AQ149" i="35"/>
  <c r="AO183" i="35"/>
  <c r="AU209" i="35"/>
  <c r="AP85" i="35"/>
  <c r="AS29" i="35"/>
  <c r="AT98" i="35"/>
  <c r="AQ181" i="35"/>
  <c r="AQ215" i="35"/>
  <c r="AR242" i="35"/>
  <c r="AP268" i="35"/>
  <c r="AQ156" i="35"/>
  <c r="AR197" i="35"/>
  <c r="AU227" i="35"/>
  <c r="AO254" i="35"/>
  <c r="AU278" i="35"/>
  <c r="AU149" i="35"/>
  <c r="AO193" i="35"/>
  <c r="AM426" i="35"/>
  <c r="AO203" i="35"/>
  <c r="AU41" i="35"/>
  <c r="AU65" i="35"/>
  <c r="AU89" i="35"/>
  <c r="AU113" i="35"/>
  <c r="AU137" i="35"/>
  <c r="AV35" i="35"/>
  <c r="AV59" i="35"/>
  <c r="AV83" i="35"/>
  <c r="AV107" i="35"/>
  <c r="AV131" i="35"/>
  <c r="AS28" i="35"/>
  <c r="AS52" i="35"/>
  <c r="AS76" i="35"/>
  <c r="AS100" i="35"/>
  <c r="AS124" i="35"/>
  <c r="AP21" i="35"/>
  <c r="AP45" i="35"/>
  <c r="AU43" i="35"/>
  <c r="AU67" i="35"/>
  <c r="AU91" i="35"/>
  <c r="AU115" i="35"/>
  <c r="AU139" i="35"/>
  <c r="AR39" i="35"/>
  <c r="AR63" i="35"/>
  <c r="AS36" i="35"/>
  <c r="AS60" i="35"/>
  <c r="AS84" i="35"/>
  <c r="AS108" i="35"/>
  <c r="AS132" i="35"/>
  <c r="AT36" i="35"/>
  <c r="AT60" i="35"/>
  <c r="AT84" i="35"/>
  <c r="AT108" i="35"/>
  <c r="AT132" i="35"/>
  <c r="AT58" i="35"/>
  <c r="AV108" i="35"/>
  <c r="AO151" i="35"/>
  <c r="AV30" i="35"/>
  <c r="AO88" i="35"/>
  <c r="AO136" i="35"/>
  <c r="AT164" i="35"/>
  <c r="AT44" i="35"/>
  <c r="AT97" i="35"/>
  <c r="AT144" i="35"/>
  <c r="AR169" i="35"/>
  <c r="AR193" i="35"/>
  <c r="AQ23" i="35"/>
  <c r="AV82" i="35"/>
  <c r="AV130" i="35"/>
  <c r="AO46" i="35"/>
  <c r="AR98" i="35"/>
  <c r="AP64" i="35"/>
  <c r="AS113" i="35"/>
  <c r="AP43" i="35"/>
  <c r="AU96" i="35"/>
  <c r="AT143" i="35"/>
  <c r="AV168" i="35"/>
  <c r="AV36" i="35"/>
  <c r="AR50" i="35"/>
  <c r="AU151" i="35"/>
  <c r="AS184" i="35"/>
  <c r="AU212" i="35"/>
  <c r="AP237" i="35"/>
  <c r="AP261" i="35"/>
  <c r="AP136" i="35"/>
  <c r="AR177" i="35"/>
  <c r="AT50" i="35"/>
  <c r="AO152" i="35"/>
  <c r="AU184" i="35"/>
  <c r="AS211" i="35"/>
  <c r="AT92" i="35"/>
  <c r="AO43" i="35"/>
  <c r="AQ113" i="35"/>
  <c r="AS183" i="35"/>
  <c r="AP217" i="35"/>
  <c r="AO244" i="35"/>
  <c r="AT269" i="35"/>
  <c r="AU159" i="35"/>
  <c r="AS199" i="35"/>
  <c r="AR229" i="35"/>
  <c r="AT255" i="35"/>
  <c r="AQ280" i="35"/>
  <c r="AR153" i="35"/>
  <c r="AS195" i="35"/>
  <c r="AJ474" i="35"/>
  <c r="AQ43" i="35"/>
  <c r="AQ67" i="35"/>
  <c r="AQ91" i="35"/>
  <c r="AQ115" i="35"/>
  <c r="AQ139" i="35"/>
  <c r="AR37" i="35"/>
  <c r="AR61" i="35"/>
  <c r="AR85" i="35"/>
  <c r="AR109" i="35"/>
  <c r="AR133" i="35"/>
  <c r="AO30" i="35"/>
  <c r="AO54" i="35"/>
  <c r="AO78" i="35"/>
  <c r="AO102" i="35"/>
  <c r="AO126" i="35"/>
  <c r="AT22" i="35"/>
  <c r="AQ21" i="35"/>
  <c r="AQ45" i="35"/>
  <c r="AQ69" i="35"/>
  <c r="AQ93" i="35"/>
  <c r="AQ117" i="35"/>
  <c r="AQ141" i="35"/>
  <c r="AV40" i="35"/>
  <c r="AV64" i="35"/>
  <c r="AO38" i="35"/>
  <c r="AO62" i="35"/>
  <c r="AO86" i="35"/>
  <c r="AO110" i="35"/>
  <c r="AO134" i="35"/>
  <c r="AP38" i="35"/>
  <c r="AP62" i="35"/>
  <c r="AP86" i="35"/>
  <c r="AP110" i="35"/>
  <c r="AP134" i="35"/>
  <c r="AR62" i="35"/>
  <c r="AV111" i="35"/>
  <c r="AS152" i="35"/>
  <c r="AR35" i="35"/>
  <c r="AO91" i="35"/>
  <c r="AO139" i="35"/>
  <c r="AP166" i="35"/>
  <c r="AV48" i="35"/>
  <c r="AT100" i="35"/>
  <c r="AS146" i="35"/>
  <c r="AV170" i="35"/>
  <c r="AV194" i="35"/>
  <c r="AU27" i="35"/>
  <c r="AV85" i="35"/>
  <c r="AV133" i="35"/>
  <c r="AT49" i="35"/>
  <c r="AR101" i="35"/>
  <c r="AQ68" i="35"/>
  <c r="AS116" i="35"/>
  <c r="AS47" i="35"/>
  <c r="AU99" i="35"/>
  <c r="AO146" i="35"/>
  <c r="AR170" i="35"/>
  <c r="AP49" i="35"/>
  <c r="AO58" i="35"/>
  <c r="AQ154" i="35"/>
  <c r="AQ186" i="35"/>
  <c r="AS214" i="35"/>
  <c r="AT238" i="35"/>
  <c r="AT262" i="35"/>
  <c r="AO142" i="35"/>
  <c r="AP179" i="35"/>
  <c r="AP60" i="35"/>
  <c r="AT154" i="35"/>
  <c r="AS186" i="35"/>
  <c r="AP213" i="35"/>
  <c r="AR99" i="35"/>
  <c r="AP54" i="35"/>
  <c r="AR125" i="35"/>
  <c r="AU185" i="35"/>
  <c r="AV218" i="35"/>
  <c r="AT245" i="35"/>
  <c r="AP271" i="35"/>
  <c r="AT162" i="35"/>
  <c r="AU201" i="35"/>
  <c r="AO231" i="35"/>
  <c r="AQ257" i="35"/>
  <c r="AU281" i="35"/>
  <c r="AU156" i="35"/>
  <c r="AM272" i="35"/>
  <c r="AU44" i="35"/>
  <c r="AU68" i="35"/>
  <c r="AU92" i="35"/>
  <c r="AU116" i="35"/>
  <c r="AU140" i="35"/>
  <c r="AV38" i="35"/>
  <c r="AV62" i="35"/>
  <c r="AV86" i="35"/>
  <c r="AV110" i="35"/>
  <c r="AV134" i="35"/>
  <c r="AS31" i="35"/>
  <c r="AS55" i="35"/>
  <c r="AS79" i="35"/>
  <c r="AS103" i="35"/>
  <c r="AS127" i="35"/>
  <c r="AP24" i="35"/>
  <c r="AU22" i="35"/>
  <c r="AU46" i="35"/>
  <c r="AU70" i="35"/>
  <c r="AU94" i="35"/>
  <c r="AU118" i="35"/>
  <c r="AU142" i="35"/>
  <c r="AR42" i="35"/>
  <c r="AR66" i="35"/>
  <c r="AS39" i="35"/>
  <c r="AS63" i="35"/>
  <c r="AS87" i="35"/>
  <c r="AS111" i="35"/>
  <c r="AS135" i="35"/>
  <c r="AT39" i="35"/>
  <c r="AT63" i="35"/>
  <c r="AT87" i="35"/>
  <c r="AT111" i="35"/>
  <c r="AT135" i="35"/>
  <c r="AT65" i="35"/>
  <c r="AV114" i="35"/>
  <c r="AO154" i="35"/>
  <c r="AV39" i="35"/>
  <c r="AO94" i="35"/>
  <c r="AV141" i="35"/>
  <c r="AT167" i="35"/>
  <c r="AP52" i="35"/>
  <c r="AT103" i="35"/>
  <c r="AR148" i="35"/>
  <c r="AR172" i="35"/>
  <c r="AR196" i="35"/>
  <c r="AQ32" i="35"/>
  <c r="AV88" i="35"/>
  <c r="AV136" i="35"/>
  <c r="AR53" i="35"/>
  <c r="AR104" i="35"/>
  <c r="AS71" i="35"/>
  <c r="AS119" i="35"/>
  <c r="AP51" i="35"/>
  <c r="AU102" i="35"/>
  <c r="AV147" i="35"/>
  <c r="AV171" i="35"/>
  <c r="AV57" i="35"/>
  <c r="AP67" i="35"/>
  <c r="AR156" i="35"/>
  <c r="AO188" i="35"/>
  <c r="AP216" i="35"/>
  <c r="AP240" i="35"/>
  <c r="AV24" i="35"/>
  <c r="AR146" i="35"/>
  <c r="AO181" i="35"/>
  <c r="AS68" i="35"/>
  <c r="AT156" i="35"/>
  <c r="AQ188" i="35"/>
  <c r="AU214" i="35"/>
  <c r="AQ107" i="35"/>
  <c r="AT62" i="35"/>
  <c r="AR134" i="35"/>
  <c r="AS188" i="35"/>
  <c r="AU220" i="35"/>
  <c r="AQ247" i="35"/>
  <c r="AT272" i="35"/>
  <c r="AQ166" i="35"/>
  <c r="AT203" i="35"/>
  <c r="AU232" i="35"/>
  <c r="AV258" i="35"/>
  <c r="AQ283" i="35"/>
  <c r="AQ160" i="35"/>
  <c r="AT199" i="35"/>
  <c r="AM416" i="35"/>
  <c r="AQ22" i="35"/>
  <c r="AQ46" i="35"/>
  <c r="AQ70" i="35"/>
  <c r="AQ94" i="35"/>
  <c r="AQ118" i="35"/>
  <c r="AQ142" i="35"/>
  <c r="AR40" i="35"/>
  <c r="AR64" i="35"/>
  <c r="AR88" i="35"/>
  <c r="AR112" i="35"/>
  <c r="AR136" i="35"/>
  <c r="AO33" i="35"/>
  <c r="AO57" i="35"/>
  <c r="AO81" i="35"/>
  <c r="AO105" i="35"/>
  <c r="AO129" i="35"/>
  <c r="AT25" i="35"/>
  <c r="AQ24" i="35"/>
  <c r="AQ48" i="35"/>
  <c r="AQ72" i="35"/>
  <c r="AQ96" i="35"/>
  <c r="AQ120" i="35"/>
  <c r="AQ144" i="35"/>
  <c r="AV43" i="35"/>
  <c r="AV67" i="35"/>
  <c r="AO41" i="35"/>
  <c r="AO65" i="35"/>
  <c r="AO89" i="35"/>
  <c r="AO113" i="35"/>
  <c r="AO137" i="35"/>
  <c r="AP41" i="35"/>
  <c r="AP65" i="35"/>
  <c r="AP89" i="35"/>
  <c r="AP113" i="35"/>
  <c r="AP137" i="35"/>
  <c r="AU69" i="35"/>
  <c r="AV117" i="35"/>
  <c r="AS155" i="35"/>
  <c r="AR44" i="35"/>
  <c r="AO97" i="35"/>
  <c r="AR144" i="35"/>
  <c r="AP169" i="35"/>
  <c r="AQ56" i="35"/>
  <c r="AT106" i="35"/>
  <c r="AV149" i="35"/>
  <c r="AV173" i="35"/>
  <c r="AV197" i="35"/>
  <c r="AU36" i="35"/>
  <c r="AV91" i="35"/>
  <c r="AV139" i="35"/>
  <c r="AT56" i="35"/>
  <c r="AR107" i="35"/>
  <c r="AS74" i="35"/>
  <c r="AS122" i="35"/>
  <c r="AV54" i="35"/>
  <c r="AU105" i="35"/>
  <c r="AR149" i="35"/>
  <c r="AR173" i="35"/>
  <c r="AU66" i="35"/>
  <c r="AP75" i="35"/>
  <c r="AU158" i="35"/>
  <c r="AU189" i="35"/>
  <c r="AT217" i="35"/>
  <c r="AT241" i="35"/>
  <c r="AR38" i="35"/>
  <c r="AP149" i="35"/>
  <c r="AU182" i="35"/>
  <c r="AP76" i="35"/>
  <c r="AP159" i="35"/>
  <c r="AP190" i="35"/>
  <c r="AR216" i="35"/>
  <c r="AP114" i="35"/>
  <c r="AT71" i="35"/>
  <c r="AS143" i="35"/>
  <c r="AU190" i="35"/>
  <c r="AT222" i="35"/>
  <c r="AV248" i="35"/>
  <c r="AP274" i="35"/>
  <c r="AU168" i="35"/>
  <c r="AT205" i="35"/>
  <c r="AR234" i="35"/>
  <c r="AS260" i="35"/>
  <c r="AU284" i="35"/>
  <c r="AU162" i="35"/>
  <c r="AN514" i="35"/>
  <c r="AU23" i="35"/>
  <c r="AU47" i="35"/>
  <c r="AU71" i="35"/>
  <c r="AU95" i="35"/>
  <c r="AU119" i="35"/>
  <c r="AU143" i="35"/>
  <c r="AV41" i="35"/>
  <c r="AV65" i="35"/>
  <c r="AV89" i="35"/>
  <c r="AV113" i="35"/>
  <c r="AV137" i="35"/>
  <c r="AS34" i="35"/>
  <c r="AS58" i="35"/>
  <c r="AS82" i="35"/>
  <c r="AS106" i="35"/>
  <c r="AS130" i="35"/>
  <c r="AP27" i="35"/>
  <c r="AU25" i="35"/>
  <c r="AU49" i="35"/>
  <c r="AU73" i="35"/>
  <c r="AU97" i="35"/>
  <c r="AU121" i="35"/>
  <c r="AR21" i="35"/>
  <c r="AR45" i="35"/>
  <c r="AR69" i="35"/>
  <c r="AS42" i="35"/>
  <c r="AS66" i="35"/>
  <c r="AS90" i="35"/>
  <c r="AS114" i="35"/>
  <c r="AS138" i="35"/>
  <c r="AT42" i="35"/>
  <c r="AT66" i="35"/>
  <c r="AT90" i="35"/>
  <c r="AT114" i="35"/>
  <c r="AT138" i="35"/>
  <c r="AV72" i="35"/>
  <c r="AV120" i="35"/>
  <c r="AO157" i="35"/>
  <c r="AP48" i="35"/>
  <c r="AO100" i="35"/>
  <c r="AQ146" i="35"/>
  <c r="AO22" i="35"/>
  <c r="AS59" i="35"/>
  <c r="AT109" i="35"/>
  <c r="AR151" i="35"/>
  <c r="AR175" i="35"/>
  <c r="AR199" i="35"/>
  <c r="AQ41" i="35"/>
  <c r="AV94" i="35"/>
  <c r="AT142" i="35"/>
  <c r="AU60" i="35"/>
  <c r="AR110" i="35"/>
  <c r="AS77" i="35"/>
  <c r="AS125" i="35"/>
  <c r="AP58" i="35"/>
  <c r="AU108" i="35"/>
  <c r="AV150" i="35"/>
  <c r="AV174" i="35"/>
  <c r="AT74" i="35"/>
  <c r="AP82" i="35"/>
  <c r="AV160" i="35"/>
  <c r="AS191" i="35"/>
  <c r="AP219" i="35"/>
  <c r="AP243" i="35"/>
  <c r="AS50" i="35"/>
  <c r="AV151" i="35"/>
  <c r="AT184" i="35"/>
  <c r="AT83" i="35"/>
  <c r="AP161" i="35"/>
  <c r="AU191" i="35"/>
  <c r="AV217" i="35"/>
  <c r="AP120" i="35"/>
  <c r="AR78" i="35"/>
  <c r="AU148" i="35"/>
  <c r="AU192" i="35"/>
  <c r="AR224" i="35"/>
  <c r="AS250" i="35"/>
  <c r="AQ29" i="35"/>
  <c r="AS171" i="35"/>
  <c r="AS207" i="35"/>
  <c r="AO236" i="35"/>
  <c r="AP262" i="35"/>
  <c r="AQ286" i="35"/>
  <c r="AS166" i="35"/>
  <c r="AJ380" i="35"/>
  <c r="AQ25" i="35"/>
  <c r="AQ49" i="35"/>
  <c r="AQ73" i="35"/>
  <c r="AQ97" i="35"/>
  <c r="AQ121" i="35"/>
  <c r="AQ145" i="35"/>
  <c r="AR43" i="35"/>
  <c r="AR67" i="35"/>
  <c r="AR91" i="35"/>
  <c r="AR115" i="35"/>
  <c r="AR139" i="35"/>
  <c r="AO36" i="35"/>
  <c r="AO60" i="35"/>
  <c r="AO84" i="35"/>
  <c r="AO108" i="35"/>
  <c r="AO132" i="35"/>
  <c r="AT28" i="35"/>
  <c r="AQ27" i="35"/>
  <c r="AQ51" i="35"/>
  <c r="AQ75" i="35"/>
  <c r="AQ99" i="35"/>
  <c r="AQ123" i="35"/>
  <c r="AV22" i="35"/>
  <c r="AV46" i="35"/>
  <c r="AV70" i="35"/>
  <c r="AO44" i="35"/>
  <c r="AO68" i="35"/>
  <c r="AO92" i="35"/>
  <c r="AO116" i="35"/>
  <c r="AO140" i="35"/>
  <c r="AP44" i="35"/>
  <c r="AP68" i="35"/>
  <c r="AP92" i="35"/>
  <c r="AP116" i="35"/>
  <c r="AP140" i="35"/>
  <c r="AV75" i="35"/>
  <c r="AV123" i="35"/>
  <c r="AS158" i="35"/>
  <c r="AV51" i="35"/>
  <c r="AO103" i="35"/>
  <c r="AP148" i="35"/>
  <c r="AS26" i="35"/>
  <c r="AP63" i="35"/>
  <c r="AT112" i="35"/>
  <c r="AV152" i="35"/>
  <c r="AV176" i="35"/>
  <c r="AV200" i="35"/>
  <c r="AU45" i="35"/>
  <c r="AV97" i="35"/>
  <c r="AU144" i="35"/>
  <c r="AO64" i="35"/>
  <c r="AR113" i="35"/>
  <c r="AS80" i="35"/>
  <c r="AS128" i="35"/>
  <c r="AQ62" i="35"/>
  <c r="AU111" i="35"/>
  <c r="AR152" i="35"/>
  <c r="AR176" i="35"/>
  <c r="AR81" i="35"/>
  <c r="AT89" i="35"/>
  <c r="AQ163" i="35"/>
  <c r="AP193" i="35"/>
  <c r="AT220" i="35"/>
  <c r="AT244" i="35"/>
  <c r="AR59" i="35"/>
  <c r="AS154" i="35"/>
  <c r="AR186" i="35"/>
  <c r="AR90" i="35"/>
  <c r="AT163" i="35"/>
  <c r="AS193" i="35"/>
  <c r="AR219" i="35"/>
  <c r="AP126" i="35"/>
  <c r="AQ86" i="35"/>
  <c r="AP153" i="35"/>
  <c r="AQ195" i="35"/>
  <c r="AO226" i="35"/>
  <c r="AQ252" i="35"/>
  <c r="AH394" i="35"/>
  <c r="AU26" i="35"/>
  <c r="AU50" i="35"/>
  <c r="AU74" i="35"/>
  <c r="AU98" i="35"/>
  <c r="AU122" i="35"/>
  <c r="AU146" i="35"/>
  <c r="AV44" i="35"/>
  <c r="AV68" i="35"/>
  <c r="AV92" i="35"/>
  <c r="AV116" i="35"/>
  <c r="AV140" i="35"/>
  <c r="AS37" i="35"/>
  <c r="AS61" i="35"/>
  <c r="AS85" i="35"/>
  <c r="AS109" i="35"/>
  <c r="AS133" i="35"/>
  <c r="AP30" i="35"/>
  <c r="AU28" i="35"/>
  <c r="AU52" i="35"/>
  <c r="AU76" i="35"/>
  <c r="AU100" i="35"/>
  <c r="AU124" i="35"/>
  <c r="AR24" i="35"/>
  <c r="AR48" i="35"/>
  <c r="AS21" i="35"/>
  <c r="AS45" i="35"/>
  <c r="AS69" i="35"/>
  <c r="AS93" i="35"/>
  <c r="AS117" i="35"/>
  <c r="AT21" i="35"/>
  <c r="AT45" i="35"/>
  <c r="AT69" i="35"/>
  <c r="AT93" i="35"/>
  <c r="AT117" i="35"/>
  <c r="AT141" i="35"/>
  <c r="AV78" i="35"/>
  <c r="AV126" i="35"/>
  <c r="AO160" i="35"/>
  <c r="AP55" i="35"/>
  <c r="AO106" i="35"/>
  <c r="AT149" i="35"/>
  <c r="AO31" i="35"/>
  <c r="AV66" i="35"/>
  <c r="AT115" i="35"/>
  <c r="AR154" i="35"/>
  <c r="AR178" i="35"/>
  <c r="AR202" i="35"/>
  <c r="AO49" i="35"/>
  <c r="AV100" i="35"/>
  <c r="AT146" i="35"/>
  <c r="AT67" i="35"/>
  <c r="AT23" i="35"/>
  <c r="AS83" i="35"/>
  <c r="AS131" i="35"/>
  <c r="AS65" i="35"/>
  <c r="AU114" i="35"/>
  <c r="AV153" i="35"/>
  <c r="AV177" i="35"/>
  <c r="AQ89" i="35"/>
  <c r="AR96" i="35"/>
  <c r="AR165" i="35"/>
  <c r="AU194" i="35"/>
  <c r="AP222" i="35"/>
  <c r="AP246" i="35"/>
  <c r="AR68" i="35"/>
  <c r="AS156" i="35"/>
  <c r="AP188" i="35"/>
  <c r="AQ98" i="35"/>
  <c r="AT165" i="35"/>
  <c r="AP195" i="35"/>
  <c r="AV220" i="35"/>
  <c r="AP132" i="35"/>
  <c r="AP93" i="35"/>
  <c r="AP156" i="35"/>
  <c r="AQ197" i="35"/>
  <c r="AT227" i="35"/>
  <c r="AV253" i="35"/>
  <c r="AO70" i="35"/>
  <c r="AS176" i="35"/>
  <c r="AT211" i="35"/>
  <c r="AQ239" i="35"/>
  <c r="AQ265" i="35"/>
  <c r="AR32" i="35"/>
  <c r="AT171" i="35"/>
  <c r="AM210" i="35"/>
  <c r="AQ28" i="35"/>
  <c r="AQ52" i="35"/>
  <c r="AQ76" i="35"/>
  <c r="AQ100" i="35"/>
  <c r="AQ124" i="35"/>
  <c r="AR22" i="35"/>
  <c r="AR46" i="35"/>
  <c r="AR70" i="35"/>
  <c r="AR94" i="35"/>
  <c r="AR118" i="35"/>
  <c r="AR142" i="35"/>
  <c r="AO39" i="35"/>
  <c r="AO63" i="35"/>
  <c r="AO87" i="35"/>
  <c r="AO111" i="35"/>
  <c r="AO135" i="35"/>
  <c r="AT31" i="35"/>
  <c r="AQ30" i="35"/>
  <c r="AQ54" i="35"/>
  <c r="AQ78" i="35"/>
  <c r="AQ102" i="35"/>
  <c r="AQ126" i="35"/>
  <c r="AV25" i="35"/>
  <c r="AV49" i="35"/>
  <c r="AO23" i="35"/>
  <c r="AO47" i="35"/>
  <c r="AO71" i="35"/>
  <c r="AO95" i="35"/>
  <c r="AO119" i="35"/>
  <c r="AP23" i="35"/>
  <c r="AP47" i="35"/>
  <c r="AP71" i="35"/>
  <c r="AP95" i="35"/>
  <c r="AP119" i="35"/>
  <c r="AU21" i="35"/>
  <c r="AV81" i="35"/>
  <c r="AV129" i="35"/>
  <c r="AS161" i="35"/>
  <c r="AQ59" i="35"/>
  <c r="AO109" i="35"/>
  <c r="AP151" i="35"/>
  <c r="AS35" i="35"/>
  <c r="AP70" i="35"/>
  <c r="AT118" i="35"/>
  <c r="AV155" i="35"/>
  <c r="AV179" i="35"/>
  <c r="AV203" i="35"/>
  <c r="AT52" i="35"/>
  <c r="AV103" i="35"/>
  <c r="AS148" i="35"/>
  <c r="AR71" i="35"/>
  <c r="AP28" i="35"/>
  <c r="AS86" i="35"/>
  <c r="AS134" i="35"/>
  <c r="AP69" i="35"/>
  <c r="AU117" i="35"/>
  <c r="AR155" i="35"/>
  <c r="AR179" i="35"/>
  <c r="AP96" i="35"/>
  <c r="AQ104" i="35"/>
  <c r="AU167" i="35"/>
  <c r="AS196" i="35"/>
  <c r="AT223" i="35"/>
  <c r="AT247" i="35"/>
  <c r="AR75" i="35"/>
  <c r="AO159" i="35"/>
  <c r="AO190" i="35"/>
  <c r="AP105" i="35"/>
  <c r="AP168" i="35"/>
  <c r="AU196" i="35"/>
  <c r="AR222" i="35"/>
  <c r="AP138" i="35"/>
  <c r="AP100" i="35"/>
  <c r="AT159" i="35"/>
  <c r="AQ199" i="35"/>
  <c r="AQ229" i="35"/>
  <c r="AS255" i="35"/>
  <c r="AR84" i="35"/>
  <c r="AU178" i="35"/>
  <c r="AS213" i="35"/>
  <c r="AV240" i="35"/>
  <c r="AU266" i="35"/>
  <c r="AU54" i="35"/>
  <c r="AR174" i="35"/>
  <c r="AU29" i="35"/>
  <c r="AU53" i="35"/>
  <c r="AU77" i="35"/>
  <c r="AU101" i="35"/>
  <c r="AU125" i="35"/>
  <c r="AV23" i="35"/>
  <c r="AV47" i="35"/>
  <c r="AV71" i="35"/>
  <c r="AV95" i="35"/>
  <c r="AV119" i="35"/>
  <c r="AV143" i="35"/>
  <c r="AS40" i="35"/>
  <c r="AS64" i="35"/>
  <c r="AS88" i="35"/>
  <c r="AS112" i="35"/>
  <c r="AS136" i="35"/>
  <c r="AP33" i="35"/>
  <c r="AU31" i="35"/>
  <c r="AU55" i="35"/>
  <c r="AU79" i="35"/>
  <c r="AU103" i="35"/>
  <c r="AU127" i="35"/>
  <c r="AR27" i="35"/>
  <c r="AR51" i="35"/>
  <c r="AS24" i="35"/>
  <c r="AS48" i="35"/>
  <c r="AS72" i="35"/>
  <c r="AS96" i="35"/>
  <c r="AS120" i="35"/>
  <c r="AT24" i="35"/>
  <c r="AT48" i="35"/>
  <c r="AT72" i="35"/>
  <c r="AT96" i="35"/>
  <c r="AT120" i="35"/>
  <c r="AQ26" i="35"/>
  <c r="AV84" i="35"/>
  <c r="AV132" i="35"/>
  <c r="AO163" i="35"/>
  <c r="AS62" i="35"/>
  <c r="AO112" i="35"/>
  <c r="AT152" i="35"/>
  <c r="AO40" i="35"/>
  <c r="AT73" i="35"/>
  <c r="AT121" i="35"/>
  <c r="AR157" i="35"/>
  <c r="AR181" i="35"/>
  <c r="AR205" i="35"/>
  <c r="AR56" i="35"/>
  <c r="AV106" i="35"/>
  <c r="AO150" i="35"/>
  <c r="AR74" i="35"/>
  <c r="AT32" i="35"/>
  <c r="AS89" i="35"/>
  <c r="AS137" i="35"/>
  <c r="AU72" i="35"/>
  <c r="AU120" i="35"/>
  <c r="AV156" i="35"/>
  <c r="AV180" i="35"/>
  <c r="AP103" i="35"/>
  <c r="AP111" i="35"/>
  <c r="AV169" i="35"/>
  <c r="AP198" i="35"/>
  <c r="AP225" i="35"/>
  <c r="AP249" i="35"/>
  <c r="AQ83" i="35"/>
  <c r="AO161" i="35"/>
  <c r="AT191" i="35"/>
  <c r="AP112" i="35"/>
  <c r="AP170" i="35"/>
  <c r="AR198" i="35"/>
  <c r="AV223" i="35"/>
  <c r="AR143" i="35"/>
  <c r="AT107" i="35"/>
  <c r="AS162" i="35"/>
  <c r="AS201" i="35"/>
  <c r="AV230" i="35"/>
  <c r="AP257" i="35"/>
  <c r="AP99" i="35"/>
  <c r="AS181" i="35"/>
  <c r="AR215" i="35"/>
  <c r="AS242" i="35"/>
  <c r="AQ268" i="35"/>
  <c r="AP72" i="35"/>
  <c r="AT176" i="35"/>
  <c r="AU211" i="35"/>
  <c r="AQ31" i="35"/>
  <c r="AQ55" i="35"/>
  <c r="AQ79" i="35"/>
  <c r="AQ103" i="35"/>
  <c r="AQ127" i="35"/>
  <c r="AR25" i="35"/>
  <c r="AR49" i="35"/>
  <c r="AR73" i="35"/>
  <c r="AR97" i="35"/>
  <c r="AR121" i="35"/>
  <c r="AR145" i="35"/>
  <c r="AO42" i="35"/>
  <c r="AO66" i="35"/>
  <c r="AO90" i="35"/>
  <c r="AO114" i="35"/>
  <c r="AO138" i="35"/>
  <c r="AT34" i="35"/>
  <c r="AQ33" i="35"/>
  <c r="AQ57" i="35"/>
  <c r="AQ81" i="35"/>
  <c r="AQ105" i="35"/>
  <c r="AQ129" i="35"/>
  <c r="AV28" i="35"/>
  <c r="AV52" i="35"/>
  <c r="AO26" i="35"/>
  <c r="AO50" i="35"/>
  <c r="AO74" i="35"/>
  <c r="AO98" i="35"/>
  <c r="AO122" i="35"/>
  <c r="AP26" i="35"/>
  <c r="AP50" i="35"/>
  <c r="AP74" i="35"/>
  <c r="AP98" i="35"/>
  <c r="AP122" i="35"/>
  <c r="AU30" i="35"/>
  <c r="AV87" i="35"/>
  <c r="AV135" i="35"/>
  <c r="AS164" i="35"/>
  <c r="AP66" i="35"/>
  <c r="AO115" i="35"/>
  <c r="AP154" i="35"/>
  <c r="AS44" i="35"/>
  <c r="AT76" i="35"/>
  <c r="AT124" i="35"/>
  <c r="AV158" i="35"/>
  <c r="AV182" i="35"/>
  <c r="AV206" i="35"/>
  <c r="AT59" i="35"/>
  <c r="AV109" i="35"/>
  <c r="AS151" i="35"/>
  <c r="AR77" i="35"/>
  <c r="AP37" i="35"/>
  <c r="AS92" i="35"/>
  <c r="AS140" i="35"/>
  <c r="AU75" i="35"/>
  <c r="AU123" i="35"/>
  <c r="AR158" i="35"/>
  <c r="AR182" i="35"/>
  <c r="AT110" i="35"/>
  <c r="AR117" i="35"/>
  <c r="AU171" i="35"/>
  <c r="AU199" i="35"/>
  <c r="AT226" i="35"/>
  <c r="AT250" i="35"/>
  <c r="AP90" i="35"/>
  <c r="AS163" i="35"/>
  <c r="AQ193" i="35"/>
  <c r="AQ119" i="35"/>
  <c r="AP172" i="35"/>
  <c r="AO200" i="35"/>
  <c r="AR29" i="35"/>
  <c r="AS147" i="35"/>
  <c r="AR114" i="35"/>
  <c r="AU165" i="35"/>
  <c r="AS203" i="35"/>
  <c r="AS232" i="35"/>
  <c r="AU258" i="35"/>
  <c r="AT113" i="35"/>
  <c r="AT183" i="35"/>
  <c r="AQ217" i="35"/>
  <c r="AP244" i="35"/>
  <c r="AU269" i="35"/>
  <c r="AT86" i="35"/>
  <c r="AV178" i="35"/>
  <c r="AU32" i="35"/>
  <c r="AU56" i="35"/>
  <c r="AU80" i="35"/>
  <c r="AU104" i="35"/>
  <c r="AU128" i="35"/>
  <c r="AV26" i="35"/>
  <c r="AV50" i="35"/>
  <c r="AV74" i="35"/>
  <c r="AV98" i="35"/>
  <c r="AV122" i="35"/>
  <c r="AV146" i="35"/>
  <c r="AS43" i="35"/>
  <c r="AS67" i="35"/>
  <c r="AS91" i="35"/>
  <c r="AS115" i="35"/>
  <c r="AS139" i="35"/>
  <c r="AP36" i="35"/>
  <c r="AU34" i="35"/>
  <c r="AU58" i="35"/>
  <c r="AU82" i="35"/>
  <c r="AU106" i="35"/>
  <c r="AU130" i="35"/>
  <c r="AR30" i="35"/>
  <c r="AR54" i="35"/>
  <c r="AS27" i="35"/>
  <c r="AS51" i="35"/>
  <c r="AS75" i="35"/>
  <c r="AS99" i="35"/>
  <c r="AS123" i="35"/>
  <c r="AT27" i="35"/>
  <c r="AT51" i="35"/>
  <c r="AT75" i="35"/>
  <c r="AT99" i="35"/>
  <c r="AT123" i="35"/>
  <c r="AQ35" i="35"/>
  <c r="AV90" i="35"/>
  <c r="AV138" i="35"/>
  <c r="AO166" i="35"/>
  <c r="AV69" i="35"/>
  <c r="AO118" i="35"/>
  <c r="AT155" i="35"/>
  <c r="AU48" i="35"/>
  <c r="AT79" i="35"/>
  <c r="AT127" i="35"/>
  <c r="AR160" i="35"/>
  <c r="AR184" i="35"/>
  <c r="AR208" i="35"/>
  <c r="AU63" i="35"/>
  <c r="AV112" i="35"/>
  <c r="AO153" i="35"/>
  <c r="AR80" i="35"/>
  <c r="AT41" i="35"/>
  <c r="AS95" i="35"/>
  <c r="AP143" i="35"/>
  <c r="AU78" i="35"/>
  <c r="AU126" i="35"/>
  <c r="AV159" i="35"/>
  <c r="AV183" i="35"/>
  <c r="AP117" i="35"/>
  <c r="AR123" i="35"/>
  <c r="AT173" i="35"/>
  <c r="AR201" i="35"/>
  <c r="AP228" i="35"/>
  <c r="AP252" i="35"/>
  <c r="AP97" i="35"/>
  <c r="AS165" i="35"/>
  <c r="AO195" i="35"/>
  <c r="AQ125" i="35"/>
  <c r="AO174" i="35"/>
  <c r="AT201" i="35"/>
  <c r="AV42" i="35"/>
  <c r="AQ150" i="35"/>
  <c r="AR120" i="35"/>
  <c r="AQ34" i="35"/>
  <c r="AQ58" i="35"/>
  <c r="AQ82" i="35"/>
  <c r="AQ106" i="35"/>
  <c r="AQ130" i="35"/>
  <c r="AR28" i="35"/>
  <c r="AR52" i="35"/>
  <c r="AR76" i="35"/>
  <c r="AR100" i="35"/>
  <c r="AR124" i="35"/>
  <c r="AO21" i="35"/>
  <c r="AO45" i="35"/>
  <c r="AO69" i="35"/>
  <c r="AO93" i="35"/>
  <c r="AO117" i="35"/>
  <c r="AO141" i="35"/>
  <c r="AT37" i="35"/>
  <c r="AQ36" i="35"/>
  <c r="AQ60" i="35"/>
  <c r="AQ84" i="35"/>
  <c r="AQ108" i="35"/>
  <c r="AQ132" i="35"/>
  <c r="AV31" i="35"/>
  <c r="AV55" i="35"/>
  <c r="AO29" i="35"/>
  <c r="AO53" i="35"/>
  <c r="AO77" i="35"/>
  <c r="AO101" i="35"/>
  <c r="AO125" i="35"/>
  <c r="AP29" i="35"/>
  <c r="AP53" i="35"/>
  <c r="AP77" i="35"/>
  <c r="AP101" i="35"/>
  <c r="AP125" i="35"/>
  <c r="AU39" i="35"/>
  <c r="AV93" i="35"/>
  <c r="AU141" i="35"/>
  <c r="AS167" i="35"/>
  <c r="AO73" i="35"/>
  <c r="AO121" i="35"/>
  <c r="AP157" i="35"/>
  <c r="AP22" i="35"/>
  <c r="AT82" i="35"/>
  <c r="AT130" i="35"/>
  <c r="AV161" i="35"/>
  <c r="AV185" i="35"/>
  <c r="AV209" i="35"/>
  <c r="AO67" i="35"/>
  <c r="AV115" i="35"/>
  <c r="AS23" i="35"/>
  <c r="AR83" i="35"/>
  <c r="AP46" i="35"/>
  <c r="AS98" i="35"/>
  <c r="AP145" i="35"/>
  <c r="AU81" i="35"/>
  <c r="AU35" i="35"/>
  <c r="AU59" i="35"/>
  <c r="AU83" i="35"/>
  <c r="AU107" i="35"/>
  <c r="AU131" i="35"/>
  <c r="AV29" i="35"/>
  <c r="AV53" i="35"/>
  <c r="AV77" i="35"/>
  <c r="AV101" i="35"/>
  <c r="AV125" i="35"/>
  <c r="AS22" i="35"/>
  <c r="AS46" i="35"/>
  <c r="AS70" i="35"/>
  <c r="AS94" i="35"/>
  <c r="AS118" i="35"/>
  <c r="AS142" i="35"/>
  <c r="AP39" i="35"/>
  <c r="AU37" i="35"/>
  <c r="AU61" i="35"/>
  <c r="AU85" i="35"/>
  <c r="AU109" i="35"/>
  <c r="AU133" i="35"/>
  <c r="AR33" i="35"/>
  <c r="AR57" i="35"/>
  <c r="AS30" i="35"/>
  <c r="AS54" i="35"/>
  <c r="AS78" i="35"/>
  <c r="AS102" i="35"/>
  <c r="AS126" i="35"/>
  <c r="AT30" i="35"/>
  <c r="AT54" i="35"/>
  <c r="AT78" i="35"/>
  <c r="AT102" i="35"/>
  <c r="AT126" i="35"/>
  <c r="AQ44" i="35"/>
  <c r="AV96" i="35"/>
  <c r="AP144" i="35"/>
  <c r="AO169" i="35"/>
  <c r="AO76" i="35"/>
  <c r="AO124" i="35"/>
  <c r="AT158" i="35"/>
  <c r="AT26" i="35"/>
  <c r="AT85" i="35"/>
  <c r="AT133" i="35"/>
  <c r="AR163" i="35"/>
  <c r="AR187" i="35"/>
  <c r="AR211" i="35"/>
  <c r="AT70" i="35"/>
  <c r="AV118" i="35"/>
  <c r="AO28" i="35"/>
  <c r="AR86" i="35"/>
  <c r="AQ50" i="35"/>
  <c r="AS101" i="35"/>
  <c r="AP25" i="35"/>
  <c r="AU84" i="35"/>
  <c r="AU132" i="35"/>
  <c r="AV162" i="35"/>
  <c r="AV186" i="35"/>
  <c r="AP129" i="35"/>
  <c r="AR135" i="35"/>
  <c r="AQ177" i="35"/>
  <c r="AQ206" i="35"/>
  <c r="AP231" i="35"/>
  <c r="AP255" i="35"/>
  <c r="AR111" i="35"/>
  <c r="AO170" i="35"/>
  <c r="AQ198" i="35"/>
  <c r="AQ137" i="35"/>
  <c r="AS177" i="35"/>
  <c r="AV204" i="35"/>
  <c r="AT61" i="35"/>
  <c r="AO155" i="35"/>
  <c r="AQ37" i="35"/>
  <c r="AQ61" i="35"/>
  <c r="AQ85" i="35"/>
  <c r="AQ109" i="35"/>
  <c r="AQ133" i="35"/>
  <c r="AR31" i="35"/>
  <c r="AR55" i="35"/>
  <c r="AR79" i="35"/>
  <c r="AR103" i="35"/>
  <c r="AR127" i="35"/>
  <c r="AO24" i="35"/>
  <c r="AO48" i="35"/>
  <c r="AO72" i="35"/>
  <c r="AO96" i="35"/>
  <c r="AO120" i="35"/>
  <c r="AO144" i="35"/>
  <c r="AT40" i="35"/>
  <c r="AQ39" i="35"/>
  <c r="AQ63" i="35"/>
  <c r="AQ87" i="35"/>
  <c r="AQ111" i="35"/>
  <c r="AQ135" i="35"/>
  <c r="AV34" i="35"/>
  <c r="AV58" i="35"/>
  <c r="AO32" i="35"/>
  <c r="AO56" i="35"/>
  <c r="AO80" i="35"/>
  <c r="AO104" i="35"/>
  <c r="AO128" i="35"/>
  <c r="AP32" i="35"/>
  <c r="AP56" i="35"/>
  <c r="AP80" i="35"/>
  <c r="AP104" i="35"/>
  <c r="AP128" i="35"/>
  <c r="AT47" i="35"/>
  <c r="AV99" i="35"/>
  <c r="AP146" i="35"/>
  <c r="AS170" i="35"/>
  <c r="AO79" i="35"/>
  <c r="AO127" i="35"/>
  <c r="AP160" i="35"/>
  <c r="AP31" i="35"/>
  <c r="AT88" i="35"/>
  <c r="AT136" i="35"/>
  <c r="AV164" i="35"/>
  <c r="AV188" i="35"/>
  <c r="AV212" i="35"/>
  <c r="AV73" i="35"/>
  <c r="AV121" i="35"/>
  <c r="AS32" i="35"/>
  <c r="AR89" i="35"/>
  <c r="AS53" i="35"/>
  <c r="AS104" i="35"/>
  <c r="AT29" i="35"/>
  <c r="AU87" i="35"/>
  <c r="AU135" i="35"/>
  <c r="AR164" i="35"/>
  <c r="AR188" i="35"/>
  <c r="AP135" i="35"/>
  <c r="AR141" i="35"/>
  <c r="AO179" i="35"/>
  <c r="AV207" i="35"/>
  <c r="AT232" i="35"/>
  <c r="AT256" i="35"/>
  <c r="AP118" i="35"/>
  <c r="AO172" i="35"/>
  <c r="AV199" i="35"/>
  <c r="AV142" i="35"/>
  <c r="AQ179" i="35"/>
  <c r="AS206" i="35"/>
  <c r="AQ71" i="35"/>
  <c r="AS157" i="35"/>
  <c r="AT68" i="35"/>
  <c r="AS175" i="35"/>
  <c r="AP174" i="35"/>
  <c r="AT134" i="35"/>
  <c r="AO249" i="35"/>
  <c r="AU188" i="35"/>
  <c r="AS229" i="35"/>
  <c r="AU255" i="35"/>
  <c r="AR280" i="35"/>
  <c r="AT137" i="35"/>
  <c r="AO189" i="35"/>
  <c r="AQ221" i="35"/>
  <c r="AU247" i="35"/>
  <c r="AP73" i="35"/>
  <c r="AO177" i="35"/>
  <c r="AO212" i="35"/>
  <c r="AT239" i="35"/>
  <c r="AT265" i="35"/>
  <c r="AU153" i="35"/>
  <c r="AT150" i="35"/>
  <c r="AO194" i="35"/>
  <c r="AQ225" i="35"/>
  <c r="AP61" i="35"/>
  <c r="AP175" i="35"/>
  <c r="AS210" i="35"/>
  <c r="AR93" i="35"/>
  <c r="AU187" i="35"/>
  <c r="AO253" i="35"/>
  <c r="AQ288" i="35"/>
  <c r="AT312" i="35"/>
  <c r="AT336" i="35"/>
  <c r="AQ204" i="35"/>
  <c r="AS261" i="35"/>
  <c r="AQ293" i="35"/>
  <c r="AQ317" i="35"/>
  <c r="AQ341" i="35"/>
  <c r="AR47" i="35"/>
  <c r="AT230" i="35"/>
  <c r="AO276" i="35"/>
  <c r="AR302" i="35"/>
  <c r="AR326" i="35"/>
  <c r="AR350" i="35"/>
  <c r="AR374" i="35"/>
  <c r="AT218" i="35"/>
  <c r="AS269" i="35"/>
  <c r="AO298" i="35"/>
  <c r="AO322" i="35"/>
  <c r="AO346" i="35"/>
  <c r="AQ190" i="35"/>
  <c r="AS253" i="35"/>
  <c r="AU288" i="35"/>
  <c r="AP313" i="35"/>
  <c r="AP337" i="35"/>
  <c r="AQ152" i="35"/>
  <c r="AS238" i="35"/>
  <c r="AV279" i="35"/>
  <c r="AU305" i="35"/>
  <c r="AU329" i="35"/>
  <c r="AP206" i="35"/>
  <c r="AV262" i="35"/>
  <c r="AV293" i="35"/>
  <c r="AV317" i="35"/>
  <c r="AQ220" i="35"/>
  <c r="AS270" i="35"/>
  <c r="AS298" i="35"/>
  <c r="AO156" i="35"/>
  <c r="AO239" i="35"/>
  <c r="AS280" i="35"/>
  <c r="AO217" i="35"/>
  <c r="AO269" i="35"/>
  <c r="AP284" i="35"/>
  <c r="AU344" i="35"/>
  <c r="AO375" i="35"/>
  <c r="AQ399" i="35"/>
  <c r="AS187" i="35"/>
  <c r="AS330" i="35"/>
  <c r="AO367" i="35"/>
  <c r="AV391" i="35"/>
  <c r="AV415" i="35"/>
  <c r="AR309" i="35"/>
  <c r="AO356" i="35"/>
  <c r="AO383" i="35"/>
  <c r="AO407" i="35"/>
  <c r="AO431" i="35"/>
  <c r="AO455" i="35"/>
  <c r="AO261" i="35"/>
  <c r="AT204" i="35"/>
  <c r="AQ176" i="35"/>
  <c r="AS144" i="35"/>
  <c r="AU250" i="35"/>
  <c r="AS197" i="35"/>
  <c r="AQ231" i="35"/>
  <c r="AR257" i="35"/>
  <c r="AV281" i="35"/>
  <c r="AO145" i="35"/>
  <c r="AP191" i="35"/>
  <c r="AO223" i="35"/>
  <c r="AR249" i="35"/>
  <c r="AR87" i="35"/>
  <c r="AT179" i="35"/>
  <c r="AV213" i="35"/>
  <c r="AQ241" i="35"/>
  <c r="AP267" i="35"/>
  <c r="AU157" i="35"/>
  <c r="AU154" i="35"/>
  <c r="AO196" i="35"/>
  <c r="AV226" i="35"/>
  <c r="AT77" i="35"/>
  <c r="AU177" i="35"/>
  <c r="AR212" i="35"/>
  <c r="AP108" i="35"/>
  <c r="AV193" i="35"/>
  <c r="AR255" i="35"/>
  <c r="AV289" i="35"/>
  <c r="AP314" i="35"/>
  <c r="AP338" i="35"/>
  <c r="AV208" i="35"/>
  <c r="AR264" i="35"/>
  <c r="AU294" i="35"/>
  <c r="AU318" i="35"/>
  <c r="AU342" i="35"/>
  <c r="AQ110" i="35"/>
  <c r="AO234" i="35"/>
  <c r="AU277" i="35"/>
  <c r="AV303" i="35"/>
  <c r="AV327" i="35"/>
  <c r="AV351" i="35"/>
  <c r="AV375" i="35"/>
  <c r="AQ223" i="35"/>
  <c r="AO272" i="35"/>
  <c r="AS299" i="35"/>
  <c r="AS323" i="35"/>
  <c r="AS347" i="35"/>
  <c r="AT194" i="35"/>
  <c r="AS256" i="35"/>
  <c r="AR290" i="35"/>
  <c r="AT314" i="35"/>
  <c r="AT338" i="35"/>
  <c r="AO165" i="35"/>
  <c r="AV241" i="35"/>
  <c r="AT281" i="35"/>
  <c r="AQ307" i="35"/>
  <c r="AQ331" i="35"/>
  <c r="AU210" i="35"/>
  <c r="AO265" i="35"/>
  <c r="AR295" i="35"/>
  <c r="AR319" i="35"/>
  <c r="AQ224" i="35"/>
  <c r="AS272" i="35"/>
  <c r="AO300" i="35"/>
  <c r="AQ167" i="35"/>
  <c r="AQ242" i="35"/>
  <c r="AQ282" i="35"/>
  <c r="AV221" i="35"/>
  <c r="AO271" i="35"/>
  <c r="AO291" i="35"/>
  <c r="AU346" i="35"/>
  <c r="AT376" i="35"/>
  <c r="AU400" i="35"/>
  <c r="AV216" i="35"/>
  <c r="AS333" i="35"/>
  <c r="AT368" i="35"/>
  <c r="AR393" i="35"/>
  <c r="AR417" i="35"/>
  <c r="AV313" i="35"/>
  <c r="AR358" i="35"/>
  <c r="AS384" i="35"/>
  <c r="AS408" i="35"/>
  <c r="AS432" i="35"/>
  <c r="AS456" i="35"/>
  <c r="AQ275" i="35"/>
  <c r="AT229" i="35"/>
  <c r="AS205" i="35"/>
  <c r="AV148" i="35"/>
  <c r="AU263" i="35"/>
  <c r="AV201" i="35"/>
  <c r="AV232" i="35"/>
  <c r="AO259" i="35"/>
  <c r="AR283" i="35"/>
  <c r="AP150" i="35"/>
  <c r="AT193" i="35"/>
  <c r="AU224" i="35"/>
  <c r="AO251" i="35"/>
  <c r="AP102" i="35"/>
  <c r="AV181" i="35"/>
  <c r="AU215" i="35"/>
  <c r="AV242" i="35"/>
  <c r="AT268" i="35"/>
  <c r="AU160" i="35"/>
  <c r="AV157" i="35"/>
  <c r="AS198" i="35"/>
  <c r="AS228" i="35"/>
  <c r="AQ92" i="35"/>
  <c r="AP180" i="35"/>
  <c r="AQ214" i="35"/>
  <c r="AP121" i="35"/>
  <c r="AV198" i="35"/>
  <c r="AR258" i="35"/>
  <c r="AS291" i="35"/>
  <c r="AT315" i="35"/>
  <c r="AT339" i="35"/>
  <c r="AQ213" i="35"/>
  <c r="AS266" i="35"/>
  <c r="AQ296" i="35"/>
  <c r="AQ320" i="35"/>
  <c r="AQ344" i="35"/>
  <c r="AT148" i="35"/>
  <c r="AR237" i="35"/>
  <c r="AS279" i="35"/>
  <c r="AR305" i="35"/>
  <c r="AR329" i="35"/>
  <c r="AR353" i="35"/>
  <c r="AR377" i="35"/>
  <c r="AQ227" i="35"/>
  <c r="AO274" i="35"/>
  <c r="AO301" i="35"/>
  <c r="AO325" i="35"/>
  <c r="AO349" i="35"/>
  <c r="AU200" i="35"/>
  <c r="AS259" i="35"/>
  <c r="AO292" i="35"/>
  <c r="AP316" i="35"/>
  <c r="AP340" i="35"/>
  <c r="AP173" i="35"/>
  <c r="AP245" i="35"/>
  <c r="AT283" i="35"/>
  <c r="AU308" i="35"/>
  <c r="AU332" i="35"/>
  <c r="AP215" i="35"/>
  <c r="AU267" i="35"/>
  <c r="AV296" i="35"/>
  <c r="AV320" i="35"/>
  <c r="AU228" i="35"/>
  <c r="AV274" i="35"/>
  <c r="AS301" i="35"/>
  <c r="AU174" i="35"/>
  <c r="AS245" i="35"/>
  <c r="AO284" i="35"/>
  <c r="AU225" i="35"/>
  <c r="AS273" i="35"/>
  <c r="AT295" i="35"/>
  <c r="AQ349" i="35"/>
  <c r="AQ378" i="35"/>
  <c r="AQ402" i="35"/>
  <c r="AO240" i="35"/>
  <c r="AS336" i="35"/>
  <c r="AQ370" i="35"/>
  <c r="AV394" i="35"/>
  <c r="AV418" i="35"/>
  <c r="AR318" i="35"/>
  <c r="AP360" i="35"/>
  <c r="AO386" i="35"/>
  <c r="AO410" i="35"/>
  <c r="AO434" i="35"/>
  <c r="AO458" i="35"/>
  <c r="AO286" i="35"/>
  <c r="AT253" i="35"/>
  <c r="AR207" i="35"/>
  <c r="AQ174" i="35"/>
  <c r="AQ271" i="35"/>
  <c r="AU203" i="35"/>
  <c r="AS234" i="35"/>
  <c r="AT260" i="35"/>
  <c r="AV284" i="35"/>
  <c r="AS153" i="35"/>
  <c r="AT195" i="35"/>
  <c r="AR226" i="35"/>
  <c r="AT252" i="35"/>
  <c r="AR116" i="35"/>
  <c r="AP184" i="35"/>
  <c r="AU217" i="35"/>
  <c r="AS244" i="35"/>
  <c r="AP270" i="35"/>
  <c r="AO164" i="35"/>
  <c r="AQ161" i="35"/>
  <c r="AS200" i="35"/>
  <c r="AP230" i="35"/>
  <c r="AP106" i="35"/>
  <c r="AQ182" i="35"/>
  <c r="AS216" i="35"/>
  <c r="AT131" i="35"/>
  <c r="AR203" i="35"/>
  <c r="AR261" i="35"/>
  <c r="AP293" i="35"/>
  <c r="AP317" i="35"/>
  <c r="AP341" i="35"/>
  <c r="AR218" i="35"/>
  <c r="AQ269" i="35"/>
  <c r="AU297" i="35"/>
  <c r="AU321" i="35"/>
  <c r="AU345" i="35"/>
  <c r="AQ162" i="35"/>
  <c r="AT240" i="35"/>
  <c r="AQ281" i="35"/>
  <c r="AV306" i="35"/>
  <c r="AV330" i="35"/>
  <c r="AV354" i="35"/>
  <c r="AT64" i="35"/>
  <c r="AU230" i="35"/>
  <c r="AP276" i="35"/>
  <c r="AS302" i="35"/>
  <c r="AS326" i="35"/>
  <c r="AS350" i="35"/>
  <c r="AP205" i="35"/>
  <c r="AV261" i="35"/>
  <c r="AT293" i="35"/>
  <c r="AT317" i="35"/>
  <c r="AT341" i="35"/>
  <c r="AS178" i="35"/>
  <c r="AR248" i="35"/>
  <c r="AR285" i="35"/>
  <c r="AQ310" i="35"/>
  <c r="AQ334" i="35"/>
  <c r="AP220" i="35"/>
  <c r="AR270" i="35"/>
  <c r="AR298" i="35"/>
  <c r="AT80" i="35"/>
  <c r="AQ232" i="35"/>
  <c r="AT276" i="35"/>
  <c r="AO303" i="35"/>
  <c r="AR180" i="35"/>
  <c r="AU248" i="35"/>
  <c r="AU285" i="35"/>
  <c r="AO230" i="35"/>
  <c r="AR275" i="35"/>
  <c r="AP300" i="35"/>
  <c r="AQ351" i="35"/>
  <c r="AU379" i="35"/>
  <c r="AU403" i="35"/>
  <c r="AO258" i="35"/>
  <c r="AR339" i="35"/>
  <c r="AV371" i="35"/>
  <c r="AR396" i="35"/>
  <c r="AR420" i="35"/>
  <c r="AR322" i="35"/>
  <c r="AV361" i="35"/>
  <c r="AS387" i="35"/>
  <c r="AS411" i="35"/>
  <c r="AS435" i="35"/>
  <c r="AS459" i="35"/>
  <c r="AR291" i="35"/>
  <c r="AT104" i="35"/>
  <c r="AQ209" i="35"/>
  <c r="AO186" i="35"/>
  <c r="AU272" i="35"/>
  <c r="AU205" i="35"/>
  <c r="AP236" i="35"/>
  <c r="AQ262" i="35"/>
  <c r="AR286" i="35"/>
  <c r="AQ157" i="35"/>
  <c r="AT197" i="35"/>
  <c r="AO228" i="35"/>
  <c r="AQ254" i="35"/>
  <c r="AQ128" i="35"/>
  <c r="AU186" i="35"/>
  <c r="AT219" i="35"/>
  <c r="AQ246" i="35"/>
  <c r="AT271" i="35"/>
  <c r="AV166" i="35"/>
  <c r="AP164" i="35"/>
  <c r="AS202" i="35"/>
  <c r="AU231" i="35"/>
  <c r="AT119" i="35"/>
  <c r="AO185" i="35"/>
  <c r="AQ218" i="35"/>
  <c r="AT140" i="35"/>
  <c r="AU208" i="35"/>
  <c r="AQ264" i="35"/>
  <c r="AT294" i="35"/>
  <c r="AT318" i="35"/>
  <c r="AT342" i="35"/>
  <c r="AQ222" i="35"/>
  <c r="AU271" i="35"/>
  <c r="AQ299" i="35"/>
  <c r="AQ323" i="35"/>
  <c r="AQ347" i="35"/>
  <c r="AP171" i="35"/>
  <c r="AV243" i="35"/>
  <c r="AO283" i="35"/>
  <c r="AR308" i="35"/>
  <c r="AR332" i="35"/>
  <c r="AR356" i="35"/>
  <c r="AQ122" i="35"/>
  <c r="AV234" i="35"/>
  <c r="AV277" i="35"/>
  <c r="AO304" i="35"/>
  <c r="AO328" i="35"/>
  <c r="AO352" i="35"/>
  <c r="AQ210" i="35"/>
  <c r="AU264" i="35"/>
  <c r="AP295" i="35"/>
  <c r="AP319" i="35"/>
  <c r="AP343" i="35"/>
  <c r="AP185" i="35"/>
  <c r="AR251" i="35"/>
  <c r="AP287" i="35"/>
  <c r="AU311" i="35"/>
  <c r="AU335" i="35"/>
  <c r="AP224" i="35"/>
  <c r="AR272" i="35"/>
  <c r="AV299" i="35"/>
  <c r="AP133" i="35"/>
  <c r="AS235" i="35"/>
  <c r="AR278" i="35"/>
  <c r="AS304" i="35"/>
  <c r="AT185" i="35"/>
  <c r="AU251" i="35"/>
  <c r="AT95" i="35"/>
  <c r="AT233" i="35"/>
  <c r="AP277" i="35"/>
  <c r="AT304" i="35"/>
  <c r="AU353" i="35"/>
  <c r="AQ381" i="35"/>
  <c r="AQ405" i="35"/>
  <c r="AR273" i="35"/>
  <c r="AP342" i="35"/>
  <c r="AS373" i="35"/>
  <c r="AV397" i="35"/>
  <c r="AV421" i="35"/>
  <c r="AR325" i="35"/>
  <c r="AT363" i="35"/>
  <c r="AO389" i="35"/>
  <c r="AO413" i="35"/>
  <c r="AO437" i="35"/>
  <c r="AO461" i="35"/>
  <c r="AO296" i="35"/>
  <c r="AO168" i="35"/>
  <c r="AQ211" i="35"/>
  <c r="AT188" i="35"/>
  <c r="AQ274" i="35"/>
  <c r="AT207" i="35"/>
  <c r="AU237" i="35"/>
  <c r="AV263" i="35"/>
  <c r="AV287" i="35"/>
  <c r="AS160" i="35"/>
  <c r="AP200" i="35"/>
  <c r="AU229" i="35"/>
  <c r="AV255" i="35"/>
  <c r="AR138" i="35"/>
  <c r="AP189" i="35"/>
  <c r="AR221" i="35"/>
  <c r="AV247" i="35"/>
  <c r="AP273" i="35"/>
  <c r="AU169" i="35"/>
  <c r="AO167" i="35"/>
  <c r="AR204" i="35"/>
  <c r="AR233" i="35"/>
  <c r="AR131" i="35"/>
  <c r="AQ187" i="35"/>
  <c r="AO220" i="35"/>
  <c r="AT147" i="35"/>
  <c r="AO213" i="35"/>
  <c r="AR266" i="35"/>
  <c r="AP296" i="35"/>
  <c r="AP320" i="35"/>
  <c r="AP344" i="35"/>
  <c r="AU226" i="35"/>
  <c r="AU273" i="35"/>
  <c r="AU300" i="35"/>
  <c r="AU324" i="35"/>
  <c r="AU348" i="35"/>
  <c r="AO178" i="35"/>
  <c r="AP247" i="35"/>
  <c r="AO285" i="35"/>
  <c r="AV309" i="35"/>
  <c r="AV333" i="35"/>
  <c r="AV357" i="35"/>
  <c r="AT151" i="35"/>
  <c r="AP238" i="35"/>
  <c r="AT279" i="35"/>
  <c r="AS305" i="35"/>
  <c r="AS329" i="35"/>
  <c r="AS353" i="35"/>
  <c r="AV214" i="35"/>
  <c r="AS267" i="35"/>
  <c r="AT296" i="35"/>
  <c r="AT320" i="35"/>
  <c r="AT344" i="35"/>
  <c r="AS190" i="35"/>
  <c r="AU253" i="35"/>
  <c r="AV288" i="35"/>
  <c r="AQ313" i="35"/>
  <c r="AQ337" i="35"/>
  <c r="AR228" i="35"/>
  <c r="AU274" i="35"/>
  <c r="AR301" i="35"/>
  <c r="AU155" i="35"/>
  <c r="AV238" i="35"/>
  <c r="AP280" i="35"/>
  <c r="AO306" i="35"/>
  <c r="AQ192" i="35"/>
  <c r="AU254" i="35"/>
  <c r="AQ143" i="35"/>
  <c r="AV236" i="35"/>
  <c r="AP279" i="35"/>
  <c r="AP309" i="35"/>
  <c r="AU355" i="35"/>
  <c r="AU382" i="35"/>
  <c r="AU406" i="35"/>
  <c r="AQ284" i="35"/>
  <c r="AV344" i="35"/>
  <c r="AP375" i="35"/>
  <c r="AR399" i="35"/>
  <c r="AP141" i="35"/>
  <c r="AR328" i="35"/>
  <c r="AS365" i="35"/>
  <c r="AS390" i="35"/>
  <c r="AS414" i="35"/>
  <c r="AS438" i="35"/>
  <c r="AS462" i="35"/>
  <c r="AS300" i="35"/>
  <c r="AT196" i="35"/>
  <c r="AQ234" i="35"/>
  <c r="AV190" i="35"/>
  <c r="AU275" i="35"/>
  <c r="AT209" i="35"/>
  <c r="AR239" i="35"/>
  <c r="AR265" i="35"/>
  <c r="AR289" i="35"/>
  <c r="AU163" i="35"/>
  <c r="AO202" i="35"/>
  <c r="AR231" i="35"/>
  <c r="AS257" i="35"/>
  <c r="AT145" i="35"/>
  <c r="AQ191" i="35"/>
  <c r="AP223" i="35"/>
  <c r="AS249" i="35"/>
  <c r="AO34" i="35"/>
  <c r="AT172" i="35"/>
  <c r="AQ170" i="35"/>
  <c r="AR206" i="35"/>
  <c r="AO235" i="35"/>
  <c r="AR140" i="35"/>
  <c r="AS189" i="35"/>
  <c r="AU221" i="35"/>
  <c r="AQ151" i="35"/>
  <c r="AO218" i="35"/>
  <c r="AP269" i="35"/>
  <c r="AT297" i="35"/>
  <c r="AT321" i="35"/>
  <c r="AQ47" i="35"/>
  <c r="AS230" i="35"/>
  <c r="AT275" i="35"/>
  <c r="AQ302" i="35"/>
  <c r="AQ326" i="35"/>
  <c r="AQ350" i="35"/>
  <c r="AQ183" i="35"/>
  <c r="AQ250" i="35"/>
  <c r="AU286" i="35"/>
  <c r="AR311" i="35"/>
  <c r="AR335" i="35"/>
  <c r="AR359" i="35"/>
  <c r="AR162" i="35"/>
  <c r="AR241" i="35"/>
  <c r="AR281" i="35"/>
  <c r="AO307" i="35"/>
  <c r="AO331" i="35"/>
  <c r="AO355" i="35"/>
  <c r="AU218" i="35"/>
  <c r="AO270" i="35"/>
  <c r="AP298" i="35"/>
  <c r="AP322" i="35"/>
  <c r="AP346" i="35"/>
  <c r="AV195" i="35"/>
  <c r="AU256" i="35"/>
  <c r="AS290" i="35"/>
  <c r="AU314" i="35"/>
  <c r="AQ80" i="35"/>
  <c r="AP232" i="35"/>
  <c r="AS276" i="35"/>
  <c r="AV302" i="35"/>
  <c r="AQ165" i="35"/>
  <c r="AP242" i="35"/>
  <c r="AP282" i="35"/>
  <c r="AS307" i="35"/>
  <c r="AO197" i="35"/>
  <c r="AU257" i="35"/>
  <c r="AR159" i="35"/>
  <c r="AQ240" i="35"/>
  <c r="AV280" i="35"/>
  <c r="AT313" i="35"/>
  <c r="AP358" i="35"/>
  <c r="AQ384" i="35"/>
  <c r="AQ408" i="35"/>
  <c r="AP291" i="35"/>
  <c r="AV346" i="35"/>
  <c r="AU376" i="35"/>
  <c r="AV400" i="35"/>
  <c r="AR192" i="35"/>
  <c r="AR331" i="35"/>
  <c r="AP367" i="35"/>
  <c r="AO392" i="35"/>
  <c r="AO416" i="35"/>
  <c r="AO440" i="35"/>
  <c r="AO464" i="35"/>
  <c r="AO305" i="35"/>
  <c r="AQ131" i="35"/>
  <c r="AV235" i="35"/>
  <c r="AV192" i="35"/>
  <c r="AU287" i="35"/>
  <c r="AT213" i="35"/>
  <c r="AO241" i="35"/>
  <c r="AV266" i="35"/>
  <c r="AV290" i="35"/>
  <c r="AT166" i="35"/>
  <c r="AO204" i="35"/>
  <c r="AO233" i="35"/>
  <c r="AP259" i="35"/>
  <c r="AR150" i="35"/>
  <c r="AU193" i="35"/>
  <c r="AV224" i="35"/>
  <c r="AP251" i="35"/>
  <c r="AU57" i="35"/>
  <c r="AR41" i="35"/>
  <c r="AU172" i="35"/>
  <c r="AS208" i="35"/>
  <c r="AT236" i="35"/>
  <c r="AR147" i="35"/>
  <c r="AP192" i="35"/>
  <c r="AS223" i="35"/>
  <c r="AP155" i="35"/>
  <c r="AO222" i="35"/>
  <c r="AS271" i="35"/>
  <c r="AP299" i="35"/>
  <c r="AP323" i="35"/>
  <c r="AP109" i="35"/>
  <c r="AV233" i="35"/>
  <c r="AT277" i="35"/>
  <c r="AU303" i="35"/>
  <c r="AU327" i="35"/>
  <c r="AU351" i="35"/>
  <c r="AQ189" i="35"/>
  <c r="AQ253" i="35"/>
  <c r="AS288" i="35"/>
  <c r="AV312" i="35"/>
  <c r="AV336" i="35"/>
  <c r="AV360" i="35"/>
  <c r="AQ171" i="35"/>
  <c r="AU244" i="35"/>
  <c r="AP283" i="35"/>
  <c r="AS308" i="35"/>
  <c r="AS332" i="35"/>
  <c r="AS356" i="35"/>
  <c r="AU223" i="35"/>
  <c r="AP272" i="35"/>
  <c r="AT299" i="35"/>
  <c r="AT323" i="35"/>
  <c r="AT347" i="35"/>
  <c r="AO201" i="35"/>
  <c r="AU259" i="35"/>
  <c r="AP292" i="35"/>
  <c r="AQ316" i="35"/>
  <c r="AR132" i="35"/>
  <c r="AR235" i="35"/>
  <c r="AQ278" i="35"/>
  <c r="AR304" i="35"/>
  <c r="AS173" i="35"/>
  <c r="AR245" i="35"/>
  <c r="AV283" i="35"/>
  <c r="AO309" i="35"/>
  <c r="AQ202" i="35"/>
  <c r="AP260" i="35"/>
  <c r="AS168" i="35"/>
  <c r="AS243" i="35"/>
  <c r="AT282" i="35"/>
  <c r="AP318" i="35"/>
  <c r="AV359" i="35"/>
  <c r="AU385" i="35"/>
  <c r="AU409" i="35"/>
  <c r="AU295" i="35"/>
  <c r="AR349" i="35"/>
  <c r="AR378" i="35"/>
  <c r="AR402" i="35"/>
  <c r="AS220" i="35"/>
  <c r="AR334" i="35"/>
  <c r="AU368" i="35"/>
  <c r="AS393" i="35"/>
  <c r="AU175" i="35"/>
  <c r="AS237" i="35"/>
  <c r="AR209" i="35"/>
  <c r="AQ101" i="35"/>
  <c r="AS215" i="35"/>
  <c r="AT242" i="35"/>
  <c r="AR268" i="35"/>
  <c r="AR292" i="35"/>
  <c r="AS169" i="35"/>
  <c r="AV205" i="35"/>
  <c r="AT234" i="35"/>
  <c r="AU260" i="35"/>
  <c r="AT153" i="35"/>
  <c r="AU195" i="35"/>
  <c r="AS226" i="35"/>
  <c r="AU252" i="35"/>
  <c r="AQ74" i="35"/>
  <c r="AO61" i="35"/>
  <c r="AO175" i="35"/>
  <c r="AR210" i="35"/>
  <c r="AQ238" i="35"/>
  <c r="AU150" i="35"/>
  <c r="AP194" i="35"/>
  <c r="AR225" i="35"/>
  <c r="AP158" i="35"/>
  <c r="AV225" i="35"/>
  <c r="AT273" i="35"/>
  <c r="AT300" i="35"/>
  <c r="AT324" i="35"/>
  <c r="AQ148" i="35"/>
  <c r="AQ237" i="35"/>
  <c r="AR279" i="35"/>
  <c r="AQ305" i="35"/>
  <c r="AQ329" i="35"/>
  <c r="AQ353" i="35"/>
  <c r="AR194" i="35"/>
  <c r="AQ256" i="35"/>
  <c r="AP290" i="35"/>
  <c r="AR314" i="35"/>
  <c r="AR338" i="35"/>
  <c r="AR362" i="35"/>
  <c r="AP178" i="35"/>
  <c r="AO248" i="35"/>
  <c r="AP285" i="35"/>
  <c r="AO310" i="35"/>
  <c r="AO334" i="35"/>
  <c r="AO358" i="35"/>
  <c r="AR227" i="35"/>
  <c r="AS274" i="35"/>
  <c r="AP301" i="35"/>
  <c r="AP325" i="35"/>
  <c r="AP349" i="35"/>
  <c r="AQ205" i="35"/>
  <c r="AU262" i="35"/>
  <c r="AU293" i="35"/>
  <c r="AU317" i="35"/>
  <c r="AQ155" i="35"/>
  <c r="AU238" i="35"/>
  <c r="AO280" i="35"/>
  <c r="AV305" i="35"/>
  <c r="AQ180" i="35"/>
  <c r="AT248" i="35"/>
  <c r="AT285" i="35"/>
  <c r="AS310" i="35"/>
  <c r="AO207" i="35"/>
  <c r="AP263" i="35"/>
  <c r="AO176" i="35"/>
  <c r="AU246" i="35"/>
  <c r="AR284" i="35"/>
  <c r="AR321" i="35"/>
  <c r="AT361" i="35"/>
  <c r="AQ387" i="35"/>
  <c r="AQ411" i="35"/>
  <c r="AQ300" i="35"/>
  <c r="AR351" i="35"/>
  <c r="AV379" i="35"/>
  <c r="AV403" i="35"/>
  <c r="AO243" i="35"/>
  <c r="AR337" i="35"/>
  <c r="AR370" i="35"/>
  <c r="AO395" i="35"/>
  <c r="AO419" i="35"/>
  <c r="AO443" i="35"/>
  <c r="AO467" i="35"/>
  <c r="AO314" i="35"/>
  <c r="AQ203" i="35"/>
  <c r="AP239" i="35"/>
  <c r="AO219" i="35"/>
  <c r="AP115" i="35"/>
  <c r="AR217" i="35"/>
  <c r="AQ244" i="35"/>
  <c r="AV269" i="35"/>
  <c r="AU33" i="35"/>
  <c r="AQ172" i="35"/>
  <c r="AU207" i="35"/>
  <c r="AQ236" i="35"/>
  <c r="AR262" i="35"/>
  <c r="AT157" i="35"/>
  <c r="AU197" i="35"/>
  <c r="AQ228" i="35"/>
  <c r="AR254" i="35"/>
  <c r="AP88" i="35"/>
  <c r="AQ77" i="35"/>
  <c r="AT177" i="35"/>
  <c r="AQ212" i="35"/>
  <c r="AV239" i="35"/>
  <c r="AV154" i="35"/>
  <c r="AP196" i="35"/>
  <c r="AO227" i="35"/>
  <c r="AT46" i="35"/>
  <c r="AR230" i="35"/>
  <c r="AS275" i="35"/>
  <c r="AP302" i="35"/>
  <c r="AP326" i="35"/>
  <c r="AP162" i="35"/>
  <c r="AS240" i="35"/>
  <c r="AP281" i="35"/>
  <c r="AU306" i="35"/>
  <c r="AU330" i="35"/>
  <c r="AU354" i="35"/>
  <c r="AP199" i="35"/>
  <c r="AT258" i="35"/>
  <c r="AU291" i="35"/>
  <c r="AV315" i="35"/>
  <c r="AV339" i="35"/>
  <c r="AV363" i="35"/>
  <c r="AR183" i="35"/>
  <c r="AR250" i="35"/>
  <c r="AV286" i="35"/>
  <c r="AS311" i="35"/>
  <c r="AS335" i="35"/>
  <c r="AQ65" i="35"/>
  <c r="AT231" i="35"/>
  <c r="AQ276" i="35"/>
  <c r="AT302" i="35"/>
  <c r="AT326" i="35"/>
  <c r="AT350" i="35"/>
  <c r="AT210" i="35"/>
  <c r="AV264" i="35"/>
  <c r="AQ295" i="35"/>
  <c r="AQ319" i="35"/>
  <c r="AP165" i="35"/>
  <c r="AO242" i="35"/>
  <c r="AO282" i="35"/>
  <c r="AR307" i="35"/>
  <c r="AS185" i="35"/>
  <c r="AT251" i="35"/>
  <c r="AR287" i="35"/>
  <c r="AO312" i="35"/>
  <c r="AO211" i="35"/>
  <c r="AV265" i="35"/>
  <c r="AO182" i="35"/>
  <c r="AV249" i="35"/>
  <c r="AP286" i="35"/>
  <c r="AR324" i="35"/>
  <c r="AR363" i="35"/>
  <c r="AU388" i="35"/>
  <c r="AU412" i="35"/>
  <c r="AU304" i="35"/>
  <c r="AV353" i="35"/>
  <c r="AR381" i="35"/>
  <c r="AR405" i="35"/>
  <c r="AQ260" i="35"/>
  <c r="AS339" i="35"/>
  <c r="AO372" i="35"/>
  <c r="AS396" i="35"/>
  <c r="AS420" i="35"/>
  <c r="AS444" i="35"/>
  <c r="AS468" i="35"/>
  <c r="AS318" i="35"/>
  <c r="AT53" i="35"/>
  <c r="AR260" i="35"/>
  <c r="AO221" i="35"/>
  <c r="AR126" i="35"/>
  <c r="AQ219" i="35"/>
  <c r="AV245" i="35"/>
  <c r="AR271" i="35"/>
  <c r="AT55" i="35"/>
  <c r="AS174" i="35"/>
  <c r="AO210" i="35"/>
  <c r="AV237" i="35"/>
  <c r="AO264" i="35"/>
  <c r="AT160" i="35"/>
  <c r="AQ200" i="35"/>
  <c r="AV229" i="35"/>
  <c r="AO256" i="35"/>
  <c r="AR102" i="35"/>
  <c r="AP91" i="35"/>
  <c r="AO180" i="35"/>
  <c r="AP214" i="35"/>
  <c r="AS241" i="35"/>
  <c r="AO158" i="35"/>
  <c r="AT198" i="35"/>
  <c r="AT228" i="35"/>
  <c r="AR108" i="35"/>
  <c r="AU233" i="35"/>
  <c r="AS277" i="35"/>
  <c r="AT303" i="35"/>
  <c r="AT327" i="35"/>
  <c r="AO171" i="35"/>
  <c r="AU243" i="35"/>
  <c r="AV282" i="35"/>
  <c r="AQ308" i="35"/>
  <c r="AQ332" i="35"/>
  <c r="AQ356" i="35"/>
  <c r="AU204" i="35"/>
  <c r="AT261" i="35"/>
  <c r="AR293" i="35"/>
  <c r="AR317" i="35"/>
  <c r="AR341" i="35"/>
  <c r="AR365" i="35"/>
  <c r="AT189" i="35"/>
  <c r="AR253" i="35"/>
  <c r="AT288" i="35"/>
  <c r="AO313" i="35"/>
  <c r="AO337" i="35"/>
  <c r="AR122" i="35"/>
  <c r="AP235" i="35"/>
  <c r="AO278" i="35"/>
  <c r="AP304" i="35"/>
  <c r="AP328" i="35"/>
  <c r="AP352" i="35"/>
  <c r="AO215" i="35"/>
  <c r="AT267" i="35"/>
  <c r="AU296" i="35"/>
  <c r="AU320" i="35"/>
  <c r="AQ173" i="35"/>
  <c r="AQ245" i="35"/>
  <c r="AU283" i="35"/>
  <c r="AV308" i="35"/>
  <c r="AR191" i="35"/>
  <c r="AT254" i="35"/>
  <c r="AP289" i="35"/>
  <c r="AS313" i="35"/>
  <c r="AT216" i="35"/>
  <c r="AO268" i="35"/>
  <c r="AT187" i="35"/>
  <c r="AV252" i="35"/>
  <c r="AP94" i="35"/>
  <c r="AR327" i="35"/>
  <c r="AP365" i="35"/>
  <c r="AQ390" i="35"/>
  <c r="AQ414" i="35"/>
  <c r="AQ309" i="35"/>
  <c r="AV355" i="35"/>
  <c r="AV382" i="35"/>
  <c r="AV406" i="35"/>
  <c r="AP275" i="35"/>
  <c r="AQ342" i="35"/>
  <c r="AU129" i="35"/>
  <c r="AU152" i="35"/>
  <c r="AO262" i="35"/>
  <c r="AU222" i="35"/>
  <c r="AR137" i="35"/>
  <c r="AP221" i="35"/>
  <c r="AS247" i="35"/>
  <c r="AV272" i="35"/>
  <c r="AR72" i="35"/>
  <c r="AU176" i="35"/>
  <c r="AV211" i="35"/>
  <c r="AS239" i="35"/>
  <c r="AS265" i="35"/>
  <c r="AV163" i="35"/>
  <c r="AP202" i="35"/>
  <c r="AS231" i="35"/>
  <c r="AT257" i="35"/>
  <c r="AT116" i="35"/>
  <c r="AR105" i="35"/>
  <c r="AP182" i="35"/>
  <c r="AQ216" i="35"/>
  <c r="AQ243" i="35"/>
  <c r="AU161" i="35"/>
  <c r="AT200" i="35"/>
  <c r="AQ230" i="35"/>
  <c r="AU147" i="35"/>
  <c r="AO237" i="35"/>
  <c r="AQ279" i="35"/>
  <c r="AP305" i="35"/>
  <c r="AP329" i="35"/>
  <c r="AP177" i="35"/>
  <c r="AO247" i="35"/>
  <c r="AT284" i="35"/>
  <c r="AU309" i="35"/>
  <c r="AU333" i="35"/>
  <c r="AU357" i="35"/>
  <c r="AO209" i="35"/>
  <c r="AS264" i="35"/>
  <c r="AV294" i="35"/>
  <c r="AV318" i="35"/>
  <c r="AV342" i="35"/>
  <c r="AV366" i="35"/>
  <c r="AS194" i="35"/>
  <c r="AR256" i="35"/>
  <c r="AQ290" i="35"/>
  <c r="AS314" i="35"/>
  <c r="AS338" i="35"/>
  <c r="AP152" i="35"/>
  <c r="AR238" i="35"/>
  <c r="AU279" i="35"/>
  <c r="AT305" i="35"/>
  <c r="AT329" i="35"/>
  <c r="AT353" i="35"/>
  <c r="AU219" i="35"/>
  <c r="AQ270" i="35"/>
  <c r="AQ298" i="35"/>
  <c r="AQ322" i="35"/>
  <c r="AU179" i="35"/>
  <c r="AS248" i="35"/>
  <c r="AS285" i="35"/>
  <c r="AR310" i="35"/>
  <c r="AV196" i="35"/>
  <c r="AO257" i="35"/>
  <c r="AU290" i="35"/>
  <c r="AO315" i="35"/>
  <c r="AR220" i="35"/>
  <c r="AT270" i="35"/>
  <c r="AT192" i="35"/>
  <c r="AQ255" i="35"/>
  <c r="AO187" i="35"/>
  <c r="AR330" i="35"/>
  <c r="AU366" i="35"/>
  <c r="AU391" i="35"/>
  <c r="AU415" i="35"/>
  <c r="AU313" i="35"/>
  <c r="AQ358" i="35"/>
  <c r="AR384" i="35"/>
  <c r="AR408" i="35"/>
  <c r="AV285" i="35"/>
  <c r="AO345" i="35"/>
  <c r="AQ375" i="35"/>
  <c r="AS399" i="35"/>
  <c r="AS423" i="35"/>
  <c r="AS447" i="35"/>
  <c r="AS471" i="35"/>
  <c r="AR161" i="35"/>
  <c r="AV27" i="35"/>
  <c r="AT263" i="35"/>
  <c r="AS224" i="35"/>
  <c r="AQ169" i="35"/>
  <c r="AV222" i="35"/>
  <c r="AQ249" i="35"/>
  <c r="AR274" i="35"/>
  <c r="AP87" i="35"/>
  <c r="AS179" i="35"/>
  <c r="AU213" i="35"/>
  <c r="AP241" i="35"/>
  <c r="AO267" i="35"/>
  <c r="AU166" i="35"/>
  <c r="AP204" i="35"/>
  <c r="AP233" i="35"/>
  <c r="AQ259" i="35"/>
  <c r="AR128" i="35"/>
  <c r="AR119" i="35"/>
  <c r="AV184" i="35"/>
  <c r="AP218" i="35"/>
  <c r="AV244" i="35"/>
  <c r="AQ164" i="35"/>
  <c r="AT202" i="35"/>
  <c r="AV231" i="35"/>
  <c r="AO162" i="35"/>
  <c r="AR240" i="35"/>
  <c r="AO281" i="35"/>
  <c r="AT306" i="35"/>
  <c r="AT330" i="35"/>
  <c r="AP183" i="35"/>
  <c r="AP250" i="35"/>
  <c r="AT286" i="35"/>
  <c r="AQ311" i="35"/>
  <c r="AQ335" i="35"/>
  <c r="AQ359" i="35"/>
  <c r="AO214" i="35"/>
  <c r="AQ267" i="35"/>
  <c r="AR296" i="35"/>
  <c r="AR320" i="35"/>
  <c r="AR344" i="35"/>
  <c r="AR368" i="35"/>
  <c r="AR200" i="35"/>
  <c r="AR259" i="35"/>
  <c r="AV291" i="35"/>
  <c r="AO316" i="35"/>
  <c r="AO340" i="35"/>
  <c r="AU164" i="35"/>
  <c r="AU241" i="35"/>
  <c r="AS281" i="35"/>
  <c r="AP307" i="35"/>
  <c r="AP331" i="35"/>
  <c r="AP355" i="35"/>
  <c r="AO224" i="35"/>
  <c r="AQ272" i="35"/>
  <c r="AU299" i="35"/>
  <c r="AU323" i="35"/>
  <c r="AQ185" i="35"/>
  <c r="AS251" i="35"/>
  <c r="AQ287" i="35"/>
  <c r="AV311" i="35"/>
  <c r="AQ201" i="35"/>
  <c r="AO260" i="35"/>
  <c r="AS292" i="35"/>
  <c r="AS316" i="35"/>
  <c r="AO225" i="35"/>
  <c r="AO273" i="35"/>
  <c r="AU198" i="35"/>
  <c r="AQ258" i="35"/>
  <c r="AU216" i="35"/>
  <c r="AR333" i="35"/>
  <c r="AS368" i="35"/>
  <c r="AQ393" i="35"/>
  <c r="AQ417" i="35"/>
  <c r="AQ318" i="35"/>
  <c r="AO360" i="35"/>
  <c r="AV385" i="35"/>
  <c r="AV409" i="35"/>
  <c r="AQ291" i="35"/>
  <c r="AO347" i="35"/>
  <c r="AV376" i="35"/>
  <c r="AO401" i="35"/>
  <c r="AO425" i="35"/>
  <c r="AO449" i="35"/>
  <c r="AO143" i="35"/>
  <c r="AR185" i="35"/>
  <c r="AO52" i="35"/>
  <c r="AP265" i="35"/>
  <c r="AT237" i="35"/>
  <c r="AT181" i="35"/>
  <c r="AT224" i="35"/>
  <c r="AV250" i="35"/>
  <c r="AV275" i="35"/>
  <c r="AT101" i="35"/>
  <c r="AU181" i="35"/>
  <c r="AT215" i="35"/>
  <c r="AU242" i="35"/>
  <c r="AS268" i="35"/>
  <c r="AT169" i="35"/>
  <c r="AO206" i="35"/>
  <c r="AU234" i="35"/>
  <c r="AV260" i="35"/>
  <c r="AP139" i="35"/>
  <c r="AT128" i="35"/>
  <c r="AP187" i="35"/>
  <c r="AV219" i="35"/>
  <c r="AS246" i="35"/>
  <c r="AP167" i="35"/>
  <c r="AS204" i="35"/>
  <c r="AV45" i="35"/>
  <c r="AU170" i="35"/>
  <c r="AT243" i="35"/>
  <c r="AU282" i="35"/>
  <c r="AP308" i="35"/>
  <c r="AP332" i="35"/>
  <c r="AV187" i="35"/>
  <c r="AP253" i="35"/>
  <c r="AR288" i="35"/>
  <c r="AU312" i="35"/>
  <c r="AU336" i="35"/>
  <c r="AU360" i="35"/>
  <c r="AS218" i="35"/>
  <c r="AR269" i="35"/>
  <c r="AV297" i="35"/>
  <c r="AV321" i="35"/>
  <c r="AV345" i="35"/>
  <c r="AV369" i="35"/>
  <c r="AO205" i="35"/>
  <c r="AU261" i="35"/>
  <c r="AS293" i="35"/>
  <c r="AS317" i="35"/>
  <c r="AS341" i="35"/>
  <c r="AO173" i="35"/>
  <c r="AO245" i="35"/>
  <c r="AS283" i="35"/>
  <c r="AT308" i="35"/>
  <c r="AT332" i="35"/>
  <c r="AT356" i="35"/>
  <c r="AS227" i="35"/>
  <c r="AT274" i="35"/>
  <c r="AQ301" i="35"/>
  <c r="AQ325" i="35"/>
  <c r="AT190" i="35"/>
  <c r="AS254" i="35"/>
  <c r="AO289" i="35"/>
  <c r="AR313" i="35"/>
  <c r="AU206" i="35"/>
  <c r="AO263" i="35"/>
  <c r="AO294" i="35"/>
  <c r="AO318" i="35"/>
  <c r="AV228" i="35"/>
  <c r="AO275" i="35"/>
  <c r="AP203" i="35"/>
  <c r="AQ261" i="35"/>
  <c r="AU239" i="35"/>
  <c r="AR336" i="35"/>
  <c r="AP370" i="35"/>
  <c r="AU394" i="35"/>
  <c r="AU418" i="35"/>
  <c r="AS321" i="35"/>
  <c r="AU361" i="35"/>
  <c r="AR387" i="35"/>
  <c r="AR411" i="35"/>
  <c r="AV295" i="35"/>
  <c r="AS349" i="35"/>
  <c r="AP123" i="35"/>
  <c r="AT168" i="35"/>
  <c r="AQ53" i="35"/>
  <c r="AU245" i="35"/>
  <c r="AU183" i="35"/>
  <c r="AQ226" i="35"/>
  <c r="AS252" i="35"/>
  <c r="AR277" i="35"/>
  <c r="AQ116" i="35"/>
  <c r="AO184" i="35"/>
  <c r="AS217" i="35"/>
  <c r="AR244" i="35"/>
  <c r="AV33" i="35"/>
  <c r="AS172" i="35"/>
  <c r="AO208" i="35"/>
  <c r="AR236" i="35"/>
  <c r="AS262" i="35"/>
  <c r="AU145" i="35"/>
  <c r="AQ140" i="35"/>
  <c r="AR189" i="35"/>
  <c r="AT221" i="35"/>
  <c r="AP248" i="35"/>
  <c r="AT170" i="35"/>
  <c r="AT206" i="35"/>
  <c r="AV63" i="35"/>
  <c r="AP176" i="35"/>
  <c r="AV246" i="35"/>
  <c r="AS284" i="35"/>
  <c r="AT309" i="35"/>
  <c r="AT333" i="35"/>
  <c r="AQ194" i="35"/>
  <c r="AP256" i="35"/>
  <c r="AO290" i="35"/>
  <c r="AQ314" i="35"/>
  <c r="AQ338" i="35"/>
  <c r="AQ362" i="35"/>
  <c r="AS222" i="35"/>
  <c r="AV271" i="35"/>
  <c r="AR299" i="35"/>
  <c r="AR323" i="35"/>
  <c r="AR347" i="35"/>
  <c r="AR371" i="35"/>
  <c r="AP209" i="35"/>
  <c r="AT264" i="35"/>
  <c r="AO295" i="35"/>
  <c r="AO319" i="35"/>
  <c r="AO343" i="35"/>
  <c r="AQ178" i="35"/>
  <c r="AQ248" i="35"/>
  <c r="AQ285" i="35"/>
  <c r="AP310" i="35"/>
  <c r="AP334" i="35"/>
  <c r="AR65" i="35"/>
  <c r="AO232" i="35"/>
  <c r="AR276" i="35"/>
  <c r="AU302" i="35"/>
  <c r="AU326" i="35"/>
  <c r="AQ196" i="35"/>
  <c r="AV256" i="35"/>
  <c r="AT290" i="35"/>
  <c r="AV314" i="35"/>
  <c r="AV210" i="35"/>
  <c r="AU265" i="35"/>
  <c r="AS295" i="35"/>
  <c r="AP81" i="35"/>
  <c r="AR232" i="35"/>
  <c r="AU276" i="35"/>
  <c r="AQ208" i="35"/>
  <c r="AS263" i="35"/>
  <c r="AV257" i="35"/>
  <c r="AQ339" i="35"/>
  <c r="AU371" i="35"/>
  <c r="AQ396" i="35"/>
  <c r="AQ420" i="35"/>
  <c r="AS324" i="35"/>
  <c r="AS363" i="35"/>
  <c r="AV388" i="35"/>
  <c r="AV412" i="35"/>
  <c r="AR300" i="35"/>
  <c r="AS351" i="35"/>
  <c r="AO380" i="35"/>
  <c r="AR129" i="35"/>
  <c r="AR171" i="35"/>
  <c r="AT125" i="35"/>
  <c r="AR247" i="35"/>
  <c r="AP186" i="35"/>
  <c r="AV227" i="35"/>
  <c r="AP254" i="35"/>
  <c r="AV278" i="35"/>
  <c r="AP127" i="35"/>
  <c r="AT186" i="35"/>
  <c r="AS219" i="35"/>
  <c r="AO246" i="35"/>
  <c r="AS56" i="35"/>
  <c r="AT174" i="35"/>
  <c r="AP210" i="35"/>
  <c r="AO238" i="35"/>
  <c r="AP264" i="35"/>
  <c r="AS150" i="35"/>
  <c r="AQ147" i="35"/>
  <c r="AO192" i="35"/>
  <c r="AR223" i="35"/>
  <c r="AU42" i="35"/>
  <c r="AV172" i="35"/>
  <c r="AT208" i="35"/>
  <c r="AP79" i="35"/>
  <c r="AS182" i="35"/>
  <c r="AO250" i="35"/>
  <c r="AS286" i="35"/>
  <c r="AP311" i="35"/>
  <c r="AP335" i="35"/>
  <c r="AO199" i="35"/>
  <c r="AS258" i="35"/>
  <c r="AT291" i="35"/>
  <c r="AU315" i="35"/>
  <c r="AU339" i="35"/>
  <c r="AU363" i="35"/>
  <c r="AP227" i="35"/>
  <c r="AV273" i="35"/>
  <c r="AV300" i="35"/>
  <c r="AV324" i="35"/>
  <c r="AV348" i="35"/>
  <c r="AV372" i="35"/>
  <c r="AT214" i="35"/>
  <c r="AR267" i="35"/>
  <c r="AS296" i="35"/>
  <c r="AS320" i="35"/>
  <c r="AS344" i="35"/>
  <c r="AQ184" i="35"/>
  <c r="AQ251" i="35"/>
  <c r="AO287" i="35"/>
  <c r="AT311" i="35"/>
  <c r="AT335" i="35"/>
  <c r="AT122" i="35"/>
  <c r="AQ235" i="35"/>
  <c r="AP278" i="35"/>
  <c r="AQ304" i="35"/>
  <c r="AQ328" i="35"/>
  <c r="AP201" i="35"/>
  <c r="AV259" i="35"/>
  <c r="AQ292" i="35"/>
  <c r="AR316" i="35"/>
  <c r="AO216" i="35"/>
  <c r="AV267" i="35"/>
  <c r="AQ266" i="35"/>
  <c r="AS402" i="35"/>
  <c r="AS221" i="35"/>
  <c r="AP356" i="35"/>
  <c r="AP383" i="35"/>
  <c r="AP407" i="35"/>
  <c r="AP431" i="35"/>
  <c r="AP197" i="35"/>
  <c r="AT331" i="35"/>
  <c r="AR367" i="35"/>
  <c r="AQ392" i="35"/>
  <c r="AQ416" i="35"/>
  <c r="AQ440" i="35"/>
  <c r="AO198" i="35"/>
  <c r="AU331" i="35"/>
  <c r="AS367" i="35"/>
  <c r="AR392" i="35"/>
  <c r="AR416" i="35"/>
  <c r="AR440" i="35"/>
  <c r="AU319" i="35"/>
  <c r="AT360" i="35"/>
  <c r="AS386" i="35"/>
  <c r="AS410" i="35"/>
  <c r="AS434" i="35"/>
  <c r="AS297" i="35"/>
  <c r="AP350" i="35"/>
  <c r="AP379" i="35"/>
  <c r="AP403" i="35"/>
  <c r="AP427" i="35"/>
  <c r="AV251" i="35"/>
  <c r="AU338" i="35"/>
  <c r="AP371" i="35"/>
  <c r="AQ294" i="35"/>
  <c r="AR348" i="35"/>
  <c r="AV377" i="35"/>
  <c r="AV401" i="35"/>
  <c r="AV425" i="35"/>
  <c r="AS294" i="35"/>
  <c r="AT348" i="35"/>
  <c r="AP378" i="35"/>
  <c r="AP402" i="35"/>
  <c r="AP426" i="35"/>
  <c r="AO423" i="35"/>
  <c r="AQ464" i="35"/>
  <c r="AV488" i="35"/>
  <c r="AV512" i="35"/>
  <c r="AV442" i="35"/>
  <c r="AS472" i="35"/>
  <c r="AS496" i="35"/>
  <c r="AR376" i="35"/>
  <c r="AU455" i="35"/>
  <c r="AT481" i="35"/>
  <c r="AT505" i="35"/>
  <c r="AU428" i="35"/>
  <c r="AQ466" i="35"/>
  <c r="AU490" i="35"/>
  <c r="AU514" i="35"/>
  <c r="AR448" i="35"/>
  <c r="AV475" i="35"/>
  <c r="AV499" i="35"/>
  <c r="AS400" i="35"/>
  <c r="AV459" i="35"/>
  <c r="AO485" i="35"/>
  <c r="AO509" i="35"/>
  <c r="AQ438" i="35"/>
  <c r="AV469" i="35"/>
  <c r="AP494" i="35"/>
  <c r="AO339" i="35"/>
  <c r="AV452" i="35"/>
  <c r="AQ479" i="35"/>
  <c r="AQ503" i="35"/>
  <c r="AQ439" i="35"/>
  <c r="AQ470" i="35"/>
  <c r="AR494" i="35"/>
  <c r="AU421" i="35"/>
  <c r="AV463" i="35"/>
  <c r="AT488" i="35"/>
  <c r="AT512" i="35"/>
  <c r="AS445" i="35"/>
  <c r="AU473" i="35"/>
  <c r="AU497" i="35"/>
  <c r="AO484" i="35"/>
  <c r="AU513" i="35"/>
  <c r="AS403" i="35"/>
  <c r="AQ426" i="35"/>
  <c r="AO481" i="35"/>
  <c r="AQ273" i="35"/>
  <c r="AO404" i="35"/>
  <c r="AR243" i="35"/>
  <c r="AS358" i="35"/>
  <c r="AT384" i="35"/>
  <c r="AT408" i="35"/>
  <c r="AT432" i="35"/>
  <c r="AS225" i="35"/>
  <c r="AT334" i="35"/>
  <c r="AO369" i="35"/>
  <c r="AU393" i="35"/>
  <c r="AU417" i="35"/>
  <c r="AU441" i="35"/>
  <c r="AT225" i="35"/>
  <c r="AU334" i="35"/>
  <c r="AP369" i="35"/>
  <c r="AV393" i="35"/>
  <c r="AV417" i="35"/>
  <c r="AV441" i="35"/>
  <c r="AV322" i="35"/>
  <c r="AT362" i="35"/>
  <c r="AO388" i="35"/>
  <c r="AO412" i="35"/>
  <c r="AO436" i="35"/>
  <c r="AO302" i="35"/>
  <c r="AT352" i="35"/>
  <c r="AT380" i="35"/>
  <c r="AT404" i="35"/>
  <c r="AT428" i="35"/>
  <c r="AU268" i="35"/>
  <c r="AV340" i="35"/>
  <c r="AU372" i="35"/>
  <c r="AU298" i="35"/>
  <c r="AV350" i="35"/>
  <c r="AR379" i="35"/>
  <c r="AR403" i="35"/>
  <c r="AR427" i="35"/>
  <c r="AO299" i="35"/>
  <c r="AP351" i="35"/>
  <c r="AT379" i="35"/>
  <c r="AT403" i="35"/>
  <c r="AT427" i="35"/>
  <c r="AS427" i="35"/>
  <c r="AV465" i="35"/>
  <c r="AR490" i="35"/>
  <c r="AR514" i="35"/>
  <c r="AU445" i="35"/>
  <c r="AO474" i="35"/>
  <c r="AO498" i="35"/>
  <c r="AU389" i="35"/>
  <c r="AS457" i="35"/>
  <c r="AP483" i="35"/>
  <c r="AP507" i="35"/>
  <c r="AQ433" i="35"/>
  <c r="AV467" i="35"/>
  <c r="AQ492" i="35"/>
  <c r="AU270" i="35"/>
  <c r="AQ450" i="35"/>
  <c r="AR477" i="35"/>
  <c r="AR501" i="35"/>
  <c r="AS409" i="35"/>
  <c r="AT461" i="35"/>
  <c r="AS486" i="35"/>
  <c r="AS510" i="35"/>
  <c r="AQ441" i="35"/>
  <c r="AT471" i="35"/>
  <c r="AT495" i="35"/>
  <c r="AV364" i="35"/>
  <c r="AT454" i="35"/>
  <c r="AU480" i="35"/>
  <c r="AU504" i="35"/>
  <c r="AQ442" i="35"/>
  <c r="AV471" i="35"/>
  <c r="AV495" i="35"/>
  <c r="AR426" i="35"/>
  <c r="AT465" i="35"/>
  <c r="AP490" i="35"/>
  <c r="AP514" i="35"/>
  <c r="AR447" i="35"/>
  <c r="AQ475" i="35"/>
  <c r="AQ499" i="35"/>
  <c r="AO502" i="35"/>
  <c r="AS385" i="35"/>
  <c r="AP453" i="35"/>
  <c r="AT458" i="35"/>
  <c r="AO496" i="35"/>
  <c r="AO342" i="35"/>
  <c r="AS405" i="35"/>
  <c r="AS309" i="35"/>
  <c r="AQ360" i="35"/>
  <c r="AP386" i="35"/>
  <c r="AP410" i="35"/>
  <c r="AP434" i="35"/>
  <c r="AR246" i="35"/>
  <c r="AT337" i="35"/>
  <c r="AT370" i="35"/>
  <c r="AQ395" i="35"/>
  <c r="AQ419" i="35"/>
  <c r="AQ443" i="35"/>
  <c r="AT246" i="35"/>
  <c r="AU337" i="35"/>
  <c r="AU370" i="35"/>
  <c r="AR395" i="35"/>
  <c r="AR419" i="35"/>
  <c r="AR443" i="35"/>
  <c r="AV325" i="35"/>
  <c r="AR364" i="35"/>
  <c r="AS389" i="35"/>
  <c r="AS413" i="35"/>
  <c r="AS437" i="35"/>
  <c r="AS306" i="35"/>
  <c r="AT354" i="35"/>
  <c r="AP382" i="35"/>
  <c r="AP406" i="35"/>
  <c r="AP430" i="35"/>
  <c r="AT280" i="35"/>
  <c r="AT343" i="35"/>
  <c r="AS374" i="35"/>
  <c r="AQ303" i="35"/>
  <c r="AV352" i="35"/>
  <c r="AV380" i="35"/>
  <c r="AV404" i="35"/>
  <c r="AV428" i="35"/>
  <c r="AS303" i="35"/>
  <c r="AP353" i="35"/>
  <c r="AP381" i="35"/>
  <c r="AP405" i="35"/>
  <c r="AP429" i="35"/>
  <c r="AO432" i="35"/>
  <c r="AS467" i="35"/>
  <c r="AV491" i="35"/>
  <c r="AO20" i="35"/>
  <c r="AO448" i="35"/>
  <c r="AS475" i="35"/>
  <c r="AS499" i="35"/>
  <c r="AU398" i="35"/>
  <c r="AQ459" i="35"/>
  <c r="AT484" i="35"/>
  <c r="AT508" i="35"/>
  <c r="AU437" i="35"/>
  <c r="AS469" i="35"/>
  <c r="AU493" i="35"/>
  <c r="AP330" i="35"/>
  <c r="AS452" i="35"/>
  <c r="AV478" i="35"/>
  <c r="AV502" i="35"/>
  <c r="AS418" i="35"/>
  <c r="AQ463" i="35"/>
  <c r="AO488" i="35"/>
  <c r="AO512" i="35"/>
  <c r="AQ444" i="35"/>
  <c r="AP473" i="35"/>
  <c r="AP497" i="35"/>
  <c r="AO384" i="35"/>
  <c r="AR456" i="35"/>
  <c r="AQ482" i="35"/>
  <c r="AQ506" i="35"/>
  <c r="AV444" i="35"/>
  <c r="AR473" i="35"/>
  <c r="AR497" i="35"/>
  <c r="AV430" i="35"/>
  <c r="AQ467" i="35"/>
  <c r="AT491" i="35"/>
  <c r="AQ20" i="35"/>
  <c r="AT449" i="35"/>
  <c r="AU476" i="35"/>
  <c r="AU500" i="35"/>
  <c r="AR512" i="35"/>
  <c r="AR449" i="35"/>
  <c r="AS473" i="35"/>
  <c r="AO478" i="35"/>
  <c r="AU510" i="35"/>
  <c r="AR373" i="35"/>
  <c r="AS417" i="35"/>
  <c r="AS322" i="35"/>
  <c r="AO362" i="35"/>
  <c r="AT387" i="35"/>
  <c r="AT411" i="35"/>
  <c r="AT435" i="35"/>
  <c r="AQ263" i="35"/>
  <c r="AR340" i="35"/>
  <c r="AQ372" i="35"/>
  <c r="AU396" i="35"/>
  <c r="AU420" i="35"/>
  <c r="AU444" i="35"/>
  <c r="AR263" i="35"/>
  <c r="AS340" i="35"/>
  <c r="AR372" i="35"/>
  <c r="AV396" i="35"/>
  <c r="AV420" i="35"/>
  <c r="AQ168" i="35"/>
  <c r="AV328" i="35"/>
  <c r="AO366" i="35"/>
  <c r="AO391" i="35"/>
  <c r="AO415" i="35"/>
  <c r="AO439" i="35"/>
  <c r="AO311" i="35"/>
  <c r="AP357" i="35"/>
  <c r="AT383" i="35"/>
  <c r="AT407" i="35"/>
  <c r="AT431" i="35"/>
  <c r="AQ289" i="35"/>
  <c r="AQ346" i="35"/>
  <c r="AP376" i="35"/>
  <c r="AU307" i="35"/>
  <c r="AR355" i="35"/>
  <c r="AR382" i="35"/>
  <c r="AR406" i="35"/>
  <c r="AR430" i="35"/>
  <c r="AO308" i="35"/>
  <c r="AT355" i="35"/>
  <c r="AT382" i="35"/>
  <c r="AT406" i="35"/>
  <c r="AT430" i="35"/>
  <c r="AS436" i="35"/>
  <c r="AP469" i="35"/>
  <c r="AR493" i="35"/>
  <c r="AP212" i="35"/>
  <c r="AV449" i="35"/>
  <c r="AO477" i="35"/>
  <c r="AO501" i="35"/>
  <c r="AU407" i="35"/>
  <c r="AP461" i="35"/>
  <c r="AP486" i="35"/>
  <c r="AP510" i="35"/>
  <c r="AV440" i="35"/>
  <c r="AP471" i="35"/>
  <c r="AQ495" i="35"/>
  <c r="AT359" i="35"/>
  <c r="AQ454" i="35"/>
  <c r="AR480" i="35"/>
  <c r="AR504" i="35"/>
  <c r="AU424" i="35"/>
  <c r="AV464" i="35"/>
  <c r="AS489" i="35"/>
  <c r="AS513" i="35"/>
  <c r="AU446" i="35"/>
  <c r="AT474" i="35"/>
  <c r="AT498" i="35"/>
  <c r="AO393" i="35"/>
  <c r="AR458" i="35"/>
  <c r="AU483" i="35"/>
  <c r="AU507" i="35"/>
  <c r="AO447" i="35"/>
  <c r="AV474" i="35"/>
  <c r="AV498" i="35"/>
  <c r="AR435" i="35"/>
  <c r="AV468" i="35"/>
  <c r="AP493" i="35"/>
  <c r="AR312" i="35"/>
  <c r="AS451" i="35"/>
  <c r="AQ478" i="35"/>
  <c r="AQ502" i="35"/>
  <c r="AV343" i="35"/>
  <c r="AR470" i="35"/>
  <c r="AS491" i="35"/>
  <c r="AV513" i="35"/>
  <c r="AU397" i="35"/>
  <c r="AO422" i="35"/>
  <c r="AS325" i="35"/>
  <c r="AO364" i="35"/>
  <c r="AP389" i="35"/>
  <c r="AP413" i="35"/>
  <c r="AP437" i="35"/>
  <c r="AV276" i="35"/>
  <c r="AS342" i="35"/>
  <c r="AV373" i="35"/>
  <c r="AQ398" i="35"/>
  <c r="AQ422" i="35"/>
  <c r="AQ446" i="35"/>
  <c r="AO277" i="35"/>
  <c r="AQ343" i="35"/>
  <c r="AO374" i="35"/>
  <c r="AR398" i="35"/>
  <c r="AR422" i="35"/>
  <c r="AU202" i="35"/>
  <c r="AV331" i="35"/>
  <c r="AT367" i="35"/>
  <c r="AS392" i="35"/>
  <c r="AS416" i="35"/>
  <c r="AS440" i="35"/>
  <c r="AS315" i="35"/>
  <c r="AO359" i="35"/>
  <c r="AP385" i="35"/>
  <c r="AP409" i="35"/>
  <c r="AP433" i="35"/>
  <c r="AP294" i="35"/>
  <c r="AQ348" i="35"/>
  <c r="AU377" i="35"/>
  <c r="AQ312" i="35"/>
  <c r="AR357" i="35"/>
  <c r="AV383" i="35"/>
  <c r="AV407" i="35"/>
  <c r="AV431" i="35"/>
  <c r="AS312" i="35"/>
  <c r="AT357" i="35"/>
  <c r="AP384" i="35"/>
  <c r="AP408" i="35"/>
  <c r="AP432" i="35"/>
  <c r="AU439" i="35"/>
  <c r="AU470" i="35"/>
  <c r="AV494" i="35"/>
  <c r="AP321" i="35"/>
  <c r="AU451" i="35"/>
  <c r="AS478" i="35"/>
  <c r="AS502" i="35"/>
  <c r="AU416" i="35"/>
  <c r="AV462" i="35"/>
  <c r="AT487" i="35"/>
  <c r="AT511" i="35"/>
  <c r="AV443" i="35"/>
  <c r="AU472" i="35"/>
  <c r="AU496" i="35"/>
  <c r="AS379" i="35"/>
  <c r="AO456" i="35"/>
  <c r="AV481" i="35"/>
  <c r="AV505" i="35"/>
  <c r="AQ429" i="35"/>
  <c r="AS466" i="35"/>
  <c r="AO491" i="35"/>
  <c r="AV20" i="35"/>
  <c r="AT448" i="35"/>
  <c r="AP476" i="35"/>
  <c r="AP500" i="35"/>
  <c r="AO402" i="35"/>
  <c r="AP460" i="35"/>
  <c r="AQ485" i="35"/>
  <c r="AQ509" i="35"/>
  <c r="AV448" i="35"/>
  <c r="AR476" i="35"/>
  <c r="AR500" i="35"/>
  <c r="AS439" i="35"/>
  <c r="AS470" i="35"/>
  <c r="AT494" i="35"/>
  <c r="AS348" i="35"/>
  <c r="AR453" i="35"/>
  <c r="AU479" i="35"/>
  <c r="AU503" i="35"/>
  <c r="AQ445" i="35"/>
  <c r="AS488" i="35"/>
  <c r="AO508" i="35"/>
  <c r="AQ95" i="35"/>
  <c r="AS426" i="35"/>
  <c r="AS328" i="35"/>
  <c r="AT365" i="35"/>
  <c r="AT390" i="35"/>
  <c r="AT414" i="35"/>
  <c r="AT438" i="35"/>
  <c r="AS287" i="35"/>
  <c r="AQ345" i="35"/>
  <c r="AS375" i="35"/>
  <c r="AU399" i="35"/>
  <c r="AU423" i="35"/>
  <c r="AU447" i="35"/>
  <c r="AT287" i="35"/>
  <c r="AR345" i="35"/>
  <c r="AT375" i="35"/>
  <c r="AV399" i="35"/>
  <c r="AV423" i="35"/>
  <c r="AO229" i="35"/>
  <c r="AV334" i="35"/>
  <c r="AQ369" i="35"/>
  <c r="AO394" i="35"/>
  <c r="AO418" i="35"/>
  <c r="AO442" i="35"/>
  <c r="AV319" i="35"/>
  <c r="AO361" i="35"/>
  <c r="AT386" i="35"/>
  <c r="AT410" i="35"/>
  <c r="AT434" i="35"/>
  <c r="AT298" i="35"/>
  <c r="AU350" i="35"/>
  <c r="AQ379" i="35"/>
  <c r="AU316" i="35"/>
  <c r="AS359" i="35"/>
  <c r="AR385" i="35"/>
  <c r="AR409" i="35"/>
  <c r="AR433" i="35"/>
  <c r="AO317" i="35"/>
  <c r="AU359" i="35"/>
  <c r="AT385" i="35"/>
  <c r="AT409" i="35"/>
  <c r="AT433" i="35"/>
  <c r="AU442" i="35"/>
  <c r="AR472" i="35"/>
  <c r="AR496" i="35"/>
  <c r="AO353" i="35"/>
  <c r="AV453" i="35"/>
  <c r="AO480" i="35"/>
  <c r="AO504" i="35"/>
  <c r="AR423" i="35"/>
  <c r="AS464" i="35"/>
  <c r="AP489" i="35"/>
  <c r="AP513" i="35"/>
  <c r="AR446" i="35"/>
  <c r="AQ474" i="35"/>
  <c r="AQ498" i="35"/>
  <c r="AQ391" i="35"/>
  <c r="AU457" i="35"/>
  <c r="AR483" i="35"/>
  <c r="AR507" i="35"/>
  <c r="AU433" i="35"/>
  <c r="AP468" i="35"/>
  <c r="AS492" i="35"/>
  <c r="AT289" i="35"/>
  <c r="AV450" i="35"/>
  <c r="AT477" i="35"/>
  <c r="AT501" i="35"/>
  <c r="AO411" i="35"/>
  <c r="AV461" i="35"/>
  <c r="AU486" i="35"/>
  <c r="AV298" i="35"/>
  <c r="AP451" i="35"/>
  <c r="AV477" i="35"/>
  <c r="AV501" i="35"/>
  <c r="AS442" i="35"/>
  <c r="AP472" i="35"/>
  <c r="AP496" i="35"/>
  <c r="AS371" i="35"/>
  <c r="AR455" i="35"/>
  <c r="AQ481" i="35"/>
  <c r="AQ505" i="35"/>
  <c r="AP467" i="35"/>
  <c r="AS506" i="35"/>
  <c r="AT20" i="35"/>
  <c r="AO511" i="35"/>
  <c r="AS327" i="35"/>
  <c r="AO428" i="35"/>
  <c r="AS331" i="35"/>
  <c r="AQ367" i="35"/>
  <c r="AP392" i="35"/>
  <c r="AP416" i="35"/>
  <c r="AP440" i="35"/>
  <c r="AT292" i="35"/>
  <c r="AU347" i="35"/>
  <c r="AP377" i="35"/>
  <c r="AQ401" i="35"/>
  <c r="AQ425" i="35"/>
  <c r="AQ449" i="35"/>
  <c r="AU292" i="35"/>
  <c r="AV347" i="35"/>
  <c r="AQ377" i="35"/>
  <c r="AR401" i="35"/>
  <c r="AR425" i="35"/>
  <c r="AT249" i="35"/>
  <c r="AV337" i="35"/>
  <c r="AV370" i="35"/>
  <c r="AS395" i="35"/>
  <c r="AS419" i="35"/>
  <c r="AS443" i="35"/>
  <c r="AO323" i="35"/>
  <c r="AU362" i="35"/>
  <c r="AP388" i="35"/>
  <c r="AP412" i="35"/>
  <c r="AP436" i="35"/>
  <c r="AP303" i="35"/>
  <c r="AU352" i="35"/>
  <c r="AU380" i="35"/>
  <c r="AO321" i="35"/>
  <c r="AQ361" i="35"/>
  <c r="AV386" i="35"/>
  <c r="AV410" i="35"/>
  <c r="AV434" i="35"/>
  <c r="AQ321" i="35"/>
  <c r="AS361" i="35"/>
  <c r="AP387" i="35"/>
  <c r="AP411" i="35"/>
  <c r="AP435" i="35"/>
  <c r="AT445" i="35"/>
  <c r="AV473" i="35"/>
  <c r="AV497" i="35"/>
  <c r="AU374" i="35"/>
  <c r="AT455" i="35"/>
  <c r="AS481" i="35"/>
  <c r="AS505" i="35"/>
  <c r="AV427" i="35"/>
  <c r="AP466" i="35"/>
  <c r="AT490" i="35"/>
  <c r="AT514" i="35"/>
  <c r="AQ448" i="35"/>
  <c r="AU475" i="35"/>
  <c r="AU499" i="35"/>
  <c r="AQ400" i="35"/>
  <c r="AT459" i="35"/>
  <c r="AV484" i="35"/>
  <c r="AV508" i="35"/>
  <c r="AP438" i="35"/>
  <c r="AU469" i="35"/>
  <c r="AO494" i="35"/>
  <c r="AP336" i="35"/>
  <c r="AU452" i="35"/>
  <c r="AP479" i="35"/>
  <c r="AP503" i="35"/>
  <c r="AO420" i="35"/>
  <c r="AS463" i="35"/>
  <c r="AQ488" i="35"/>
  <c r="AU341" i="35"/>
  <c r="AO453" i="35"/>
  <c r="AR479" i="35"/>
  <c r="AR503" i="35"/>
  <c r="AR445" i="35"/>
  <c r="AT473" i="35"/>
  <c r="AT497" i="35"/>
  <c r="AO387" i="35"/>
  <c r="AP457" i="35"/>
  <c r="AU482" i="35"/>
  <c r="AU506" i="35"/>
  <c r="AS485" i="35"/>
  <c r="AQ365" i="35"/>
  <c r="AS429" i="35"/>
  <c r="AS334" i="35"/>
  <c r="AV368" i="35"/>
  <c r="AT393" i="35"/>
  <c r="AT417" i="35"/>
  <c r="AT441" i="35"/>
  <c r="AP297" i="35"/>
  <c r="AU349" i="35"/>
  <c r="AU378" i="35"/>
  <c r="AU402" i="35"/>
  <c r="AU426" i="35"/>
  <c r="AU450" i="35"/>
  <c r="AQ297" i="35"/>
  <c r="AV349" i="35"/>
  <c r="AV378" i="35"/>
  <c r="AV402" i="35"/>
  <c r="AV426" i="35"/>
  <c r="AO266" i="35"/>
  <c r="AT340" i="35"/>
  <c r="AS372" i="35"/>
  <c r="AO397" i="35"/>
  <c r="AO421" i="35"/>
  <c r="AO445" i="35"/>
  <c r="AO326" i="35"/>
  <c r="AS364" i="35"/>
  <c r="AT389" i="35"/>
  <c r="AT413" i="35"/>
  <c r="AT437" i="35"/>
  <c r="AT307" i="35"/>
  <c r="AQ355" i="35"/>
  <c r="AQ382" i="35"/>
  <c r="AO324" i="35"/>
  <c r="AO363" i="35"/>
  <c r="AR388" i="35"/>
  <c r="AR412" i="35"/>
  <c r="AR436" i="35"/>
  <c r="AQ324" i="35"/>
  <c r="AQ363" i="35"/>
  <c r="AT388" i="35"/>
  <c r="AT412" i="35"/>
  <c r="AT436" i="35"/>
  <c r="AV447" i="35"/>
  <c r="AR475" i="35"/>
  <c r="AR499" i="35"/>
  <c r="AS388" i="35"/>
  <c r="AR457" i="35"/>
  <c r="AO483" i="35"/>
  <c r="AO507" i="35"/>
  <c r="AR432" i="35"/>
  <c r="AU467" i="35"/>
  <c r="AP492" i="35"/>
  <c r="AV254" i="35"/>
  <c r="AP450" i="35"/>
  <c r="AQ477" i="35"/>
  <c r="AQ501" i="35"/>
  <c r="AQ409" i="35"/>
  <c r="AS461" i="35"/>
  <c r="AR486" i="35"/>
  <c r="AR510" i="35"/>
  <c r="AP441" i="35"/>
  <c r="AR471" i="35"/>
  <c r="AS495" i="35"/>
  <c r="AP363" i="35"/>
  <c r="AS454" i="35"/>
  <c r="AT480" i="35"/>
  <c r="AT504" i="35"/>
  <c r="AU425" i="35"/>
  <c r="AP465" i="35"/>
  <c r="AU489" i="35"/>
  <c r="AS366" i="35"/>
  <c r="AU454" i="35"/>
  <c r="AV480" i="35"/>
  <c r="AV504" i="35"/>
  <c r="AQ447" i="35"/>
  <c r="AP475" i="35"/>
  <c r="AP499" i="35"/>
  <c r="AO396" i="35"/>
  <c r="AV458" i="35"/>
  <c r="AQ484" i="35"/>
  <c r="AQ508" i="35"/>
  <c r="AS503" i="35"/>
  <c r="AS494" i="35"/>
  <c r="AS412" i="35"/>
  <c r="AR460" i="35"/>
  <c r="AR390" i="35"/>
  <c r="AS441" i="35"/>
  <c r="AS337" i="35"/>
  <c r="AS370" i="35"/>
  <c r="AP395" i="35"/>
  <c r="AP419" i="35"/>
  <c r="AP443" i="35"/>
  <c r="AT301" i="35"/>
  <c r="AQ352" i="35"/>
  <c r="AQ380" i="35"/>
  <c r="AQ404" i="35"/>
  <c r="AQ428" i="35"/>
  <c r="AQ452" i="35"/>
  <c r="AU301" i="35"/>
  <c r="AR352" i="35"/>
  <c r="AR380" i="35"/>
  <c r="AR404" i="35"/>
  <c r="AR428" i="35"/>
  <c r="AT278" i="35"/>
  <c r="AR343" i="35"/>
  <c r="AP374" i="35"/>
  <c r="AS398" i="35"/>
  <c r="AS422" i="35"/>
  <c r="AR168" i="35"/>
  <c r="AO329" i="35"/>
  <c r="AP366" i="35"/>
  <c r="AP391" i="35"/>
  <c r="AP415" i="35"/>
  <c r="AP439" i="35"/>
  <c r="AP312" i="35"/>
  <c r="AQ357" i="35"/>
  <c r="AU383" i="35"/>
  <c r="AO327" i="35"/>
  <c r="AU364" i="35"/>
  <c r="AV389" i="35"/>
  <c r="AV413" i="35"/>
  <c r="AV437" i="35"/>
  <c r="AQ327" i="35"/>
  <c r="AO365" i="35"/>
  <c r="AP390" i="35"/>
  <c r="AP414" i="35"/>
  <c r="AS180" i="35"/>
  <c r="AU449" i="35"/>
  <c r="AV476" i="35"/>
  <c r="AV500" i="35"/>
  <c r="AS397" i="35"/>
  <c r="AP459" i="35"/>
  <c r="AS484" i="35"/>
  <c r="AS508" i="35"/>
  <c r="AV436" i="35"/>
  <c r="AR469" i="35"/>
  <c r="AT493" i="35"/>
  <c r="AP327" i="35"/>
  <c r="AR452" i="35"/>
  <c r="AU478" i="35"/>
  <c r="AU502" i="35"/>
  <c r="AQ418" i="35"/>
  <c r="AP463" i="35"/>
  <c r="AV487" i="35"/>
  <c r="AV511" i="35"/>
  <c r="AP444" i="35"/>
  <c r="AO473" i="35"/>
  <c r="AO497" i="35"/>
  <c r="AS382" i="35"/>
  <c r="AQ456" i="35"/>
  <c r="AP482" i="35"/>
  <c r="AP506" i="35"/>
  <c r="AQ430" i="35"/>
  <c r="AU466" i="35"/>
  <c r="AQ491" i="35"/>
  <c r="AQ385" i="35"/>
  <c r="AT456" i="35"/>
  <c r="AR482" i="35"/>
  <c r="AR506" i="35"/>
  <c r="AS449" i="35"/>
  <c r="AT476" i="35"/>
  <c r="AT500" i="35"/>
  <c r="AO405" i="35"/>
  <c r="AT460" i="35"/>
  <c r="AU485" i="35"/>
  <c r="AU509" i="35"/>
  <c r="AS512" i="35"/>
  <c r="AS394" i="35"/>
  <c r="AV454" i="35"/>
  <c r="AS479" i="35"/>
  <c r="AR414" i="35"/>
  <c r="AO446" i="35"/>
  <c r="AQ340" i="35"/>
  <c r="AP372" i="35"/>
  <c r="AT396" i="35"/>
  <c r="AT420" i="35"/>
  <c r="AT444" i="35"/>
  <c r="AP306" i="35"/>
  <c r="AQ354" i="35"/>
  <c r="AU381" i="35"/>
  <c r="AU405" i="35"/>
  <c r="AU429" i="35"/>
  <c r="AU453" i="35"/>
  <c r="AQ306" i="35"/>
  <c r="AR354" i="35"/>
  <c r="AV381" i="35"/>
  <c r="AV405" i="35"/>
  <c r="AV429" i="35"/>
  <c r="AO288" i="35"/>
  <c r="AS345" i="35"/>
  <c r="AU375" i="35"/>
  <c r="AO400" i="35"/>
  <c r="AO424" i="35"/>
  <c r="AV202" i="35"/>
  <c r="AO332" i="35"/>
  <c r="AU367" i="35"/>
  <c r="AT392" i="35"/>
  <c r="AT416" i="35"/>
  <c r="AT440" i="35"/>
  <c r="AT316" i="35"/>
  <c r="AP359" i="35"/>
  <c r="AV175" i="35"/>
  <c r="AO330" i="35"/>
  <c r="AR366" i="35"/>
  <c r="AR391" i="35"/>
  <c r="AR415" i="35"/>
  <c r="AT180" i="35"/>
  <c r="AQ330" i="35"/>
  <c r="AT366" i="35"/>
  <c r="AT391" i="35"/>
  <c r="AT415" i="35"/>
  <c r="AV316" i="35"/>
  <c r="AT451" i="35"/>
  <c r="AR478" i="35"/>
  <c r="AR502" i="35"/>
  <c r="AS406" i="35"/>
  <c r="AV460" i="35"/>
  <c r="AO486" i="35"/>
  <c r="AO510" i="35"/>
  <c r="AU440" i="35"/>
  <c r="AO471" i="35"/>
  <c r="AP495" i="35"/>
  <c r="AS357" i="35"/>
  <c r="AP454" i="35"/>
  <c r="AQ480" i="35"/>
  <c r="AQ504" i="35"/>
  <c r="AS424" i="35"/>
  <c r="AU464" i="35"/>
  <c r="AR489" i="35"/>
  <c r="AR513" i="35"/>
  <c r="AT446" i="35"/>
  <c r="AS474" i="35"/>
  <c r="AS498" i="35"/>
  <c r="AU392" i="35"/>
  <c r="AP458" i="35"/>
  <c r="AT483" i="35"/>
  <c r="AT507" i="35"/>
  <c r="AU434" i="35"/>
  <c r="AR468" i="35"/>
  <c r="AU492" i="35"/>
  <c r="AQ394" i="35"/>
  <c r="AS458" i="35"/>
  <c r="AV483" i="35"/>
  <c r="AV307" i="35"/>
  <c r="AR451" i="35"/>
  <c r="AP478" i="35"/>
  <c r="AP502" i="35"/>
  <c r="AO414" i="35"/>
  <c r="AR462" i="35"/>
  <c r="AQ487" i="35"/>
  <c r="AQ511" i="35"/>
  <c r="AS476" i="35"/>
  <c r="AQ451" i="35"/>
  <c r="AO475" i="35"/>
  <c r="AV304" i="35"/>
  <c r="AS450" i="35"/>
  <c r="AR342" i="35"/>
  <c r="AU373" i="35"/>
  <c r="AP398" i="35"/>
  <c r="AP422" i="35"/>
  <c r="AP446" i="35"/>
  <c r="AT310" i="35"/>
  <c r="AU356" i="35"/>
  <c r="AQ383" i="35"/>
  <c r="AQ407" i="35"/>
  <c r="AQ431" i="35"/>
  <c r="AQ455" i="35"/>
  <c r="AU310" i="35"/>
  <c r="AV356" i="35"/>
  <c r="AR383" i="35"/>
  <c r="AR407" i="35"/>
  <c r="AR431" i="35"/>
  <c r="AV292" i="35"/>
  <c r="AO348" i="35"/>
  <c r="AS377" i="35"/>
  <c r="AS401" i="35"/>
  <c r="AS425" i="35"/>
  <c r="AP229" i="35"/>
  <c r="AO335" i="35"/>
  <c r="AR369" i="35"/>
  <c r="AP394" i="35"/>
  <c r="AP418" i="35"/>
  <c r="AP442" i="35"/>
  <c r="AO320" i="35"/>
  <c r="AP361" i="35"/>
  <c r="AQ207" i="35"/>
  <c r="AO333" i="35"/>
  <c r="AO368" i="35"/>
  <c r="AV392" i="35"/>
  <c r="AV416" i="35"/>
  <c r="AS212" i="35"/>
  <c r="AQ333" i="35"/>
  <c r="AQ368" i="35"/>
  <c r="AP393" i="35"/>
  <c r="AP417" i="35"/>
  <c r="AO351" i="35"/>
  <c r="AT453" i="35"/>
  <c r="AV479" i="35"/>
  <c r="AV503" i="35"/>
  <c r="AS415" i="35"/>
  <c r="AU462" i="35"/>
  <c r="AS487" i="35"/>
  <c r="AS511" i="35"/>
  <c r="AU443" i="35"/>
  <c r="AT472" i="35"/>
  <c r="AT496" i="35"/>
  <c r="AO378" i="35"/>
  <c r="AV455" i="35"/>
  <c r="AU481" i="35"/>
  <c r="AU505" i="35"/>
  <c r="AO429" i="35"/>
  <c r="AR466" i="35"/>
  <c r="AV490" i="35"/>
  <c r="AV514" i="35"/>
  <c r="AS448" i="35"/>
  <c r="AO476" i="35"/>
  <c r="AO500" i="35"/>
  <c r="AU401" i="35"/>
  <c r="AO460" i="35"/>
  <c r="AP485" i="35"/>
  <c r="AP509" i="35"/>
  <c r="AR438" i="35"/>
  <c r="AP470" i="35"/>
  <c r="AQ494" i="35"/>
  <c r="AQ403" i="35"/>
  <c r="AQ460" i="35"/>
  <c r="AR485" i="35"/>
  <c r="AS346" i="35"/>
  <c r="AQ453" i="35"/>
  <c r="AT479" i="35"/>
  <c r="AT503" i="35"/>
  <c r="AU422" i="35"/>
  <c r="AP464" i="35"/>
  <c r="AU488" i="35"/>
  <c r="AU512" i="35"/>
  <c r="AO499" i="35"/>
  <c r="AO297" i="35"/>
  <c r="AO354" i="35"/>
  <c r="AO452" i="35"/>
  <c r="AP345" i="35"/>
  <c r="AR375" i="35"/>
  <c r="AT399" i="35"/>
  <c r="AT423" i="35"/>
  <c r="AT447" i="35"/>
  <c r="AP315" i="35"/>
  <c r="AT358" i="35"/>
  <c r="AU384" i="35"/>
  <c r="AU408" i="35"/>
  <c r="AU432" i="35"/>
  <c r="AU456" i="35"/>
  <c r="AQ315" i="35"/>
  <c r="AU358" i="35"/>
  <c r="AV384" i="35"/>
  <c r="AV408" i="35"/>
  <c r="AV432" i="35"/>
  <c r="AR297" i="35"/>
  <c r="AO350" i="35"/>
  <c r="AO379" i="35"/>
  <c r="AO403" i="35"/>
  <c r="AO427" i="35"/>
  <c r="AU249" i="35"/>
  <c r="AO338" i="35"/>
  <c r="AO371" i="35"/>
  <c r="AT395" i="35"/>
  <c r="AT419" i="35"/>
  <c r="AT443" i="35"/>
  <c r="AV323" i="35"/>
  <c r="AV362" i="35"/>
  <c r="AS233" i="35"/>
  <c r="AO336" i="35"/>
  <c r="AT369" i="35"/>
  <c r="AR394" i="35"/>
  <c r="AR418" i="35"/>
  <c r="AU236" i="35"/>
  <c r="AQ336" i="35"/>
  <c r="AO370" i="35"/>
  <c r="AT394" i="35"/>
  <c r="AT418" i="35"/>
  <c r="AP373" i="35"/>
  <c r="AS455" i="35"/>
  <c r="AR481" i="35"/>
  <c r="AR505" i="35"/>
  <c r="AQ423" i="35"/>
  <c r="AR464" i="35"/>
  <c r="AO489" i="35"/>
  <c r="AO513" i="35"/>
  <c r="AV445" i="35"/>
  <c r="AP474" i="35"/>
  <c r="AP498" i="35"/>
  <c r="AO390" i="35"/>
  <c r="AT457" i="35"/>
  <c r="AQ483" i="35"/>
  <c r="AQ507" i="35"/>
  <c r="AS433" i="35"/>
  <c r="AO468" i="35"/>
  <c r="AR492" i="35"/>
  <c r="AR282" i="35"/>
  <c r="AR450" i="35"/>
  <c r="AS477" i="35"/>
  <c r="AS501" i="35"/>
  <c r="AU410" i="35"/>
  <c r="AU461" i="35"/>
  <c r="AT486" i="35"/>
  <c r="AT510" i="35"/>
  <c r="AR441" i="35"/>
  <c r="AU471" i="35"/>
  <c r="AU495" i="35"/>
  <c r="AQ412" i="35"/>
  <c r="AO462" i="35"/>
  <c r="AV486" i="35"/>
  <c r="AU369" i="35"/>
  <c r="AP455" i="35"/>
  <c r="AP481" i="35"/>
  <c r="AP505" i="35"/>
  <c r="AQ427" i="35"/>
  <c r="AU465" i="35"/>
  <c r="AQ490" i="35"/>
  <c r="AQ134" i="35"/>
  <c r="AT373" i="35"/>
  <c r="AS453" i="35"/>
  <c r="AP347" i="35"/>
  <c r="AO377" i="35"/>
  <c r="AP401" i="35"/>
  <c r="AP425" i="35"/>
  <c r="AP449" i="35"/>
  <c r="AS319" i="35"/>
  <c r="AR360" i="35"/>
  <c r="AQ386" i="35"/>
  <c r="AQ410" i="35"/>
  <c r="AQ434" i="35"/>
  <c r="AQ458" i="35"/>
  <c r="AT319" i="35"/>
  <c r="AS360" i="35"/>
  <c r="AR386" i="35"/>
  <c r="AR410" i="35"/>
  <c r="AR434" i="35"/>
  <c r="AV301" i="35"/>
  <c r="AS352" i="35"/>
  <c r="AS380" i="35"/>
  <c r="AS404" i="35"/>
  <c r="AS428" i="35"/>
  <c r="AP266" i="35"/>
  <c r="AU340" i="35"/>
  <c r="AT372" i="35"/>
  <c r="AP397" i="35"/>
  <c r="AP421" i="35"/>
  <c r="AP445" i="35"/>
  <c r="AV326" i="35"/>
  <c r="AT364" i="35"/>
  <c r="AO252" i="35"/>
  <c r="AV338" i="35"/>
  <c r="AQ371" i="35"/>
  <c r="AV395" i="35"/>
  <c r="AV419" i="35"/>
  <c r="AO255" i="35"/>
  <c r="AP339" i="35"/>
  <c r="AT371" i="35"/>
  <c r="AP396" i="35"/>
  <c r="AP420" i="35"/>
  <c r="AQ388" i="35"/>
  <c r="AQ457" i="35"/>
  <c r="AV482" i="35"/>
  <c r="AV506" i="35"/>
  <c r="AU427" i="35"/>
  <c r="AO466" i="35"/>
  <c r="AS490" i="35"/>
  <c r="AS514" i="35"/>
  <c r="AP448" i="35"/>
  <c r="AT475" i="35"/>
  <c r="AT499" i="35"/>
  <c r="AO399" i="35"/>
  <c r="AR459" i="35"/>
  <c r="AU484" i="35"/>
  <c r="AU508" i="35"/>
  <c r="AO438" i="35"/>
  <c r="AT469" i="35"/>
  <c r="AV493" i="35"/>
  <c r="AP333" i="35"/>
  <c r="AT452" i="35"/>
  <c r="AO479" i="35"/>
  <c r="AO503" i="35"/>
  <c r="AU419" i="35"/>
  <c r="AR463" i="35"/>
  <c r="AP488" i="35"/>
  <c r="AP512" i="35"/>
  <c r="AR444" i="35"/>
  <c r="AQ473" i="35"/>
  <c r="AQ497" i="35"/>
  <c r="AQ421" i="35"/>
  <c r="AU235" i="35"/>
  <c r="AS378" i="35"/>
  <c r="AS465" i="35"/>
  <c r="AT349" i="35"/>
  <c r="AT378" i="35"/>
  <c r="AT402" i="35"/>
  <c r="AT426" i="35"/>
  <c r="AT450" i="35"/>
  <c r="AT322" i="35"/>
  <c r="AP362" i="35"/>
  <c r="AU387" i="35"/>
  <c r="AU411" i="35"/>
  <c r="AU435" i="35"/>
  <c r="AU459" i="35"/>
  <c r="AU322" i="35"/>
  <c r="AS362" i="35"/>
  <c r="AV387" i="35"/>
  <c r="AV411" i="35"/>
  <c r="AV435" i="35"/>
  <c r="AR306" i="35"/>
  <c r="AS354" i="35"/>
  <c r="AO382" i="35"/>
  <c r="AO406" i="35"/>
  <c r="AO430" i="35"/>
  <c r="AO279" i="35"/>
  <c r="AS343" i="35"/>
  <c r="AQ374" i="35"/>
  <c r="AT398" i="35"/>
  <c r="AT422" i="35"/>
  <c r="AQ175" i="35"/>
  <c r="AV329" i="35"/>
  <c r="AQ366" i="35"/>
  <c r="AV268" i="35"/>
  <c r="AO341" i="35"/>
  <c r="AO373" i="35"/>
  <c r="AR397" i="35"/>
  <c r="AR421" i="35"/>
  <c r="AV270" i="35"/>
  <c r="AV341" i="35"/>
  <c r="AQ373" i="35"/>
  <c r="AT397" i="35"/>
  <c r="AT421" i="35"/>
  <c r="AQ397" i="35"/>
  <c r="AO459" i="35"/>
  <c r="AR484" i="35"/>
  <c r="AR508" i="35"/>
  <c r="AQ432" i="35"/>
  <c r="AT467" i="35"/>
  <c r="AO492" i="35"/>
  <c r="AS236" i="35"/>
  <c r="AO450" i="35"/>
  <c r="AP477" i="35"/>
  <c r="AP501" i="35"/>
  <c r="AO408" i="35"/>
  <c r="AR461" i="35"/>
  <c r="AQ486" i="35"/>
  <c r="AQ510" i="35"/>
  <c r="AO441" i="35"/>
  <c r="AQ471" i="35"/>
  <c r="AR495" i="35"/>
  <c r="AR361" i="35"/>
  <c r="AR454" i="35"/>
  <c r="AS480" i="35"/>
  <c r="AS504" i="35"/>
  <c r="AV424" i="35"/>
  <c r="AO465" i="35"/>
  <c r="AT489" i="35"/>
  <c r="AT513" i="35"/>
  <c r="AV446" i="35"/>
  <c r="AU474" i="35"/>
  <c r="AU498" i="35"/>
  <c r="AO426" i="35"/>
  <c r="AQ465" i="35"/>
  <c r="AV489" i="35"/>
  <c r="AU395" i="35"/>
  <c r="AU458" i="35"/>
  <c r="AP484" i="35"/>
  <c r="AP508" i="35"/>
  <c r="AS278" i="35"/>
  <c r="AS381" i="35"/>
  <c r="AO470" i="35"/>
  <c r="AT351" i="35"/>
  <c r="AP380" i="35"/>
  <c r="AP404" i="35"/>
  <c r="AP428" i="35"/>
  <c r="AP452" i="35"/>
  <c r="AT325" i="35"/>
  <c r="AP364" i="35"/>
  <c r="AQ389" i="35"/>
  <c r="AQ413" i="35"/>
  <c r="AQ437" i="35"/>
  <c r="AQ461" i="35"/>
  <c r="AU325" i="35"/>
  <c r="AQ364" i="35"/>
  <c r="AR389" i="35"/>
  <c r="AR413" i="35"/>
  <c r="AR437" i="35"/>
  <c r="AV310" i="35"/>
  <c r="AO357" i="35"/>
  <c r="AS383" i="35"/>
  <c r="AS407" i="35"/>
  <c r="AS431" i="35"/>
  <c r="AP288" i="35"/>
  <c r="AT345" i="35"/>
  <c r="AO376" i="35"/>
  <c r="AP400" i="35"/>
  <c r="AP424" i="35"/>
  <c r="AP207" i="35"/>
  <c r="AV332" i="35"/>
  <c r="AV367" i="35"/>
  <c r="AU280" i="35"/>
  <c r="AU343" i="35"/>
  <c r="AT374" i="35"/>
  <c r="AV398" i="35"/>
  <c r="AV422" i="35"/>
  <c r="AS282" i="35"/>
  <c r="AO344" i="35"/>
  <c r="AV374" i="35"/>
  <c r="AP399" i="35"/>
  <c r="AP423" i="35"/>
  <c r="AQ406" i="35"/>
  <c r="AU460" i="35"/>
  <c r="AV485" i="35"/>
  <c r="AV509" i="35"/>
  <c r="AU436" i="35"/>
  <c r="AQ469" i="35"/>
  <c r="AS493" i="35"/>
  <c r="AP324" i="35"/>
  <c r="AV451" i="35"/>
  <c r="AT478" i="35"/>
  <c r="AT502" i="35"/>
  <c r="AO417" i="35"/>
  <c r="AO463" i="35"/>
  <c r="AU487" i="35"/>
  <c r="AU511" i="35"/>
  <c r="AO444" i="35"/>
  <c r="AV472" i="35"/>
  <c r="AV496" i="35"/>
  <c r="AO381" i="35"/>
  <c r="AP456" i="35"/>
  <c r="AO482" i="35"/>
  <c r="AO506" i="35"/>
  <c r="AR429" i="35"/>
  <c r="AT466" i="35"/>
  <c r="AP491" i="35"/>
  <c r="AU20" i="35"/>
  <c r="AU448" i="35"/>
  <c r="AQ476" i="35"/>
  <c r="AQ500" i="35"/>
  <c r="AS430" i="35"/>
  <c r="AV466" i="35"/>
  <c r="AR491" i="35"/>
  <c r="AU404" i="35"/>
  <c r="AS460" i="35"/>
  <c r="AT212" i="35"/>
  <c r="AO398" i="35"/>
  <c r="AS192" i="35"/>
  <c r="AP354" i="35"/>
  <c r="AT381" i="35"/>
  <c r="AT405" i="35"/>
  <c r="AT429" i="35"/>
  <c r="AQ158" i="35"/>
  <c r="AT328" i="35"/>
  <c r="AU365" i="35"/>
  <c r="AU390" i="35"/>
  <c r="AU414" i="35"/>
  <c r="AU438" i="35"/>
  <c r="AQ159" i="35"/>
  <c r="AU328" i="35"/>
  <c r="AV365" i="35"/>
  <c r="AV390" i="35"/>
  <c r="AV414" i="35"/>
  <c r="AV438" i="35"/>
  <c r="AR315" i="35"/>
  <c r="AV358" i="35"/>
  <c r="AO385" i="35"/>
  <c r="AO409" i="35"/>
  <c r="AO433" i="35"/>
  <c r="AO293" i="35"/>
  <c r="AP348" i="35"/>
  <c r="AT377" i="35"/>
  <c r="AT401" i="35"/>
  <c r="AT425" i="35"/>
  <c r="AQ233" i="35"/>
  <c r="AV335" i="35"/>
  <c r="AS369" i="35"/>
  <c r="AS289" i="35"/>
  <c r="AR346" i="35"/>
  <c r="AQ376" i="35"/>
  <c r="AR400" i="35"/>
  <c r="AR424" i="35"/>
  <c r="AU289" i="35"/>
  <c r="AT346" i="35"/>
  <c r="AS376" i="35"/>
  <c r="AT400" i="35"/>
  <c r="AT424" i="35"/>
  <c r="AQ415" i="35"/>
  <c r="AT462" i="35"/>
  <c r="AR487" i="35"/>
  <c r="AR511" i="35"/>
  <c r="AV439" i="35"/>
  <c r="AV470" i="35"/>
  <c r="AO495" i="35"/>
  <c r="AS355" i="35"/>
  <c r="AO454" i="35"/>
  <c r="AP480" i="35"/>
  <c r="AP504" i="35"/>
  <c r="AQ424" i="35"/>
  <c r="AT464" i="35"/>
  <c r="AQ489" i="35"/>
  <c r="AQ513" i="35"/>
  <c r="AS446" i="35"/>
  <c r="AR474" i="35"/>
  <c r="AR498" i="35"/>
  <c r="AS391" i="35"/>
  <c r="AV457" i="35"/>
  <c r="AS483" i="35"/>
  <c r="AS507" i="35"/>
  <c r="AV433" i="35"/>
  <c r="AQ468" i="35"/>
  <c r="AT492" i="35"/>
  <c r="AR294" i="35"/>
  <c r="AO451" i="35"/>
  <c r="AU477" i="35"/>
  <c r="AU501" i="35"/>
  <c r="AO435" i="35"/>
  <c r="AU413" i="35"/>
  <c r="AQ472" i="35"/>
  <c r="AO490" i="35"/>
  <c r="AU463" i="35"/>
  <c r="AS500" i="35"/>
  <c r="AV456" i="35"/>
  <c r="AQ514" i="35"/>
  <c r="AP20" i="35"/>
  <c r="AR442" i="35"/>
  <c r="AS421" i="35"/>
  <c r="AV492" i="35"/>
  <c r="AO457" i="35"/>
  <c r="AU491" i="35"/>
  <c r="AV507" i="35"/>
  <c r="AS482" i="35"/>
  <c r="AQ496" i="35"/>
  <c r="AS509" i="35"/>
  <c r="AU431" i="35"/>
  <c r="AP447" i="35"/>
  <c r="AS497" i="35"/>
  <c r="AU386" i="35"/>
  <c r="AQ462" i="35"/>
  <c r="AQ493" i="35"/>
  <c r="AO514" i="35"/>
  <c r="AQ512" i="35"/>
  <c r="AP462" i="35"/>
  <c r="AT509" i="35"/>
  <c r="AP511" i="35"/>
  <c r="AQ436" i="35"/>
  <c r="AT442" i="35"/>
  <c r="AR439" i="35"/>
  <c r="AT482" i="35"/>
  <c r="AU494" i="35"/>
  <c r="AT506" i="35"/>
  <c r="AR303" i="35"/>
  <c r="AS20" i="35"/>
  <c r="AQ435" i="35"/>
  <c r="AU468" i="35"/>
  <c r="AV510" i="35"/>
  <c r="AT485" i="35"/>
  <c r="AR509" i="35"/>
  <c r="AP368" i="35"/>
  <c r="AT468" i="35"/>
  <c r="AO505" i="35"/>
  <c r="AP487" i="35"/>
  <c r="AR20" i="35"/>
  <c r="AT439" i="35"/>
  <c r="AR467" i="35"/>
  <c r="AT470" i="35"/>
  <c r="AO493" i="35"/>
  <c r="AT463" i="35"/>
  <c r="AR488" i="35"/>
  <c r="AO472" i="35"/>
  <c r="AR465" i="35"/>
  <c r="AU430" i="35"/>
  <c r="AO469" i="35"/>
  <c r="AO487" i="35"/>
  <c r="X476" i="35" l="1"/>
  <c r="X215" i="35"/>
  <c r="X299" i="35"/>
  <c r="X508" i="35"/>
  <c r="X177" i="35"/>
  <c r="X163" i="35"/>
  <c r="X432" i="35"/>
  <c r="X139" i="35"/>
  <c r="X503" i="35"/>
  <c r="X493" i="35"/>
  <c r="X194" i="35"/>
  <c r="X419" i="35"/>
  <c r="X468" i="35"/>
  <c r="X399" i="35"/>
  <c r="X306" i="35"/>
  <c r="X155" i="35"/>
  <c r="X144" i="35"/>
  <c r="X368" i="35"/>
  <c r="X341" i="35"/>
  <c r="X347" i="35"/>
  <c r="X265" i="35"/>
  <c r="X457" i="35"/>
  <c r="X352" i="35"/>
  <c r="X421" i="35"/>
  <c r="X100" i="35"/>
  <c r="X410" i="35"/>
  <c r="X28" i="35"/>
  <c r="X188" i="35"/>
  <c r="X240" i="35"/>
  <c r="X132" i="35"/>
  <c r="X52" i="35"/>
  <c r="X54" i="35"/>
  <c r="X406" i="35"/>
  <c r="X221" i="35"/>
  <c r="X104" i="35"/>
  <c r="X467" i="35"/>
  <c r="X56" i="35"/>
  <c r="X496" i="35"/>
  <c r="X477" i="35"/>
  <c r="X252" i="35"/>
  <c r="X239" i="35"/>
  <c r="X280" i="35"/>
  <c r="X345" i="35"/>
  <c r="X514" i="35"/>
  <c r="X413" i="35"/>
  <c r="X275" i="35"/>
  <c r="X125" i="35"/>
  <c r="X411" i="35"/>
  <c r="X112" i="35"/>
  <c r="X289" i="35"/>
  <c r="X353" i="35"/>
  <c r="X197" i="35"/>
  <c r="X441" i="35"/>
  <c r="X447" i="35"/>
  <c r="X211" i="35"/>
  <c r="X502" i="35"/>
  <c r="X462" i="35"/>
  <c r="X365" i="35"/>
  <c r="X378" i="35"/>
  <c r="X363" i="35"/>
  <c r="X196" i="35"/>
  <c r="X268" i="35"/>
  <c r="X72" i="35"/>
  <c r="X170" i="35"/>
  <c r="X264" i="35"/>
  <c r="X201" i="35"/>
  <c r="X367" i="35"/>
  <c r="X51" i="35"/>
  <c r="X64" i="35"/>
  <c r="X481" i="35"/>
  <c r="X402" i="35"/>
  <c r="X434" i="35"/>
  <c r="X248" i="35"/>
  <c r="X123" i="35"/>
  <c r="X23" i="35"/>
  <c r="X210" i="35"/>
  <c r="X241" i="35"/>
  <c r="X227" i="35"/>
  <c r="X203" i="35"/>
  <c r="X287" i="35"/>
  <c r="X53" i="35"/>
  <c r="X320" i="35"/>
  <c r="X300" i="35"/>
  <c r="X217" i="35"/>
  <c r="X290" i="35"/>
  <c r="X390" i="35"/>
  <c r="X308" i="35"/>
  <c r="X133" i="35"/>
  <c r="X136" i="35"/>
  <c r="X292" i="35"/>
  <c r="X62" i="35"/>
  <c r="X498" i="35"/>
  <c r="X485" i="35"/>
  <c r="X362" i="35"/>
  <c r="X209" i="35"/>
  <c r="X338" i="35"/>
  <c r="X21" i="35"/>
  <c r="X285" i="35"/>
  <c r="X99" i="35"/>
  <c r="X395" i="35"/>
  <c r="X31" i="35"/>
  <c r="X344" i="35"/>
  <c r="X199" i="35"/>
  <c r="X181" i="35"/>
  <c r="X281" i="35"/>
  <c r="X183" i="35"/>
  <c r="X115" i="35"/>
  <c r="X307" i="35"/>
  <c r="X273" i="35"/>
  <c r="X205" i="35"/>
  <c r="X247" i="35"/>
  <c r="X471" i="35"/>
  <c r="X46" i="35"/>
  <c r="X479" i="35"/>
  <c r="X89" i="35"/>
  <c r="X360" i="35"/>
  <c r="X42" i="35"/>
  <c r="X20" i="35"/>
  <c r="X106" i="35"/>
  <c r="X81" i="35"/>
  <c r="X232" i="35"/>
  <c r="X254" i="35"/>
  <c r="X83" i="35"/>
  <c r="X200" i="35"/>
  <c r="X291" i="35"/>
  <c r="X166" i="35"/>
  <c r="X78" i="35"/>
  <c r="X141" i="35"/>
  <c r="X113" i="35"/>
  <c r="X322" i="35"/>
  <c r="X243" i="35"/>
  <c r="X105" i="35"/>
  <c r="X449" i="35"/>
  <c r="X451" i="35"/>
  <c r="X486" i="35"/>
  <c r="X312" i="35"/>
  <c r="X501" i="35"/>
  <c r="X383" i="35"/>
  <c r="X444" i="35"/>
  <c r="X107" i="35"/>
  <c r="X24" i="35"/>
  <c r="X379" i="35"/>
  <c r="X298" i="35"/>
  <c r="X158" i="35"/>
  <c r="X73" i="35"/>
  <c r="X454" i="35"/>
  <c r="X361" i="35"/>
  <c r="X270" i="35"/>
  <c r="X63" i="35"/>
  <c r="X60" i="35"/>
  <c r="X314" i="35"/>
  <c r="X108" i="35"/>
  <c r="X348" i="35"/>
  <c r="X87" i="35"/>
  <c r="X359" i="35"/>
  <c r="X261" i="35"/>
  <c r="X219" i="35"/>
  <c r="X214" i="35"/>
  <c r="X185" i="35"/>
  <c r="X370" i="35"/>
  <c r="X469" i="35"/>
  <c r="X324" i="35"/>
  <c r="X286" i="35"/>
  <c r="X446" i="35"/>
  <c r="X416" i="35"/>
  <c r="X452" i="35"/>
  <c r="X165" i="35"/>
  <c r="X460" i="35"/>
  <c r="X242" i="35"/>
  <c r="X33" i="35"/>
  <c r="X339" i="35"/>
  <c r="X131" i="35"/>
  <c r="X36" i="35"/>
  <c r="X366" i="35"/>
  <c r="X375" i="35"/>
  <c r="X388" i="35"/>
  <c r="X269" i="35"/>
  <c r="X257" i="35"/>
  <c r="X305" i="35"/>
  <c r="X34" i="35"/>
  <c r="X90" i="35"/>
  <c r="X325" i="35"/>
  <c r="X513" i="35"/>
  <c r="X246" i="35"/>
  <c r="X295" i="35"/>
  <c r="X128" i="35"/>
  <c r="X342" i="35"/>
  <c r="X102" i="35"/>
  <c r="X179" i="35"/>
  <c r="X343" i="35"/>
  <c r="X65" i="35"/>
  <c r="X216" i="35"/>
  <c r="X271" i="35"/>
  <c r="X474" i="35"/>
  <c r="X333" i="35"/>
  <c r="X328" i="35"/>
  <c r="X77" i="35"/>
  <c r="X412" i="35"/>
  <c r="X69" i="35"/>
  <c r="X372" i="35"/>
  <c r="X95" i="35"/>
  <c r="X483" i="35"/>
  <c r="X164" i="35"/>
  <c r="X224" i="35"/>
  <c r="X350" i="35"/>
  <c r="X337" i="35"/>
  <c r="X494" i="35"/>
  <c r="X160" i="35"/>
  <c r="X381" i="35"/>
  <c r="X490" i="35"/>
  <c r="X274" i="35"/>
  <c r="X225" i="35"/>
  <c r="X176" i="35"/>
  <c r="X369" i="35"/>
  <c r="X226" i="35"/>
  <c r="X61" i="35"/>
  <c r="X346" i="35"/>
  <c r="X249" i="35"/>
  <c r="X168" i="35"/>
  <c r="X186" i="35"/>
  <c r="X236" i="35"/>
  <c r="X397" i="35"/>
  <c r="X49" i="35"/>
  <c r="X478" i="35"/>
  <c r="X435" i="35"/>
  <c r="X309" i="35"/>
  <c r="X429" i="35"/>
  <c r="X420" i="35"/>
  <c r="X213" i="35"/>
  <c r="X154" i="35"/>
  <c r="X57" i="35"/>
  <c r="X126" i="35"/>
  <c r="X398" i="35"/>
  <c r="X76" i="35"/>
  <c r="X262" i="35"/>
  <c r="X294" i="35"/>
  <c r="X304" i="35"/>
  <c r="X234" i="35"/>
  <c r="X149" i="35"/>
  <c r="X330" i="35"/>
  <c r="X415" i="35"/>
  <c r="X459" i="35"/>
  <c r="X204" i="35"/>
  <c r="X400" i="35"/>
  <c r="X276" i="35"/>
  <c r="X433" i="35"/>
  <c r="X282" i="35"/>
  <c r="X184" i="35"/>
  <c r="X385" i="35"/>
  <c r="X47" i="35"/>
  <c r="X22" i="35"/>
  <c r="X393" i="35"/>
  <c r="X178" i="35"/>
  <c r="X182" i="35"/>
  <c r="X192" i="35"/>
  <c r="X253" i="35"/>
  <c r="X152" i="35"/>
  <c r="X150" i="35"/>
  <c r="X110" i="35"/>
  <c r="X470" i="35"/>
  <c r="X425" i="35"/>
  <c r="X162" i="35"/>
  <c r="X497" i="35"/>
  <c r="X482" i="35"/>
  <c r="X79" i="35"/>
  <c r="X364" i="35"/>
  <c r="X25" i="35"/>
  <c r="X98" i="35"/>
  <c r="X488" i="35"/>
  <c r="X386" i="35"/>
  <c r="X335" i="35"/>
  <c r="X235" i="35"/>
  <c r="X84" i="35"/>
  <c r="X159" i="35"/>
  <c r="X167" i="35"/>
  <c r="X120" i="35"/>
  <c r="X45" i="35"/>
  <c r="X326" i="35"/>
  <c r="X161" i="35"/>
  <c r="X422" i="35"/>
  <c r="X66" i="35"/>
  <c r="X111" i="35"/>
  <c r="X284" i="35"/>
  <c r="X492" i="35"/>
  <c r="X147" i="35"/>
  <c r="X26" i="35"/>
  <c r="X401" i="35"/>
  <c r="X75" i="35"/>
  <c r="X456" i="35"/>
  <c r="X44" i="35"/>
  <c r="X35" i="35"/>
  <c r="X283" i="35"/>
  <c r="X354" i="35"/>
  <c r="X222" i="35"/>
  <c r="X198" i="35"/>
  <c r="X30" i="35"/>
  <c r="X455" i="35"/>
  <c r="X266" i="35"/>
  <c r="X355" i="35"/>
  <c r="X245" i="35"/>
  <c r="X317" i="35"/>
  <c r="X116" i="35"/>
  <c r="X143" i="35"/>
  <c r="X408" i="35"/>
  <c r="X180" i="35"/>
  <c r="X58" i="35"/>
  <c r="X319" i="35"/>
  <c r="X137" i="35"/>
  <c r="X316" i="35"/>
  <c r="X29" i="35"/>
  <c r="X313" i="35"/>
  <c r="X92" i="35"/>
  <c r="X272" i="35"/>
  <c r="X142" i="35"/>
  <c r="X27" i="35"/>
  <c r="X499" i="35"/>
  <c r="X336" i="35"/>
  <c r="X464" i="35"/>
  <c r="X437" i="35"/>
  <c r="X250" i="35"/>
  <c r="X135" i="35"/>
  <c r="X191" i="35"/>
  <c r="X505" i="35"/>
  <c r="X356" i="35"/>
  <c r="X484" i="35"/>
  <c r="X430" i="35"/>
  <c r="X327" i="35"/>
  <c r="X428" i="35"/>
  <c r="X392" i="35"/>
  <c r="X38" i="35"/>
  <c r="X373" i="35"/>
  <c r="X424" i="35"/>
  <c r="X384" i="35"/>
  <c r="X259" i="35"/>
  <c r="X138" i="35"/>
  <c r="X212" i="35"/>
  <c r="X175" i="35"/>
  <c r="X124" i="35"/>
  <c r="X358" i="35"/>
  <c r="X403" i="35"/>
  <c r="X480" i="35"/>
  <c r="X55" i="35"/>
  <c r="X37" i="35"/>
  <c r="X349" i="35"/>
  <c r="X145" i="35"/>
  <c r="X315" i="35"/>
  <c r="X146" i="35"/>
  <c r="X172" i="35"/>
  <c r="X382" i="35"/>
  <c r="X487" i="35"/>
  <c r="X88" i="35"/>
  <c r="X151" i="35"/>
  <c r="X278" i="35"/>
  <c r="X427" i="35"/>
  <c r="X48" i="35"/>
  <c r="X117" i="35"/>
  <c r="X472" i="35"/>
  <c r="X453" i="35"/>
  <c r="X504" i="35"/>
  <c r="X489" i="35"/>
  <c r="X255" i="35"/>
  <c r="X296" i="35"/>
  <c r="X157" i="35"/>
  <c r="X507" i="35"/>
  <c r="X140" i="35"/>
  <c r="X396" i="35"/>
  <c r="X80" i="35"/>
  <c r="X251" i="35"/>
  <c r="X39" i="35"/>
  <c r="X129" i="35"/>
  <c r="X82" i="35"/>
  <c r="X374" i="35"/>
  <c r="X190" i="35"/>
  <c r="X121" i="35"/>
  <c r="X229" i="35"/>
  <c r="X297" i="35"/>
  <c r="X440" i="35"/>
  <c r="X173" i="35"/>
  <c r="X171" i="35"/>
  <c r="X114" i="35"/>
  <c r="X258" i="35"/>
  <c r="X193" i="35"/>
  <c r="X418" i="35"/>
  <c r="X377" i="35"/>
  <c r="X491" i="35"/>
  <c r="X231" i="35"/>
  <c r="X94" i="35"/>
  <c r="X423" i="35"/>
  <c r="X50" i="35"/>
  <c r="X389" i="35"/>
  <c r="X293" i="35"/>
  <c r="X119" i="35"/>
  <c r="X40" i="35"/>
  <c r="X277" i="35"/>
  <c r="X302" i="35"/>
  <c r="X230" i="35"/>
  <c r="X134" i="35"/>
  <c r="X260" i="35"/>
  <c r="X279" i="35"/>
  <c r="X500" i="35"/>
  <c r="X466" i="35"/>
  <c r="X461" i="35"/>
  <c r="X465" i="35"/>
  <c r="X96" i="35"/>
  <c r="X329" i="35"/>
  <c r="X512" i="35"/>
  <c r="X332" i="35"/>
  <c r="X509" i="35"/>
  <c r="X414" i="35"/>
  <c r="X86" i="35"/>
  <c r="X67" i="35"/>
  <c r="X409" i="35"/>
  <c r="X450" i="35"/>
  <c r="X331" i="35"/>
  <c r="X256" i="35"/>
  <c r="X417" i="35"/>
  <c r="X74" i="35"/>
  <c r="X127" i="35"/>
  <c r="X202" i="35"/>
  <c r="X59" i="35"/>
  <c r="X122" i="35"/>
  <c r="X109" i="35"/>
  <c r="X93" i="35"/>
  <c r="X439" i="35"/>
  <c r="X426" i="35"/>
  <c r="X311" i="35"/>
  <c r="X431" i="35"/>
  <c r="X318" i="35"/>
  <c r="X321" i="35"/>
  <c r="X445" i="35"/>
  <c r="X463" i="35"/>
  <c r="X391" i="35"/>
  <c r="X458" i="35"/>
  <c r="X32" i="35"/>
  <c r="X189" i="35"/>
  <c r="X244" i="35"/>
  <c r="X148" i="35"/>
  <c r="X263" i="35"/>
  <c r="X118" i="35"/>
  <c r="X187" i="35"/>
  <c r="X70" i="35"/>
  <c r="X303" i="35"/>
  <c r="X223" i="35"/>
  <c r="X103" i="35"/>
  <c r="X475" i="35"/>
  <c r="X443" i="35"/>
  <c r="X511" i="35"/>
  <c r="X218" i="35"/>
  <c r="X407" i="35"/>
  <c r="X436" i="35"/>
  <c r="X310" i="35"/>
  <c r="X405" i="35"/>
  <c r="X288" i="35"/>
  <c r="X207" i="35"/>
  <c r="X97" i="35"/>
  <c r="X156" i="35"/>
  <c r="X130" i="35"/>
  <c r="X68" i="35"/>
  <c r="X267" i="35"/>
  <c r="X473" i="35"/>
  <c r="X153" i="35"/>
  <c r="X380" i="35"/>
  <c r="X510" i="35"/>
  <c r="X206" i="35"/>
  <c r="X442" i="35"/>
  <c r="X71" i="35"/>
  <c r="X340" i="35"/>
  <c r="X301" i="35"/>
  <c r="X91" i="35"/>
  <c r="X387" i="35"/>
  <c r="X174" i="35"/>
  <c r="X238" i="35"/>
  <c r="X495" i="35"/>
  <c r="X41" i="35"/>
  <c r="X220" i="35"/>
  <c r="X237" i="35"/>
  <c r="X208" i="35"/>
  <c r="X323" i="35"/>
  <c r="X376" i="35"/>
  <c r="X448" i="35"/>
  <c r="X228" i="35"/>
  <c r="X43" i="35"/>
  <c r="X404" i="35"/>
  <c r="X357" i="35"/>
  <c r="X233" i="35"/>
  <c r="X334" i="35"/>
  <c r="X101" i="35"/>
  <c r="X195" i="35"/>
  <c r="X371" i="35"/>
  <c r="X169" i="35"/>
  <c r="X506" i="35"/>
  <c r="X394" i="35"/>
  <c r="X351" i="35"/>
  <c r="X438" i="35"/>
  <c r="X85" i="35"/>
  <c r="F68" i="36" l="1"/>
  <c r="F36" i="36"/>
  <c r="F16" i="36"/>
  <c r="F44" i="36"/>
  <c r="F40" i="36"/>
  <c r="F28" i="36"/>
  <c r="F56" i="36"/>
  <c r="F32" i="36"/>
  <c r="X18" i="35"/>
  <c r="K31" i="36" l="1"/>
  <c r="G49" i="25"/>
  <c r="K55" i="36"/>
  <c r="G58" i="25"/>
  <c r="K27" i="36"/>
  <c r="G32" i="25"/>
  <c r="G41" i="25"/>
  <c r="K39" i="36"/>
  <c r="K43" i="36"/>
  <c r="G40" i="25"/>
  <c r="G31" i="25"/>
  <c r="K15" i="36"/>
  <c r="G50" i="25"/>
  <c r="K35" i="36"/>
  <c r="K67" i="36"/>
  <c r="G59" i="25"/>
  <c r="R35" i="36" l="1"/>
  <c r="F20" i="19"/>
  <c r="N49" i="25" s="1"/>
  <c r="C83" i="25"/>
  <c r="C66" i="25"/>
  <c r="C71" i="25"/>
  <c r="C88" i="25"/>
  <c r="F10" i="19"/>
  <c r="R15" i="36"/>
  <c r="C87" i="25"/>
  <c r="C70" i="25"/>
  <c r="C78" i="25"/>
  <c r="C95" i="25"/>
  <c r="R67" i="36"/>
  <c r="F36" i="19"/>
  <c r="N58" i="25" s="1"/>
  <c r="C75" i="25"/>
  <c r="C92" i="25"/>
  <c r="F28" i="19"/>
  <c r="N40" i="25" s="1"/>
  <c r="R39" i="36"/>
  <c r="R55" i="36"/>
  <c r="F34" i="19"/>
  <c r="C96" i="25"/>
  <c r="C79" i="25"/>
  <c r="F12" i="19"/>
  <c r="N31" i="25" s="1"/>
  <c r="R27" i="36"/>
  <c r="C91" i="25"/>
  <c r="C74" i="25"/>
  <c r="R43" i="36"/>
  <c r="F26" i="19"/>
  <c r="C84" i="25"/>
  <c r="C67" i="25"/>
  <c r="R31" i="36"/>
  <c r="F18" i="19"/>
  <c r="J49" i="25" l="1"/>
  <c r="J69" i="25" s="1"/>
  <c r="K19" i="19"/>
  <c r="R1" i="36"/>
  <c r="AU9" i="25"/>
  <c r="AS9" i="25" s="1"/>
  <c r="J31" i="25"/>
  <c r="J65" i="25" s="1"/>
  <c r="K11" i="19"/>
  <c r="J58" i="25"/>
  <c r="J71" i="25" s="1"/>
  <c r="K35" i="19"/>
  <c r="J40" i="25"/>
  <c r="J67" i="25" s="1"/>
  <c r="K27" i="19"/>
  <c r="J78" i="25" l="1"/>
  <c r="J76" i="25"/>
  <c r="J74" i="25"/>
  <c r="J80" i="25"/>
  <c r="R27" i="19"/>
  <c r="F12" i="20"/>
  <c r="R19" i="19"/>
  <c r="F16" i="20"/>
  <c r="R35" i="19"/>
  <c r="F20" i="20"/>
  <c r="R11" i="19"/>
  <c r="F6" i="20"/>
  <c r="K7" i="20" l="1"/>
  <c r="Q29" i="25"/>
  <c r="K15" i="20"/>
  <c r="U47" i="25"/>
  <c r="U56" i="25"/>
  <c r="K19" i="20"/>
  <c r="K11" i="20"/>
  <c r="U38" i="25"/>
  <c r="R1" i="19"/>
  <c r="AU10" i="25"/>
  <c r="AS10" i="25" s="1"/>
  <c r="Q70" i="25" l="1"/>
  <c r="Q65" i="25"/>
  <c r="F10" i="21"/>
  <c r="R15" i="20"/>
  <c r="F8" i="21"/>
  <c r="AB33" i="25" s="1"/>
  <c r="R11" i="20"/>
  <c r="Q67" i="25"/>
  <c r="Q72" i="25"/>
  <c r="Q69" i="25"/>
  <c r="Q64" i="25"/>
  <c r="F12" i="21"/>
  <c r="AB51" i="25" s="1"/>
  <c r="R19" i="20"/>
  <c r="Q66" i="25"/>
  <c r="Q71" i="25"/>
  <c r="R7" i="20"/>
  <c r="F6" i="21"/>
  <c r="R1" i="20" l="1"/>
  <c r="AU11" i="25"/>
  <c r="AS11" i="25" s="1"/>
  <c r="K7" i="21"/>
  <c r="X33" i="25"/>
  <c r="X64" i="25" s="1"/>
  <c r="X51" i="25"/>
  <c r="X65" i="25" s="1"/>
  <c r="K11" i="21"/>
  <c r="X67" i="25" l="1"/>
  <c r="X68" i="25"/>
  <c r="R11" i="21"/>
  <c r="F15" i="22"/>
  <c r="F8" i="22"/>
  <c r="AI45" i="25" s="1"/>
  <c r="F6" i="22"/>
  <c r="R7" i="21"/>
  <c r="F13" i="22"/>
  <c r="AE40" i="25" s="1"/>
  <c r="AE45" i="25" l="1"/>
  <c r="AE64" i="25" s="1"/>
  <c r="K7" i="22"/>
  <c r="K14" i="22"/>
  <c r="AI40" i="25"/>
  <c r="AE77" i="25" s="1"/>
  <c r="AU12" i="25"/>
  <c r="AS12" i="25" s="1"/>
  <c r="R1" i="21"/>
  <c r="AE65" i="25" l="1"/>
  <c r="AE76" i="25"/>
  <c r="Q16" i="22"/>
  <c r="AL40" i="25"/>
  <c r="AL66" i="25" s="1"/>
  <c r="R14" i="22"/>
  <c r="AU14" i="25" s="1"/>
  <c r="AS14" i="25" s="1"/>
  <c r="P16" i="22"/>
  <c r="C22" i="22"/>
  <c r="AL45" i="25"/>
  <c r="AL67" i="25" s="1"/>
  <c r="R7" i="22"/>
  <c r="AU13" i="25" l="1"/>
  <c r="AS13" i="25" s="1"/>
  <c r="R1" i="2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<sst xmlns="http://schemas.openxmlformats.org/spreadsheetml/2006/main" count="6056" uniqueCount="351">
  <si>
    <t>Cuartos de Final</t>
  </si>
  <si>
    <t>Semifinal</t>
  </si>
  <si>
    <t>Final</t>
  </si>
  <si>
    <t>PROGRAMA DE PARTIDOS</t>
  </si>
  <si>
    <t>-</t>
  </si>
  <si>
    <t>sort 1-2=====</t>
  </si>
  <si>
    <t>sort 1-3=====</t>
  </si>
  <si>
    <t>sort 1-4=====</t>
  </si>
  <si>
    <t>sort 2-3=====</t>
  </si>
  <si>
    <t>sort 2-4=====</t>
  </si>
  <si>
    <t>sort 3-4=====</t>
  </si>
  <si>
    <t>día</t>
  </si>
  <si>
    <t>POSICIONES</t>
  </si>
  <si>
    <t>J</t>
  </si>
  <si>
    <t>G</t>
  </si>
  <si>
    <t>E</t>
  </si>
  <si>
    <t>P</t>
  </si>
  <si>
    <t>GF</t>
  </si>
  <si>
    <t>GC</t>
  </si>
  <si>
    <t>DIF</t>
  </si>
  <si>
    <t>PTS</t>
  </si>
  <si>
    <t>fecha y hora actual:</t>
  </si>
  <si>
    <t>obs</t>
  </si>
  <si>
    <t>tabla preliminar</t>
  </si>
  <si>
    <t>resultados</t>
  </si>
  <si>
    <t>A</t>
  </si>
  <si>
    <t>B</t>
  </si>
  <si>
    <t>C</t>
  </si>
  <si>
    <t>D</t>
  </si>
  <si>
    <t>3er puesto</t>
  </si>
  <si>
    <t>F I N A L</t>
  </si>
  <si>
    <t>F</t>
  </si>
  <si>
    <t>H</t>
  </si>
  <si>
    <t>Alemania</t>
  </si>
  <si>
    <t>Octavos de Final</t>
  </si>
  <si>
    <t>FINAL</t>
  </si>
  <si>
    <t>hora</t>
  </si>
  <si>
    <t>CAMPEON</t>
  </si>
  <si>
    <t>en blanco</t>
  </si>
  <si>
    <t>México</t>
  </si>
  <si>
    <t>Japón</t>
  </si>
  <si>
    <t>3ª Posición</t>
  </si>
  <si>
    <t>Pts</t>
  </si>
  <si>
    <t>Dif</t>
  </si>
  <si>
    <t>Aca Organiza el grupo por PUNTOS</t>
  </si>
  <si>
    <t>Aca Organiza el grupo por PUNTOS Y Dif</t>
  </si>
  <si>
    <t>Aca Organiza el grupo por Pts y Dif y GF</t>
  </si>
  <si>
    <t>Tabla Definitiva</t>
  </si>
  <si>
    <t>Ponderado</t>
  </si>
  <si>
    <t>Partido</t>
  </si>
  <si>
    <t>Ganador</t>
  </si>
  <si>
    <t>sort 1-2</t>
  </si>
  <si>
    <t>sort 2-3</t>
  </si>
  <si>
    <t>Ponderado Fin</t>
  </si>
  <si>
    <t>#</t>
  </si>
  <si>
    <t>sort 1-3</t>
  </si>
  <si>
    <t>Irán</t>
  </si>
  <si>
    <t>Bélgica</t>
  </si>
  <si>
    <t>Octavos</t>
  </si>
  <si>
    <t>Encuentros:</t>
  </si>
  <si>
    <t>Semi</t>
  </si>
  <si>
    <t>3° puesto</t>
  </si>
  <si>
    <t xml:space="preserve">Nombre: </t>
  </si>
  <si>
    <t>Plan de Puntos:</t>
  </si>
  <si>
    <t>PRIMERA FASE:</t>
  </si>
  <si>
    <t>OCTAVOS:</t>
  </si>
  <si>
    <t>CUARTOS:</t>
  </si>
  <si>
    <t>SEMI FINAL:</t>
  </si>
  <si>
    <t>FINAL:</t>
  </si>
  <si>
    <t>CAMPEÓN:</t>
  </si>
  <si>
    <t>copa</t>
  </si>
  <si>
    <t>Campeón</t>
  </si>
  <si>
    <t>Copa</t>
  </si>
  <si>
    <t>SF1</t>
  </si>
  <si>
    <t>SF2</t>
  </si>
  <si>
    <t>Túnez</t>
  </si>
  <si>
    <t>Sede</t>
  </si>
  <si>
    <t>Resultado</t>
  </si>
  <si>
    <t>Penales</t>
  </si>
  <si>
    <t>Pais:</t>
  </si>
  <si>
    <t>OF1</t>
  </si>
  <si>
    <t>OF2</t>
  </si>
  <si>
    <t>OF3</t>
  </si>
  <si>
    <t>OF4</t>
  </si>
  <si>
    <t>OF5</t>
  </si>
  <si>
    <t>OF6</t>
  </si>
  <si>
    <t>OF7</t>
  </si>
  <si>
    <t>OF8</t>
  </si>
  <si>
    <t>CF1</t>
  </si>
  <si>
    <t>CF2</t>
  </si>
  <si>
    <t>CF3</t>
  </si>
  <si>
    <t>CF4</t>
  </si>
  <si>
    <t>COL</t>
  </si>
  <si>
    <t>PER</t>
  </si>
  <si>
    <t>ECU</t>
  </si>
  <si>
    <t>MEX</t>
  </si>
  <si>
    <t>Cuartos</t>
  </si>
  <si>
    <t>Subcampeon</t>
  </si>
  <si>
    <t>4°</t>
  </si>
  <si>
    <t>Tercero</t>
  </si>
  <si>
    <t>Grupo A</t>
  </si>
  <si>
    <t>Grupo B</t>
  </si>
  <si>
    <t>Grupo C</t>
  </si>
  <si>
    <t>Grupo D</t>
  </si>
  <si>
    <t>Grupo E</t>
  </si>
  <si>
    <t>Grupo F</t>
  </si>
  <si>
    <t>Grupo G</t>
  </si>
  <si>
    <t>Grupo H</t>
  </si>
  <si>
    <t>2°  3° y 4°</t>
  </si>
  <si>
    <t xml:space="preserve">Nombre y Apellido: </t>
  </si>
  <si>
    <t>← Recuerda que si vas a participar con mas de un archivo debes agregar un consecutivo al final Ej: Pedro Perez 1, Pedro Perez 2, etc.</t>
  </si>
  <si>
    <t>Ecuador</t>
  </si>
  <si>
    <t>Países Bajos</t>
  </si>
  <si>
    <t>Australia</t>
  </si>
  <si>
    <t>España</t>
  </si>
  <si>
    <t>Canadá</t>
  </si>
  <si>
    <t>Marruecos</t>
  </si>
  <si>
    <t>Brasil</t>
  </si>
  <si>
    <t>Suiza</t>
  </si>
  <si>
    <t>Uruguay</t>
  </si>
  <si>
    <t>Korea</t>
  </si>
  <si>
    <t>VEN</t>
  </si>
  <si>
    <t>USA</t>
  </si>
  <si>
    <t>1ero Grupo A</t>
  </si>
  <si>
    <t/>
  </si>
  <si>
    <t>2do Grupo B</t>
  </si>
  <si>
    <t>1ero Grupo C</t>
  </si>
  <si>
    <t>2do Grupo D</t>
  </si>
  <si>
    <t>1ero Grupo B</t>
  </si>
  <si>
    <t>2do Grupo A</t>
  </si>
  <si>
    <t>1ero Grupo D</t>
  </si>
  <si>
    <t>2do Grupo C</t>
  </si>
  <si>
    <t>1ero Grupo E</t>
  </si>
  <si>
    <t>2do Grupo F</t>
  </si>
  <si>
    <t>1ero Grupo G</t>
  </si>
  <si>
    <t>2do Grupo H</t>
  </si>
  <si>
    <t>1ero Grupo F</t>
  </si>
  <si>
    <t>2do Grupo E</t>
  </si>
  <si>
    <t>1ero Grupo H</t>
  </si>
  <si>
    <t>2do Grupo G</t>
  </si>
  <si>
    <t>Sudáfrica</t>
  </si>
  <si>
    <t>Catar</t>
  </si>
  <si>
    <t>Haití</t>
  </si>
  <si>
    <t>Escocia</t>
  </si>
  <si>
    <t>EE. UU.</t>
  </si>
  <si>
    <t>Paraguay</t>
  </si>
  <si>
    <t>Curazao</t>
  </si>
  <si>
    <t>Costa de Marfil</t>
  </si>
  <si>
    <t>Egipto</t>
  </si>
  <si>
    <t>Nueva Zelanda</t>
  </si>
  <si>
    <t>Cabo Verde</t>
  </si>
  <si>
    <t>Arabia Saudí</t>
  </si>
  <si>
    <t xml:space="preserve">                              Primera Fase</t>
  </si>
  <si>
    <t>Francia</t>
  </si>
  <si>
    <t>Senegal</t>
  </si>
  <si>
    <t>Noruega</t>
  </si>
  <si>
    <t>Argentina</t>
  </si>
  <si>
    <t>Argelia</t>
  </si>
  <si>
    <t>Austria</t>
  </si>
  <si>
    <t>Jordania</t>
  </si>
  <si>
    <t>Portugal</t>
  </si>
  <si>
    <t>Uzbekistán</t>
  </si>
  <si>
    <t>Colombia</t>
  </si>
  <si>
    <t>Inglaterra</t>
  </si>
  <si>
    <t>Croacia</t>
  </si>
  <si>
    <t>Ghana</t>
  </si>
  <si>
    <t>Panamá</t>
  </si>
  <si>
    <t>Ciudad de México</t>
  </si>
  <si>
    <t>Guadalajara</t>
  </si>
  <si>
    <t>Toronto</t>
  </si>
  <si>
    <t>Los Ángeles</t>
  </si>
  <si>
    <t>San Francisco</t>
  </si>
  <si>
    <t>Nueva York</t>
  </si>
  <si>
    <t>Boston</t>
  </si>
  <si>
    <t>Vancouver</t>
  </si>
  <si>
    <t>Houston</t>
  </si>
  <si>
    <t>Dallas</t>
  </si>
  <si>
    <t>Filadelfia</t>
  </si>
  <si>
    <t>Monterrey</t>
  </si>
  <si>
    <t>Atlanta</t>
  </si>
  <si>
    <t>Seattle</t>
  </si>
  <si>
    <t>Miami</t>
  </si>
  <si>
    <t>Kansas City</t>
  </si>
  <si>
    <t>Grupo</t>
  </si>
  <si>
    <t>I</t>
  </si>
  <si>
    <t>K</t>
  </si>
  <si>
    <t>L</t>
  </si>
  <si>
    <t>Puntos</t>
  </si>
  <si>
    <t>Dif Gol</t>
  </si>
  <si>
    <t>Fair Play</t>
  </si>
  <si>
    <t>Amarilla</t>
  </si>
  <si>
    <t>Doble 
Amarilla</t>
  </si>
  <si>
    <t>Roja
Directa</t>
  </si>
  <si>
    <t>Amarilla + Roja
Directa</t>
  </si>
  <si>
    <t>Terceros</t>
  </si>
  <si>
    <t>8 MEJORES TERCEROS:</t>
  </si>
  <si>
    <t>1E</t>
  </si>
  <si>
    <t>1I</t>
  </si>
  <si>
    <t>1A</t>
  </si>
  <si>
    <t>1L</t>
  </si>
  <si>
    <t>1D</t>
  </si>
  <si>
    <t>1G</t>
  </si>
  <si>
    <t>1B</t>
  </si>
  <si>
    <t>1K</t>
  </si>
  <si>
    <t>Ranking</t>
  </si>
  <si>
    <t>2do Grupo I</t>
  </si>
  <si>
    <t>1ero Grupo I</t>
  </si>
  <si>
    <t>1ero Grupo L</t>
  </si>
  <si>
    <t>2do Grupo J</t>
  </si>
  <si>
    <t>a Octavos de final</t>
  </si>
  <si>
    <t>2do Grupo L</t>
  </si>
  <si>
    <t>2do Grupo K</t>
  </si>
  <si>
    <t>1ero Grupo J</t>
  </si>
  <si>
    <t>1ero Grupo K</t>
  </si>
  <si>
    <t>OF9</t>
  </si>
  <si>
    <t>OF10</t>
  </si>
  <si>
    <t>OF11</t>
  </si>
  <si>
    <t>OF12</t>
  </si>
  <si>
    <t>OF13</t>
  </si>
  <si>
    <t>OF14</t>
  </si>
  <si>
    <t>OF15</t>
  </si>
  <si>
    <t>OF16</t>
  </si>
  <si>
    <t>CF5</t>
  </si>
  <si>
    <t>CF6</t>
  </si>
  <si>
    <t>CF7</t>
  </si>
  <si>
    <t>CF8</t>
  </si>
  <si>
    <t>a Cuartos de final</t>
  </si>
  <si>
    <t>Sede   |   Fecha   |   Hora</t>
  </si>
  <si>
    <r>
      <t xml:space="preserve">Avanza a Dieciseisavos de final  </t>
    </r>
    <r>
      <rPr>
        <b/>
        <sz val="8"/>
        <color theme="0" tint="-0.249977111117893"/>
        <rFont val="Wingdings"/>
        <charset val="2"/>
      </rPr>
      <t>Ø</t>
    </r>
  </si>
  <si>
    <t>Rank FIFA</t>
  </si>
  <si>
    <t>a    S e m i f i n a l e s</t>
  </si>
  <si>
    <t>SF3</t>
  </si>
  <si>
    <t>SF4</t>
  </si>
  <si>
    <t>F1</t>
  </si>
  <si>
    <t>F2</t>
  </si>
  <si>
    <t>3er   P u e s t o</t>
  </si>
  <si>
    <t>Campeón Mundial 2026</t>
  </si>
  <si>
    <r>
      <rPr>
        <sz val="19"/>
        <color rgb="FF002060"/>
        <rFont val="Haettenschweiler"/>
        <family val="2"/>
      </rPr>
      <t>CAMPEÓN</t>
    </r>
    <r>
      <rPr>
        <sz val="19"/>
        <color rgb="FFC00000"/>
        <rFont val="Haettenschweiler"/>
        <family val="2"/>
      </rPr>
      <t xml:space="preserve">  </t>
    </r>
    <r>
      <rPr>
        <sz val="19"/>
        <color rgb="FFFF0000"/>
        <rFont val="Haettenschweiler"/>
        <family val="2"/>
      </rPr>
      <t>Mundial</t>
    </r>
    <r>
      <rPr>
        <sz val="19"/>
        <color rgb="FF002060"/>
        <rFont val="Haettenschweiler"/>
        <family val="2"/>
      </rPr>
      <t xml:space="preserve">  2026</t>
    </r>
  </si>
  <si>
    <t xml:space="preserve">                              Mejores  T e r c e r o s</t>
  </si>
  <si>
    <t>Grupo:</t>
  </si>
  <si>
    <t>3ro ABCDF</t>
  </si>
  <si>
    <t>3ro CDFGH</t>
  </si>
  <si>
    <t>3ro CEFHI</t>
  </si>
  <si>
    <t>3ro EHIJK</t>
  </si>
  <si>
    <t>3ro AEHIJ</t>
  </si>
  <si>
    <t>3ro BEFIJ</t>
  </si>
  <si>
    <t>3ro EFGIJ</t>
  </si>
  <si>
    <t>Grupo I</t>
  </si>
  <si>
    <t>Grupo J</t>
  </si>
  <si>
    <t>Grupo K</t>
  </si>
  <si>
    <t>Grupo L</t>
  </si>
  <si>
    <t>Dieciseisavos de Final</t>
  </si>
  <si>
    <t>8 mejores Terceros:</t>
  </si>
  <si>
    <r>
      <t xml:space="preserve">Estos son los </t>
    </r>
    <r>
      <rPr>
        <b/>
        <sz val="14"/>
        <color rgb="FF002060"/>
        <rFont val="Arial"/>
        <family val="2"/>
      </rPr>
      <t>8 Mejores Terceros</t>
    </r>
    <r>
      <rPr>
        <sz val="14"/>
        <color theme="1" tint="0.34998626667073579"/>
        <rFont val="Arial"/>
        <family val="2"/>
      </rPr>
      <t xml:space="preserve"> de la Fase Grupos 
según tus proyecciones 
</t>
    </r>
    <r>
      <rPr>
        <b/>
        <sz val="11"/>
        <color theme="1" tint="0.34998626667073579"/>
        <rFont val="Arial"/>
        <family val="2"/>
      </rPr>
      <t>👍</t>
    </r>
  </si>
  <si>
    <t>DIECISEISAVOS:</t>
  </si>
  <si>
    <t>Partido de 3° Y 4°</t>
  </si>
  <si>
    <r>
      <t xml:space="preserve">GRUPO </t>
    </r>
    <r>
      <rPr>
        <b/>
        <sz val="22"/>
        <color theme="9"/>
        <rFont val="Arial"/>
        <family val="2"/>
      </rPr>
      <t>A</t>
    </r>
  </si>
  <si>
    <r>
      <t xml:space="preserve">GRUPO </t>
    </r>
    <r>
      <rPr>
        <b/>
        <sz val="22"/>
        <color theme="9"/>
        <rFont val="Arial"/>
        <family val="2"/>
      </rPr>
      <t>B</t>
    </r>
  </si>
  <si>
    <r>
      <t xml:space="preserve">GRUPO </t>
    </r>
    <r>
      <rPr>
        <b/>
        <sz val="22"/>
        <color theme="9"/>
        <rFont val="Arial"/>
        <family val="2"/>
      </rPr>
      <t>C</t>
    </r>
  </si>
  <si>
    <r>
      <t xml:space="preserve">GRUPO </t>
    </r>
    <r>
      <rPr>
        <b/>
        <sz val="22"/>
        <color theme="9"/>
        <rFont val="Arial"/>
        <family val="2"/>
      </rPr>
      <t>D</t>
    </r>
  </si>
  <si>
    <r>
      <t xml:space="preserve">GRUPO </t>
    </r>
    <r>
      <rPr>
        <b/>
        <sz val="22"/>
        <color theme="9"/>
        <rFont val="Arial"/>
        <family val="2"/>
      </rPr>
      <t>E</t>
    </r>
  </si>
  <si>
    <r>
      <t xml:space="preserve">GRUPO </t>
    </r>
    <r>
      <rPr>
        <b/>
        <sz val="22"/>
        <color theme="9"/>
        <rFont val="Arial"/>
        <family val="2"/>
      </rPr>
      <t>F</t>
    </r>
  </si>
  <si>
    <r>
      <t xml:space="preserve">GRUPO </t>
    </r>
    <r>
      <rPr>
        <b/>
        <sz val="22"/>
        <color theme="9"/>
        <rFont val="Arial"/>
        <family val="2"/>
      </rPr>
      <t>G</t>
    </r>
  </si>
  <si>
    <r>
      <t xml:space="preserve">GRUPO </t>
    </r>
    <r>
      <rPr>
        <b/>
        <sz val="22"/>
        <color theme="9"/>
        <rFont val="Arial"/>
        <family val="2"/>
      </rPr>
      <t>H</t>
    </r>
  </si>
  <si>
    <r>
      <t xml:space="preserve">GRUPO </t>
    </r>
    <r>
      <rPr>
        <b/>
        <sz val="22"/>
        <color theme="9"/>
        <rFont val="Arial"/>
        <family val="2"/>
      </rPr>
      <t>I</t>
    </r>
  </si>
  <si>
    <r>
      <t xml:space="preserve">GRUPO </t>
    </r>
    <r>
      <rPr>
        <b/>
        <sz val="22"/>
        <color theme="9"/>
        <rFont val="Arial"/>
        <family val="2"/>
      </rPr>
      <t>J</t>
    </r>
  </si>
  <si>
    <r>
      <t xml:space="preserve">GRUPO </t>
    </r>
    <r>
      <rPr>
        <b/>
        <sz val="22"/>
        <color theme="9"/>
        <rFont val="Arial"/>
        <family val="2"/>
      </rPr>
      <t>K</t>
    </r>
  </si>
  <si>
    <r>
      <t xml:space="preserve">GRUPO </t>
    </r>
    <r>
      <rPr>
        <b/>
        <sz val="22"/>
        <color theme="9"/>
        <rFont val="Arial"/>
        <family val="2"/>
      </rPr>
      <t>L</t>
    </r>
  </si>
  <si>
    <t>Otro</t>
  </si>
  <si>
    <r>
      <t xml:space="preserve">Mejores </t>
    </r>
    <r>
      <rPr>
        <b/>
        <sz val="22"/>
        <color theme="9"/>
        <rFont val="Arial"/>
        <family val="2"/>
      </rPr>
      <t>3</t>
    </r>
    <r>
      <rPr>
        <b/>
        <sz val="16"/>
        <color theme="9"/>
        <rFont val="Arial"/>
        <family val="2"/>
      </rPr>
      <t>ros</t>
    </r>
  </si>
  <si>
    <t>Check</t>
  </si>
  <si>
    <t>Fase de Grupos</t>
  </si>
  <si>
    <t>16vos</t>
  </si>
  <si>
    <t>Falta completar Marcadores en 16vos</t>
  </si>
  <si>
    <t>Falta completar Marcadores en Fase de Grupos</t>
  </si>
  <si>
    <t>8vos</t>
  </si>
  <si>
    <t>Falta completar Marcadores en 8vos</t>
  </si>
  <si>
    <t>cuartos</t>
  </si>
  <si>
    <t>Falta completar Marcadores en Cuartos</t>
  </si>
  <si>
    <t>Falta completar Marcadores en Semi final</t>
  </si>
  <si>
    <t>3ro</t>
  </si>
  <si>
    <t>Falta completar Marcadores en 3° puesto</t>
  </si>
  <si>
    <t>Campeon</t>
  </si>
  <si>
    <t>Falta completar Marcadores en la Final</t>
  </si>
  <si>
    <r>
      <t xml:space="preserve">Habrá un total de </t>
    </r>
    <r>
      <rPr>
        <b/>
        <sz val="6.5"/>
        <color rgb="FF002060"/>
        <rFont val="Arial"/>
        <family val="2"/>
      </rPr>
      <t>72</t>
    </r>
    <r>
      <rPr>
        <sz val="6.5"/>
        <color rgb="FF002060"/>
        <rFont val="Arial"/>
        <family val="2"/>
      </rPr>
      <t xml:space="preserve"> partidos</t>
    </r>
  </si>
  <si>
    <r>
      <t xml:space="preserve">Por cada </t>
    </r>
    <r>
      <rPr>
        <b/>
        <sz val="6.5"/>
        <color rgb="FF008000"/>
        <rFont val="Arial"/>
        <family val="2"/>
      </rPr>
      <t>RESULTADO</t>
    </r>
    <r>
      <rPr>
        <sz val="6.5"/>
        <color rgb="FF002060"/>
        <rFont val="Arial"/>
        <family val="2"/>
      </rPr>
      <t xml:space="preserve"> acertado (significa adivinar quien gano el partido y/o si quedaron empatados)  obtendrá </t>
    </r>
    <r>
      <rPr>
        <b/>
        <sz val="6.5"/>
        <color rgb="FFFF0000"/>
        <rFont val="Arial"/>
        <family val="2"/>
      </rPr>
      <t>10</t>
    </r>
    <r>
      <rPr>
        <sz val="6.5"/>
        <color rgb="FF002060"/>
        <rFont val="Arial"/>
        <family val="2"/>
      </rPr>
      <t xml:space="preserve"> puntos.</t>
    </r>
  </si>
  <si>
    <r>
      <t xml:space="preserve">Por cada </t>
    </r>
    <r>
      <rPr>
        <b/>
        <sz val="6.5"/>
        <color rgb="FF008000"/>
        <rFont val="Arial"/>
        <family val="2"/>
      </rPr>
      <t>MARCADOR</t>
    </r>
    <r>
      <rPr>
        <sz val="6.5"/>
        <color rgb="FF002060"/>
        <rFont val="Arial"/>
        <family val="2"/>
      </rPr>
      <t xml:space="preserve"> acertado (significa adivinar el marcador independiente de cada Equipo) obtendrá  </t>
    </r>
    <r>
      <rPr>
        <b/>
        <sz val="6.5"/>
        <color rgb="FFFF0000"/>
        <rFont val="Arial"/>
        <family val="2"/>
      </rPr>
      <t>5</t>
    </r>
    <r>
      <rPr>
        <sz val="6.5"/>
        <color rgb="FF002060"/>
        <rFont val="Arial"/>
        <family val="2"/>
      </rPr>
      <t xml:space="preserve"> puntos.</t>
    </r>
  </si>
  <si>
    <r>
      <t xml:space="preserve">Total puntos en juego = </t>
    </r>
    <r>
      <rPr>
        <b/>
        <sz val="6.5"/>
        <color rgb="FFFF0000"/>
        <rFont val="Arial"/>
        <family val="2"/>
      </rPr>
      <t>1.440</t>
    </r>
  </si>
  <si>
    <r>
      <t xml:space="preserve">Clasificaran </t>
    </r>
    <r>
      <rPr>
        <b/>
        <sz val="6.5"/>
        <color rgb="FF002060"/>
        <rFont val="Arial"/>
        <family val="2"/>
      </rPr>
      <t>32</t>
    </r>
    <r>
      <rPr>
        <sz val="6.5"/>
        <color rgb="FF002060"/>
        <rFont val="Arial"/>
        <family val="2"/>
      </rPr>
      <t xml:space="preserve"> equipos y habrán </t>
    </r>
    <r>
      <rPr>
        <b/>
        <sz val="6.5"/>
        <color rgb="FF002060"/>
        <rFont val="Arial"/>
        <family val="2"/>
      </rPr>
      <t>16</t>
    </r>
    <r>
      <rPr>
        <sz val="6.5"/>
        <color rgb="FF002060"/>
        <rFont val="Arial"/>
        <family val="2"/>
      </rPr>
      <t xml:space="preserve"> encuentros.</t>
    </r>
  </si>
  <si>
    <r>
      <t xml:space="preserve">Por cada </t>
    </r>
    <r>
      <rPr>
        <b/>
        <sz val="6.5"/>
        <color rgb="FF008000"/>
        <rFont val="Arial"/>
        <family val="2"/>
      </rPr>
      <t>EQUIPO</t>
    </r>
    <r>
      <rPr>
        <sz val="6.5"/>
        <color rgb="FF002060"/>
        <rFont val="Arial"/>
        <family val="2"/>
      </rPr>
      <t xml:space="preserve">  que usted acierte obtendrá </t>
    </r>
    <r>
      <rPr>
        <sz val="6.5"/>
        <color rgb="FFFF0000"/>
        <rFont val="Arial"/>
        <family val="2"/>
      </rPr>
      <t>20</t>
    </r>
    <r>
      <rPr>
        <sz val="6.5"/>
        <color rgb="FF002060"/>
        <rFont val="Arial"/>
        <family val="2"/>
      </rPr>
      <t xml:space="preserve"> puntos.   Puntos Posibles = </t>
    </r>
    <r>
      <rPr>
        <b/>
        <sz val="6.5"/>
        <color rgb="FFFF0000"/>
        <rFont val="Arial"/>
        <family val="2"/>
      </rPr>
      <t>640</t>
    </r>
  </si>
  <si>
    <r>
      <t xml:space="preserve">Por cada </t>
    </r>
    <r>
      <rPr>
        <b/>
        <sz val="6.5"/>
        <color rgb="FF008000"/>
        <rFont val="Arial"/>
        <family val="2"/>
      </rPr>
      <t>ENCUENTRO</t>
    </r>
    <r>
      <rPr>
        <sz val="6.5"/>
        <color rgb="FF002060"/>
        <rFont val="Arial"/>
        <family val="2"/>
      </rPr>
      <t xml:space="preserve"> que usted acierte obtendrá </t>
    </r>
    <r>
      <rPr>
        <sz val="6.5"/>
        <color rgb="FFFF0000"/>
        <rFont val="Arial"/>
        <family val="2"/>
      </rPr>
      <t>20</t>
    </r>
    <r>
      <rPr>
        <sz val="6.5"/>
        <color rgb="FF002060"/>
        <rFont val="Arial"/>
        <family val="2"/>
      </rPr>
      <t xml:space="preserve"> puntos.   Puntos posibles = </t>
    </r>
    <r>
      <rPr>
        <b/>
        <sz val="6.5"/>
        <color rgb="FFFF0000"/>
        <rFont val="Arial"/>
        <family val="2"/>
      </rPr>
      <t>320</t>
    </r>
  </si>
  <si>
    <r>
      <t xml:space="preserve">Por cada </t>
    </r>
    <r>
      <rPr>
        <b/>
        <sz val="6.5"/>
        <color rgb="FF008000"/>
        <rFont val="Arial"/>
        <family val="2"/>
      </rPr>
      <t>MARCADOR</t>
    </r>
    <r>
      <rPr>
        <sz val="6.5"/>
        <color rgb="FF002060"/>
        <rFont val="Arial"/>
        <family val="2"/>
      </rPr>
      <t xml:space="preserve"> que usted acierte obtendrá </t>
    </r>
    <r>
      <rPr>
        <sz val="6.5"/>
        <color rgb="FFFF0000"/>
        <rFont val="Arial"/>
        <family val="2"/>
      </rPr>
      <t>10</t>
    </r>
    <r>
      <rPr>
        <sz val="6.5"/>
        <color rgb="FF002060"/>
        <rFont val="Arial"/>
        <family val="2"/>
      </rPr>
      <t xml:space="preserve"> puntos.   Puntos posibles = </t>
    </r>
    <r>
      <rPr>
        <b/>
        <sz val="6.5"/>
        <color rgb="FFFF0000"/>
        <rFont val="Arial"/>
        <family val="2"/>
      </rPr>
      <t>320</t>
    </r>
  </si>
  <si>
    <r>
      <t xml:space="preserve">Total puntos en juego = </t>
    </r>
    <r>
      <rPr>
        <b/>
        <sz val="6.5"/>
        <color rgb="FFFF0000"/>
        <rFont val="Arial"/>
        <family val="2"/>
      </rPr>
      <t>1.280</t>
    </r>
  </si>
  <si>
    <r>
      <t xml:space="preserve">Clasificaran </t>
    </r>
    <r>
      <rPr>
        <b/>
        <sz val="6.5"/>
        <color rgb="FF002060"/>
        <rFont val="Arial"/>
        <family val="2"/>
      </rPr>
      <t>16</t>
    </r>
    <r>
      <rPr>
        <sz val="6.5"/>
        <color rgb="FF002060"/>
        <rFont val="Arial"/>
        <family val="2"/>
      </rPr>
      <t xml:space="preserve"> equipos y habrán </t>
    </r>
    <r>
      <rPr>
        <b/>
        <sz val="6.5"/>
        <color rgb="FF002060"/>
        <rFont val="Arial"/>
        <family val="2"/>
      </rPr>
      <t>8</t>
    </r>
    <r>
      <rPr>
        <sz val="6.5"/>
        <color rgb="FF002060"/>
        <rFont val="Arial"/>
        <family val="2"/>
      </rPr>
      <t xml:space="preserve"> encuentros.</t>
    </r>
  </si>
  <si>
    <r>
      <t xml:space="preserve">Por cada </t>
    </r>
    <r>
      <rPr>
        <b/>
        <sz val="6.5"/>
        <color rgb="FF008000"/>
        <rFont val="Arial"/>
        <family val="2"/>
      </rPr>
      <t>EQUIPO</t>
    </r>
    <r>
      <rPr>
        <sz val="6.5"/>
        <color rgb="FF002060"/>
        <rFont val="Arial"/>
        <family val="2"/>
      </rPr>
      <t xml:space="preserve">  que usted acierte obtendrá </t>
    </r>
    <r>
      <rPr>
        <sz val="6.5"/>
        <color rgb="FFFF0000"/>
        <rFont val="Arial"/>
        <family val="2"/>
      </rPr>
      <t>30</t>
    </r>
    <r>
      <rPr>
        <sz val="6.5"/>
        <color rgb="FF002060"/>
        <rFont val="Arial"/>
        <family val="2"/>
      </rPr>
      <t xml:space="preserve"> puntos.   Puntos Posibles = </t>
    </r>
    <r>
      <rPr>
        <b/>
        <sz val="6.5"/>
        <color rgb="FFFF0000"/>
        <rFont val="Arial"/>
        <family val="2"/>
      </rPr>
      <t>480</t>
    </r>
  </si>
  <si>
    <r>
      <t xml:space="preserve">Por cada </t>
    </r>
    <r>
      <rPr>
        <b/>
        <sz val="6.5"/>
        <color rgb="FF008000"/>
        <rFont val="Arial"/>
        <family val="2"/>
      </rPr>
      <t>ENCUENTRO</t>
    </r>
    <r>
      <rPr>
        <sz val="6.5"/>
        <color rgb="FF002060"/>
        <rFont val="Arial"/>
        <family val="2"/>
      </rPr>
      <t xml:space="preserve"> que usted acierte obtendrá </t>
    </r>
    <r>
      <rPr>
        <sz val="6.5"/>
        <color rgb="FFFF0000"/>
        <rFont val="Arial"/>
        <family val="2"/>
      </rPr>
      <t>20</t>
    </r>
    <r>
      <rPr>
        <sz val="6.5"/>
        <color rgb="FF002060"/>
        <rFont val="Arial"/>
        <family val="2"/>
      </rPr>
      <t xml:space="preserve"> puntos.   Puntos posibles = </t>
    </r>
    <r>
      <rPr>
        <b/>
        <sz val="6.5"/>
        <color rgb="FFFF0000"/>
        <rFont val="Arial"/>
        <family val="2"/>
      </rPr>
      <t>160</t>
    </r>
  </si>
  <si>
    <r>
      <t xml:space="preserve">Por cada </t>
    </r>
    <r>
      <rPr>
        <b/>
        <sz val="6.5"/>
        <color rgb="FF008000"/>
        <rFont val="Arial"/>
        <family val="2"/>
      </rPr>
      <t>MARCADOR</t>
    </r>
    <r>
      <rPr>
        <sz val="6.5"/>
        <color rgb="FF002060"/>
        <rFont val="Arial"/>
        <family val="2"/>
      </rPr>
      <t xml:space="preserve"> que usted acierte obtendrá </t>
    </r>
    <r>
      <rPr>
        <sz val="6.5"/>
        <color rgb="FFFF0000"/>
        <rFont val="Arial"/>
        <family val="2"/>
      </rPr>
      <t>10</t>
    </r>
    <r>
      <rPr>
        <sz val="6.5"/>
        <color rgb="FF002060"/>
        <rFont val="Arial"/>
        <family val="2"/>
      </rPr>
      <t xml:space="preserve"> puntos.   Puntos posibles = </t>
    </r>
    <r>
      <rPr>
        <b/>
        <sz val="6.5"/>
        <color rgb="FFFF0000"/>
        <rFont val="Arial"/>
        <family val="2"/>
      </rPr>
      <t>160</t>
    </r>
  </si>
  <si>
    <r>
      <t xml:space="preserve">Total puntos en juego = </t>
    </r>
    <r>
      <rPr>
        <b/>
        <sz val="6.5"/>
        <color rgb="FFFF0000"/>
        <rFont val="Arial"/>
        <family val="2"/>
      </rPr>
      <t>800</t>
    </r>
  </si>
  <si>
    <r>
      <t xml:space="preserve">Clasificaran </t>
    </r>
    <r>
      <rPr>
        <b/>
        <sz val="6.5"/>
        <color rgb="FF002060"/>
        <rFont val="Arial"/>
        <family val="2"/>
      </rPr>
      <t>8</t>
    </r>
    <r>
      <rPr>
        <sz val="6.5"/>
        <color rgb="FF002060"/>
        <rFont val="Arial"/>
        <family val="2"/>
      </rPr>
      <t xml:space="preserve"> equipos y habrán </t>
    </r>
    <r>
      <rPr>
        <b/>
        <sz val="6.5"/>
        <color rgb="FF002060"/>
        <rFont val="Arial"/>
        <family val="2"/>
      </rPr>
      <t>4</t>
    </r>
    <r>
      <rPr>
        <sz val="6.5"/>
        <color rgb="FF002060"/>
        <rFont val="Arial"/>
        <family val="2"/>
      </rPr>
      <t xml:space="preserve"> encuentros.</t>
    </r>
  </si>
  <si>
    <r>
      <t xml:space="preserve">Por cada </t>
    </r>
    <r>
      <rPr>
        <b/>
        <sz val="6.5"/>
        <color rgb="FF008000"/>
        <rFont val="Arial"/>
        <family val="2"/>
      </rPr>
      <t>EQUIPO</t>
    </r>
    <r>
      <rPr>
        <sz val="6.5"/>
        <color rgb="FF002060"/>
        <rFont val="Arial"/>
        <family val="2"/>
      </rPr>
      <t xml:space="preserve">  que usted acierte obtendrá </t>
    </r>
    <r>
      <rPr>
        <sz val="6.5"/>
        <color rgb="FFFF0000"/>
        <rFont val="Arial"/>
        <family val="2"/>
      </rPr>
      <t>40</t>
    </r>
    <r>
      <rPr>
        <sz val="6.5"/>
        <color rgb="FF002060"/>
        <rFont val="Arial"/>
        <family val="2"/>
      </rPr>
      <t xml:space="preserve"> puntos.   Puntos Posibles = </t>
    </r>
    <r>
      <rPr>
        <b/>
        <sz val="6.5"/>
        <color rgb="FFFF0000"/>
        <rFont val="Arial"/>
        <family val="2"/>
      </rPr>
      <t>320</t>
    </r>
  </si>
  <si>
    <r>
      <t xml:space="preserve">Por cada </t>
    </r>
    <r>
      <rPr>
        <b/>
        <sz val="6.5"/>
        <color rgb="FF008000"/>
        <rFont val="Arial"/>
        <family val="2"/>
      </rPr>
      <t>ENCUENTRO</t>
    </r>
    <r>
      <rPr>
        <sz val="6.5"/>
        <color rgb="FF002060"/>
        <rFont val="Arial"/>
        <family val="2"/>
      </rPr>
      <t xml:space="preserve"> que usted acierte obtendrá </t>
    </r>
    <r>
      <rPr>
        <sz val="6.5"/>
        <color rgb="FFFF0000"/>
        <rFont val="Arial"/>
        <family val="2"/>
      </rPr>
      <t>20</t>
    </r>
    <r>
      <rPr>
        <sz val="6.5"/>
        <color rgb="FF002060"/>
        <rFont val="Arial"/>
        <family val="2"/>
      </rPr>
      <t xml:space="preserve"> puntos.   Puntos posibles = </t>
    </r>
    <r>
      <rPr>
        <b/>
        <sz val="6.5"/>
        <color rgb="FFFF0000"/>
        <rFont val="Arial"/>
        <family val="2"/>
      </rPr>
      <t>80</t>
    </r>
  </si>
  <si>
    <r>
      <t xml:space="preserve">Por cada </t>
    </r>
    <r>
      <rPr>
        <b/>
        <sz val="6.5"/>
        <color rgb="FF008000"/>
        <rFont val="Arial"/>
        <family val="2"/>
      </rPr>
      <t>MARCADOR</t>
    </r>
    <r>
      <rPr>
        <sz val="6.5"/>
        <color rgb="FF002060"/>
        <rFont val="Arial"/>
        <family val="2"/>
      </rPr>
      <t xml:space="preserve"> que usted acierte obtendrá </t>
    </r>
    <r>
      <rPr>
        <sz val="6.5"/>
        <color rgb="FFFF0000"/>
        <rFont val="Arial"/>
        <family val="2"/>
      </rPr>
      <t>10</t>
    </r>
    <r>
      <rPr>
        <sz val="6.5"/>
        <color rgb="FF002060"/>
        <rFont val="Arial"/>
        <family val="2"/>
      </rPr>
      <t xml:space="preserve"> puntos.   Puntos posibles = </t>
    </r>
    <r>
      <rPr>
        <b/>
        <sz val="6.5"/>
        <color rgb="FFFF0000"/>
        <rFont val="Arial"/>
        <family val="2"/>
      </rPr>
      <t>80</t>
    </r>
  </si>
  <si>
    <r>
      <t xml:space="preserve">Total puntos en juego = </t>
    </r>
    <r>
      <rPr>
        <b/>
        <u/>
        <sz val="6.5"/>
        <color rgb="FFFF0000"/>
        <rFont val="Arial"/>
        <family val="2"/>
      </rPr>
      <t>480</t>
    </r>
  </si>
  <si>
    <r>
      <t xml:space="preserve">Clasificaran </t>
    </r>
    <r>
      <rPr>
        <b/>
        <sz val="6.5"/>
        <color rgb="FF002060"/>
        <rFont val="Arial"/>
        <family val="2"/>
      </rPr>
      <t>4</t>
    </r>
    <r>
      <rPr>
        <sz val="6.5"/>
        <color rgb="FF002060"/>
        <rFont val="Arial"/>
        <family val="2"/>
      </rPr>
      <t xml:space="preserve"> equipos y habrán </t>
    </r>
    <r>
      <rPr>
        <b/>
        <sz val="6.5"/>
        <color rgb="FF002060"/>
        <rFont val="Arial"/>
        <family val="2"/>
      </rPr>
      <t>2</t>
    </r>
    <r>
      <rPr>
        <sz val="6.5"/>
        <color rgb="FF002060"/>
        <rFont val="Arial"/>
        <family val="2"/>
      </rPr>
      <t xml:space="preserve"> encuentros.</t>
    </r>
  </si>
  <si>
    <r>
      <t xml:space="preserve">Por cada </t>
    </r>
    <r>
      <rPr>
        <b/>
        <sz val="6.5"/>
        <color rgb="FF006600"/>
        <rFont val="Arial"/>
        <family val="2"/>
      </rPr>
      <t>EQUIPO</t>
    </r>
    <r>
      <rPr>
        <sz val="6.5"/>
        <color rgb="FF002060"/>
        <rFont val="Arial"/>
        <family val="2"/>
      </rPr>
      <t xml:space="preserve">  que usted acierte obtendrá </t>
    </r>
    <r>
      <rPr>
        <sz val="6.5"/>
        <color rgb="FFFF0000"/>
        <rFont val="Arial"/>
        <family val="2"/>
      </rPr>
      <t>50</t>
    </r>
    <r>
      <rPr>
        <sz val="6.5"/>
        <color rgb="FF002060"/>
        <rFont val="Arial"/>
        <family val="2"/>
      </rPr>
      <t xml:space="preserve"> puntos.   Puntos Posibles = </t>
    </r>
    <r>
      <rPr>
        <b/>
        <sz val="6.5"/>
        <color rgb="FFFF0000"/>
        <rFont val="Arial"/>
        <family val="2"/>
      </rPr>
      <t>200</t>
    </r>
  </si>
  <si>
    <r>
      <t xml:space="preserve">Por cada </t>
    </r>
    <r>
      <rPr>
        <b/>
        <sz val="6.5"/>
        <color rgb="FF006600"/>
        <rFont val="Arial"/>
        <family val="2"/>
      </rPr>
      <t>ENCUENTRO</t>
    </r>
    <r>
      <rPr>
        <sz val="6.5"/>
        <color rgb="FF002060"/>
        <rFont val="Arial"/>
        <family val="2"/>
      </rPr>
      <t xml:space="preserve"> que usted acierte obtendrá </t>
    </r>
    <r>
      <rPr>
        <sz val="6.5"/>
        <color rgb="FFFF0000"/>
        <rFont val="Arial"/>
        <family val="2"/>
      </rPr>
      <t>20</t>
    </r>
    <r>
      <rPr>
        <sz val="6.5"/>
        <color rgb="FF002060"/>
        <rFont val="Arial"/>
        <family val="2"/>
      </rPr>
      <t xml:space="preserve"> puntos.   Puntos posibles = </t>
    </r>
    <r>
      <rPr>
        <b/>
        <sz val="6.5"/>
        <color rgb="FFFF0000"/>
        <rFont val="Arial"/>
        <family val="2"/>
      </rPr>
      <t>40</t>
    </r>
  </si>
  <si>
    <r>
      <t xml:space="preserve">Por cada </t>
    </r>
    <r>
      <rPr>
        <b/>
        <sz val="6.5"/>
        <color rgb="FF006600"/>
        <rFont val="Arial"/>
        <family val="2"/>
      </rPr>
      <t>MARCADOR</t>
    </r>
    <r>
      <rPr>
        <sz val="6.5"/>
        <color rgb="FF002060"/>
        <rFont val="Arial"/>
        <family val="2"/>
      </rPr>
      <t xml:space="preserve"> que usted acierte obtendrá </t>
    </r>
    <r>
      <rPr>
        <sz val="6.5"/>
        <color rgb="FFFF0000"/>
        <rFont val="Arial"/>
        <family val="2"/>
      </rPr>
      <t>10</t>
    </r>
    <r>
      <rPr>
        <sz val="6.5"/>
        <color rgb="FF002060"/>
        <rFont val="Arial"/>
        <family val="2"/>
      </rPr>
      <t xml:space="preserve"> puntos.   Puntos posibles = </t>
    </r>
    <r>
      <rPr>
        <b/>
        <sz val="6.5"/>
        <color rgb="FFFF0000"/>
        <rFont val="Arial"/>
        <family val="2"/>
      </rPr>
      <t>40</t>
    </r>
  </si>
  <si>
    <r>
      <t xml:space="preserve">Total puntos en juego = </t>
    </r>
    <r>
      <rPr>
        <b/>
        <u/>
        <sz val="6.5"/>
        <color rgb="FFFF0000"/>
        <rFont val="Arial"/>
        <family val="2"/>
      </rPr>
      <t>280</t>
    </r>
  </si>
  <si>
    <r>
      <rPr>
        <b/>
        <sz val="6.5"/>
        <color rgb="FF002060"/>
        <rFont val="Arial"/>
        <family val="2"/>
      </rPr>
      <t>2</t>
    </r>
    <r>
      <rPr>
        <sz val="6.5"/>
        <color rgb="FF002060"/>
        <rFont val="Arial"/>
        <family val="2"/>
      </rPr>
      <t xml:space="preserve"> equipos y habrá </t>
    </r>
    <r>
      <rPr>
        <b/>
        <sz val="6.5"/>
        <color rgb="FF002060"/>
        <rFont val="Arial"/>
        <family val="2"/>
      </rPr>
      <t>1</t>
    </r>
    <r>
      <rPr>
        <sz val="6.5"/>
        <color rgb="FF002060"/>
        <rFont val="Arial"/>
        <family val="2"/>
      </rPr>
      <t xml:space="preserve"> encuentro.</t>
    </r>
  </si>
  <si>
    <r>
      <t xml:space="preserve">Por cada </t>
    </r>
    <r>
      <rPr>
        <b/>
        <sz val="6.5"/>
        <color rgb="FF006600"/>
        <rFont val="Arial"/>
        <family val="2"/>
      </rPr>
      <t>EQUIPO</t>
    </r>
    <r>
      <rPr>
        <sz val="6.5"/>
        <color rgb="FF002060"/>
        <rFont val="Arial"/>
        <family val="2"/>
      </rPr>
      <t xml:space="preserve">  que usted acierte obtendrá </t>
    </r>
    <r>
      <rPr>
        <sz val="6.5"/>
        <color rgb="FFFF0000"/>
        <rFont val="Arial"/>
        <family val="2"/>
      </rPr>
      <t>40</t>
    </r>
    <r>
      <rPr>
        <sz val="6.5"/>
        <color rgb="FF002060"/>
        <rFont val="Arial"/>
        <family val="2"/>
      </rPr>
      <t xml:space="preserve"> puntos.   Puntos Posibles = </t>
    </r>
    <r>
      <rPr>
        <b/>
        <sz val="6.5"/>
        <color rgb="FFFF0000"/>
        <rFont val="Arial"/>
        <family val="2"/>
      </rPr>
      <t>80</t>
    </r>
  </si>
  <si>
    <r>
      <t xml:space="preserve">Si acierta este </t>
    </r>
    <r>
      <rPr>
        <b/>
        <sz val="6.5"/>
        <color rgb="FF006600"/>
        <rFont val="Arial"/>
        <family val="2"/>
      </rPr>
      <t>ENCUENTRO</t>
    </r>
    <r>
      <rPr>
        <sz val="6.5"/>
        <color rgb="FF002060"/>
        <rFont val="Arial"/>
        <family val="2"/>
      </rPr>
      <t xml:space="preserve"> obtendrá </t>
    </r>
    <r>
      <rPr>
        <b/>
        <sz val="6.5"/>
        <color rgb="FFFF0000"/>
        <rFont val="Arial"/>
        <family val="2"/>
      </rPr>
      <t>20</t>
    </r>
    <r>
      <rPr>
        <sz val="6.5"/>
        <color rgb="FF002060"/>
        <rFont val="Arial"/>
        <family val="2"/>
      </rPr>
      <t xml:space="preserve"> puntos.</t>
    </r>
  </si>
  <si>
    <r>
      <t xml:space="preserve">Por cada </t>
    </r>
    <r>
      <rPr>
        <b/>
        <sz val="6.5"/>
        <color rgb="FF006600"/>
        <rFont val="Arial"/>
        <family val="2"/>
      </rPr>
      <t>MARCADOR</t>
    </r>
    <r>
      <rPr>
        <sz val="6.5"/>
        <color rgb="FF002060"/>
        <rFont val="Arial"/>
        <family val="2"/>
      </rPr>
      <t xml:space="preserve"> que usted acierte obtendrá </t>
    </r>
    <r>
      <rPr>
        <sz val="6.5"/>
        <color rgb="FFFF0000"/>
        <rFont val="Arial"/>
        <family val="2"/>
      </rPr>
      <t>10</t>
    </r>
    <r>
      <rPr>
        <sz val="6.5"/>
        <color rgb="FF002060"/>
        <rFont val="Arial"/>
        <family val="2"/>
      </rPr>
      <t xml:space="preserve"> puntos.   Puntos posibles = </t>
    </r>
    <r>
      <rPr>
        <b/>
        <sz val="6.5"/>
        <color rgb="FFFF0000"/>
        <rFont val="Arial"/>
        <family val="2"/>
      </rPr>
      <t>20</t>
    </r>
  </si>
  <si>
    <r>
      <t xml:space="preserve">Total puntos en juego = </t>
    </r>
    <r>
      <rPr>
        <b/>
        <u/>
        <sz val="6.5"/>
        <color rgb="FFFF0000"/>
        <rFont val="Arial"/>
        <family val="2"/>
      </rPr>
      <t>120</t>
    </r>
  </si>
  <si>
    <r>
      <t xml:space="preserve">Clasificaran </t>
    </r>
    <r>
      <rPr>
        <b/>
        <sz val="6.5"/>
        <color rgb="FF002060"/>
        <rFont val="Arial"/>
        <family val="2"/>
      </rPr>
      <t>2</t>
    </r>
    <r>
      <rPr>
        <sz val="6.5"/>
        <color rgb="FF002060"/>
        <rFont val="Arial"/>
        <family val="2"/>
      </rPr>
      <t xml:space="preserve"> equipos y habrá </t>
    </r>
    <r>
      <rPr>
        <b/>
        <sz val="6.5"/>
        <color rgb="FF002060"/>
        <rFont val="Arial"/>
        <family val="2"/>
      </rPr>
      <t>1</t>
    </r>
    <r>
      <rPr>
        <sz val="6.5"/>
        <color rgb="FF002060"/>
        <rFont val="Arial"/>
        <family val="2"/>
      </rPr>
      <t xml:space="preserve"> encuentro.</t>
    </r>
  </si>
  <si>
    <r>
      <t xml:space="preserve">Por cada </t>
    </r>
    <r>
      <rPr>
        <b/>
        <sz val="6.5"/>
        <color rgb="FF006600"/>
        <rFont val="Arial"/>
        <family val="2"/>
      </rPr>
      <t>EQUIPO</t>
    </r>
    <r>
      <rPr>
        <sz val="6.5"/>
        <color rgb="FF002060"/>
        <rFont val="Arial"/>
        <family val="2"/>
      </rPr>
      <t xml:space="preserve">  que usted acierte obtendrá </t>
    </r>
    <r>
      <rPr>
        <sz val="6.5"/>
        <color rgb="FFFF0000"/>
        <rFont val="Arial"/>
        <family val="2"/>
      </rPr>
      <t>100</t>
    </r>
    <r>
      <rPr>
        <sz val="6.5"/>
        <color rgb="FF002060"/>
        <rFont val="Arial"/>
        <family val="2"/>
      </rPr>
      <t xml:space="preserve"> puntos.   Puntos Posibles = </t>
    </r>
    <r>
      <rPr>
        <b/>
        <sz val="6.5"/>
        <color rgb="FFFF0000"/>
        <rFont val="Arial"/>
        <family val="2"/>
      </rPr>
      <t>200</t>
    </r>
  </si>
  <si>
    <r>
      <t xml:space="preserve">Total puntos en juego = </t>
    </r>
    <r>
      <rPr>
        <b/>
        <u/>
        <sz val="6.5"/>
        <color rgb="FFFF0000"/>
        <rFont val="Arial"/>
        <family val="2"/>
      </rPr>
      <t>240</t>
    </r>
  </si>
  <si>
    <r>
      <t xml:space="preserve">si acierta el 2°  </t>
    </r>
    <r>
      <rPr>
        <b/>
        <sz val="6.5"/>
        <color rgb="FFFF0000"/>
        <rFont val="Arial"/>
        <family val="2"/>
      </rPr>
      <t>100</t>
    </r>
    <r>
      <rPr>
        <sz val="6.5"/>
        <color rgb="FF002060"/>
        <rFont val="Arial"/>
        <family val="2"/>
      </rPr>
      <t xml:space="preserve"> ptos; si acierta el 3°  </t>
    </r>
    <r>
      <rPr>
        <b/>
        <sz val="6.5"/>
        <color rgb="FFFF0000"/>
        <rFont val="Arial"/>
        <family val="2"/>
      </rPr>
      <t>40</t>
    </r>
    <r>
      <rPr>
        <sz val="6.5"/>
        <color rgb="FF002060"/>
        <rFont val="Arial"/>
        <family val="2"/>
      </rPr>
      <t xml:space="preserve"> ptos; si acierta el 4°  </t>
    </r>
    <r>
      <rPr>
        <b/>
        <sz val="6.5"/>
        <color rgb="FFFF0000"/>
        <rFont val="Arial"/>
        <family val="2"/>
      </rPr>
      <t>20</t>
    </r>
    <r>
      <rPr>
        <sz val="6.5"/>
        <color rgb="FF002060"/>
        <rFont val="Arial"/>
        <family val="2"/>
      </rPr>
      <t xml:space="preserve"> ptos</t>
    </r>
  </si>
  <si>
    <r>
      <t xml:space="preserve">Si acierta el </t>
    </r>
    <r>
      <rPr>
        <b/>
        <sz val="6.5"/>
        <color rgb="FF006600"/>
        <rFont val="Arial"/>
        <family val="2"/>
      </rPr>
      <t xml:space="preserve">EQUIPO </t>
    </r>
    <r>
      <rPr>
        <sz val="6.5"/>
        <color rgb="FF002060"/>
        <rFont val="Arial"/>
        <family val="2"/>
      </rPr>
      <t xml:space="preserve">campeón obtendrá </t>
    </r>
    <r>
      <rPr>
        <b/>
        <sz val="6.5"/>
        <color rgb="FFFF0000"/>
        <rFont val="Arial"/>
        <family val="2"/>
      </rPr>
      <t>200</t>
    </r>
    <r>
      <rPr>
        <sz val="6.5"/>
        <color rgb="FF002060"/>
        <rFont val="Arial"/>
        <family val="2"/>
      </rPr>
      <t xml:space="preserve"> puntos</t>
    </r>
  </si>
  <si>
    <r>
      <rPr>
        <b/>
        <sz val="8"/>
        <color rgb="FF002060"/>
        <rFont val="Arial"/>
        <family val="2"/>
      </rPr>
      <t xml:space="preserve">TOTAL PUNTOS =   </t>
    </r>
    <r>
      <rPr>
        <b/>
        <sz val="11"/>
        <color rgb="FFFF0000"/>
        <rFont val="Arial"/>
        <family val="2"/>
      </rPr>
      <t>5.000</t>
    </r>
  </si>
  <si>
    <t>GUA</t>
  </si>
  <si>
    <t>← Digite Pais</t>
  </si>
  <si>
    <t>3ro DEJIL</t>
  </si>
  <si>
    <t>P 101</t>
  </si>
  <si>
    <t>P 102</t>
  </si>
  <si>
    <t>G 101</t>
  </si>
  <si>
    <t>G 102</t>
  </si>
  <si>
    <r>
      <t xml:space="preserve">1   </t>
    </r>
    <r>
      <rPr>
        <b/>
        <sz val="8"/>
        <color theme="0" tint="-0.249977111117893"/>
        <rFont val="Wingdings"/>
        <charset val="2"/>
      </rPr>
      <t>Ø</t>
    </r>
  </si>
  <si>
    <r>
      <t xml:space="preserve">2   </t>
    </r>
    <r>
      <rPr>
        <b/>
        <sz val="8"/>
        <color theme="0" tint="-0.249977111117893"/>
        <rFont val="Wingdings"/>
        <charset val="2"/>
      </rPr>
      <t>Ø</t>
    </r>
  </si>
  <si>
    <r>
      <t xml:space="preserve">3   </t>
    </r>
    <r>
      <rPr>
        <b/>
        <sz val="8"/>
        <color theme="0" tint="-0.249977111117893"/>
        <rFont val="Wingdings"/>
        <charset val="2"/>
      </rPr>
      <t>Ø</t>
    </r>
  </si>
  <si>
    <r>
      <t xml:space="preserve">4   </t>
    </r>
    <r>
      <rPr>
        <b/>
        <sz val="8"/>
        <color theme="0" tint="-0.249977111117893"/>
        <rFont val="Wingdings"/>
        <charset val="2"/>
      </rPr>
      <t>Ø</t>
    </r>
  </si>
  <si>
    <r>
      <t xml:space="preserve">5   </t>
    </r>
    <r>
      <rPr>
        <b/>
        <sz val="8"/>
        <color theme="0" tint="-0.249977111117893"/>
        <rFont val="Wingdings"/>
        <charset val="2"/>
      </rPr>
      <t>Ø</t>
    </r>
  </si>
  <si>
    <r>
      <t xml:space="preserve">6   </t>
    </r>
    <r>
      <rPr>
        <b/>
        <sz val="8"/>
        <color theme="0" tint="-0.249977111117893"/>
        <rFont val="Wingdings"/>
        <charset val="2"/>
      </rPr>
      <t>Ø</t>
    </r>
  </si>
  <si>
    <r>
      <t xml:space="preserve">7   </t>
    </r>
    <r>
      <rPr>
        <b/>
        <sz val="8"/>
        <color theme="0" tint="-0.249977111117893"/>
        <rFont val="Wingdings"/>
        <charset val="2"/>
      </rPr>
      <t>Ø</t>
    </r>
  </si>
  <si>
    <r>
      <t xml:space="preserve"> 8   </t>
    </r>
    <r>
      <rPr>
        <b/>
        <sz val="8"/>
        <color theme="0" tint="-0.249977111117893"/>
        <rFont val="Wingdings"/>
        <charset val="2"/>
      </rPr>
      <t>Ø</t>
    </r>
  </si>
  <si>
    <r>
      <t xml:space="preserve">Avanza a Dieciseisavos de final  </t>
    </r>
    <r>
      <rPr>
        <sz val="8"/>
        <color theme="0" tint="-0.249977111117893"/>
        <rFont val="Wingdings"/>
        <charset val="2"/>
      </rPr>
      <t>Ø</t>
    </r>
  </si>
  <si>
    <t xml:space="preserve">Esta hoja es informativa… Continua a la siguiente Fase </t>
  </si>
  <si>
    <r>
      <t xml:space="preserve">                 POLLA MUNDIALISTA   - </t>
    </r>
    <r>
      <rPr>
        <sz val="30"/>
        <color theme="3" tint="0.39997558519241921"/>
        <rFont val="Haettenschweiler"/>
        <family val="2"/>
      </rPr>
      <t>2026</t>
    </r>
    <r>
      <rPr>
        <sz val="30"/>
        <color theme="0"/>
        <rFont val="Haettenschweiler"/>
        <family val="2"/>
      </rPr>
      <t xml:space="preserve"> -</t>
    </r>
  </si>
  <si>
    <t>Dieciseisavos  de  final</t>
  </si>
  <si>
    <t>Avance:</t>
  </si>
  <si>
    <t>Octavos  de  final</t>
  </si>
  <si>
    <t>Cuartos  de  final</t>
  </si>
  <si>
    <t>Semi final</t>
  </si>
  <si>
    <t>F  I  N  A  L</t>
  </si>
  <si>
    <t>Suecia</t>
  </si>
  <si>
    <t>Turquía</t>
  </si>
  <si>
    <t>25  </t>
  </si>
  <si>
    <t>República Checa</t>
  </si>
  <si>
    <t>Bosnia</t>
  </si>
  <si>
    <t>RD Congo</t>
  </si>
  <si>
    <t>Irak</t>
  </si>
  <si>
    <t>ROCHO Y MAO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</si>
</sst>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 &quot;de&quot;\ mmm"/>
  </numFmts>
  <fonts count="152" x14ac:knownFonts="1">
    <font>
      <sz val="10"/>
      <name val="Arial"/>
    </font>
    <font>
      <sz val="10"/>
      <name val="Arial"/>
      <family val="2"/>
    </font>
    <font>
      <u/>
      <sz val="10"/>
      <color indexed="12"/>
      <name val="Arial"/>
      <family val="2"/>
    </font>
    <font>
      <sz val="10"/>
      <name val="Arial"/>
      <family val="2"/>
    </font>
    <font>
      <sz val="10"/>
      <color indexed="9"/>
      <name val="Arial"/>
      <family val="2"/>
    </font>
    <font>
      <sz val="8"/>
      <name val="Arial"/>
      <family val="2"/>
    </font>
    <font>
      <sz val="10"/>
      <color indexed="53"/>
      <name val="Arial"/>
      <family val="2"/>
    </font>
    <font>
      <i/>
      <sz val="8"/>
      <color indexed="60"/>
      <name val="Arial"/>
      <family val="2"/>
    </font>
    <font>
      <b/>
      <i/>
      <sz val="24"/>
      <color indexed="47"/>
      <name val="Arial"/>
      <family val="2"/>
    </font>
    <font>
      <b/>
      <i/>
      <sz val="20"/>
      <color indexed="47"/>
      <name val="Arial"/>
      <family val="2"/>
    </font>
    <font>
      <b/>
      <sz val="10"/>
      <color indexed="53"/>
      <name val="Arial"/>
      <family val="2"/>
    </font>
    <font>
      <i/>
      <sz val="8"/>
      <color indexed="10"/>
      <name val="Arial"/>
      <family val="2"/>
    </font>
    <font>
      <i/>
      <sz val="7"/>
      <color indexed="60"/>
      <name val="Arial"/>
      <family val="2"/>
    </font>
    <font>
      <b/>
      <i/>
      <sz val="20"/>
      <name val="Arial"/>
      <family val="2"/>
    </font>
    <font>
      <b/>
      <i/>
      <sz val="24"/>
      <name val="Arial"/>
      <family val="2"/>
    </font>
    <font>
      <sz val="10"/>
      <name val="Wingdings"/>
      <charset val="2"/>
    </font>
    <font>
      <b/>
      <sz val="10"/>
      <color indexed="60"/>
      <name val="Arial"/>
      <family val="2"/>
    </font>
    <font>
      <b/>
      <sz val="10"/>
      <color indexed="52"/>
      <name val="Arial Narrow"/>
      <family val="2"/>
    </font>
    <font>
      <i/>
      <sz val="16"/>
      <color indexed="47"/>
      <name val="Verdana"/>
      <family val="2"/>
    </font>
    <font>
      <sz val="6"/>
      <name val="Arial Narrow"/>
      <family val="2"/>
    </font>
    <font>
      <sz val="8"/>
      <name val="Arial"/>
      <family val="2"/>
    </font>
    <font>
      <sz val="8"/>
      <name val="Arial Narrow"/>
      <family val="2"/>
    </font>
    <font>
      <sz val="7"/>
      <color indexed="16"/>
      <name val="Arial Narrow"/>
      <family val="2"/>
    </font>
    <font>
      <sz val="6"/>
      <color indexed="52"/>
      <name val="Arial"/>
      <family val="2"/>
    </font>
    <font>
      <sz val="10"/>
      <name val="Arial Narrow"/>
      <family val="2"/>
    </font>
    <font>
      <sz val="10"/>
      <name val="Arial"/>
      <family val="2"/>
    </font>
    <font>
      <sz val="11"/>
      <name val="Arial"/>
      <family val="2"/>
    </font>
    <font>
      <sz val="12"/>
      <color indexed="60"/>
      <name val="Arial"/>
      <family val="2"/>
    </font>
    <font>
      <b/>
      <sz val="12"/>
      <color indexed="16"/>
      <name val="Arial"/>
      <family val="2"/>
    </font>
    <font>
      <sz val="8"/>
      <color indexed="16"/>
      <name val="Arial Narrow"/>
      <family val="2"/>
    </font>
    <font>
      <b/>
      <sz val="10"/>
      <name val="Arial"/>
      <family val="2"/>
    </font>
    <font>
      <b/>
      <i/>
      <sz val="12"/>
      <color indexed="52"/>
      <name val="Arial"/>
      <family val="2"/>
    </font>
    <font>
      <sz val="9"/>
      <color indexed="16"/>
      <name val="Arial"/>
      <family val="2"/>
    </font>
    <font>
      <b/>
      <sz val="12"/>
      <color indexed="60"/>
      <name val="Arial Narrow"/>
      <family val="2"/>
    </font>
    <font>
      <sz val="12"/>
      <color indexed="60"/>
      <name val="Wingdings"/>
      <charset val="2"/>
    </font>
    <font>
      <sz val="10"/>
      <color indexed="60"/>
      <name val="Wingdings"/>
      <charset val="2"/>
    </font>
    <font>
      <b/>
      <sz val="10"/>
      <color indexed="12"/>
      <name val="Arial"/>
      <family val="2"/>
    </font>
    <font>
      <sz val="36"/>
      <color indexed="47"/>
      <name val="Haettenschweiler"/>
      <family val="2"/>
    </font>
    <font>
      <sz val="8"/>
      <color indexed="52"/>
      <name val="Arial"/>
      <family val="2"/>
    </font>
    <font>
      <sz val="11"/>
      <color indexed="52"/>
      <name val="Arial"/>
      <family val="2"/>
    </font>
    <font>
      <sz val="8"/>
      <color indexed="52"/>
      <name val="Arial"/>
      <family val="2"/>
    </font>
    <font>
      <b/>
      <sz val="8"/>
      <name val="Arial"/>
      <family val="2"/>
    </font>
    <font>
      <b/>
      <sz val="10"/>
      <color indexed="60"/>
      <name val="Arial"/>
      <family val="2"/>
    </font>
    <font>
      <sz val="7"/>
      <name val="Arial"/>
      <family val="2"/>
    </font>
    <font>
      <sz val="10"/>
      <color theme="9" tint="-0.249977111117893"/>
      <name val="Arial"/>
      <family val="2"/>
    </font>
    <font>
      <b/>
      <sz val="10"/>
      <color theme="4" tint="-0.249977111117893"/>
      <name val="Arial"/>
      <family val="2"/>
    </font>
    <font>
      <sz val="10"/>
      <color theme="4" tint="-0.249977111117893"/>
      <name val="Arial"/>
      <family val="2"/>
    </font>
    <font>
      <sz val="10"/>
      <color rgb="FFFFBD5B"/>
      <name val="Arial"/>
      <family val="2"/>
    </font>
    <font>
      <b/>
      <sz val="10"/>
      <color rgb="FF002060"/>
      <name val="Arial"/>
      <family val="2"/>
    </font>
    <font>
      <sz val="8"/>
      <color rgb="FF002060"/>
      <name val="Arial"/>
      <family val="2"/>
    </font>
    <font>
      <b/>
      <u/>
      <sz val="8"/>
      <name val="Arial"/>
      <family val="2"/>
    </font>
    <font>
      <b/>
      <sz val="8"/>
      <color rgb="FFFF0000"/>
      <name val="Arial"/>
      <family val="2"/>
    </font>
    <font>
      <b/>
      <u/>
      <sz val="12"/>
      <color rgb="FF008000"/>
      <name val="Arial Narrow"/>
      <family val="2"/>
    </font>
    <font>
      <sz val="12"/>
      <color rgb="FF008000"/>
      <name val="Arial"/>
      <family val="2"/>
    </font>
    <font>
      <b/>
      <sz val="10"/>
      <color rgb="FF993300"/>
      <name val="Arial"/>
      <family val="2"/>
    </font>
    <font>
      <b/>
      <sz val="8"/>
      <color indexed="52"/>
      <name val="Arial Narrow"/>
      <family val="2"/>
    </font>
    <font>
      <sz val="8"/>
      <color rgb="FFFFCC99"/>
      <name val="Arial"/>
      <family val="2"/>
    </font>
    <font>
      <sz val="8"/>
      <color theme="4" tint="-0.249977111117893"/>
      <name val="Arial"/>
      <family val="2"/>
    </font>
    <font>
      <b/>
      <sz val="10"/>
      <color theme="0"/>
      <name val="Arial"/>
      <family val="2"/>
    </font>
    <font>
      <b/>
      <sz val="8"/>
      <color rgb="FF002060"/>
      <name val="Arial"/>
      <family val="2"/>
    </font>
    <font>
      <sz val="10"/>
      <color rgb="FF002060"/>
      <name val="Arial"/>
      <family val="2"/>
    </font>
    <font>
      <b/>
      <sz val="8"/>
      <color theme="0"/>
      <name val="Arial"/>
      <family val="2"/>
    </font>
    <font>
      <b/>
      <sz val="8"/>
      <color theme="0"/>
      <name val="Arial Narrow"/>
      <family val="2"/>
    </font>
    <font>
      <sz val="8"/>
      <color theme="0"/>
      <name val="Arial"/>
      <family val="2"/>
    </font>
    <font>
      <sz val="10"/>
      <color theme="0"/>
      <name val="Arial"/>
      <family val="2"/>
    </font>
    <font>
      <sz val="30"/>
      <color theme="0"/>
      <name val="Haettenschweiler"/>
      <family val="2"/>
    </font>
    <font>
      <b/>
      <i/>
      <sz val="8"/>
      <color rgb="FF002060"/>
      <name val="Arial"/>
      <family val="2"/>
    </font>
    <font>
      <sz val="9"/>
      <color rgb="FF002060"/>
      <name val="Arial"/>
      <family val="2"/>
    </font>
    <font>
      <b/>
      <sz val="9"/>
      <color rgb="FF002060"/>
      <name val="Arial"/>
      <family val="2"/>
    </font>
    <font>
      <sz val="9"/>
      <color rgb="FF002060"/>
      <name val="Arial Narrow"/>
      <family val="2"/>
    </font>
    <font>
      <b/>
      <sz val="8"/>
      <color rgb="FF002060"/>
      <name val="Arial Narrow"/>
      <family val="2"/>
    </font>
    <font>
      <sz val="7"/>
      <color rgb="FF002060"/>
      <name val="Arial"/>
      <family val="2"/>
    </font>
    <font>
      <i/>
      <sz val="10"/>
      <color rgb="FF002060"/>
      <name val="Arial"/>
      <family val="2"/>
    </font>
    <font>
      <i/>
      <sz val="8"/>
      <color rgb="FF002060"/>
      <name val="Arial"/>
      <family val="2"/>
    </font>
    <font>
      <i/>
      <sz val="8"/>
      <color rgb="FF002060"/>
      <name val="Arial Narrow"/>
      <family val="2"/>
    </font>
    <font>
      <b/>
      <sz val="9"/>
      <color rgb="FF002060"/>
      <name val="Arial Narrow"/>
      <family val="2"/>
    </font>
    <font>
      <sz val="9"/>
      <name val="Arial"/>
      <family val="2"/>
    </font>
    <font>
      <b/>
      <sz val="10"/>
      <color rgb="FF00B050"/>
      <name val="Arial"/>
      <family val="2"/>
    </font>
    <font>
      <b/>
      <u/>
      <sz val="10"/>
      <name val="Arial"/>
      <family val="2"/>
    </font>
    <font>
      <sz val="10"/>
      <color rgb="FF0070C0"/>
      <name val="Arial"/>
      <family val="2"/>
    </font>
    <font>
      <b/>
      <u/>
      <sz val="10"/>
      <color rgb="FF0070C0"/>
      <name val="Arial"/>
      <family val="2"/>
    </font>
    <font>
      <b/>
      <sz val="11"/>
      <color theme="1"/>
      <name val="Calibri"/>
      <family val="2"/>
      <scheme val="minor"/>
    </font>
    <font>
      <sz val="7"/>
      <color rgb="FF002060"/>
      <name val="Arial Narrow"/>
      <family val="2"/>
    </font>
    <font>
      <sz val="10"/>
      <color theme="0" tint="-0.249977111117893"/>
      <name val="Arial"/>
      <family val="2"/>
    </font>
    <font>
      <sz val="8"/>
      <color theme="0" tint="-0.249977111117893"/>
      <name val="Arial Narrow"/>
      <family val="2"/>
    </font>
    <font>
      <b/>
      <sz val="8"/>
      <color theme="0" tint="-0.249977111117893"/>
      <name val="Wingdings"/>
      <charset val="2"/>
    </font>
    <font>
      <sz val="20"/>
      <color theme="2" tint="-9.9978637043366805E-2"/>
      <name val="Arial"/>
      <family val="2"/>
    </font>
    <font>
      <b/>
      <sz val="24"/>
      <color theme="2" tint="-9.9978637043366805E-2"/>
      <name val="Arial"/>
      <family val="2"/>
    </font>
    <font>
      <sz val="8"/>
      <color rgb="FF002060"/>
      <name val="Arial Narrow"/>
      <family val="2"/>
    </font>
    <font>
      <sz val="8"/>
      <color theme="0" tint="-0.249977111117893"/>
      <name val="Arial"/>
      <family val="2"/>
    </font>
    <font>
      <sz val="9"/>
      <name val="Arial Narrow"/>
      <family val="2"/>
    </font>
    <font>
      <sz val="8"/>
      <color theme="1" tint="0.249977111117893"/>
      <name val="Arial Narrow"/>
      <family val="2"/>
    </font>
    <font>
      <sz val="8"/>
      <color theme="1" tint="0.249977111117893"/>
      <name val="Arial"/>
      <family val="2"/>
    </font>
    <font>
      <sz val="9"/>
      <color theme="1" tint="0.249977111117893"/>
      <name val="Arial Narrow"/>
      <family val="2"/>
    </font>
    <font>
      <sz val="9"/>
      <color theme="1" tint="0.249977111117893"/>
      <name val="Arial"/>
      <family val="2"/>
    </font>
    <font>
      <b/>
      <sz val="9"/>
      <color theme="0"/>
      <name val="Arial"/>
      <family val="2"/>
    </font>
    <font>
      <sz val="9"/>
      <color indexed="60"/>
      <name val="Arial Narrow"/>
      <family val="2"/>
    </font>
    <font>
      <b/>
      <i/>
      <sz val="14"/>
      <color rgb="FF0070C0"/>
      <name val="Arial"/>
      <family val="2"/>
    </font>
    <font>
      <b/>
      <sz val="12"/>
      <color rgb="FF993300"/>
      <name val="Arial"/>
      <family val="2"/>
    </font>
    <font>
      <sz val="9"/>
      <color theme="1" tint="0.34998626667073579"/>
      <name val="Arial Narrow"/>
      <family val="2"/>
    </font>
    <font>
      <sz val="17"/>
      <color rgb="FF002060"/>
      <name val="Impact"/>
      <family val="2"/>
    </font>
    <font>
      <sz val="19"/>
      <color rgb="FFC00000"/>
      <name val="Haettenschweiler"/>
      <family val="2"/>
    </font>
    <font>
      <sz val="19"/>
      <color rgb="FF002060"/>
      <name val="Haettenschweiler"/>
      <family val="2"/>
    </font>
    <font>
      <sz val="19"/>
      <color rgb="FFFF0000"/>
      <name val="Haettenschweiler"/>
      <family val="2"/>
    </font>
    <font>
      <b/>
      <sz val="10"/>
      <color rgb="FFFFC000"/>
      <name val="Arial"/>
      <family val="2"/>
    </font>
    <font>
      <sz val="14"/>
      <color theme="1" tint="0.34998626667073579"/>
      <name val="Arial"/>
      <family val="2"/>
    </font>
    <font>
      <b/>
      <sz val="7"/>
      <color rgb="FF002060"/>
      <name val="Arial"/>
      <family val="2"/>
    </font>
    <font>
      <b/>
      <sz val="11"/>
      <name val="Arial"/>
      <family val="2"/>
    </font>
    <font>
      <sz val="10"/>
      <color theme="1" tint="0.34998626667073579"/>
      <name val="Arial"/>
      <family val="2"/>
    </font>
    <font>
      <b/>
      <sz val="11"/>
      <color theme="1" tint="0.34998626667073579"/>
      <name val="Arial"/>
      <family val="2"/>
    </font>
    <font>
      <b/>
      <sz val="8"/>
      <color rgb="FF0070C0"/>
      <name val="Arial"/>
      <family val="2"/>
    </font>
    <font>
      <sz val="9"/>
      <color theme="1" tint="0.499984740745262"/>
      <name val="Arial Narrow"/>
      <family val="2"/>
    </font>
    <font>
      <sz val="9"/>
      <color theme="1" tint="0.499984740745262"/>
      <name val="Arial"/>
      <family val="2"/>
    </font>
    <font>
      <sz val="8"/>
      <color theme="1" tint="0.499984740745262"/>
      <name val="Arial"/>
      <family val="2"/>
    </font>
    <font>
      <b/>
      <sz val="14"/>
      <color rgb="FF002060"/>
      <name val="Arial"/>
      <family val="2"/>
    </font>
    <font>
      <sz val="7"/>
      <color theme="0"/>
      <name val="Arial"/>
      <family val="2"/>
    </font>
    <font>
      <sz val="7"/>
      <color theme="4" tint="-0.249977111117893"/>
      <name val="Arial"/>
      <family val="2"/>
    </font>
    <font>
      <b/>
      <sz val="7"/>
      <color rgb="FFFF0000"/>
      <name val="Arial"/>
      <family val="2"/>
    </font>
    <font>
      <sz val="7"/>
      <color indexed="53"/>
      <name val="Arial"/>
      <family val="2"/>
    </font>
    <font>
      <sz val="30"/>
      <color rgb="FF00B0F0"/>
      <name val="Haettenschweiler"/>
      <family val="2"/>
    </font>
    <font>
      <b/>
      <sz val="22"/>
      <color theme="9"/>
      <name val="Arial"/>
      <family val="2"/>
    </font>
    <font>
      <b/>
      <sz val="16"/>
      <color theme="9"/>
      <name val="Arial"/>
      <family val="2"/>
    </font>
    <font>
      <b/>
      <sz val="8"/>
      <color theme="1" tint="0.14999847407452621"/>
      <name val="Arial"/>
      <family val="2"/>
    </font>
    <font>
      <b/>
      <sz val="6.5"/>
      <color rgb="FF002060"/>
      <name val="Arial"/>
      <family val="2"/>
    </font>
    <font>
      <sz val="6.5"/>
      <color rgb="FF002060"/>
      <name val="Arial"/>
      <family val="2"/>
    </font>
    <font>
      <sz val="6.5"/>
      <name val="Arial"/>
      <family val="2"/>
    </font>
    <font>
      <b/>
      <sz val="6.5"/>
      <color rgb="FF008000"/>
      <name val="Arial"/>
      <family val="2"/>
    </font>
    <font>
      <b/>
      <sz val="6.5"/>
      <color rgb="FFFF0000"/>
      <name val="Arial"/>
      <family val="2"/>
    </font>
    <font>
      <sz val="6.5"/>
      <color rgb="FFFF0000"/>
      <name val="Arial"/>
      <family val="2"/>
    </font>
    <font>
      <u/>
      <sz val="6.5"/>
      <color rgb="FF002060"/>
      <name val="Arial"/>
      <family val="2"/>
    </font>
    <font>
      <b/>
      <u/>
      <sz val="6.5"/>
      <color rgb="FFFF0000"/>
      <name val="Arial"/>
      <family val="2"/>
    </font>
    <font>
      <b/>
      <sz val="6.5"/>
      <color rgb="FF006600"/>
      <name val="Arial"/>
      <family val="2"/>
    </font>
    <font>
      <b/>
      <sz val="11"/>
      <color rgb="FFFF0000"/>
      <name val="Arial"/>
      <family val="2"/>
    </font>
    <font>
      <b/>
      <sz val="8"/>
      <color theme="0" tint="-0.249977111117893"/>
      <name val="Arial Narrow"/>
      <family val="2"/>
    </font>
    <font>
      <sz val="9"/>
      <color theme="1" tint="0.34998626667073579"/>
      <name val="Arial"/>
      <family val="2"/>
    </font>
    <font>
      <sz val="10"/>
      <color rgb="FFFF0000"/>
      <name val="Arial"/>
      <family val="2"/>
    </font>
    <font>
      <sz val="8"/>
      <color rgb="FFFF0000"/>
      <name val="Arial"/>
      <family val="2"/>
    </font>
    <font>
      <sz val="10"/>
      <name val="Symbol"/>
      <family val="1"/>
      <charset val="2"/>
    </font>
    <font>
      <sz val="9"/>
      <color indexed="56"/>
      <name val="Arial Narrow"/>
      <family val="2"/>
    </font>
    <font>
      <sz val="8"/>
      <color theme="0" tint="-0.249977111117893"/>
      <name val="Wingdings"/>
      <charset val="2"/>
    </font>
    <font>
      <b/>
      <sz val="11"/>
      <color rgb="FF002060"/>
      <name val="Arial Narrow"/>
      <family val="2"/>
    </font>
    <font>
      <b/>
      <sz val="9"/>
      <color theme="1" tint="0.14999847407452621"/>
      <name val="Arial"/>
      <family val="2"/>
    </font>
    <font>
      <b/>
      <sz val="10"/>
      <color rgb="FFFF0000"/>
      <name val="Arial"/>
      <family val="2"/>
    </font>
    <font>
      <sz val="10"/>
      <color rgb="FF008A3E"/>
      <name val="Arial"/>
      <family val="2"/>
    </font>
    <font>
      <sz val="30"/>
      <color theme="3" tint="0.39997558519241921"/>
      <name val="Haettenschweiler"/>
      <family val="2"/>
    </font>
    <font>
      <sz val="10"/>
      <name val="Arial"/>
      <family val="2"/>
    </font>
    <font>
      <sz val="20"/>
      <color indexed="47"/>
      <name val="Haettenschweiler"/>
      <family val="2"/>
    </font>
    <font>
      <sz val="16"/>
      <color theme="1" tint="0.499984740745262"/>
      <name val="Haettenschweiler"/>
      <family val="2"/>
    </font>
    <font>
      <b/>
      <i/>
      <sz val="10"/>
      <color theme="1" tint="0.249977111117893"/>
      <name val="Arial"/>
      <family val="2"/>
    </font>
    <font>
      <b/>
      <sz val="8"/>
      <color theme="0" tint="-0.249977111117893"/>
      <name val="Arial"/>
      <family val="2"/>
    </font>
    <font>
      <b/>
      <sz val="7"/>
      <color theme="0"/>
      <name val="Arial"/>
      <family val="2"/>
    </font>
    <font>
      <b/>
      <sz val="10"/>
      <color theme="0" tint="-0.249977111117893"/>
      <name val="Arial"/>
      <family val="2"/>
    </font>
  </fonts>
  <fills count="1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tint="0.14999847407452621"/>
        <bgColor indexed="64"/>
      </patternFill>
    </fill>
    <fill>
      <patternFill patternType="solid">
        <fgColor theme="1" tint="0.14999847407452621"/>
        <bgColor indexed="52"/>
      </patternFill>
    </fill>
    <fill>
      <patternFill patternType="solid">
        <fgColor theme="0" tint="-0.14999847407452621"/>
        <bgColor indexed="64"/>
      </patternFill>
    </fill>
    <fill>
      <patternFill patternType="solid">
        <fgColor rgb="FF92D050"/>
        <bgColor indexed="64"/>
      </patternFill>
    </fill>
    <fill>
      <patternFill patternType="solid">
        <fgColor theme="0" tint="-0.14996795556505021"/>
        <bgColor indexed="64"/>
      </patternFill>
    </fill>
    <fill>
      <patternFill patternType="solid">
        <fgColor theme="0" tint="-0.249977111117893"/>
        <bgColor indexed="52"/>
      </patternFill>
    </fill>
    <fill>
      <patternFill patternType="solid">
        <fgColor theme="1" tint="0.34998626667073579"/>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theme="9" tint="0.39997558519241921"/>
        <bgColor indexed="64"/>
      </patternFill>
    </fill>
  </fills>
  <borders count="113">
    <border>
      <left/>
      <right/>
      <top/>
      <bottom/>
      <diagonal/>
    </border>
    <border>
      <left/>
      <right/>
      <top style="thin">
        <color indexed="52"/>
      </top>
      <bottom style="thin">
        <color indexed="52"/>
      </bottom>
      <diagonal/>
    </border>
    <border>
      <left/>
      <right/>
      <top/>
      <bottom style="thin">
        <color indexed="52"/>
      </bottom>
      <diagonal/>
    </border>
    <border>
      <left/>
      <right/>
      <top style="thin">
        <color indexed="52"/>
      </top>
      <bottom/>
      <diagonal/>
    </border>
    <border>
      <left/>
      <right style="thin">
        <color indexed="52"/>
      </right>
      <top style="thin">
        <color indexed="52"/>
      </top>
      <bottom style="thin">
        <color indexed="52"/>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bottom style="thin">
        <color indexed="53"/>
      </bottom>
      <diagonal/>
    </border>
    <border>
      <left style="thin">
        <color indexed="53"/>
      </left>
      <right style="thin">
        <color indexed="53"/>
      </right>
      <top style="thin">
        <color indexed="53"/>
      </top>
      <bottom/>
      <diagonal/>
    </border>
    <border>
      <left style="thin">
        <color indexed="53"/>
      </left>
      <right style="thin">
        <color indexed="53"/>
      </right>
      <top/>
      <bottom style="thin">
        <color indexed="53"/>
      </bottom>
      <diagonal/>
    </border>
    <border>
      <left style="thin">
        <color theme="0"/>
      </left>
      <right/>
      <top style="thin">
        <color theme="0"/>
      </top>
      <bottom/>
      <diagonal/>
    </border>
    <border>
      <left/>
      <right/>
      <top style="thin">
        <color theme="0"/>
      </top>
      <bottom/>
      <diagonal/>
    </border>
    <border>
      <left style="thin">
        <color indexed="53"/>
      </left>
      <right/>
      <top style="thin">
        <color indexed="53"/>
      </top>
      <bottom style="thin">
        <color indexed="53"/>
      </bottom>
      <diagonal/>
    </border>
    <border>
      <left/>
      <right/>
      <top style="thin">
        <color indexed="53"/>
      </top>
      <bottom style="thin">
        <color indexed="53"/>
      </bottom>
      <diagonal/>
    </border>
    <border>
      <left/>
      <right style="thin">
        <color indexed="53"/>
      </right>
      <top style="thin">
        <color indexed="53"/>
      </top>
      <bottom style="thin">
        <color indexed="53"/>
      </bottom>
      <diagonal/>
    </border>
    <border>
      <left style="thin">
        <color rgb="FF00B0F0"/>
      </left>
      <right/>
      <top style="thin">
        <color rgb="FF00B0F0"/>
      </top>
      <bottom style="thin">
        <color theme="0"/>
      </bottom>
      <diagonal/>
    </border>
    <border>
      <left/>
      <right/>
      <top style="thin">
        <color rgb="FF00B0F0"/>
      </top>
      <bottom style="thin">
        <color theme="0"/>
      </bottom>
      <diagonal/>
    </border>
    <border>
      <left/>
      <right style="thin">
        <color theme="0"/>
      </right>
      <top style="thin">
        <color rgb="FF00B0F0"/>
      </top>
      <bottom style="thin">
        <color theme="0"/>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style="thin">
        <color theme="1"/>
      </left>
      <right style="thin">
        <color theme="0"/>
      </right>
      <top style="thin">
        <color theme="1"/>
      </top>
      <bottom style="thin">
        <color theme="0"/>
      </bottom>
      <diagonal/>
    </border>
    <border>
      <left style="thin">
        <color theme="1"/>
      </left>
      <right/>
      <top style="thin">
        <color theme="1"/>
      </top>
      <bottom style="thin">
        <color theme="0"/>
      </bottom>
      <diagonal/>
    </border>
    <border>
      <left/>
      <right/>
      <top style="thin">
        <color theme="1"/>
      </top>
      <bottom style="thin">
        <color theme="0"/>
      </bottom>
      <diagonal/>
    </border>
    <border>
      <left/>
      <right style="thin">
        <color theme="0"/>
      </right>
      <top style="thin">
        <color theme="1"/>
      </top>
      <bottom style="thin">
        <color theme="0"/>
      </bottom>
      <diagonal/>
    </border>
    <border>
      <left style="thin">
        <color theme="1"/>
      </left>
      <right/>
      <top style="thin">
        <color theme="1"/>
      </top>
      <bottom/>
      <diagonal/>
    </border>
    <border>
      <left/>
      <right/>
      <top style="thin">
        <color theme="1"/>
      </top>
      <bottom/>
      <diagonal/>
    </border>
    <border>
      <left/>
      <right style="thin">
        <color theme="0"/>
      </right>
      <top style="thin">
        <color theme="1"/>
      </top>
      <bottom/>
      <diagonal/>
    </border>
    <border>
      <left style="thin">
        <color theme="1"/>
      </left>
      <right/>
      <top/>
      <bottom/>
      <diagonal/>
    </border>
    <border>
      <left style="thin">
        <color theme="1"/>
      </left>
      <right/>
      <top/>
      <bottom style="thin">
        <color theme="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1" tint="0.499984740745262"/>
      </left>
      <right style="thin">
        <color indexed="52"/>
      </right>
      <top style="thin">
        <color theme="1" tint="0.499984740745262"/>
      </top>
      <bottom style="thin">
        <color theme="0" tint="-4.9989318521683403E-2"/>
      </bottom>
      <diagonal/>
    </border>
    <border>
      <left style="thin">
        <color indexed="52"/>
      </left>
      <right style="thin">
        <color indexed="52"/>
      </right>
      <top style="thin">
        <color theme="1" tint="0.499984740745262"/>
      </top>
      <bottom style="thin">
        <color theme="0" tint="-4.9989318521683403E-2"/>
      </bottom>
      <diagonal/>
    </border>
    <border>
      <left style="thin">
        <color indexed="52"/>
      </left>
      <right/>
      <top style="thin">
        <color theme="1" tint="0.499984740745262"/>
      </top>
      <bottom style="thin">
        <color theme="0" tint="-4.9989318521683403E-2"/>
      </bottom>
      <diagonal/>
    </border>
    <border>
      <left/>
      <right/>
      <top style="thin">
        <color theme="1" tint="0.499984740745262"/>
      </top>
      <bottom style="thin">
        <color theme="0" tint="-4.9989318521683403E-2"/>
      </bottom>
      <diagonal/>
    </border>
    <border>
      <left/>
      <right style="thin">
        <color theme="9" tint="0.79998168889431442"/>
      </right>
      <top style="thin">
        <color theme="1" tint="0.499984740745262"/>
      </top>
      <bottom style="thin">
        <color theme="0" tint="-4.9989318521683403E-2"/>
      </bottom>
      <diagonal/>
    </border>
    <border>
      <left style="thin">
        <color theme="1" tint="0.499984740745262"/>
      </left>
      <right style="thin">
        <color indexed="52"/>
      </right>
      <top style="thin">
        <color theme="0" tint="-4.9989318521683403E-2"/>
      </top>
      <bottom style="thin">
        <color theme="0" tint="-4.9989318521683403E-2"/>
      </bottom>
      <diagonal/>
    </border>
    <border>
      <left style="thin">
        <color indexed="52"/>
      </left>
      <right style="thin">
        <color indexed="52"/>
      </right>
      <top style="thin">
        <color theme="0" tint="-4.9989318521683403E-2"/>
      </top>
      <bottom style="thin">
        <color theme="0" tint="-4.9989318521683403E-2"/>
      </bottom>
      <diagonal/>
    </border>
    <border>
      <left style="thin">
        <color indexed="5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9" tint="0.79998168889431442"/>
      </right>
      <top style="thin">
        <color theme="0" tint="-4.9989318521683403E-2"/>
      </top>
      <bottom style="thin">
        <color theme="0" tint="-4.9989318521683403E-2"/>
      </bottom>
      <diagonal/>
    </border>
    <border>
      <left style="thin">
        <color theme="1" tint="0.499984740745262"/>
      </left>
      <right style="thin">
        <color indexed="52"/>
      </right>
      <top style="thin">
        <color theme="0" tint="-4.9989318521683403E-2"/>
      </top>
      <bottom style="thin">
        <color theme="9" tint="0.79998168889431442"/>
      </bottom>
      <diagonal/>
    </border>
    <border>
      <left style="thin">
        <color indexed="52"/>
      </left>
      <right style="thin">
        <color indexed="52"/>
      </right>
      <top style="thin">
        <color theme="0" tint="-4.9989318521683403E-2"/>
      </top>
      <bottom style="thin">
        <color theme="9" tint="0.79998168889431442"/>
      </bottom>
      <diagonal/>
    </border>
    <border>
      <left style="thin">
        <color indexed="52"/>
      </left>
      <right/>
      <top style="thin">
        <color theme="0" tint="-4.9989318521683403E-2"/>
      </top>
      <bottom style="thin">
        <color theme="9" tint="0.79998168889431442"/>
      </bottom>
      <diagonal/>
    </border>
    <border>
      <left/>
      <right/>
      <top style="thin">
        <color theme="0" tint="-4.9989318521683403E-2"/>
      </top>
      <bottom style="thin">
        <color theme="9" tint="0.79998168889431442"/>
      </bottom>
      <diagonal/>
    </border>
    <border>
      <left style="thin">
        <color theme="9" tint="0.79998168889431442"/>
      </left>
      <right/>
      <top style="thin">
        <color theme="9" tint="0.79998168889431442"/>
      </top>
      <bottom style="thin">
        <color theme="1" tint="0.499984740745262"/>
      </bottom>
      <diagonal/>
    </border>
    <border>
      <left/>
      <right/>
      <top style="thin">
        <color theme="9" tint="0.79998168889431442"/>
      </top>
      <bottom style="thin">
        <color theme="1" tint="0.499984740745262"/>
      </bottom>
      <diagonal/>
    </border>
    <border>
      <left/>
      <right style="thin">
        <color theme="1" tint="0.499984740745262"/>
      </right>
      <top style="thin">
        <color theme="9" tint="0.79998168889431442"/>
      </top>
      <bottom style="thin">
        <color theme="1" tint="0.499984740745262"/>
      </bottom>
      <diagonal/>
    </border>
    <border>
      <left/>
      <right style="thin">
        <color theme="1" tint="0.499984740745262"/>
      </right>
      <top style="thin">
        <color theme="0"/>
      </top>
      <bottom/>
      <diagonal/>
    </border>
    <border>
      <left style="thin">
        <color theme="0"/>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0" tint="-4.9989318521683403E-2"/>
      </bottom>
      <diagonal/>
    </border>
    <border>
      <left/>
      <right style="thin">
        <color theme="0"/>
      </right>
      <top style="thin">
        <color theme="1" tint="0.499984740745262"/>
      </top>
      <bottom style="thin">
        <color theme="0" tint="-4.9989318521683403E-2"/>
      </bottom>
      <diagonal/>
    </border>
    <border>
      <left style="thin">
        <color theme="1" tint="0.499984740745262"/>
      </left>
      <right/>
      <top style="thin">
        <color theme="0" tint="-4.9989318521683403E-2"/>
      </top>
      <bottom style="thin">
        <color theme="0" tint="-4.9989318521683403E-2"/>
      </bottom>
      <diagonal/>
    </border>
    <border>
      <left/>
      <right style="thin">
        <color theme="0"/>
      </right>
      <top style="thin">
        <color theme="0" tint="-4.9989318521683403E-2"/>
      </top>
      <bottom style="thin">
        <color theme="0" tint="-4.9989318521683403E-2"/>
      </bottom>
      <diagonal/>
    </border>
    <border>
      <left style="thin">
        <color theme="1" tint="0.499984740745262"/>
      </left>
      <right/>
      <top style="thin">
        <color theme="0" tint="-4.9989318521683403E-2"/>
      </top>
      <bottom style="thin">
        <color theme="0"/>
      </bottom>
      <diagonal/>
    </border>
    <border>
      <left/>
      <right/>
      <top style="thin">
        <color theme="0" tint="-4.9989318521683403E-2"/>
      </top>
      <bottom style="thin">
        <color theme="0"/>
      </bottom>
      <diagonal/>
    </border>
    <border>
      <left/>
      <right style="thin">
        <color theme="0"/>
      </right>
      <top style="thin">
        <color theme="0" tint="-4.9989318521683403E-2"/>
      </top>
      <bottom style="thin">
        <color theme="0"/>
      </bottom>
      <diagonal/>
    </border>
    <border>
      <left/>
      <right/>
      <top/>
      <bottom style="thin">
        <color theme="0" tint="-0.14996795556505021"/>
      </bottom>
      <diagonal/>
    </border>
    <border>
      <left/>
      <right style="thin">
        <color theme="0" tint="-0.14996795556505021"/>
      </right>
      <top/>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3743705557422"/>
      </bottom>
      <diagonal/>
    </border>
    <border>
      <left style="thin">
        <color theme="0" tint="-4.9989318521683403E-2"/>
      </left>
      <right/>
      <top style="thin">
        <color theme="0" tint="-4.9989318521683403E-2"/>
      </top>
      <bottom style="thin">
        <color theme="1" tint="0.499984740745262"/>
      </bottom>
      <diagonal/>
    </border>
    <border>
      <left/>
      <right/>
      <top style="thin">
        <color theme="0" tint="-4.9989318521683403E-2"/>
      </top>
      <bottom style="thin">
        <color theme="1" tint="0.499984740745262"/>
      </bottom>
      <diagonal/>
    </border>
    <border>
      <left/>
      <right style="thin">
        <color theme="1" tint="0.499984740745262"/>
      </right>
      <top style="thin">
        <color theme="0" tint="-4.9989318521683403E-2"/>
      </top>
      <bottom style="thin">
        <color theme="1" tint="0.499984740745262"/>
      </bottom>
      <diagonal/>
    </border>
    <border>
      <left/>
      <right style="thin">
        <color theme="0" tint="-0.14996795556505021"/>
      </right>
      <top/>
      <bottom style="thin">
        <color theme="0" tint="-4.9989318521683403E-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34998626667073579"/>
      </left>
      <right style="thin">
        <color theme="9" tint="0.79998168889431442"/>
      </right>
      <top style="thin">
        <color theme="1" tint="0.34998626667073579"/>
      </top>
      <bottom style="thin">
        <color theme="9" tint="0.79998168889431442"/>
      </bottom>
      <diagonal/>
    </border>
    <border>
      <left style="thin">
        <color theme="1" tint="0.34998626667073579"/>
      </left>
      <right style="thin">
        <color indexed="52"/>
      </right>
      <top style="thin">
        <color theme="1" tint="0.34998626667073579"/>
      </top>
      <bottom style="thin">
        <color theme="9" tint="0.79998168889431442"/>
      </bottom>
      <diagonal/>
    </border>
    <border>
      <left style="thin">
        <color indexed="52"/>
      </left>
      <right style="thin">
        <color theme="9" tint="0.79998168889431442"/>
      </right>
      <top style="thin">
        <color theme="1" tint="0.34998626667073579"/>
      </top>
      <bottom style="thin">
        <color theme="9" tint="0.79998168889431442"/>
      </bottom>
      <diagonal/>
    </border>
    <border>
      <left style="thin">
        <color theme="0" tint="-0.14996795556505021"/>
      </left>
      <right style="thin">
        <color theme="0" tint="-0.14996795556505021"/>
      </right>
      <top/>
      <bottom style="thin">
        <color theme="0" tint="-4.9989318521683403E-2"/>
      </bottom>
      <diagonal/>
    </border>
    <border>
      <left style="thin">
        <color theme="0" tint="-0.14996795556505021"/>
      </left>
      <right/>
      <top style="thin">
        <color theme="1" tint="0.499984740745262"/>
      </top>
      <bottom/>
      <diagonal/>
    </border>
    <border>
      <left style="thin">
        <color theme="0" tint="-0.14996795556505021"/>
      </left>
      <right/>
      <top/>
      <bottom/>
      <diagonal/>
    </border>
    <border>
      <left style="thin">
        <color theme="0" tint="-0.14996795556505021"/>
      </left>
      <right/>
      <top/>
      <bottom style="thin">
        <color theme="0" tint="-4.9989318521683403E-2"/>
      </bottom>
      <diagonal/>
    </border>
    <border>
      <left style="thin">
        <color theme="0" tint="-4.9989318521683403E-2"/>
      </left>
      <right/>
      <top style="thin">
        <color theme="0" tint="-4.9989318521683403E-2"/>
      </top>
      <bottom style="thin">
        <color theme="1" tint="0.14996795556505021"/>
      </bottom>
      <diagonal/>
    </border>
    <border>
      <left/>
      <right/>
      <top style="thin">
        <color theme="0" tint="-4.9989318521683403E-2"/>
      </top>
      <bottom style="thin">
        <color theme="1" tint="0.14996795556505021"/>
      </bottom>
      <diagonal/>
    </border>
    <border>
      <left/>
      <right style="thin">
        <color theme="1" tint="0.14996795556505021"/>
      </right>
      <top style="thin">
        <color theme="0" tint="-4.9989318521683403E-2"/>
      </top>
      <bottom style="thin">
        <color theme="1" tint="0.14996795556505021"/>
      </bottom>
      <diagonal/>
    </border>
    <border>
      <left/>
      <right style="thin">
        <color theme="0" tint="-4.9989318521683403E-2"/>
      </right>
      <top/>
      <bottom style="thin">
        <color theme="9" tint="0.79998168889431442"/>
      </bottom>
      <diagonal/>
    </border>
    <border>
      <left/>
      <right style="thin">
        <color theme="0" tint="-4.9989318521683403E-2"/>
      </right>
      <top style="thin">
        <color theme="1" tint="0.499984740745262"/>
      </top>
      <bottom style="thin">
        <color theme="1" tint="0.499984740745262"/>
      </bottom>
      <diagonal/>
    </border>
    <border>
      <left/>
      <right style="thin">
        <color theme="0" tint="-4.9989318521683403E-2"/>
      </right>
      <top/>
      <bottom/>
      <diagonal/>
    </border>
    <border>
      <left/>
      <right style="thin">
        <color theme="0" tint="-4.9989318521683403E-2"/>
      </right>
      <top/>
      <bottom style="thin">
        <color theme="1" tint="0.499984740745262"/>
      </bottom>
      <diagonal/>
    </border>
    <border>
      <left style="thin">
        <color theme="4" tint="-0.24994659260841701"/>
      </left>
      <right/>
      <top style="thin">
        <color theme="4" tint="-0.24994659260841701"/>
      </top>
      <bottom/>
      <diagonal/>
    </border>
    <border>
      <left/>
      <right/>
      <top style="thin">
        <color theme="4" tint="-0.24994659260841701"/>
      </top>
      <bottom/>
      <diagonal/>
    </border>
    <border>
      <left/>
      <right style="thin">
        <color theme="0"/>
      </right>
      <top style="thin">
        <color theme="4" tint="-0.24994659260841701"/>
      </top>
      <bottom/>
      <diagonal/>
    </border>
    <border>
      <left style="thin">
        <color theme="4" tint="-0.24994659260841701"/>
      </left>
      <right/>
      <top/>
      <bottom/>
      <diagonal/>
    </border>
    <border>
      <left style="thin">
        <color theme="4" tint="-0.24994659260841701"/>
      </left>
      <right/>
      <top/>
      <bottom style="thin">
        <color theme="0"/>
      </bottom>
      <diagonal/>
    </border>
    <border>
      <left style="thin">
        <color theme="9" tint="0.79998168889431442"/>
      </left>
      <right/>
      <top style="thin">
        <color theme="9" tint="0.79995117038483843"/>
      </top>
      <bottom style="thin">
        <color theme="1" tint="0.499984740745262"/>
      </bottom>
      <diagonal/>
    </border>
    <border>
      <left/>
      <right/>
      <top style="thin">
        <color theme="9" tint="0.79995117038483843"/>
      </top>
      <bottom style="thin">
        <color theme="1" tint="0.499984740745262"/>
      </bottom>
      <diagonal/>
    </border>
    <border>
      <left/>
      <right style="thin">
        <color theme="1" tint="0.499984740745262"/>
      </right>
      <top style="thin">
        <color theme="9" tint="0.79995117038483843"/>
      </top>
      <bottom style="thin">
        <color theme="1" tint="0.499984740745262"/>
      </bottom>
      <diagonal/>
    </border>
    <border>
      <left style="thin">
        <color theme="0" tint="-0.14996795556505021"/>
      </left>
      <right/>
      <top style="thin">
        <color theme="0" tint="-0.14996795556505021"/>
      </top>
      <bottom style="thin">
        <color auto="1"/>
      </bottom>
      <diagonal/>
    </border>
    <border>
      <left/>
      <right/>
      <top style="thin">
        <color theme="0" tint="-0.14996795556505021"/>
      </top>
      <bottom style="thin">
        <color auto="1"/>
      </bottom>
      <diagonal/>
    </border>
    <border>
      <left/>
      <right style="thin">
        <color auto="1"/>
      </right>
      <top style="thin">
        <color theme="0" tint="-0.14996795556505021"/>
      </top>
      <bottom style="thin">
        <color auto="1"/>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style="thin">
        <color theme="0" tint="-0.14996795556505021"/>
      </bottom>
      <diagonal/>
    </border>
    <border>
      <left style="thin">
        <color theme="0" tint="-0.499984740745262"/>
      </left>
      <right style="thin">
        <color theme="0" tint="-0.499984740745262"/>
      </right>
      <top style="thin">
        <color theme="0" tint="-0.14996795556505021"/>
      </top>
      <bottom style="thin">
        <color theme="0" tint="-0.499984740745262"/>
      </bottom>
      <diagonal/>
    </border>
    <border>
      <left style="thin">
        <color indexed="53"/>
      </left>
      <right style="thin">
        <color indexed="53"/>
      </right>
      <top style="thin">
        <color indexed="53"/>
      </top>
      <bottom style="thin">
        <color indexed="53"/>
      </bottom>
      <diagonal/>
    </border>
    <border>
      <left style="thin">
        <color indexed="53"/>
      </left>
      <right/>
      <top/>
      <bottom style="thin">
        <color theme="1" tint="0.24994659260841701"/>
      </bottom>
      <diagonal/>
    </border>
    <border>
      <left/>
      <right style="thin">
        <color indexed="53"/>
      </right>
      <top/>
      <bottom style="thin">
        <color theme="1" tint="0.24994659260841701"/>
      </bottom>
      <diagonal/>
    </border>
  </borders>
  <cellStyleXfs count="3">
    <xf numFmtId="0" fontId="0" fillId="0" borderId="0"/>
    <xf numFmtId="0" fontId="2" fillId="0" borderId="0" applyNumberFormat="0" applyFill="0" applyBorder="0" applyAlignment="0" applyProtection="0">
      <alignment vertical="top"/>
      <protection locked="0"/>
    </xf>
    <xf numFmtId="9" fontId="145" fillId="0" borderId="0" applyFont="0" applyFill="0" applyBorder="0" applyAlignment="0" applyProtection="0"/>
  </cellStyleXfs>
  <cellXfs count="458">
    <xf numFmtId="0" fontId="0" fillId="0" borderId="0" xfId="0"/>
    <xf numFmtId="0" fontId="0" fillId="0" borderId="0" xfId="0" applyAlignment="1">
      <alignment vertical="center"/>
    </xf>
    <xf numFmtId="0" fontId="5" fillId="0" borderId="0" xfId="0" applyFont="1" applyAlignment="1">
      <alignment vertical="center"/>
    </xf>
    <xf numFmtId="0" fontId="5" fillId="0" borderId="10" xfId="0" applyFont="1" applyBorder="1" applyAlignment="1">
      <alignment vertical="center"/>
    </xf>
    <xf numFmtId="0" fontId="5" fillId="0" borderId="0" xfId="0" applyFont="1" applyAlignment="1" applyProtection="1">
      <alignment vertical="center"/>
      <protection hidden="1"/>
    </xf>
    <xf numFmtId="0" fontId="5" fillId="0" borderId="0" xfId="0" applyFont="1" applyAlignment="1" applyProtection="1">
      <alignment horizontal="center" vertical="center"/>
      <protection hidden="1"/>
    </xf>
    <xf numFmtId="0" fontId="5" fillId="0" borderId="0" xfId="0" applyFont="1" applyAlignment="1" applyProtection="1">
      <alignment horizontal="right" vertical="center"/>
      <protection hidden="1"/>
    </xf>
    <xf numFmtId="0" fontId="0" fillId="0" borderId="0" xfId="0" applyAlignment="1" applyProtection="1">
      <alignment vertical="center"/>
      <protection hidden="1"/>
    </xf>
    <xf numFmtId="0" fontId="1" fillId="0" borderId="0" xfId="0" applyFont="1" applyAlignment="1">
      <alignment vertical="center"/>
    </xf>
    <xf numFmtId="0" fontId="1" fillId="0" borderId="0" xfId="0" applyFont="1"/>
    <xf numFmtId="0" fontId="57" fillId="0" borderId="0" xfId="0" applyFont="1" applyAlignment="1">
      <alignment vertical="center"/>
    </xf>
    <xf numFmtId="0" fontId="57" fillId="0" borderId="0" xfId="0" applyFont="1" applyAlignment="1" applyProtection="1">
      <alignment vertical="center"/>
      <protection hidden="1"/>
    </xf>
    <xf numFmtId="0" fontId="63" fillId="0" borderId="0" xfId="0" applyFont="1" applyAlignment="1" applyProtection="1">
      <alignment horizontal="center" vertical="center"/>
      <protection hidden="1"/>
    </xf>
    <xf numFmtId="0" fontId="0" fillId="5" borderId="0" xfId="0" applyFill="1" applyProtection="1">
      <protection hidden="1"/>
    </xf>
    <xf numFmtId="0" fontId="1" fillId="5" borderId="0" xfId="0" applyFont="1" applyFill="1" applyProtection="1">
      <protection hidden="1"/>
    </xf>
    <xf numFmtId="0" fontId="59" fillId="5" borderId="0" xfId="0" applyFont="1" applyFill="1" applyAlignment="1" applyProtection="1">
      <alignment horizontal="right"/>
      <protection hidden="1"/>
    </xf>
    <xf numFmtId="0" fontId="60" fillId="5" borderId="0" xfId="0" applyFont="1" applyFill="1" applyProtection="1">
      <protection hidden="1"/>
    </xf>
    <xf numFmtId="0" fontId="15" fillId="5" borderId="0" xfId="0" applyFont="1" applyFill="1" applyAlignment="1" applyProtection="1">
      <alignment horizontal="right" vertical="center"/>
      <protection hidden="1"/>
    </xf>
    <xf numFmtId="0" fontId="56" fillId="5" borderId="0" xfId="0" applyFont="1" applyFill="1" applyProtection="1">
      <protection hidden="1"/>
    </xf>
    <xf numFmtId="0" fontId="0" fillId="6" borderId="28" xfId="0" applyFill="1" applyBorder="1" applyProtection="1">
      <protection hidden="1"/>
    </xf>
    <xf numFmtId="0" fontId="0" fillId="6" borderId="29" xfId="0" applyFill="1" applyBorder="1" applyProtection="1">
      <protection hidden="1"/>
    </xf>
    <xf numFmtId="0" fontId="0" fillId="6" borderId="30" xfId="0" applyFill="1" applyBorder="1" applyProtection="1">
      <protection hidden="1"/>
    </xf>
    <xf numFmtId="0" fontId="0" fillId="6" borderId="0" xfId="0" applyFill="1" applyProtection="1">
      <protection hidden="1"/>
    </xf>
    <xf numFmtId="0" fontId="0" fillId="6" borderId="21" xfId="0" applyFill="1" applyBorder="1" applyProtection="1">
      <protection hidden="1"/>
    </xf>
    <xf numFmtId="0" fontId="49" fillId="6" borderId="0" xfId="0" applyFont="1" applyFill="1" applyAlignment="1" applyProtection="1">
      <alignment horizontal="left" indent="1"/>
      <protection hidden="1"/>
    </xf>
    <xf numFmtId="0" fontId="59" fillId="6" borderId="31" xfId="0" applyFont="1" applyFill="1" applyBorder="1" applyAlignment="1" applyProtection="1">
      <alignment horizontal="left" indent="1"/>
      <protection hidden="1"/>
    </xf>
    <xf numFmtId="0" fontId="50" fillId="6" borderId="0" xfId="0" applyFont="1" applyFill="1" applyProtection="1">
      <protection hidden="1"/>
    </xf>
    <xf numFmtId="0" fontId="0" fillId="6" borderId="32" xfId="0" applyFill="1" applyBorder="1" applyProtection="1">
      <protection hidden="1"/>
    </xf>
    <xf numFmtId="0" fontId="0" fillId="6" borderId="22" xfId="0" applyFill="1" applyBorder="1" applyProtection="1">
      <protection hidden="1"/>
    </xf>
    <xf numFmtId="0" fontId="0" fillId="6" borderId="23" xfId="0" applyFill="1" applyBorder="1" applyProtection="1">
      <protection hidden="1"/>
    </xf>
    <xf numFmtId="0" fontId="0" fillId="7" borderId="0" xfId="0" applyFill="1" applyProtection="1">
      <protection hidden="1"/>
    </xf>
    <xf numFmtId="0" fontId="18" fillId="7" borderId="0" xfId="0" applyFont="1" applyFill="1" applyAlignment="1">
      <alignment vertical="center"/>
    </xf>
    <xf numFmtId="0" fontId="0" fillId="7" borderId="0" xfId="0" applyFill="1"/>
    <xf numFmtId="0" fontId="18" fillId="7" borderId="0" xfId="0" applyFont="1" applyFill="1" applyAlignment="1">
      <alignment horizontal="center" vertical="center"/>
    </xf>
    <xf numFmtId="0" fontId="0" fillId="0" borderId="0" xfId="0" applyAlignment="1">
      <alignment horizontal="center"/>
    </xf>
    <xf numFmtId="0" fontId="76" fillId="6" borderId="0" xfId="0" applyFont="1" applyFill="1" applyAlignment="1">
      <alignment horizontal="center" vertical="center"/>
    </xf>
    <xf numFmtId="0" fontId="76" fillId="6" borderId="0" xfId="0" applyFont="1" applyFill="1" applyAlignment="1">
      <alignment horizontal="center" vertical="center" wrapText="1"/>
    </xf>
    <xf numFmtId="0" fontId="5" fillId="6" borderId="0" xfId="0" applyFont="1" applyFill="1" applyAlignment="1">
      <alignment horizontal="center"/>
    </xf>
    <xf numFmtId="0" fontId="1" fillId="0" borderId="33" xfId="0" applyFont="1" applyBorder="1" applyAlignment="1">
      <alignment horizontal="center"/>
    </xf>
    <xf numFmtId="0" fontId="0" fillId="0" borderId="34" xfId="0" applyBorder="1"/>
    <xf numFmtId="3" fontId="30" fillId="0" borderId="34" xfId="0" applyNumberFormat="1" applyFont="1" applyBorder="1" applyAlignment="1">
      <alignment horizontal="center"/>
    </xf>
    <xf numFmtId="3" fontId="0" fillId="0" borderId="34" xfId="0" applyNumberFormat="1" applyBorder="1" applyAlignment="1">
      <alignment horizontal="center"/>
    </xf>
    <xf numFmtId="3" fontId="0" fillId="0" borderId="35" xfId="0" applyNumberFormat="1" applyBorder="1" applyAlignment="1">
      <alignment horizontal="center"/>
    </xf>
    <xf numFmtId="0" fontId="1" fillId="0" borderId="36" xfId="0" applyFont="1" applyBorder="1" applyAlignment="1">
      <alignment horizontal="center"/>
    </xf>
    <xf numFmtId="3" fontId="30" fillId="0" borderId="0" xfId="0" applyNumberFormat="1" applyFont="1" applyAlignment="1">
      <alignment horizontal="center"/>
    </xf>
    <xf numFmtId="3" fontId="0" fillId="0" borderId="0" xfId="0" applyNumberFormat="1" applyAlignment="1">
      <alignment horizontal="center"/>
    </xf>
    <xf numFmtId="3" fontId="0" fillId="0" borderId="37" xfId="0" applyNumberFormat="1" applyBorder="1" applyAlignment="1">
      <alignment horizontal="center"/>
    </xf>
    <xf numFmtId="0" fontId="1" fillId="0" borderId="38" xfId="0" applyFont="1" applyBorder="1" applyAlignment="1">
      <alignment horizontal="center"/>
    </xf>
    <xf numFmtId="0" fontId="0" fillId="0" borderId="39" xfId="0" applyBorder="1"/>
    <xf numFmtId="3" fontId="30" fillId="0" borderId="39" xfId="0" applyNumberFormat="1" applyFont="1" applyBorder="1" applyAlignment="1">
      <alignment horizontal="center"/>
    </xf>
    <xf numFmtId="3" fontId="0" fillId="0" borderId="39" xfId="0" applyNumberFormat="1" applyBorder="1" applyAlignment="1">
      <alignment horizontal="center"/>
    </xf>
    <xf numFmtId="3" fontId="0" fillId="0" borderId="40" xfId="0" applyNumberFormat="1" applyBorder="1" applyAlignment="1">
      <alignment horizontal="center"/>
    </xf>
    <xf numFmtId="3" fontId="30" fillId="0" borderId="41" xfId="0" applyNumberFormat="1" applyFont="1" applyBorder="1" applyAlignment="1">
      <alignment horizontal="center"/>
    </xf>
    <xf numFmtId="3" fontId="30" fillId="0" borderId="42" xfId="0" applyNumberFormat="1" applyFont="1" applyBorder="1" applyAlignment="1">
      <alignment horizontal="center"/>
    </xf>
    <xf numFmtId="3" fontId="30" fillId="0" borderId="43" xfId="0" applyNumberFormat="1" applyFont="1" applyBorder="1" applyAlignment="1">
      <alignment horizontal="center"/>
    </xf>
    <xf numFmtId="3" fontId="0" fillId="0" borderId="0" xfId="0" applyNumberFormat="1"/>
    <xf numFmtId="0" fontId="77" fillId="0" borderId="0" xfId="0" applyFont="1" applyAlignment="1">
      <alignment horizontal="center"/>
    </xf>
    <xf numFmtId="0" fontId="77" fillId="0" borderId="0" xfId="0" applyFont="1" applyAlignment="1">
      <alignment horizontal="center" vertical="center"/>
    </xf>
    <xf numFmtId="0" fontId="30" fillId="10" borderId="39" xfId="0" applyFont="1" applyFill="1" applyBorder="1" applyAlignment="1">
      <alignment horizontal="center" vertical="center"/>
    </xf>
    <xf numFmtId="0" fontId="0" fillId="0" borderId="39" xfId="0" applyBorder="1" applyAlignment="1">
      <alignment horizontal="center"/>
    </xf>
    <xf numFmtId="0" fontId="80" fillId="0" borderId="0" xfId="0" applyFont="1" applyAlignment="1">
      <alignment horizontal="center"/>
    </xf>
    <xf numFmtId="3" fontId="0" fillId="2" borderId="34" xfId="0" applyNumberFormat="1" applyFill="1" applyBorder="1" applyAlignment="1">
      <alignment horizontal="center"/>
    </xf>
    <xf numFmtId="3" fontId="0" fillId="2" borderId="0" xfId="0" applyNumberFormat="1" applyFill="1" applyAlignment="1">
      <alignment horizontal="center"/>
    </xf>
    <xf numFmtId="3" fontId="0" fillId="2" borderId="39" xfId="0" applyNumberFormat="1" applyFill="1" applyBorder="1" applyAlignment="1">
      <alignment horizontal="center"/>
    </xf>
    <xf numFmtId="0" fontId="30" fillId="0" borderId="0" xfId="0" applyFont="1" applyAlignment="1">
      <alignment horizontal="center"/>
    </xf>
    <xf numFmtId="0" fontId="37" fillId="7" borderId="0" xfId="0" applyFont="1" applyFill="1" applyAlignment="1">
      <alignment vertical="center"/>
    </xf>
    <xf numFmtId="0" fontId="0" fillId="7" borderId="0" xfId="0" applyFill="1" applyAlignment="1">
      <alignment vertical="center"/>
    </xf>
    <xf numFmtId="0" fontId="81" fillId="2" borderId="0" xfId="0" applyFont="1" applyFill="1"/>
    <xf numFmtId="0" fontId="0" fillId="4" borderId="0" xfId="0" applyFill="1"/>
    <xf numFmtId="0" fontId="5" fillId="0" borderId="0" xfId="0" applyFont="1"/>
    <xf numFmtId="0" fontId="81" fillId="2" borderId="0" xfId="0" applyFont="1" applyFill="1" applyAlignment="1">
      <alignment horizontal="center"/>
    </xf>
    <xf numFmtId="0" fontId="0" fillId="5" borderId="0" xfId="0" applyFill="1"/>
    <xf numFmtId="0" fontId="60" fillId="5" borderId="0" xfId="0" applyFont="1" applyFill="1"/>
    <xf numFmtId="0" fontId="15" fillId="5" borderId="0" xfId="0" applyFont="1" applyFill="1" applyAlignment="1">
      <alignment horizontal="right" vertical="center"/>
    </xf>
    <xf numFmtId="0" fontId="0" fillId="5" borderId="0" xfId="0" applyFill="1" applyAlignment="1" applyProtection="1">
      <alignment horizontal="right"/>
      <protection hidden="1"/>
    </xf>
    <xf numFmtId="0" fontId="51" fillId="5" borderId="0" xfId="0" applyFont="1" applyFill="1" applyAlignment="1" applyProtection="1">
      <alignment horizontal="left"/>
      <protection hidden="1"/>
    </xf>
    <xf numFmtId="0" fontId="0" fillId="5" borderId="0" xfId="0" applyFill="1" applyAlignment="1" applyProtection="1">
      <alignment horizontal="center"/>
      <protection hidden="1"/>
    </xf>
    <xf numFmtId="0" fontId="66" fillId="5" borderId="0" xfId="0" applyFont="1" applyFill="1" applyAlignment="1">
      <alignment horizontal="center"/>
    </xf>
    <xf numFmtId="0" fontId="9" fillId="5" borderId="0" xfId="0" applyFont="1" applyFill="1" applyAlignment="1" applyProtection="1">
      <alignment horizontal="center"/>
      <protection hidden="1"/>
    </xf>
    <xf numFmtId="0" fontId="13" fillId="5" borderId="0" xfId="0" applyFont="1" applyFill="1" applyAlignment="1" applyProtection="1">
      <alignment horizontal="center"/>
      <protection hidden="1"/>
    </xf>
    <xf numFmtId="0" fontId="8" fillId="5" borderId="0" xfId="0" applyFont="1" applyFill="1" applyAlignment="1" applyProtection="1">
      <alignment horizontal="center"/>
      <protection hidden="1"/>
    </xf>
    <xf numFmtId="0" fontId="14" fillId="5" borderId="0" xfId="0" applyFont="1" applyFill="1" applyAlignment="1" applyProtection="1">
      <alignment horizontal="center"/>
      <protection hidden="1"/>
    </xf>
    <xf numFmtId="0" fontId="0" fillId="5" borderId="0" xfId="0" applyFill="1" applyAlignment="1" applyProtection="1">
      <alignment horizontal="left"/>
      <protection hidden="1"/>
    </xf>
    <xf numFmtId="0" fontId="12" fillId="5" borderId="0" xfId="0" applyFont="1" applyFill="1" applyAlignment="1" applyProtection="1">
      <alignment horizontal="left"/>
      <protection hidden="1"/>
    </xf>
    <xf numFmtId="20" fontId="0" fillId="5" borderId="0" xfId="0" applyNumberFormat="1" applyFill="1" applyAlignment="1" applyProtection="1">
      <alignment horizontal="center"/>
      <protection hidden="1"/>
    </xf>
    <xf numFmtId="22" fontId="5" fillId="5" borderId="0" xfId="0" applyNumberFormat="1" applyFont="1" applyFill="1" applyAlignment="1" applyProtection="1">
      <alignment horizontal="center"/>
      <protection hidden="1"/>
    </xf>
    <xf numFmtId="0" fontId="6" fillId="5" borderId="0" xfId="0" applyFont="1" applyFill="1" applyAlignment="1" applyProtection="1">
      <alignment horizontal="center"/>
      <protection hidden="1"/>
    </xf>
    <xf numFmtId="20" fontId="0" fillId="5" borderId="0" xfId="0" applyNumberFormat="1" applyFill="1" applyAlignment="1">
      <alignment horizontal="center"/>
    </xf>
    <xf numFmtId="0" fontId="67" fillId="9" borderId="44" xfId="0" applyFont="1" applyFill="1" applyBorder="1" applyAlignment="1" applyProtection="1">
      <alignment horizontal="right" vertical="center"/>
      <protection hidden="1"/>
    </xf>
    <xf numFmtId="0" fontId="67" fillId="9" borderId="49" xfId="0" applyFont="1" applyFill="1" applyBorder="1" applyAlignment="1" applyProtection="1">
      <alignment horizontal="right" vertical="center"/>
      <protection hidden="1"/>
    </xf>
    <xf numFmtId="0" fontId="67" fillId="9" borderId="54" xfId="0" applyFont="1" applyFill="1" applyBorder="1" applyAlignment="1" applyProtection="1">
      <alignment horizontal="right" vertical="center"/>
      <protection hidden="1"/>
    </xf>
    <xf numFmtId="0" fontId="67" fillId="9" borderId="45" xfId="0" applyFont="1" applyFill="1" applyBorder="1" applyAlignment="1" applyProtection="1">
      <alignment horizontal="center" vertical="center"/>
      <protection hidden="1"/>
    </xf>
    <xf numFmtId="0" fontId="67" fillId="9" borderId="50" xfId="0" applyFont="1" applyFill="1" applyBorder="1" applyAlignment="1" applyProtection="1">
      <alignment horizontal="center" vertical="center"/>
      <protection hidden="1"/>
    </xf>
    <xf numFmtId="0" fontId="67" fillId="9" borderId="55" xfId="0" applyFont="1" applyFill="1" applyBorder="1" applyAlignment="1" applyProtection="1">
      <alignment horizontal="center" vertical="center"/>
      <protection hidden="1"/>
    </xf>
    <xf numFmtId="0" fontId="67" fillId="9" borderId="46" xfId="0" applyFont="1" applyFill="1" applyBorder="1" applyAlignment="1" applyProtection="1">
      <alignment vertical="center"/>
      <protection hidden="1"/>
    </xf>
    <xf numFmtId="0" fontId="67" fillId="9" borderId="51" xfId="0" applyFont="1" applyFill="1" applyBorder="1" applyAlignment="1" applyProtection="1">
      <alignment vertical="center"/>
      <protection hidden="1"/>
    </xf>
    <xf numFmtId="0" fontId="67" fillId="9" borderId="56" xfId="0" applyFont="1" applyFill="1" applyBorder="1" applyAlignment="1" applyProtection="1">
      <alignment vertical="center"/>
      <protection hidden="1"/>
    </xf>
    <xf numFmtId="0" fontId="1" fillId="5" borderId="0" xfId="0" applyFont="1" applyFill="1"/>
    <xf numFmtId="0" fontId="47" fillId="5" borderId="0" xfId="0" applyFont="1" applyFill="1"/>
    <xf numFmtId="0" fontId="0" fillId="5" borderId="0" xfId="0" applyFill="1" applyAlignment="1" applyProtection="1">
      <alignment vertical="center"/>
      <protection hidden="1"/>
    </xf>
    <xf numFmtId="0" fontId="7" fillId="5" borderId="0" xfId="0" applyFont="1" applyFill="1" applyProtection="1">
      <protection hidden="1"/>
    </xf>
    <xf numFmtId="0" fontId="23" fillId="5" borderId="0" xfId="0" applyFont="1" applyFill="1" applyProtection="1">
      <protection hidden="1"/>
    </xf>
    <xf numFmtId="0" fontId="47" fillId="5" borderId="0" xfId="0" applyFont="1" applyFill="1" applyProtection="1">
      <protection hidden="1"/>
    </xf>
    <xf numFmtId="0" fontId="71" fillId="5" borderId="0" xfId="0" applyFont="1" applyFill="1" applyAlignment="1" applyProtection="1">
      <alignment horizontal="center"/>
      <protection hidden="1"/>
    </xf>
    <xf numFmtId="0" fontId="11" fillId="5" borderId="0" xfId="0" applyFont="1" applyFill="1" applyAlignment="1" applyProtection="1">
      <alignment horizontal="left" vertical="center"/>
      <protection hidden="1"/>
    </xf>
    <xf numFmtId="0" fontId="3" fillId="5" borderId="0" xfId="0" applyFont="1" applyFill="1" applyAlignment="1" applyProtection="1">
      <alignment vertical="center"/>
      <protection hidden="1"/>
    </xf>
    <xf numFmtId="0" fontId="3" fillId="5" borderId="0" xfId="0" applyFont="1" applyFill="1" applyProtection="1">
      <protection hidden="1"/>
    </xf>
    <xf numFmtId="0" fontId="73" fillId="5" borderId="0" xfId="0" applyFont="1" applyFill="1" applyAlignment="1" applyProtection="1">
      <alignment horizontal="right"/>
      <protection hidden="1"/>
    </xf>
    <xf numFmtId="0" fontId="3" fillId="5" borderId="0" xfId="0" applyFont="1" applyFill="1"/>
    <xf numFmtId="0" fontId="4" fillId="5" borderId="0" xfId="0" applyFont="1" applyFill="1"/>
    <xf numFmtId="0" fontId="72" fillId="5" borderId="0" xfId="0" applyFont="1" applyFill="1" applyProtection="1">
      <protection hidden="1"/>
    </xf>
    <xf numFmtId="0" fontId="83" fillId="5" borderId="0" xfId="0" applyFont="1" applyFill="1" applyAlignment="1" applyProtection="1">
      <alignment horizontal="center"/>
      <protection hidden="1"/>
    </xf>
    <xf numFmtId="0" fontId="84" fillId="5" borderId="0" xfId="0" applyFont="1" applyFill="1" applyAlignment="1" applyProtection="1">
      <alignment horizontal="right" vertical="center"/>
      <protection hidden="1"/>
    </xf>
    <xf numFmtId="0" fontId="0" fillId="9" borderId="1" xfId="0" applyFill="1" applyBorder="1" applyProtection="1">
      <protection hidden="1"/>
    </xf>
    <xf numFmtId="0" fontId="0" fillId="9" borderId="4" xfId="0" applyFill="1" applyBorder="1" applyProtection="1">
      <protection hidden="1"/>
    </xf>
    <xf numFmtId="0" fontId="75" fillId="9" borderId="65" xfId="0" applyFont="1" applyFill="1" applyBorder="1" applyAlignment="1" applyProtection="1">
      <alignment vertical="center"/>
      <protection hidden="1"/>
    </xf>
    <xf numFmtId="0" fontId="67" fillId="9" borderId="47" xfId="0" applyFont="1" applyFill="1" applyBorder="1" applyAlignment="1" applyProtection="1">
      <alignment horizontal="center" vertical="center"/>
      <protection hidden="1"/>
    </xf>
    <xf numFmtId="0" fontId="67" fillId="9" borderId="66" xfId="0" applyFont="1" applyFill="1" applyBorder="1" applyAlignment="1" applyProtection="1">
      <alignment horizontal="center" vertical="center"/>
      <protection hidden="1"/>
    </xf>
    <xf numFmtId="0" fontId="75" fillId="9" borderId="67" xfId="0" applyFont="1" applyFill="1" applyBorder="1" applyAlignment="1" applyProtection="1">
      <alignment vertical="center"/>
      <protection hidden="1"/>
    </xf>
    <xf numFmtId="0" fontId="67" fillId="9" borderId="52" xfId="0" applyFont="1" applyFill="1" applyBorder="1" applyAlignment="1" applyProtection="1">
      <alignment horizontal="center" vertical="center"/>
      <protection hidden="1"/>
    </xf>
    <xf numFmtId="0" fontId="67" fillId="9" borderId="68" xfId="0" applyFont="1" applyFill="1" applyBorder="1" applyAlignment="1" applyProtection="1">
      <alignment horizontal="center" vertical="center"/>
      <protection hidden="1"/>
    </xf>
    <xf numFmtId="0" fontId="69" fillId="9" borderId="67" xfId="0" applyFont="1" applyFill="1" applyBorder="1" applyAlignment="1" applyProtection="1">
      <alignment vertical="center"/>
      <protection hidden="1"/>
    </xf>
    <xf numFmtId="0" fontId="69" fillId="9" borderId="69" xfId="0" applyFont="1" applyFill="1" applyBorder="1" applyAlignment="1" applyProtection="1">
      <alignment vertical="center"/>
      <protection hidden="1"/>
    </xf>
    <xf numFmtId="0" fontId="67" fillId="9" borderId="70" xfId="0" applyFont="1" applyFill="1" applyBorder="1" applyAlignment="1" applyProtection="1">
      <alignment horizontal="center" vertical="center"/>
      <protection hidden="1"/>
    </xf>
    <xf numFmtId="0" fontId="67" fillId="9" borderId="71" xfId="0" applyFont="1" applyFill="1" applyBorder="1" applyAlignment="1" applyProtection="1">
      <alignment horizontal="center" vertical="center"/>
      <protection hidden="1"/>
    </xf>
    <xf numFmtId="0" fontId="60" fillId="5" borderId="0" xfId="0" applyFont="1" applyFill="1" applyAlignment="1" applyProtection="1">
      <alignment vertical="center"/>
      <protection hidden="1"/>
    </xf>
    <xf numFmtId="0" fontId="17" fillId="5" borderId="3" xfId="0" applyFont="1" applyFill="1" applyBorder="1" applyAlignment="1" applyProtection="1">
      <alignment horizontal="center" vertical="center"/>
      <protection hidden="1"/>
    </xf>
    <xf numFmtId="164" fontId="74" fillId="5" borderId="0" xfId="0" applyNumberFormat="1" applyFont="1" applyFill="1" applyAlignment="1" applyProtection="1">
      <alignment horizontal="right"/>
      <protection hidden="1"/>
    </xf>
    <xf numFmtId="20" fontId="73" fillId="5" borderId="0" xfId="0" applyNumberFormat="1" applyFont="1" applyFill="1" applyAlignment="1" applyProtection="1">
      <alignment horizontal="center"/>
      <protection hidden="1"/>
    </xf>
    <xf numFmtId="0" fontId="0" fillId="5" borderId="72" xfId="0" applyFill="1" applyBorder="1" applyProtection="1">
      <protection hidden="1"/>
    </xf>
    <xf numFmtId="0" fontId="0" fillId="5" borderId="73" xfId="0" applyFill="1" applyBorder="1"/>
    <xf numFmtId="0" fontId="0" fillId="5" borderId="73" xfId="0" applyFill="1" applyBorder="1" applyProtection="1">
      <protection hidden="1"/>
    </xf>
    <xf numFmtId="0" fontId="60" fillId="5" borderId="73" xfId="0" applyFont="1" applyFill="1" applyBorder="1" applyAlignment="1" applyProtection="1">
      <alignment vertical="center"/>
      <protection hidden="1"/>
    </xf>
    <xf numFmtId="0" fontId="17" fillId="5" borderId="73" xfId="0" applyFont="1" applyFill="1" applyBorder="1" applyAlignment="1" applyProtection="1">
      <alignment horizontal="center" vertical="center"/>
      <protection hidden="1"/>
    </xf>
    <xf numFmtId="0" fontId="0" fillId="5" borderId="73" xfId="0" applyFill="1" applyBorder="1" applyAlignment="1" applyProtection="1">
      <alignment vertical="center"/>
      <protection hidden="1"/>
    </xf>
    <xf numFmtId="0" fontId="3" fillId="5" borderId="73" xfId="0" applyFont="1" applyFill="1" applyBorder="1" applyAlignment="1" applyProtection="1">
      <alignment vertical="center"/>
      <protection hidden="1"/>
    </xf>
    <xf numFmtId="0" fontId="3" fillId="5" borderId="73" xfId="0" applyFont="1" applyFill="1" applyBorder="1" applyProtection="1">
      <protection hidden="1"/>
    </xf>
    <xf numFmtId="0" fontId="0" fillId="5" borderId="74" xfId="0" applyFill="1" applyBorder="1" applyProtection="1">
      <protection hidden="1"/>
    </xf>
    <xf numFmtId="16" fontId="88" fillId="9" borderId="47" xfId="0" applyNumberFormat="1" applyFont="1" applyFill="1" applyBorder="1" applyAlignment="1" applyProtection="1">
      <alignment horizontal="center" vertical="center"/>
      <protection hidden="1"/>
    </xf>
    <xf numFmtId="16" fontId="88" fillId="9" borderId="52" xfId="0" applyNumberFormat="1" applyFont="1" applyFill="1" applyBorder="1" applyAlignment="1" applyProtection="1">
      <alignment horizontal="center" vertical="center"/>
      <protection hidden="1"/>
    </xf>
    <xf numFmtId="16" fontId="88" fillId="9" borderId="57" xfId="0" applyNumberFormat="1" applyFont="1" applyFill="1" applyBorder="1" applyAlignment="1" applyProtection="1">
      <alignment horizontal="center" vertical="center"/>
      <protection hidden="1"/>
    </xf>
    <xf numFmtId="0" fontId="89" fillId="5" borderId="0" xfId="0" applyFont="1" applyFill="1" applyProtection="1">
      <protection hidden="1"/>
    </xf>
    <xf numFmtId="0" fontId="0" fillId="5" borderId="0" xfId="0" applyFill="1" applyAlignment="1">
      <alignment horizontal="left"/>
    </xf>
    <xf numFmtId="0" fontId="0" fillId="5" borderId="0" xfId="0" applyFill="1" applyAlignment="1">
      <alignment vertical="center"/>
    </xf>
    <xf numFmtId="0" fontId="10" fillId="5" borderId="0" xfId="1" applyFont="1" applyFill="1" applyAlignment="1" applyProtection="1">
      <alignment vertical="center"/>
      <protection hidden="1"/>
    </xf>
    <xf numFmtId="0" fontId="21" fillId="5" borderId="0" xfId="0" applyFont="1" applyFill="1" applyAlignment="1">
      <alignment horizontal="right" vertical="center"/>
    </xf>
    <xf numFmtId="0" fontId="20" fillId="5" borderId="0" xfId="0" applyFont="1" applyFill="1" applyAlignment="1">
      <alignment vertical="center"/>
    </xf>
    <xf numFmtId="0" fontId="5" fillId="5" borderId="0" xfId="0" applyFont="1" applyFill="1" applyAlignment="1">
      <alignment horizontal="center" vertical="center"/>
    </xf>
    <xf numFmtId="0" fontId="20" fillId="5" borderId="0" xfId="0" applyFont="1" applyFill="1" applyAlignment="1">
      <alignment horizontal="center" vertical="center"/>
    </xf>
    <xf numFmtId="0" fontId="82" fillId="5" borderId="2" xfId="0" applyFont="1" applyFill="1" applyBorder="1" applyAlignment="1" applyProtection="1">
      <alignment horizontal="center" vertical="center"/>
      <protection locked="0"/>
    </xf>
    <xf numFmtId="0" fontId="20" fillId="5" borderId="2" xfId="0" applyFont="1" applyFill="1" applyBorder="1" applyAlignment="1">
      <alignment vertical="center"/>
    </xf>
    <xf numFmtId="0" fontId="82" fillId="5" borderId="3" xfId="0" applyFont="1" applyFill="1" applyBorder="1" applyAlignment="1" applyProtection="1">
      <alignment horizontal="center" vertical="center"/>
      <protection locked="0"/>
    </xf>
    <xf numFmtId="0" fontId="20" fillId="5" borderId="3" xfId="0" applyFont="1" applyFill="1" applyBorder="1" applyAlignment="1">
      <alignment vertical="center"/>
    </xf>
    <xf numFmtId="0" fontId="49" fillId="5" borderId="0" xfId="0" applyFont="1" applyFill="1" applyAlignment="1">
      <alignment vertical="center"/>
    </xf>
    <xf numFmtId="0" fontId="1" fillId="5" borderId="0" xfId="0" applyFont="1" applyFill="1" applyAlignment="1">
      <alignment vertical="center"/>
    </xf>
    <xf numFmtId="0" fontId="5" fillId="5" borderId="0" xfId="0" applyFont="1" applyFill="1" applyAlignment="1">
      <alignment vertical="center"/>
    </xf>
    <xf numFmtId="0" fontId="70" fillId="5" borderId="0" xfId="0" applyFont="1" applyFill="1" applyAlignment="1" applyProtection="1">
      <alignment vertical="center"/>
      <protection hidden="1"/>
    </xf>
    <xf numFmtId="0" fontId="83" fillId="5" borderId="0" xfId="0" applyFont="1" applyFill="1" applyAlignment="1">
      <alignment vertical="center"/>
    </xf>
    <xf numFmtId="0" fontId="0" fillId="5" borderId="74" xfId="0" applyFill="1" applyBorder="1" applyAlignment="1">
      <alignment vertical="center"/>
    </xf>
    <xf numFmtId="0" fontId="0" fillId="5" borderId="75" xfId="0" applyFill="1" applyBorder="1" applyAlignment="1">
      <alignment vertical="center"/>
    </xf>
    <xf numFmtId="0" fontId="49" fillId="5" borderId="0" xfId="0" applyFont="1" applyFill="1" applyAlignment="1" applyProtection="1">
      <alignment vertical="center"/>
      <protection hidden="1"/>
    </xf>
    <xf numFmtId="0" fontId="49" fillId="5" borderId="0" xfId="0" applyFont="1" applyFill="1" applyAlignment="1" applyProtection="1">
      <alignment horizontal="center" vertical="center"/>
      <protection hidden="1"/>
    </xf>
    <xf numFmtId="0" fontId="49" fillId="5" borderId="0" xfId="0" applyFont="1" applyFill="1" applyAlignment="1">
      <alignment horizontal="center" vertical="center"/>
    </xf>
    <xf numFmtId="0" fontId="58" fillId="8" borderId="77" xfId="0" applyFont="1" applyFill="1" applyBorder="1"/>
    <xf numFmtId="0" fontId="61" fillId="8" borderId="78" xfId="0" applyFont="1" applyFill="1" applyBorder="1" applyAlignment="1">
      <alignment horizontal="center"/>
    </xf>
    <xf numFmtId="0" fontId="83" fillId="5" borderId="79" xfId="0" applyFont="1" applyFill="1" applyBorder="1" applyAlignment="1">
      <alignment vertical="center"/>
    </xf>
    <xf numFmtId="0" fontId="82" fillId="5" borderId="0" xfId="0" applyFont="1" applyFill="1" applyAlignment="1" applyProtection="1">
      <alignment horizontal="center" vertical="center"/>
      <protection locked="0"/>
    </xf>
    <xf numFmtId="0" fontId="49" fillId="5" borderId="81" xfId="0" applyFont="1" applyFill="1" applyBorder="1" applyAlignment="1">
      <alignment vertical="center"/>
    </xf>
    <xf numFmtId="0" fontId="20" fillId="5" borderId="80" xfId="0" applyFont="1" applyFill="1" applyBorder="1" applyAlignment="1">
      <alignment vertical="center"/>
    </xf>
    <xf numFmtId="0" fontId="67" fillId="9" borderId="83" xfId="0" applyFont="1" applyFill="1" applyBorder="1" applyAlignment="1" applyProtection="1">
      <alignment horizontal="right" vertical="center" indent="1"/>
      <protection hidden="1"/>
    </xf>
    <xf numFmtId="0" fontId="20" fillId="5" borderId="0" xfId="0" applyFont="1" applyFill="1" applyAlignment="1" applyProtection="1">
      <alignment vertical="center"/>
      <protection hidden="1"/>
    </xf>
    <xf numFmtId="0" fontId="38" fillId="5" borderId="0" xfId="0" applyFont="1" applyFill="1" applyAlignment="1">
      <alignment vertical="center"/>
    </xf>
    <xf numFmtId="0" fontId="20" fillId="5" borderId="0" xfId="0" applyFont="1" applyFill="1" applyAlignment="1" applyProtection="1">
      <alignment horizontal="center" vertical="center"/>
      <protection hidden="1"/>
    </xf>
    <xf numFmtId="0" fontId="67" fillId="11" borderId="83" xfId="0" applyFont="1" applyFill="1" applyBorder="1" applyAlignment="1" applyProtection="1">
      <alignment horizontal="right" vertical="center" indent="1"/>
      <protection hidden="1"/>
    </xf>
    <xf numFmtId="0" fontId="78" fillId="9" borderId="0" xfId="0" applyFont="1" applyFill="1" applyAlignment="1">
      <alignment horizontal="left"/>
    </xf>
    <xf numFmtId="0" fontId="0" fillId="9" borderId="0" xfId="0" applyFill="1"/>
    <xf numFmtId="0" fontId="30" fillId="6" borderId="0" xfId="0" applyFont="1" applyFill="1" applyAlignment="1">
      <alignment horizontal="center"/>
    </xf>
    <xf numFmtId="0" fontId="10" fillId="5" borderId="0" xfId="1" applyFont="1" applyFill="1" applyAlignment="1" applyProtection="1">
      <alignment vertical="center"/>
    </xf>
    <xf numFmtId="0" fontId="24" fillId="5" borderId="0" xfId="0" applyFont="1" applyFill="1" applyAlignment="1">
      <alignment horizontal="right" vertical="center"/>
    </xf>
    <xf numFmtId="0" fontId="90" fillId="5" borderId="0" xfId="0" applyFont="1" applyFill="1" applyAlignment="1">
      <alignment horizontal="right" vertical="center"/>
    </xf>
    <xf numFmtId="0" fontId="0" fillId="5" borderId="0" xfId="0" applyFill="1" applyAlignment="1">
      <alignment horizontal="center" vertical="center"/>
    </xf>
    <xf numFmtId="0" fontId="25" fillId="5" borderId="0" xfId="0" applyFont="1" applyFill="1" applyAlignment="1">
      <alignment vertical="center"/>
    </xf>
    <xf numFmtId="0" fontId="76" fillId="5" borderId="0" xfId="0" applyFont="1" applyFill="1" applyAlignment="1">
      <alignment vertical="center"/>
    </xf>
    <xf numFmtId="0" fontId="29" fillId="5" borderId="2" xfId="0" applyFont="1" applyFill="1" applyBorder="1" applyAlignment="1" applyProtection="1">
      <alignment horizontal="center" vertical="center"/>
      <protection locked="0"/>
    </xf>
    <xf numFmtId="0" fontId="29" fillId="5" borderId="3" xfId="0" applyFont="1" applyFill="1" applyBorder="1" applyAlignment="1" applyProtection="1">
      <alignment horizontal="center" vertical="center"/>
      <protection locked="0"/>
    </xf>
    <xf numFmtId="0" fontId="55" fillId="5" borderId="0" xfId="0" applyFont="1" applyFill="1" applyAlignment="1" applyProtection="1">
      <alignment vertical="center"/>
      <protection hidden="1"/>
    </xf>
    <xf numFmtId="0" fontId="40" fillId="5" borderId="0" xfId="0" applyFont="1" applyFill="1" applyAlignment="1" applyProtection="1">
      <alignment vertical="center"/>
      <protection hidden="1"/>
    </xf>
    <xf numFmtId="0" fontId="1" fillId="5" borderId="0" xfId="0" applyFont="1" applyFill="1" applyAlignment="1" applyProtection="1">
      <alignment horizontal="center" vertical="center"/>
      <protection hidden="1"/>
    </xf>
    <xf numFmtId="0" fontId="26" fillId="5" borderId="0" xfId="0" applyFont="1" applyFill="1" applyAlignment="1">
      <alignment vertical="center"/>
    </xf>
    <xf numFmtId="0" fontId="91" fillId="5" borderId="0" xfId="0" applyFont="1" applyFill="1" applyAlignment="1">
      <alignment horizontal="right" vertical="center"/>
    </xf>
    <xf numFmtId="0" fontId="91" fillId="5" borderId="0" xfId="0" applyFont="1" applyFill="1" applyAlignment="1">
      <alignment horizontal="center" vertical="center"/>
    </xf>
    <xf numFmtId="16" fontId="91" fillId="5" borderId="0" xfId="0" applyNumberFormat="1" applyFont="1" applyFill="1" applyAlignment="1">
      <alignment horizontal="center" vertical="center"/>
    </xf>
    <xf numFmtId="20" fontId="91" fillId="5" borderId="0" xfId="0" applyNumberFormat="1" applyFont="1" applyFill="1" applyAlignment="1">
      <alignment horizontal="center" vertical="center"/>
    </xf>
    <xf numFmtId="0" fontId="92" fillId="5" borderId="0" xfId="0" applyFont="1" applyFill="1" applyAlignment="1">
      <alignment horizontal="center" vertical="center"/>
    </xf>
    <xf numFmtId="0" fontId="92" fillId="5" borderId="0" xfId="0" applyFont="1" applyFill="1" applyAlignment="1">
      <alignment vertical="center"/>
    </xf>
    <xf numFmtId="0" fontId="93" fillId="5" borderId="0" xfId="0" applyFont="1" applyFill="1" applyAlignment="1">
      <alignment horizontal="right" vertical="center"/>
    </xf>
    <xf numFmtId="0" fontId="93" fillId="5" borderId="0" xfId="0" applyFont="1" applyFill="1" applyAlignment="1">
      <alignment horizontal="center" vertical="center"/>
    </xf>
    <xf numFmtId="16" fontId="93" fillId="5" borderId="0" xfId="0" applyNumberFormat="1" applyFont="1" applyFill="1" applyAlignment="1">
      <alignment horizontal="center" vertical="center"/>
    </xf>
    <xf numFmtId="20" fontId="93" fillId="5" borderId="0" xfId="0" applyNumberFormat="1" applyFont="1" applyFill="1" applyAlignment="1">
      <alignment horizontal="center" vertical="center"/>
    </xf>
    <xf numFmtId="0" fontId="94" fillId="5" borderId="0" xfId="0" applyFont="1" applyFill="1" applyAlignment="1">
      <alignment horizontal="center" vertical="center"/>
    </xf>
    <xf numFmtId="0" fontId="95" fillId="8" borderId="78" xfId="0" applyFont="1" applyFill="1" applyBorder="1" applyAlignment="1">
      <alignment horizontal="center"/>
    </xf>
    <xf numFmtId="22" fontId="0" fillId="5" borderId="0" xfId="0" applyNumberFormat="1" applyFill="1" applyAlignment="1">
      <alignment vertical="center"/>
    </xf>
    <xf numFmtId="0" fontId="39" fillId="5" borderId="0" xfId="0" applyFont="1" applyFill="1" applyAlignment="1">
      <alignment vertical="center"/>
    </xf>
    <xf numFmtId="0" fontId="39" fillId="5" borderId="0" xfId="0" applyFont="1" applyFill="1" applyAlignment="1" applyProtection="1">
      <alignment vertical="center"/>
      <protection hidden="1"/>
    </xf>
    <xf numFmtId="0" fontId="96" fillId="5" borderId="0" xfId="0" applyFont="1" applyFill="1" applyAlignment="1">
      <alignment horizontal="center" vertical="center"/>
    </xf>
    <xf numFmtId="16" fontId="96" fillId="5" borderId="0" xfId="0" applyNumberFormat="1" applyFont="1" applyFill="1" applyAlignment="1">
      <alignment horizontal="center" vertical="center"/>
    </xf>
    <xf numFmtId="20" fontId="96" fillId="5" borderId="0" xfId="0" applyNumberFormat="1" applyFont="1" applyFill="1" applyAlignment="1">
      <alignment horizontal="center" vertical="center"/>
    </xf>
    <xf numFmtId="0" fontId="76" fillId="5" borderId="0" xfId="0" applyFont="1" applyFill="1" applyAlignment="1">
      <alignment horizontal="center" vertical="center"/>
    </xf>
    <xf numFmtId="0" fontId="30" fillId="12" borderId="0" xfId="0" applyFont="1" applyFill="1" applyAlignment="1">
      <alignment vertical="center"/>
    </xf>
    <xf numFmtId="0" fontId="34" fillId="5" borderId="0" xfId="0" applyFont="1" applyFill="1" applyAlignment="1">
      <alignment horizontal="right" vertical="center"/>
    </xf>
    <xf numFmtId="0" fontId="27" fillId="5" borderId="0" xfId="0" applyFont="1" applyFill="1" applyAlignment="1">
      <alignment horizontal="right" vertical="center"/>
    </xf>
    <xf numFmtId="0" fontId="28" fillId="5" borderId="0" xfId="0" applyFont="1" applyFill="1" applyAlignment="1">
      <alignment horizontal="center" vertical="center"/>
    </xf>
    <xf numFmtId="0" fontId="29" fillId="5" borderId="0" xfId="0" applyFont="1" applyFill="1" applyAlignment="1">
      <alignment horizontal="center" vertical="center"/>
    </xf>
    <xf numFmtId="0" fontId="22" fillId="5" borderId="2" xfId="0" applyFont="1" applyFill="1" applyBorder="1" applyAlignment="1" applyProtection="1">
      <alignment horizontal="center" vertical="center"/>
      <protection locked="0"/>
    </xf>
    <xf numFmtId="0" fontId="22" fillId="5" borderId="3" xfId="0" applyFont="1" applyFill="1" applyBorder="1" applyAlignment="1" applyProtection="1">
      <alignment horizontal="center" vertical="center"/>
      <protection locked="0"/>
    </xf>
    <xf numFmtId="164" fontId="74" fillId="5" borderId="0" xfId="0" applyNumberFormat="1" applyFont="1" applyFill="1" applyAlignment="1" applyProtection="1">
      <alignment horizontal="right" vertical="top"/>
      <protection hidden="1"/>
    </xf>
    <xf numFmtId="20" fontId="73" fillId="5" borderId="0" xfId="0" applyNumberFormat="1" applyFont="1" applyFill="1" applyAlignment="1" applyProtection="1">
      <alignment horizontal="center" vertical="top"/>
      <protection hidden="1"/>
    </xf>
    <xf numFmtId="0" fontId="31" fillId="5" borderId="85" xfId="0" applyFont="1" applyFill="1" applyBorder="1" applyAlignment="1">
      <alignment horizontal="right" vertical="center"/>
    </xf>
    <xf numFmtId="0" fontId="35" fillId="5" borderId="0" xfId="0" applyFont="1" applyFill="1" applyAlignment="1">
      <alignment horizontal="right" vertical="center"/>
    </xf>
    <xf numFmtId="0" fontId="1" fillId="5" borderId="86" xfId="0" applyFont="1" applyFill="1" applyBorder="1" applyAlignment="1">
      <alignment vertical="center"/>
    </xf>
    <xf numFmtId="0" fontId="1" fillId="5" borderId="87" xfId="0" applyFont="1" applyFill="1" applyBorder="1" applyAlignment="1">
      <alignment vertical="center"/>
    </xf>
    <xf numFmtId="0" fontId="97" fillId="5" borderId="88" xfId="0" applyFont="1" applyFill="1" applyBorder="1" applyAlignment="1">
      <alignment vertical="center"/>
    </xf>
    <xf numFmtId="0" fontId="32" fillId="5" borderId="0" xfId="0" applyFont="1" applyFill="1" applyAlignment="1" applyProtection="1">
      <alignment horizontal="center" vertical="center"/>
      <protection locked="0"/>
    </xf>
    <xf numFmtId="0" fontId="52" fillId="5" borderId="0" xfId="0" applyFont="1" applyFill="1" applyAlignment="1" applyProtection="1">
      <alignment horizontal="centerContinuous" vertical="center"/>
      <protection hidden="1"/>
    </xf>
    <xf numFmtId="0" fontId="0" fillId="5" borderId="0" xfId="0" applyFill="1" applyAlignment="1">
      <alignment horizontal="centerContinuous" vertical="center"/>
    </xf>
    <xf numFmtId="0" fontId="33" fillId="5" borderId="0" xfId="0" applyFont="1" applyFill="1" applyAlignment="1" applyProtection="1">
      <alignment vertical="center"/>
      <protection hidden="1"/>
    </xf>
    <xf numFmtId="0" fontId="24" fillId="5" borderId="0" xfId="0" applyFont="1" applyFill="1" applyAlignment="1">
      <alignment vertical="center"/>
    </xf>
    <xf numFmtId="0" fontId="99" fillId="5" borderId="87" xfId="0" applyFont="1" applyFill="1" applyBorder="1" applyAlignment="1">
      <alignment horizontal="center" vertical="center"/>
    </xf>
    <xf numFmtId="20" fontId="99" fillId="5" borderId="0" xfId="0" applyNumberFormat="1" applyFont="1" applyFill="1" applyAlignment="1">
      <alignment horizontal="center" vertical="center"/>
    </xf>
    <xf numFmtId="0" fontId="58" fillId="8" borderId="90" xfId="0" applyFont="1" applyFill="1" applyBorder="1" applyAlignment="1">
      <alignment vertical="center"/>
    </xf>
    <xf numFmtId="0" fontId="58" fillId="8" borderId="90" xfId="0" applyFont="1" applyFill="1" applyBorder="1" applyAlignment="1">
      <alignment horizontal="centerContinuous" vertical="center"/>
    </xf>
    <xf numFmtId="0" fontId="58" fillId="8" borderId="91" xfId="0" applyFont="1" applyFill="1" applyBorder="1" applyAlignment="1">
      <alignment vertical="center"/>
    </xf>
    <xf numFmtId="0" fontId="100" fillId="0" borderId="0" xfId="0" applyFont="1" applyAlignment="1">
      <alignment horizontal="center" vertical="center"/>
    </xf>
    <xf numFmtId="0" fontId="64" fillId="7" borderId="0" xfId="0" applyFont="1" applyFill="1" applyAlignment="1">
      <alignment horizontal="right"/>
    </xf>
    <xf numFmtId="0" fontId="0" fillId="7" borderId="0" xfId="0" applyFill="1" applyAlignment="1" applyProtection="1">
      <alignment vertical="center"/>
      <protection hidden="1"/>
    </xf>
    <xf numFmtId="0" fontId="44" fillId="7" borderId="0" xfId="0" applyFont="1" applyFill="1" applyAlignment="1">
      <alignment horizontal="right"/>
    </xf>
    <xf numFmtId="0" fontId="0" fillId="7" borderId="0" xfId="0" applyFill="1" applyAlignment="1">
      <alignment horizontal="center" vertical="center"/>
    </xf>
    <xf numFmtId="0" fontId="36" fillId="7" borderId="0" xfId="0" applyFont="1" applyFill="1" applyAlignment="1">
      <alignment horizontal="center" vertical="center"/>
    </xf>
    <xf numFmtId="0" fontId="46" fillId="7" borderId="0" xfId="0" applyFont="1" applyFill="1" applyAlignment="1">
      <alignment horizontal="center"/>
    </xf>
    <xf numFmtId="0" fontId="45" fillId="7" borderId="0" xfId="0" applyFont="1" applyFill="1" applyAlignment="1">
      <alignment horizontal="center"/>
    </xf>
    <xf numFmtId="0" fontId="36" fillId="7" borderId="0" xfId="0" applyFont="1" applyFill="1" applyAlignment="1">
      <alignment horizontal="center"/>
    </xf>
    <xf numFmtId="0" fontId="5" fillId="7" borderId="0" xfId="0" applyFont="1" applyFill="1" applyAlignment="1">
      <alignment vertical="center"/>
    </xf>
    <xf numFmtId="0" fontId="0" fillId="5" borderId="92" xfId="0" applyFill="1" applyBorder="1"/>
    <xf numFmtId="0" fontId="60" fillId="5" borderId="93" xfId="0" applyFont="1" applyFill="1" applyBorder="1"/>
    <xf numFmtId="20" fontId="19" fillId="5" borderId="0" xfId="0" applyNumberFormat="1" applyFont="1" applyFill="1" applyAlignment="1" applyProtection="1">
      <alignment horizontal="left" vertical="top"/>
      <protection hidden="1"/>
    </xf>
    <xf numFmtId="20" fontId="0" fillId="5" borderId="94" xfId="0" applyNumberFormat="1" applyFill="1" applyBorder="1" applyAlignment="1" applyProtection="1">
      <alignment horizontal="center"/>
      <protection hidden="1"/>
    </xf>
    <xf numFmtId="20" fontId="0" fillId="5" borderId="95" xfId="0" applyNumberFormat="1" applyFill="1" applyBorder="1" applyAlignment="1" applyProtection="1">
      <alignment horizontal="center"/>
      <protection hidden="1"/>
    </xf>
    <xf numFmtId="0" fontId="101" fillId="0" borderId="0" xfId="0" applyFont="1" applyAlignment="1">
      <alignment horizontal="center" vertical="center"/>
    </xf>
    <xf numFmtId="0" fontId="106" fillId="5" borderId="0" xfId="0" applyFont="1" applyFill="1" applyAlignment="1" applyProtection="1">
      <alignment horizontal="center"/>
      <protection hidden="1"/>
    </xf>
    <xf numFmtId="0" fontId="107" fillId="9" borderId="0" xfId="0" applyFont="1" applyFill="1" applyAlignment="1">
      <alignment horizontal="center" vertical="center"/>
    </xf>
    <xf numFmtId="0" fontId="106" fillId="5" borderId="0" xfId="0" applyFont="1" applyFill="1" applyAlignment="1" applyProtection="1">
      <alignment horizontal="center" vertical="center"/>
      <protection hidden="1"/>
    </xf>
    <xf numFmtId="0" fontId="1" fillId="0" borderId="34" xfId="0" applyFont="1" applyBorder="1" applyAlignment="1">
      <alignment horizontal="center"/>
    </xf>
    <xf numFmtId="0" fontId="30" fillId="6" borderId="0" xfId="0" applyFont="1" applyFill="1"/>
    <xf numFmtId="0" fontId="108" fillId="0" borderId="0" xfId="0" applyFont="1" applyAlignment="1">
      <alignment horizontal="center"/>
    </xf>
    <xf numFmtId="0" fontId="108" fillId="6" borderId="0" xfId="0" applyFont="1" applyFill="1" applyAlignment="1">
      <alignment horizontal="center"/>
    </xf>
    <xf numFmtId="0" fontId="108" fillId="6" borderId="0" xfId="0" applyFont="1" applyFill="1"/>
    <xf numFmtId="0" fontId="68" fillId="9" borderId="47" xfId="0" applyFont="1" applyFill="1" applyBorder="1" applyAlignment="1" applyProtection="1">
      <alignment horizontal="center" vertical="center"/>
      <protection hidden="1"/>
    </xf>
    <xf numFmtId="0" fontId="68" fillId="9" borderId="66" xfId="0" applyFont="1" applyFill="1" applyBorder="1" applyAlignment="1" applyProtection="1">
      <alignment horizontal="center" vertical="center"/>
      <protection hidden="1"/>
    </xf>
    <xf numFmtId="0" fontId="68" fillId="9" borderId="52" xfId="0" applyFont="1" applyFill="1" applyBorder="1" applyAlignment="1" applyProtection="1">
      <alignment horizontal="center" vertical="center"/>
      <protection hidden="1"/>
    </xf>
    <xf numFmtId="0" fontId="68" fillId="9" borderId="68" xfId="0" applyFont="1" applyFill="1" applyBorder="1" applyAlignment="1" applyProtection="1">
      <alignment horizontal="center" vertical="center"/>
      <protection hidden="1"/>
    </xf>
    <xf numFmtId="0" fontId="110" fillId="5" borderId="0" xfId="0" applyFont="1" applyFill="1" applyAlignment="1" applyProtection="1">
      <alignment horizontal="center" vertical="center"/>
      <protection hidden="1"/>
    </xf>
    <xf numFmtId="0" fontId="111" fillId="9" borderId="67" xfId="0" applyFont="1" applyFill="1" applyBorder="1" applyAlignment="1" applyProtection="1">
      <alignment vertical="center"/>
      <protection hidden="1"/>
    </xf>
    <xf numFmtId="0" fontId="112" fillId="9" borderId="52" xfId="0" applyFont="1" applyFill="1" applyBorder="1" applyAlignment="1" applyProtection="1">
      <alignment horizontal="center" vertical="center"/>
      <protection hidden="1"/>
    </xf>
    <xf numFmtId="0" fontId="112" fillId="9" borderId="68" xfId="0" applyFont="1" applyFill="1" applyBorder="1" applyAlignment="1" applyProtection="1">
      <alignment horizontal="center" vertical="center"/>
      <protection hidden="1"/>
    </xf>
    <xf numFmtId="0" fontId="113" fillId="5" borderId="0" xfId="0" applyFont="1" applyFill="1" applyAlignment="1" applyProtection="1">
      <alignment horizontal="center" vertical="center"/>
      <protection hidden="1"/>
    </xf>
    <xf numFmtId="0" fontId="111" fillId="9" borderId="69" xfId="0" applyFont="1" applyFill="1" applyBorder="1" applyAlignment="1" applyProtection="1">
      <alignment vertical="center"/>
      <protection hidden="1"/>
    </xf>
    <xf numFmtId="0" fontId="112" fillId="9" borderId="70" xfId="0" applyFont="1" applyFill="1" applyBorder="1" applyAlignment="1" applyProtection="1">
      <alignment horizontal="center" vertical="center"/>
      <protection hidden="1"/>
    </xf>
    <xf numFmtId="0" fontId="112" fillId="9" borderId="71" xfId="0" applyFont="1" applyFill="1" applyBorder="1" applyAlignment="1" applyProtection="1">
      <alignment horizontal="center" vertical="center"/>
      <protection hidden="1"/>
    </xf>
    <xf numFmtId="0" fontId="53" fillId="5" borderId="0" xfId="0" applyFont="1" applyFill="1" applyAlignment="1" applyProtection="1">
      <alignment horizontal="left" vertical="center"/>
      <protection hidden="1"/>
    </xf>
    <xf numFmtId="0" fontId="63" fillId="7" borderId="0" xfId="0" applyFont="1" applyFill="1" applyAlignment="1">
      <alignment horizontal="right"/>
    </xf>
    <xf numFmtId="0" fontId="5" fillId="7" borderId="0" xfId="0" applyFont="1" applyFill="1" applyAlignment="1" applyProtection="1">
      <alignment vertical="center"/>
      <protection hidden="1"/>
    </xf>
    <xf numFmtId="0" fontId="49" fillId="0" borderId="0" xfId="0" applyFont="1" applyAlignment="1">
      <alignment vertical="center"/>
    </xf>
    <xf numFmtId="0" fontId="43" fillId="0" borderId="0" xfId="0" applyFont="1" applyAlignment="1" applyProtection="1">
      <alignment vertical="center"/>
      <protection hidden="1"/>
    </xf>
    <xf numFmtId="0" fontId="115" fillId="0" borderId="0" xfId="0" applyFont="1" applyAlignment="1" applyProtection="1">
      <alignment horizontal="center" vertical="center"/>
      <protection hidden="1"/>
    </xf>
    <xf numFmtId="0" fontId="43" fillId="0" borderId="0" xfId="0" applyFont="1" applyAlignment="1" applyProtection="1">
      <alignment horizontal="right" vertical="center"/>
      <protection hidden="1"/>
    </xf>
    <xf numFmtId="0" fontId="116" fillId="0" borderId="0" xfId="0" applyFont="1" applyAlignment="1" applyProtection="1">
      <alignment vertical="center"/>
      <protection hidden="1"/>
    </xf>
    <xf numFmtId="0" fontId="71" fillId="0" borderId="0" xfId="0" applyFont="1" applyAlignment="1">
      <alignment vertical="center"/>
    </xf>
    <xf numFmtId="0" fontId="43" fillId="0" borderId="0" xfId="0" applyFont="1" applyAlignment="1">
      <alignment vertical="center"/>
    </xf>
    <xf numFmtId="0" fontId="116" fillId="0" borderId="0" xfId="0" applyFont="1" applyAlignment="1">
      <alignment vertical="center"/>
    </xf>
    <xf numFmtId="0" fontId="43" fillId="0" borderId="11" xfId="0" applyFont="1" applyBorder="1" applyAlignment="1" applyProtection="1">
      <alignment vertical="center"/>
      <protection hidden="1"/>
    </xf>
    <xf numFmtId="0" fontId="43" fillId="0" borderId="11" xfId="0" applyFont="1" applyBorder="1" applyAlignment="1" applyProtection="1">
      <alignment horizontal="center" vertical="center"/>
      <protection hidden="1"/>
    </xf>
    <xf numFmtId="0" fontId="43" fillId="0" borderId="0" xfId="0" applyFont="1" applyAlignment="1" applyProtection="1">
      <alignment horizontal="center" vertical="center"/>
      <protection hidden="1"/>
    </xf>
    <xf numFmtId="0" fontId="43" fillId="0" borderId="9" xfId="0" applyFont="1" applyBorder="1" applyAlignment="1">
      <alignment vertical="center"/>
    </xf>
    <xf numFmtId="0" fontId="43" fillId="0" borderId="12" xfId="0" applyFont="1" applyBorder="1" applyAlignment="1" applyProtection="1">
      <alignment vertical="center"/>
      <protection hidden="1"/>
    </xf>
    <xf numFmtId="0" fontId="43" fillId="0" borderId="12" xfId="0" applyFont="1" applyBorder="1" applyAlignment="1" applyProtection="1">
      <alignment horizontal="center" vertical="center"/>
      <protection hidden="1"/>
    </xf>
    <xf numFmtId="0" fontId="43" fillId="0" borderId="7" xfId="0" applyFont="1" applyBorder="1" applyAlignment="1">
      <alignment vertical="center"/>
    </xf>
    <xf numFmtId="0" fontId="43" fillId="0" borderId="8" xfId="0" applyFont="1" applyBorder="1" applyAlignment="1">
      <alignment vertical="center"/>
    </xf>
    <xf numFmtId="0" fontId="43" fillId="0" borderId="0" xfId="0" applyFont="1" applyAlignment="1">
      <alignment horizontal="left" vertical="center"/>
    </xf>
    <xf numFmtId="0" fontId="43" fillId="0" borderId="10" xfId="0" applyFont="1" applyBorder="1" applyAlignment="1" applyProtection="1">
      <alignment vertical="center"/>
      <protection hidden="1"/>
    </xf>
    <xf numFmtId="0" fontId="43" fillId="0" borderId="10" xfId="0" applyFont="1" applyBorder="1" applyAlignment="1" applyProtection="1">
      <alignment horizontal="center" vertical="center"/>
      <protection hidden="1"/>
    </xf>
    <xf numFmtId="0" fontId="43" fillId="0" borderId="6" xfId="0" applyFont="1" applyBorder="1" applyAlignment="1">
      <alignment vertical="center"/>
    </xf>
    <xf numFmtId="0" fontId="43" fillId="0" borderId="5" xfId="0" applyFont="1" applyBorder="1" applyAlignment="1">
      <alignment vertical="center"/>
    </xf>
    <xf numFmtId="0" fontId="43" fillId="0" borderId="0" xfId="0" applyFont="1" applyAlignment="1">
      <alignment horizontal="center" vertical="center"/>
    </xf>
    <xf numFmtId="0" fontId="43" fillId="0" borderId="0" xfId="0" applyFont="1"/>
    <xf numFmtId="0" fontId="118" fillId="0" borderId="0" xfId="1" applyFont="1" applyAlignment="1" applyProtection="1">
      <alignment vertical="center"/>
    </xf>
    <xf numFmtId="0" fontId="61" fillId="13" borderId="0" xfId="0" applyFont="1" applyFill="1" applyAlignment="1">
      <alignment vertical="center"/>
    </xf>
    <xf numFmtId="0" fontId="61" fillId="14" borderId="0" xfId="0" applyFont="1" applyFill="1" applyAlignment="1">
      <alignment vertical="center"/>
    </xf>
    <xf numFmtId="0" fontId="43" fillId="0" borderId="39" xfId="0" applyFont="1" applyBorder="1" applyAlignment="1">
      <alignment vertical="center"/>
    </xf>
    <xf numFmtId="0" fontId="117" fillId="0" borderId="0" xfId="0" applyFont="1" applyAlignment="1">
      <alignment vertical="center"/>
    </xf>
    <xf numFmtId="0" fontId="43" fillId="0" borderId="107" xfId="0" applyFont="1" applyBorder="1" applyAlignment="1" applyProtection="1">
      <alignment horizontal="center" vertical="center"/>
      <protection hidden="1"/>
    </xf>
    <xf numFmtId="0" fontId="43" fillId="0" borderId="108" xfId="0" applyFont="1" applyBorder="1" applyAlignment="1" applyProtection="1">
      <alignment horizontal="center" vertical="center"/>
      <protection hidden="1"/>
    </xf>
    <xf numFmtId="0" fontId="43" fillId="0" borderId="109" xfId="0" applyFont="1" applyBorder="1" applyAlignment="1" applyProtection="1">
      <alignment horizontal="center" vertical="center"/>
      <protection hidden="1"/>
    </xf>
    <xf numFmtId="0" fontId="43" fillId="0" borderId="110" xfId="0" applyFont="1" applyBorder="1" applyAlignment="1" applyProtection="1">
      <alignment vertical="center"/>
      <protection hidden="1"/>
    </xf>
    <xf numFmtId="0" fontId="43" fillId="0" borderId="110" xfId="0" applyFont="1" applyBorder="1" applyAlignment="1" applyProtection="1">
      <alignment horizontal="center" vertical="center"/>
      <protection hidden="1"/>
    </xf>
    <xf numFmtId="0" fontId="5" fillId="0" borderId="111" xfId="0" applyFont="1" applyBorder="1" applyAlignment="1">
      <alignment vertical="center"/>
    </xf>
    <xf numFmtId="0" fontId="43" fillId="0" borderId="112" xfId="0" applyFont="1" applyBorder="1" applyAlignment="1">
      <alignment vertical="center"/>
    </xf>
    <xf numFmtId="0" fontId="41" fillId="5" borderId="0" xfId="0" applyFont="1" applyFill="1" applyAlignment="1" applyProtection="1">
      <alignment horizontal="center" vertical="center"/>
      <protection hidden="1"/>
    </xf>
    <xf numFmtId="0" fontId="59" fillId="5" borderId="18" xfId="0" applyFont="1" applyFill="1" applyBorder="1" applyAlignment="1" applyProtection="1">
      <alignment horizontal="left"/>
      <protection hidden="1"/>
    </xf>
    <xf numFmtId="0" fontId="59" fillId="5" borderId="19" xfId="0" applyFont="1" applyFill="1" applyBorder="1" applyAlignment="1" applyProtection="1">
      <alignment horizontal="centerContinuous"/>
      <protection hidden="1"/>
    </xf>
    <xf numFmtId="0" fontId="59" fillId="5" borderId="19" xfId="0" applyFont="1" applyFill="1" applyBorder="1" applyAlignment="1" applyProtection="1">
      <alignment horizontal="left"/>
      <protection hidden="1"/>
    </xf>
    <xf numFmtId="0" fontId="59" fillId="15" borderId="24" xfId="1" applyFont="1" applyFill="1" applyBorder="1" applyAlignment="1" applyProtection="1">
      <alignment horizontal="left" vertical="center" indent="1"/>
      <protection locked="0"/>
    </xf>
    <xf numFmtId="0" fontId="76" fillId="9" borderId="0" xfId="0" applyFont="1" applyFill="1" applyProtection="1">
      <protection hidden="1"/>
    </xf>
    <xf numFmtId="0" fontId="71" fillId="5" borderId="0" xfId="0" applyFont="1" applyFill="1" applyAlignment="1" applyProtection="1">
      <alignment horizontal="left" vertical="top" indent="1"/>
      <protection hidden="1"/>
    </xf>
    <xf numFmtId="0" fontId="41" fillId="0" borderId="0" xfId="0" applyFont="1" applyAlignment="1">
      <alignment vertical="center"/>
    </xf>
    <xf numFmtId="0" fontId="57" fillId="7" borderId="0" xfId="0" applyFont="1" applyFill="1" applyAlignment="1">
      <alignment vertical="center"/>
    </xf>
    <xf numFmtId="0" fontId="57" fillId="7" borderId="0" xfId="0" applyFont="1" applyFill="1" applyAlignment="1" applyProtection="1">
      <alignment vertical="center"/>
      <protection hidden="1"/>
    </xf>
    <xf numFmtId="0" fontId="122" fillId="7" borderId="0" xfId="0" applyFont="1" applyFill="1" applyAlignment="1" applyProtection="1">
      <alignment vertical="center"/>
      <protection hidden="1"/>
    </xf>
    <xf numFmtId="0" fontId="123" fillId="6" borderId="31" xfId="0" applyFont="1" applyFill="1" applyBorder="1" applyAlignment="1" applyProtection="1">
      <alignment horizontal="left" indent="1"/>
      <protection hidden="1"/>
    </xf>
    <xf numFmtId="0" fontId="124" fillId="6" borderId="0" xfId="0" applyFont="1" applyFill="1" applyAlignment="1" applyProtection="1">
      <alignment horizontal="left" indent="1"/>
      <protection hidden="1"/>
    </xf>
    <xf numFmtId="0" fontId="125" fillId="6" borderId="0" xfId="0" applyFont="1" applyFill="1" applyProtection="1">
      <protection hidden="1"/>
    </xf>
    <xf numFmtId="0" fontId="125" fillId="6" borderId="31" xfId="0" applyFont="1" applyFill="1" applyBorder="1" applyProtection="1">
      <protection hidden="1"/>
    </xf>
    <xf numFmtId="0" fontId="129" fillId="6" borderId="0" xfId="0" applyFont="1" applyFill="1" applyAlignment="1" applyProtection="1">
      <alignment horizontal="left" indent="1"/>
      <protection hidden="1"/>
    </xf>
    <xf numFmtId="0" fontId="133" fillId="5" borderId="0" xfId="0" applyFont="1" applyFill="1" applyAlignment="1" applyProtection="1">
      <alignment horizontal="right" vertical="center" indent="1"/>
      <protection hidden="1"/>
    </xf>
    <xf numFmtId="0" fontId="1" fillId="5" borderId="0" xfId="0" applyFont="1" applyFill="1" applyAlignment="1" applyProtection="1">
      <alignment vertical="center"/>
      <protection hidden="1"/>
    </xf>
    <xf numFmtId="0" fontId="68" fillId="3" borderId="45" xfId="0" applyFont="1" applyFill="1" applyBorder="1" applyAlignment="1" applyProtection="1">
      <alignment horizontal="center" vertical="center"/>
      <protection locked="0" hidden="1"/>
    </xf>
    <xf numFmtId="0" fontId="68" fillId="3" borderId="50" xfId="0" applyFont="1" applyFill="1" applyBorder="1" applyAlignment="1" applyProtection="1">
      <alignment horizontal="center" vertical="center"/>
      <protection locked="0" hidden="1"/>
    </xf>
    <xf numFmtId="0" fontId="68" fillId="3" borderId="55" xfId="0" applyFont="1" applyFill="1" applyBorder="1" applyAlignment="1" applyProtection="1">
      <alignment horizontal="center" vertical="center"/>
      <protection locked="0" hidden="1"/>
    </xf>
    <xf numFmtId="0" fontId="48" fillId="3" borderId="84" xfId="0" applyFont="1" applyFill="1" applyBorder="1" applyAlignment="1" applyProtection="1">
      <alignment horizontal="center" vertical="center"/>
      <protection locked="0"/>
    </xf>
    <xf numFmtId="0" fontId="30" fillId="3" borderId="84" xfId="0" applyFont="1" applyFill="1" applyBorder="1" applyAlignment="1" applyProtection="1">
      <alignment horizontal="center" vertical="center"/>
      <protection locked="0"/>
    </xf>
    <xf numFmtId="0" fontId="42" fillId="3" borderId="84" xfId="0" applyFont="1" applyFill="1" applyBorder="1" applyAlignment="1" applyProtection="1">
      <alignment horizontal="center" vertical="center"/>
      <protection locked="0"/>
    </xf>
    <xf numFmtId="0" fontId="1" fillId="3" borderId="84" xfId="0" applyFont="1" applyFill="1" applyBorder="1" applyAlignment="1" applyProtection="1">
      <alignment horizontal="center" vertical="center"/>
      <protection locked="0"/>
    </xf>
    <xf numFmtId="0" fontId="16" fillId="3" borderId="84" xfId="0" applyFont="1" applyFill="1" applyBorder="1" applyAlignment="1" applyProtection="1">
      <alignment horizontal="center" vertical="center"/>
      <protection locked="0"/>
    </xf>
    <xf numFmtId="0" fontId="134" fillId="9" borderId="82" xfId="0" applyFont="1" applyFill="1" applyBorder="1" applyAlignment="1" applyProtection="1">
      <alignment horizontal="center" vertical="center"/>
      <protection hidden="1"/>
    </xf>
    <xf numFmtId="0" fontId="108" fillId="9" borderId="82" xfId="0" applyFont="1" applyFill="1" applyBorder="1" applyAlignment="1" applyProtection="1">
      <alignment horizontal="center" vertical="center"/>
      <protection hidden="1"/>
    </xf>
    <xf numFmtId="0" fontId="60" fillId="11" borderId="83" xfId="0" applyFont="1" applyFill="1" applyBorder="1" applyAlignment="1" applyProtection="1">
      <alignment horizontal="right" vertical="center" indent="1"/>
      <protection hidden="1"/>
    </xf>
    <xf numFmtId="0" fontId="30" fillId="0" borderId="0" xfId="0" applyFont="1"/>
    <xf numFmtId="0" fontId="64" fillId="0" borderId="0" xfId="0" applyFont="1"/>
    <xf numFmtId="0" fontId="106" fillId="16" borderId="15" xfId="0" applyFont="1" applyFill="1" applyBorder="1" applyAlignment="1">
      <alignment vertical="center"/>
    </xf>
    <xf numFmtId="0" fontId="106" fillId="16" borderId="16" xfId="0" applyFont="1" applyFill="1" applyBorder="1" applyAlignment="1">
      <alignment vertical="center"/>
    </xf>
    <xf numFmtId="0" fontId="106" fillId="16" borderId="17" xfId="0" applyFont="1" applyFill="1" applyBorder="1" applyAlignment="1">
      <alignment vertical="center"/>
    </xf>
    <xf numFmtId="0" fontId="106" fillId="15" borderId="15" xfId="0" applyFont="1" applyFill="1" applyBorder="1" applyAlignment="1">
      <alignment vertical="center"/>
    </xf>
    <xf numFmtId="0" fontId="106" fillId="15" borderId="16" xfId="0" applyFont="1" applyFill="1" applyBorder="1" applyAlignment="1">
      <alignment vertical="center"/>
    </xf>
    <xf numFmtId="0" fontId="106" fillId="15" borderId="17" xfId="0" applyFont="1" applyFill="1" applyBorder="1" applyAlignment="1">
      <alignment vertical="center"/>
    </xf>
    <xf numFmtId="0" fontId="59" fillId="5" borderId="20" xfId="0" applyFont="1" applyFill="1" applyBorder="1" applyAlignment="1" applyProtection="1">
      <alignment horizontal="left"/>
      <protection hidden="1"/>
    </xf>
    <xf numFmtId="0" fontId="89" fillId="5" borderId="0" xfId="0" applyFont="1" applyFill="1" applyAlignment="1" applyProtection="1">
      <alignment horizontal="left" indent="1"/>
      <protection locked="0" hidden="1"/>
    </xf>
    <xf numFmtId="0" fontId="106" fillId="5" borderId="18" xfId="0" applyFont="1" applyFill="1" applyBorder="1" applyAlignment="1" applyProtection="1">
      <alignment horizontal="left"/>
      <protection hidden="1"/>
    </xf>
    <xf numFmtId="0" fontId="0" fillId="0" borderId="0" xfId="0" applyAlignment="1">
      <alignment horizontal="center" vertical="center"/>
    </xf>
    <xf numFmtId="0" fontId="135" fillId="5" borderId="0" xfId="0" applyFont="1" applyFill="1" applyAlignment="1">
      <alignment vertical="center"/>
    </xf>
    <xf numFmtId="0" fontId="136" fillId="5" borderId="0" xfId="0" applyFont="1" applyFill="1" applyAlignment="1" applyProtection="1">
      <alignment horizontal="center"/>
      <protection hidden="1"/>
    </xf>
    <xf numFmtId="0" fontId="137" fillId="5" borderId="0" xfId="0" applyFont="1" applyFill="1" applyProtection="1">
      <protection hidden="1"/>
    </xf>
    <xf numFmtId="0" fontId="69" fillId="9" borderId="65" xfId="0" applyFont="1" applyFill="1" applyBorder="1" applyAlignment="1" applyProtection="1">
      <alignment vertical="center"/>
      <protection hidden="1"/>
    </xf>
    <xf numFmtId="0" fontId="138" fillId="9" borderId="65" xfId="0" applyFont="1" applyFill="1" applyBorder="1" applyAlignment="1" applyProtection="1">
      <alignment vertical="center"/>
      <protection hidden="1"/>
    </xf>
    <xf numFmtId="0" fontId="138" fillId="9" borderId="67" xfId="0" applyFont="1" applyFill="1" applyBorder="1" applyAlignment="1" applyProtection="1">
      <alignment vertical="center"/>
      <protection hidden="1"/>
    </xf>
    <xf numFmtId="0" fontId="135" fillId="5" borderId="0" xfId="0" applyFont="1" applyFill="1" applyProtection="1">
      <protection hidden="1"/>
    </xf>
    <xf numFmtId="0" fontId="135" fillId="5" borderId="0" xfId="0" applyFont="1" applyFill="1"/>
    <xf numFmtId="0" fontId="143" fillId="5" borderId="0" xfId="0" applyFont="1" applyFill="1" applyProtection="1">
      <protection hidden="1"/>
    </xf>
    <xf numFmtId="0" fontId="65" fillId="7" borderId="0" xfId="0" applyFont="1" applyFill="1" applyAlignment="1">
      <alignment vertical="top"/>
    </xf>
    <xf numFmtId="0" fontId="119" fillId="7" borderId="0" xfId="0" applyFont="1" applyFill="1" applyAlignment="1">
      <alignment vertical="top"/>
    </xf>
    <xf numFmtId="0" fontId="148" fillId="5" borderId="0" xfId="0" applyFont="1" applyFill="1" applyAlignment="1">
      <alignment horizontal="left" vertical="center"/>
    </xf>
    <xf numFmtId="0" fontId="54" fillId="11" borderId="83" xfId="0" applyFont="1" applyFill="1" applyBorder="1" applyAlignment="1" applyProtection="1">
      <alignment horizontal="right" vertical="center" indent="1"/>
      <protection hidden="1"/>
    </xf>
    <xf numFmtId="16" fontId="99" fillId="5" borderId="0" xfId="0" applyNumberFormat="1" applyFont="1" applyFill="1" applyAlignment="1">
      <alignment horizontal="center" vertical="center"/>
    </xf>
    <xf numFmtId="0" fontId="99" fillId="5" borderId="0" xfId="0" applyFont="1" applyFill="1" applyAlignment="1">
      <alignment horizontal="center" vertical="center"/>
    </xf>
    <xf numFmtId="3" fontId="79" fillId="0" borderId="0" xfId="0" applyNumberFormat="1" applyFont="1" applyAlignment="1">
      <alignment horizontal="center" vertical="center"/>
    </xf>
    <xf numFmtId="0" fontId="83" fillId="5" borderId="0" xfId="0" applyFont="1" applyFill="1" applyProtection="1">
      <protection hidden="1"/>
    </xf>
    <xf numFmtId="0" fontId="89" fillId="5" borderId="0" xfId="0" applyFont="1" applyFill="1" applyAlignment="1">
      <alignment vertical="center"/>
    </xf>
    <xf numFmtId="0" fontId="89" fillId="5" borderId="0" xfId="0" applyFont="1" applyFill="1" applyAlignment="1">
      <alignment horizontal="center" vertical="center"/>
    </xf>
    <xf numFmtId="0" fontId="149" fillId="5" borderId="0" xfId="0" applyFont="1" applyFill="1" applyAlignment="1">
      <alignment vertical="center"/>
    </xf>
    <xf numFmtId="0" fontId="89" fillId="5" borderId="2" xfId="0" applyFont="1" applyFill="1" applyBorder="1" applyAlignment="1">
      <alignment vertical="center"/>
    </xf>
    <xf numFmtId="0" fontId="89" fillId="5" borderId="80" xfId="0" applyFont="1" applyFill="1" applyBorder="1" applyAlignment="1">
      <alignment vertical="center"/>
    </xf>
    <xf numFmtId="0" fontId="89" fillId="5" borderId="3" xfId="0" applyFont="1" applyFill="1" applyBorder="1" applyAlignment="1">
      <alignment vertical="center"/>
    </xf>
    <xf numFmtId="0" fontId="64" fillId="0" borderId="0" xfId="0" applyFont="1" applyProtection="1">
      <protection hidden="1"/>
    </xf>
    <xf numFmtId="0" fontId="61" fillId="0" borderId="0" xfId="0" applyFont="1" applyAlignment="1" applyProtection="1">
      <alignment horizontal="center"/>
      <protection hidden="1"/>
    </xf>
    <xf numFmtId="0" fontId="61" fillId="0" borderId="0" xfId="0" applyFont="1" applyProtection="1">
      <protection hidden="1"/>
    </xf>
    <xf numFmtId="0" fontId="64" fillId="0" borderId="0" xfId="0" applyFont="1" applyAlignment="1" applyProtection="1">
      <alignment horizontal="center"/>
      <protection hidden="1"/>
    </xf>
    <xf numFmtId="0" fontId="115" fillId="0" borderId="0" xfId="0" applyFont="1" applyProtection="1">
      <protection hidden="1"/>
    </xf>
    <xf numFmtId="0" fontId="64" fillId="0" borderId="0" xfId="0" applyFont="1" applyAlignment="1" applyProtection="1">
      <alignment horizontal="right"/>
      <protection hidden="1"/>
    </xf>
    <xf numFmtId="0" fontId="64" fillId="0" borderId="0" xfId="0" applyFont="1" applyAlignment="1" applyProtection="1">
      <alignment horizontal="left"/>
      <protection hidden="1"/>
    </xf>
    <xf numFmtId="0" fontId="63" fillId="0" borderId="0" xfId="0" applyFont="1" applyProtection="1">
      <protection hidden="1"/>
    </xf>
    <xf numFmtId="0" fontId="58" fillId="0" borderId="0" xfId="0" applyFont="1" applyAlignment="1" applyProtection="1">
      <alignment horizontal="center"/>
      <protection hidden="1"/>
    </xf>
    <xf numFmtId="0" fontId="150" fillId="0" borderId="0" xfId="0" applyFont="1" applyAlignment="1" applyProtection="1">
      <alignment vertical="center"/>
      <protection hidden="1"/>
    </xf>
    <xf numFmtId="0" fontId="63" fillId="0" borderId="0" xfId="0" applyFont="1" applyAlignment="1">
      <alignment vertical="center"/>
    </xf>
    <xf numFmtId="0" fontId="115" fillId="0" borderId="0" xfId="0" applyFont="1" applyAlignment="1" applyProtection="1">
      <alignment vertical="center"/>
      <protection hidden="1"/>
    </xf>
    <xf numFmtId="0" fontId="115" fillId="0" borderId="0" xfId="0" applyFont="1" applyAlignment="1">
      <alignment vertical="center"/>
    </xf>
    <xf numFmtId="0" fontId="63" fillId="0" borderId="0" xfId="0" applyFont="1" applyAlignment="1" applyProtection="1">
      <alignment horizontal="left" vertical="center"/>
      <protection hidden="1"/>
    </xf>
    <xf numFmtId="0" fontId="63" fillId="0" borderId="0" xfId="0" applyFont="1" applyAlignment="1" applyProtection="1">
      <alignment vertical="center"/>
      <protection hidden="1"/>
    </xf>
    <xf numFmtId="0" fontId="150" fillId="0" borderId="0" xfId="0" applyFont="1" applyAlignment="1" applyProtection="1">
      <alignment horizontal="left" vertical="center"/>
      <protection hidden="1"/>
    </xf>
    <xf numFmtId="0" fontId="150" fillId="0" borderId="0" xfId="0" applyFont="1" applyAlignment="1" applyProtection="1">
      <alignment horizontal="center" vertical="center"/>
      <protection hidden="1"/>
    </xf>
    <xf numFmtId="0" fontId="115" fillId="0" borderId="0" xfId="0" applyFont="1" applyAlignment="1" applyProtection="1">
      <alignment horizontal="left" vertical="center"/>
      <protection hidden="1"/>
    </xf>
    <xf numFmtId="0" fontId="115" fillId="0" borderId="0" xfId="0" applyFont="1" applyAlignment="1" applyProtection="1">
      <alignment horizontal="right" vertical="center"/>
      <protection hidden="1"/>
    </xf>
    <xf numFmtId="0" fontId="64" fillId="0" borderId="0" xfId="0" applyFont="1" applyAlignment="1">
      <alignment vertical="center"/>
    </xf>
    <xf numFmtId="0" fontId="64" fillId="5" borderId="0" xfId="0" applyFont="1" applyFill="1" applyProtection="1">
      <protection hidden="1"/>
    </xf>
    <xf numFmtId="0" fontId="104" fillId="8" borderId="101" xfId="0" applyFont="1" applyFill="1" applyBorder="1" applyAlignment="1" applyProtection="1">
      <alignment horizontal="center"/>
      <protection hidden="1"/>
    </xf>
    <xf numFmtId="0" fontId="104" fillId="8" borderId="102" xfId="0" applyFont="1" applyFill="1" applyBorder="1" applyAlignment="1" applyProtection="1">
      <alignment horizontal="center"/>
      <protection hidden="1"/>
    </xf>
    <xf numFmtId="0" fontId="104" fillId="8" borderId="103" xfId="0" applyFont="1" applyFill="1" applyBorder="1" applyAlignment="1" applyProtection="1">
      <alignment horizontal="center"/>
      <protection hidden="1"/>
    </xf>
    <xf numFmtId="0" fontId="142" fillId="5" borderId="0" xfId="1" applyFont="1" applyFill="1" applyAlignment="1" applyProtection="1">
      <alignment horizontal="center"/>
      <protection hidden="1"/>
    </xf>
    <xf numFmtId="0" fontId="105" fillId="9" borderId="96" xfId="0" applyFont="1" applyFill="1" applyBorder="1" applyAlignment="1" applyProtection="1">
      <alignment horizontal="center" vertical="center" wrapText="1"/>
      <protection hidden="1"/>
    </xf>
    <xf numFmtId="0" fontId="105" fillId="9" borderId="97" xfId="0" applyFont="1" applyFill="1" applyBorder="1" applyAlignment="1" applyProtection="1">
      <alignment horizontal="center" vertical="center" wrapText="1"/>
      <protection hidden="1"/>
    </xf>
    <xf numFmtId="0" fontId="105" fillId="9" borderId="98" xfId="0" applyFont="1" applyFill="1" applyBorder="1" applyAlignment="1" applyProtection="1">
      <alignment horizontal="center" vertical="center" wrapText="1"/>
      <protection hidden="1"/>
    </xf>
    <xf numFmtId="0" fontId="105" fillId="9" borderId="99" xfId="0" applyFont="1" applyFill="1" applyBorder="1" applyAlignment="1" applyProtection="1">
      <alignment horizontal="center" vertical="center" wrapText="1"/>
      <protection hidden="1"/>
    </xf>
    <xf numFmtId="0" fontId="105" fillId="9" borderId="0" xfId="0" applyFont="1" applyFill="1" applyAlignment="1" applyProtection="1">
      <alignment horizontal="center" vertical="center" wrapText="1"/>
      <protection hidden="1"/>
    </xf>
    <xf numFmtId="0" fontId="105" fillId="9" borderId="21" xfId="0" applyFont="1" applyFill="1" applyBorder="1" applyAlignment="1" applyProtection="1">
      <alignment horizontal="center" vertical="center" wrapText="1"/>
      <protection hidden="1"/>
    </xf>
    <xf numFmtId="0" fontId="105" fillId="9" borderId="100" xfId="0" applyFont="1" applyFill="1" applyBorder="1" applyAlignment="1" applyProtection="1">
      <alignment horizontal="center" vertical="center" wrapText="1"/>
      <protection hidden="1"/>
    </xf>
    <xf numFmtId="0" fontId="105" fillId="9" borderId="22" xfId="0" applyFont="1" applyFill="1" applyBorder="1" applyAlignment="1" applyProtection="1">
      <alignment horizontal="center" vertical="center" wrapText="1"/>
      <protection hidden="1"/>
    </xf>
    <xf numFmtId="0" fontId="105" fillId="9" borderId="23" xfId="0" applyFont="1" applyFill="1" applyBorder="1" applyAlignment="1" applyProtection="1">
      <alignment horizontal="center" vertical="center" wrapText="1"/>
      <protection hidden="1"/>
    </xf>
    <xf numFmtId="0" fontId="65" fillId="7" borderId="0" xfId="0" applyFont="1" applyFill="1" applyAlignment="1">
      <alignment horizontal="left" vertical="top"/>
    </xf>
    <xf numFmtId="0" fontId="141" fillId="8" borderId="58" xfId="0" applyFont="1" applyFill="1" applyBorder="1" applyAlignment="1">
      <alignment horizontal="center"/>
    </xf>
    <xf numFmtId="0" fontId="141" fillId="8" borderId="59" xfId="0" applyFont="1" applyFill="1" applyBorder="1" applyAlignment="1">
      <alignment horizontal="center"/>
    </xf>
    <xf numFmtId="0" fontId="141" fillId="8" borderId="60" xfId="0" applyFont="1" applyFill="1" applyBorder="1" applyAlignment="1">
      <alignment horizontal="center"/>
    </xf>
    <xf numFmtId="0" fontId="86" fillId="7" borderId="13" xfId="0" applyFont="1" applyFill="1" applyBorder="1" applyAlignment="1">
      <alignment horizontal="center"/>
    </xf>
    <xf numFmtId="0" fontId="87" fillId="7" borderId="14" xfId="0" applyFont="1" applyFill="1" applyBorder="1" applyAlignment="1">
      <alignment horizontal="center"/>
    </xf>
    <xf numFmtId="0" fontId="87" fillId="7" borderId="61" xfId="0" applyFont="1" applyFill="1" applyBorder="1" applyAlignment="1">
      <alignment horizontal="center"/>
    </xf>
    <xf numFmtId="0" fontId="87" fillId="7" borderId="62" xfId="0" applyFont="1" applyFill="1" applyBorder="1" applyAlignment="1">
      <alignment horizontal="center"/>
    </xf>
    <xf numFmtId="0" fontId="87" fillId="7" borderId="63" xfId="0" applyFont="1" applyFill="1" applyBorder="1" applyAlignment="1">
      <alignment horizontal="center"/>
    </xf>
    <xf numFmtId="0" fontId="87" fillId="7" borderId="64" xfId="0" applyFont="1" applyFill="1" applyBorder="1" applyAlignment="1">
      <alignment horizontal="center"/>
    </xf>
    <xf numFmtId="0" fontId="66" fillId="5" borderId="0" xfId="0" applyFont="1" applyFill="1" applyAlignment="1">
      <alignment horizontal="center"/>
    </xf>
    <xf numFmtId="0" fontId="59" fillId="15" borderId="25" xfId="0" applyFont="1" applyFill="1" applyBorder="1" applyAlignment="1" applyProtection="1">
      <alignment horizontal="left" indent="1"/>
      <protection locked="0"/>
    </xf>
    <xf numFmtId="0" fontId="59" fillId="15" borderId="26" xfId="0" applyFont="1" applyFill="1" applyBorder="1" applyAlignment="1" applyProtection="1">
      <alignment horizontal="left" indent="1"/>
      <protection locked="0"/>
    </xf>
    <xf numFmtId="0" fontId="59" fillId="15" borderId="27" xfId="0" applyFont="1" applyFill="1" applyBorder="1" applyAlignment="1" applyProtection="1">
      <alignment horizontal="left" indent="1"/>
      <protection locked="0"/>
    </xf>
    <xf numFmtId="0" fontId="65" fillId="7" borderId="0" xfId="0" applyFont="1" applyFill="1" applyAlignment="1" applyProtection="1">
      <alignment horizontal="left" vertical="top"/>
      <protection hidden="1"/>
    </xf>
    <xf numFmtId="0" fontId="41" fillId="6" borderId="0" xfId="0" applyFont="1" applyFill="1" applyAlignment="1" applyProtection="1">
      <alignment horizontal="center" vertical="center"/>
      <protection hidden="1"/>
    </xf>
    <xf numFmtId="16" fontId="88" fillId="9" borderId="52" xfId="0" applyNumberFormat="1" applyFont="1" applyFill="1" applyBorder="1" applyAlignment="1" applyProtection="1">
      <alignment horizontal="center" vertical="center"/>
      <protection hidden="1"/>
    </xf>
    <xf numFmtId="20" fontId="70" fillId="9" borderId="52" xfId="0" applyNumberFormat="1" applyFont="1" applyFill="1" applyBorder="1" applyAlignment="1" applyProtection="1">
      <alignment horizontal="center" vertical="center"/>
      <protection hidden="1"/>
    </xf>
    <xf numFmtId="20" fontId="70" fillId="9" borderId="53" xfId="0" applyNumberFormat="1" applyFont="1" applyFill="1" applyBorder="1" applyAlignment="1" applyProtection="1">
      <alignment horizontal="center" vertical="center"/>
      <protection hidden="1"/>
    </xf>
    <xf numFmtId="20" fontId="88" fillId="9" borderId="52" xfId="0" applyNumberFormat="1" applyFont="1" applyFill="1" applyBorder="1" applyAlignment="1" applyProtection="1">
      <alignment horizontal="center" vertical="center"/>
      <protection hidden="1"/>
    </xf>
    <xf numFmtId="0" fontId="104" fillId="8" borderId="58" xfId="0" applyFont="1" applyFill="1" applyBorder="1" applyAlignment="1">
      <alignment horizontal="center"/>
    </xf>
    <xf numFmtId="0" fontId="104" fillId="8" borderId="59" xfId="0" applyFont="1" applyFill="1" applyBorder="1" applyAlignment="1">
      <alignment horizontal="center"/>
    </xf>
    <xf numFmtId="0" fontId="104" fillId="8" borderId="60" xfId="0" applyFont="1" applyFill="1" applyBorder="1" applyAlignment="1">
      <alignment horizontal="center"/>
    </xf>
    <xf numFmtId="16" fontId="88" fillId="9" borderId="47" xfId="0" applyNumberFormat="1" applyFont="1" applyFill="1" applyBorder="1" applyAlignment="1" applyProtection="1">
      <alignment horizontal="center" vertical="center"/>
      <protection hidden="1"/>
    </xf>
    <xf numFmtId="20" fontId="88" fillId="9" borderId="47" xfId="0" applyNumberFormat="1" applyFont="1" applyFill="1" applyBorder="1" applyAlignment="1" applyProtection="1">
      <alignment horizontal="center" vertical="center"/>
      <protection hidden="1"/>
    </xf>
    <xf numFmtId="20" fontId="70" fillId="9" borderId="47" xfId="0" applyNumberFormat="1" applyFont="1" applyFill="1" applyBorder="1" applyAlignment="1" applyProtection="1">
      <alignment horizontal="center" vertical="center"/>
      <protection hidden="1"/>
    </xf>
    <xf numFmtId="20" fontId="70" fillId="9" borderId="48" xfId="0" applyNumberFormat="1" applyFont="1" applyFill="1" applyBorder="1" applyAlignment="1" applyProtection="1">
      <alignment horizontal="center" vertical="center"/>
      <protection hidden="1"/>
    </xf>
    <xf numFmtId="0" fontId="86" fillId="7" borderId="13" xfId="0" applyFont="1" applyFill="1" applyBorder="1" applyAlignment="1">
      <alignment horizontal="left" indent="3"/>
    </xf>
    <xf numFmtId="0" fontId="87" fillId="7" borderId="14" xfId="0" applyFont="1" applyFill="1" applyBorder="1" applyAlignment="1">
      <alignment horizontal="left" indent="3"/>
    </xf>
    <xf numFmtId="0" fontId="87" fillId="7" borderId="61" xfId="0" applyFont="1" applyFill="1" applyBorder="1" applyAlignment="1">
      <alignment horizontal="left" indent="3"/>
    </xf>
    <xf numFmtId="0" fontId="87" fillId="7" borderId="62" xfId="0" applyFont="1" applyFill="1" applyBorder="1" applyAlignment="1">
      <alignment horizontal="left" indent="3"/>
    </xf>
    <xf numFmtId="0" fontId="87" fillId="7" borderId="63" xfId="0" applyFont="1" applyFill="1" applyBorder="1" applyAlignment="1">
      <alignment horizontal="left" indent="3"/>
    </xf>
    <xf numFmtId="0" fontId="87" fillId="7" borderId="64" xfId="0" applyFont="1" applyFill="1" applyBorder="1" applyAlignment="1">
      <alignment horizontal="left" indent="3"/>
    </xf>
    <xf numFmtId="0" fontId="151" fillId="5" borderId="0" xfId="1" applyFont="1" applyFill="1" applyAlignment="1" applyProtection="1">
      <alignment horizontal="center"/>
      <protection hidden="1"/>
    </xf>
    <xf numFmtId="0" fontId="140" fillId="9" borderId="1" xfId="0" applyFont="1" applyFill="1" applyBorder="1" applyAlignment="1" applyProtection="1">
      <alignment horizontal="center" vertical="center"/>
      <protection hidden="1"/>
    </xf>
    <xf numFmtId="0" fontId="104" fillId="8" borderId="58" xfId="0" applyFont="1" applyFill="1" applyBorder="1" applyAlignment="1" applyProtection="1">
      <alignment horizontal="center"/>
      <protection hidden="1"/>
    </xf>
    <xf numFmtId="0" fontId="104" fillId="8" borderId="59" xfId="0" applyFont="1" applyFill="1" applyBorder="1" applyAlignment="1" applyProtection="1">
      <alignment horizontal="center"/>
      <protection hidden="1"/>
    </xf>
    <xf numFmtId="0" fontId="104" fillId="8" borderId="63" xfId="0" applyFont="1" applyFill="1" applyBorder="1" applyAlignment="1" applyProtection="1">
      <alignment horizontal="center"/>
      <protection hidden="1"/>
    </xf>
    <xf numFmtId="0" fontId="104" fillId="8" borderId="60" xfId="0" applyFont="1" applyFill="1" applyBorder="1" applyAlignment="1" applyProtection="1">
      <alignment horizontal="center"/>
      <protection hidden="1"/>
    </xf>
    <xf numFmtId="0" fontId="61" fillId="8" borderId="76" xfId="0" applyFont="1" applyFill="1" applyBorder="1" applyAlignment="1">
      <alignment horizontal="center"/>
    </xf>
    <xf numFmtId="0" fontId="61" fillId="8" borderId="77" xfId="0" applyFont="1" applyFill="1" applyBorder="1" applyAlignment="1">
      <alignment horizontal="center"/>
    </xf>
    <xf numFmtId="0" fontId="62" fillId="8" borderId="77" xfId="0" applyFont="1" applyFill="1" applyBorder="1" applyAlignment="1">
      <alignment horizontal="left"/>
    </xf>
    <xf numFmtId="9" fontId="146" fillId="7" borderId="0" xfId="2" applyFont="1" applyFill="1" applyAlignment="1">
      <alignment horizontal="center" vertical="center"/>
    </xf>
    <xf numFmtId="0" fontId="65" fillId="7" borderId="0" xfId="0" applyFont="1" applyFill="1" applyAlignment="1">
      <alignment horizontal="center" vertical="top"/>
    </xf>
    <xf numFmtId="0" fontId="147" fillId="7" borderId="0" xfId="0" applyFont="1" applyFill="1" applyAlignment="1">
      <alignment horizontal="center" vertical="center"/>
    </xf>
    <xf numFmtId="0" fontId="98" fillId="6" borderId="104" xfId="0" applyFont="1" applyFill="1" applyBorder="1" applyAlignment="1" applyProtection="1">
      <alignment horizontal="center" vertical="center"/>
      <protection hidden="1"/>
    </xf>
    <xf numFmtId="0" fontId="98" fillId="6" borderId="105" xfId="0" applyFont="1" applyFill="1" applyBorder="1" applyAlignment="1" applyProtection="1">
      <alignment horizontal="center" vertical="center"/>
      <protection hidden="1"/>
    </xf>
    <xf numFmtId="0" fontId="98" fillId="6" borderId="106" xfId="0" applyFont="1" applyFill="1" applyBorder="1" applyAlignment="1" applyProtection="1">
      <alignment horizontal="center" vertical="center"/>
      <protection hidden="1"/>
    </xf>
    <xf numFmtId="0" fontId="61" fillId="8" borderId="89" xfId="0" applyFont="1" applyFill="1" applyBorder="1" applyAlignment="1">
      <alignment horizontal="center"/>
    </xf>
    <xf numFmtId="0" fontId="61" fillId="8" borderId="90" xfId="0" applyFont="1" applyFill="1" applyBorder="1" applyAlignment="1">
      <alignment horizontal="center"/>
    </xf>
    <xf numFmtId="0" fontId="61" fillId="8" borderId="90" xfId="0" applyFont="1" applyFill="1" applyBorder="1" applyAlignment="1">
      <alignment horizontal="center" vertical="center"/>
    </xf>
    <xf numFmtId="0" fontId="62" fillId="8" borderId="90" xfId="0" applyFont="1" applyFill="1" applyBorder="1" applyAlignment="1">
      <alignment horizontal="left" vertical="center"/>
    </xf>
    <xf numFmtId="0" fontId="119" fillId="7" borderId="0" xfId="0" applyFont="1" applyFill="1" applyAlignment="1">
      <alignment horizontal="center" vertical="top"/>
    </xf>
    <xf numFmtId="0" fontId="64" fillId="0" borderId="0" xfId="0" applyFont="1" applyAlignment="1" applyProtection="1">
      <alignment horizontal="center"/>
      <protection hidden="1"/>
    </xf>
  </cellXfs>
  <cellStyles count="3">
    <cellStyle name="Hyperlink" xfId="1" builtinId="8"/>
    <cellStyle name="Normal" xfId="0" builtinId="0"/>
    <cellStyle name="Percent" xfId="2" builtinId="5"/>
  </cellStyles>
  <dxfs count="3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dxf>
    <dxf>
      <font>
        <color rgb="FFFFFF00"/>
      </font>
    </dxf>
    <dxf>
      <font>
        <color rgb="FF00B050"/>
      </font>
    </dxf>
    <dxf>
      <border>
        <right style="thin">
          <color theme="0"/>
        </right>
        <vertical/>
        <horizontal/>
      </border>
    </dxf>
    <dxf>
      <border>
        <bottom style="thin">
          <color theme="0"/>
        </bottom>
        <vertical/>
        <horizontal/>
      </border>
    </dxf>
    <dxf>
      <fill>
        <patternFill>
          <bgColor theme="0" tint="-0.14996795556505021"/>
        </patternFill>
      </fill>
    </dxf>
    <dxf>
      <border>
        <top style="thin">
          <color theme="1" tint="0.34998626667073579"/>
        </top>
        <vertical/>
        <horizontal/>
      </border>
    </dxf>
    <dxf>
      <border>
        <left style="thin">
          <color theme="1" tint="0.34998626667073579"/>
        </left>
        <vertical/>
        <horizontal/>
      </border>
    </dxf>
    <dxf>
      <font>
        <color theme="0"/>
      </font>
      <fill>
        <patternFill>
          <bgColor rgb="FF0070C0"/>
        </patternFill>
      </fill>
      <border>
        <left style="thin">
          <color theme="0" tint="-0.14996795556505021"/>
        </left>
        <right style="thin">
          <color auto="1"/>
        </right>
        <top style="thin">
          <color theme="0" tint="-0.14996795556505021"/>
        </top>
        <bottom style="thin">
          <color auto="1"/>
        </bottom>
      </border>
    </dxf>
    <dxf>
      <font>
        <b/>
        <i val="0"/>
        <color rgb="FF993300"/>
      </font>
      <fill>
        <patternFill>
          <bgColor theme="9" tint="0.59996337778862885"/>
        </patternFill>
      </fill>
    </dxf>
    <dxf>
      <fill>
        <patternFill>
          <bgColor indexed="47"/>
        </patternFill>
      </fill>
      <border>
        <left style="thin">
          <color indexed="60"/>
        </left>
        <right style="thin">
          <color indexed="60"/>
        </right>
        <top style="thin">
          <color indexed="60"/>
        </top>
        <bottom style="thin">
          <color indexed="60"/>
        </bottom>
      </border>
    </dxf>
    <dxf>
      <fill>
        <patternFill>
          <bgColor indexed="47"/>
        </patternFill>
      </fill>
      <border>
        <left style="thin">
          <color indexed="52"/>
        </left>
        <right style="thin">
          <color indexed="52"/>
        </right>
        <top style="thin">
          <color indexed="52"/>
        </top>
        <bottom style="thin">
          <color indexed="52"/>
        </bottom>
      </border>
    </dxf>
    <dxf>
      <font>
        <b/>
        <i val="0"/>
        <condense val="0"/>
        <extend val="0"/>
      </font>
    </dxf>
    <dxf>
      <font>
        <b/>
        <i val="0"/>
        <condense val="0"/>
        <extend val="0"/>
      </font>
    </dxf>
    <dxf>
      <font>
        <b/>
        <i val="0"/>
        <condense val="0"/>
        <extend val="0"/>
      </font>
    </dxf>
    <dxf>
      <font>
        <color rgb="FF00B050"/>
      </font>
    </dxf>
    <dxf>
      <font>
        <b/>
        <i val="0"/>
        <color rgb="FF993300"/>
      </font>
      <fill>
        <patternFill>
          <bgColor theme="9" tint="0.59996337778862885"/>
        </patternFill>
      </fill>
    </dxf>
    <dxf>
      <font>
        <b/>
        <i val="0"/>
        <color rgb="FF993300"/>
      </font>
      <fill>
        <patternFill>
          <bgColor theme="9" tint="0.59996337778862885"/>
        </patternFill>
      </fill>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color rgb="FF00B050"/>
      </font>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color rgb="FF00B050"/>
      </font>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color rgb="FF00B050"/>
      </font>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ont>
        <b/>
        <i val="0"/>
        <color rgb="FF993300"/>
      </font>
      <fill>
        <patternFill>
          <bgColor theme="9" tint="0.59996337778862885"/>
        </patternFill>
      </fill>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ill>
        <patternFill>
          <bgColor indexed="47"/>
        </patternFill>
      </fill>
      <border>
        <left style="thin">
          <color indexed="52"/>
        </left>
        <right style="thin">
          <color indexed="52"/>
        </right>
        <top style="thin">
          <color indexed="52"/>
        </top>
        <bottom style="thin">
          <color indexed="52"/>
        </bottom>
      </border>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condense val="0"/>
        <extend val="0"/>
        <color indexed="60"/>
      </font>
    </dxf>
    <dxf>
      <font>
        <color rgb="FF008A3E"/>
      </font>
    </dxf>
    <dxf>
      <font>
        <color rgb="FFFFC00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lor rgb="FF002060"/>
      </font>
    </dxf>
    <dxf>
      <font>
        <b/>
        <i val="0"/>
        <color rgb="FF002060"/>
      </font>
    </dxf>
    <dxf>
      <font>
        <color rgb="FF993300"/>
      </font>
    </dxf>
    <dxf>
      <font>
        <condense val="0"/>
        <extend val="0"/>
        <color indexed="6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color theme="9" tint="-0.24994659260841701"/>
      </font>
    </dxf>
    <dxf>
      <font>
        <color rgb="FFC00000"/>
      </font>
    </dxf>
    <dxf>
      <font>
        <color rgb="FFC00000"/>
      </font>
    </dxf>
    <dxf>
      <font>
        <color rgb="FFC00000"/>
      </font>
    </dxf>
    <dxf>
      <font>
        <color rgb="FF002060"/>
      </font>
      <fill>
        <patternFill>
          <bgColor theme="9" tint="0.79998168889431442"/>
        </patternFill>
      </fill>
      <border>
        <left style="thin">
          <color theme="1" tint="0.14996795556505021"/>
        </left>
        <right style="thin">
          <color theme="0" tint="-4.9989318521683403E-2"/>
        </right>
        <top style="thin">
          <color theme="1" tint="0.14996795556505021"/>
        </top>
        <bottom style="thin">
          <color theme="0" tint="-4.9989318521683403E-2"/>
        </bottom>
        <vertical/>
        <horizontal/>
      </border>
    </dxf>
  </dxfs>
  <tableStyles count="1" defaultTableStyle="TableStyleMedium9" defaultPivotStyle="PivotStyleLight16">
    <tableStyle name="Invisible" pivot="0" table="0" count="0" xr9:uid="{EB2E74EE-600D-466B-93CA-1ED86299BD88}"/>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A3E"/>
      <color rgb="FF993300"/>
      <color rgb="FFFF6600"/>
      <color rgb="FF304FFE"/>
      <color rgb="FF92001C"/>
      <color rgb="FFFF3300"/>
      <color rgb="FFB4DE86"/>
      <color rgb="FFA0D56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8" Type="http://schemas.openxmlformats.org/officeDocument/2006/relationships/hyperlink" Target="#'- E -'!Q4"/><Relationship Id="rId13" Type="http://schemas.openxmlformats.org/officeDocument/2006/relationships/hyperlink" Target="#'- K -'!Q4"/><Relationship Id="rId18" Type="http://schemas.openxmlformats.org/officeDocument/2006/relationships/hyperlink" Target="#FINAL!A1"/><Relationship Id="rId3" Type="http://schemas.openxmlformats.org/officeDocument/2006/relationships/hyperlink" Target="#'- G -'!Q4"/><Relationship Id="rId21" Type="http://schemas.openxmlformats.org/officeDocument/2006/relationships/hyperlink" Target="#'- 3ros -'!Q4"/><Relationship Id="rId7" Type="http://schemas.openxmlformats.org/officeDocument/2006/relationships/hyperlink" Target="#'- D -'!Q4"/><Relationship Id="rId12" Type="http://schemas.openxmlformats.org/officeDocument/2006/relationships/hyperlink" Target="#'- J -'!Q4"/><Relationship Id="rId17" Type="http://schemas.openxmlformats.org/officeDocument/2006/relationships/hyperlink" Target="#Semifinal!Q4"/><Relationship Id="rId2" Type="http://schemas.openxmlformats.org/officeDocument/2006/relationships/hyperlink" Target="#'- F -'!Q4"/><Relationship Id="rId16" Type="http://schemas.openxmlformats.org/officeDocument/2006/relationships/hyperlink" Target="#'Cuartos de Final'!Q4"/><Relationship Id="rId20" Type="http://schemas.openxmlformats.org/officeDocument/2006/relationships/hyperlink" Target="#'16vos de Final'!Q4"/><Relationship Id="rId1" Type="http://schemas.openxmlformats.org/officeDocument/2006/relationships/image" Target="../media/image1.gif"/><Relationship Id="rId6" Type="http://schemas.openxmlformats.org/officeDocument/2006/relationships/hyperlink" Target="#'- B -'!Q4"/><Relationship Id="rId11" Type="http://schemas.openxmlformats.org/officeDocument/2006/relationships/hyperlink" Target="#'- I -'!Q4"/><Relationship Id="rId5" Type="http://schemas.openxmlformats.org/officeDocument/2006/relationships/hyperlink" Target="#'- A -'!Q4"/><Relationship Id="rId15" Type="http://schemas.openxmlformats.org/officeDocument/2006/relationships/hyperlink" Target="#'Octavos de Final'!A1"/><Relationship Id="rId23" Type="http://schemas.openxmlformats.org/officeDocument/2006/relationships/image" Target="../media/image3.png"/><Relationship Id="rId10" Type="http://schemas.openxmlformats.org/officeDocument/2006/relationships/hyperlink" Target="#menu!D4"/><Relationship Id="rId19" Type="http://schemas.openxmlformats.org/officeDocument/2006/relationships/hyperlink" Target="#Resumen!B2"/><Relationship Id="rId4" Type="http://schemas.openxmlformats.org/officeDocument/2006/relationships/hyperlink" Target="#'- H -'!Q4"/><Relationship Id="rId9" Type="http://schemas.openxmlformats.org/officeDocument/2006/relationships/hyperlink" Target="#'- C -'!Q4"/><Relationship Id="rId14" Type="http://schemas.openxmlformats.org/officeDocument/2006/relationships/hyperlink" Target="#'- L -'!Q4"/><Relationship Id="rId22"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26" Type="http://schemas.openxmlformats.org/officeDocument/2006/relationships/image" Target="../media/image8.png"/><Relationship Id="rId3" Type="http://schemas.openxmlformats.org/officeDocument/2006/relationships/image" Target="../media/image5.jpe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4.jpe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hyperlink" Target="http://www.google.com.co/imgres?hl=es&amp;biw=1525&amp;bih=666&amp;tbm=isch&amp;tbnid=x1P-il2U942SwM:&amp;imgrefurl=http://blogmatatena.wordpress.com/2010/11/06/ciencia-y-tecnologia-7/&amp;docid=UzTdRcZzgX3IfM&amp;imgurl=http://blogmatatena.files.wordpress.com/2010/11/bandera-mexico.gif&amp;w=624&amp;h=370&amp;ei=DirHUriJIIrwkQec4IDwBQ&amp;zoom=1&amp;iact=rc&amp;page=1&amp;tbnh=137&amp;tbnw=179&amp;start=0&amp;ndsp=27&amp;ved=1t:429,r:2,s:0,i:88&amp;tx=108&amp;ty=101" TargetMode="External"/><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6.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3.xml.rels><?xml version="1.0" encoding="UTF-8" standalone="yes"?>
<Relationships xmlns="http://schemas.openxmlformats.org/package/2006/relationships"><Relationship Id="rId8" Type="http://schemas.openxmlformats.org/officeDocument/2006/relationships/hyperlink" Target="#'- B -'!Q4"/><Relationship Id="rId13" Type="http://schemas.openxmlformats.org/officeDocument/2006/relationships/hyperlink" Target="#'- I -'!Q4"/><Relationship Id="rId18" Type="http://schemas.openxmlformats.org/officeDocument/2006/relationships/hyperlink" Target="#'Cuartos de Final'!Q4"/><Relationship Id="rId3" Type="http://schemas.openxmlformats.org/officeDocument/2006/relationships/image" Target="../media/image11.png"/><Relationship Id="rId21" Type="http://schemas.openxmlformats.org/officeDocument/2006/relationships/hyperlink" Target="#Resumen!B2"/><Relationship Id="rId7" Type="http://schemas.openxmlformats.org/officeDocument/2006/relationships/hyperlink" Target="#'- A -'!Q4"/><Relationship Id="rId12" Type="http://schemas.openxmlformats.org/officeDocument/2006/relationships/hyperlink" Target="#menu!D4"/><Relationship Id="rId17" Type="http://schemas.openxmlformats.org/officeDocument/2006/relationships/hyperlink" Target="#'Octavos de Final'!A1"/><Relationship Id="rId25" Type="http://schemas.openxmlformats.org/officeDocument/2006/relationships/image" Target="../media/image12.png"/><Relationship Id="rId2" Type="http://schemas.openxmlformats.org/officeDocument/2006/relationships/image" Target="../media/image10.png"/><Relationship Id="rId16" Type="http://schemas.openxmlformats.org/officeDocument/2006/relationships/hyperlink" Target="#'- L -'!Q4"/><Relationship Id="rId20" Type="http://schemas.openxmlformats.org/officeDocument/2006/relationships/hyperlink" Target="#FINAL!A1"/><Relationship Id="rId1" Type="http://schemas.openxmlformats.org/officeDocument/2006/relationships/image" Target="../media/image9.png"/><Relationship Id="rId6" Type="http://schemas.openxmlformats.org/officeDocument/2006/relationships/hyperlink" Target="#'- H -'!Q4"/><Relationship Id="rId11" Type="http://schemas.openxmlformats.org/officeDocument/2006/relationships/hyperlink" Target="#'- C -'!Q4"/><Relationship Id="rId24" Type="http://schemas.openxmlformats.org/officeDocument/2006/relationships/image" Target="../media/image7.png"/><Relationship Id="rId5" Type="http://schemas.openxmlformats.org/officeDocument/2006/relationships/hyperlink" Target="#'- G -'!Q4"/><Relationship Id="rId15" Type="http://schemas.openxmlformats.org/officeDocument/2006/relationships/hyperlink" Target="#'- K -'!Q4"/><Relationship Id="rId23" Type="http://schemas.openxmlformats.org/officeDocument/2006/relationships/hyperlink" Target="#'- 3ros -'!Q4"/><Relationship Id="rId10" Type="http://schemas.openxmlformats.org/officeDocument/2006/relationships/hyperlink" Target="#'- E -'!Q4"/><Relationship Id="rId19" Type="http://schemas.openxmlformats.org/officeDocument/2006/relationships/hyperlink" Target="#Semifinal!Q4"/><Relationship Id="rId4" Type="http://schemas.openxmlformats.org/officeDocument/2006/relationships/hyperlink" Target="#'- F -'!Q4"/><Relationship Id="rId9" Type="http://schemas.openxmlformats.org/officeDocument/2006/relationships/hyperlink" Target="#'- D -'!Q4"/><Relationship Id="rId14" Type="http://schemas.openxmlformats.org/officeDocument/2006/relationships/hyperlink" Target="#'- J -'!Q4"/><Relationship Id="rId22" Type="http://schemas.openxmlformats.org/officeDocument/2006/relationships/hyperlink" Target="#'16vos de Final'!Q4"/></Relationships>
</file>

<file path=xl/drawings/_rels/drawing4.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15.pn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14.pn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13.png"/><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16.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5.xml.rels><?xml version="1.0" encoding="UTF-8" standalone="yes"?>
<Relationships xmlns="http://schemas.openxmlformats.org/package/2006/relationships"><Relationship Id="rId8" Type="http://schemas.openxmlformats.org/officeDocument/2006/relationships/hyperlink" Target="#'- B -'!Q4"/><Relationship Id="rId13" Type="http://schemas.openxmlformats.org/officeDocument/2006/relationships/hyperlink" Target="#'- I -'!Q4"/><Relationship Id="rId18" Type="http://schemas.openxmlformats.org/officeDocument/2006/relationships/hyperlink" Target="#'Cuartos de Final'!Q4"/><Relationship Id="rId3" Type="http://schemas.openxmlformats.org/officeDocument/2006/relationships/image" Target="../media/image19.png"/><Relationship Id="rId21" Type="http://schemas.openxmlformats.org/officeDocument/2006/relationships/hyperlink" Target="#Resumen!B2"/><Relationship Id="rId7" Type="http://schemas.openxmlformats.org/officeDocument/2006/relationships/hyperlink" Target="#'- A -'!Q4"/><Relationship Id="rId12" Type="http://schemas.openxmlformats.org/officeDocument/2006/relationships/hyperlink" Target="#menu!D4"/><Relationship Id="rId17" Type="http://schemas.openxmlformats.org/officeDocument/2006/relationships/hyperlink" Target="#'Octavos de Final'!A1"/><Relationship Id="rId25" Type="http://schemas.openxmlformats.org/officeDocument/2006/relationships/image" Target="../media/image20.png"/><Relationship Id="rId2" Type="http://schemas.openxmlformats.org/officeDocument/2006/relationships/image" Target="../media/image18.png"/><Relationship Id="rId16" Type="http://schemas.openxmlformats.org/officeDocument/2006/relationships/hyperlink" Target="#'- L -'!Q4"/><Relationship Id="rId20" Type="http://schemas.openxmlformats.org/officeDocument/2006/relationships/hyperlink" Target="#FINAL!A1"/><Relationship Id="rId1" Type="http://schemas.openxmlformats.org/officeDocument/2006/relationships/image" Target="../media/image17.png"/><Relationship Id="rId6" Type="http://schemas.openxmlformats.org/officeDocument/2006/relationships/hyperlink" Target="#'- H -'!Q4"/><Relationship Id="rId11" Type="http://schemas.openxmlformats.org/officeDocument/2006/relationships/hyperlink" Target="#'- C -'!Q4"/><Relationship Id="rId24" Type="http://schemas.openxmlformats.org/officeDocument/2006/relationships/image" Target="../media/image7.png"/><Relationship Id="rId5" Type="http://schemas.openxmlformats.org/officeDocument/2006/relationships/hyperlink" Target="#'- G -'!Q4"/><Relationship Id="rId15" Type="http://schemas.openxmlformats.org/officeDocument/2006/relationships/hyperlink" Target="#'- K -'!Q4"/><Relationship Id="rId23" Type="http://schemas.openxmlformats.org/officeDocument/2006/relationships/hyperlink" Target="#'- 3ros -'!Q4"/><Relationship Id="rId10" Type="http://schemas.openxmlformats.org/officeDocument/2006/relationships/hyperlink" Target="#'- E -'!Q4"/><Relationship Id="rId19" Type="http://schemas.openxmlformats.org/officeDocument/2006/relationships/hyperlink" Target="#Semifinal!Q4"/><Relationship Id="rId4" Type="http://schemas.openxmlformats.org/officeDocument/2006/relationships/hyperlink" Target="#'- F -'!Q4"/><Relationship Id="rId9" Type="http://schemas.openxmlformats.org/officeDocument/2006/relationships/hyperlink" Target="#'- D -'!Q4"/><Relationship Id="rId14" Type="http://schemas.openxmlformats.org/officeDocument/2006/relationships/hyperlink" Target="#'- J -'!Q4"/><Relationship Id="rId22" Type="http://schemas.openxmlformats.org/officeDocument/2006/relationships/hyperlink" Target="#'16vos de Final'!Q4"/></Relationships>
</file>

<file path=xl/drawings/_rels/drawing6.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23.pn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22.pn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21.png"/><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24.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7.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26" Type="http://schemas.openxmlformats.org/officeDocument/2006/relationships/image" Target="../media/image28.png"/><Relationship Id="rId3" Type="http://schemas.openxmlformats.org/officeDocument/2006/relationships/image" Target="../media/image26.pn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25.pn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hyperlink" Target="http://www.google.com.co/imgres?hl=es&amp;biw=1525&amp;bih=666&amp;tbm=isch&amp;tbnid=aBXCKunAyiSI2M:&amp;imgrefurl=http://www.manuelbelgrano.gov.ar/bandera_colores.htm&amp;docid=BUbbo_cKGq4yQM&amp;imgurl=http://www.manuelbelgrano.gov.ar/img/bandera_bandera.jpg&amp;w=470&amp;h=293&amp;ei=GiXHUsXYCJTvkQeProHIBA&amp;zoom=1&amp;iact=rc&amp;page=1&amp;tbnh=139&amp;tbnw=223&amp;start=0&amp;ndsp=28&amp;ved=1t:429,r:3,s:0,i:93&amp;tx=72&amp;ty=72" TargetMode="External"/><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27.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8.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31.pn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30.pn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29.png"/><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32.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9.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35.pn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34.pn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33.png"/><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36.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10.xml.rels><?xml version="1.0" encoding="UTF-8" standalone="yes"?>
<Relationships xmlns="http://schemas.openxmlformats.org/package/2006/relationships"><Relationship Id="rId8" Type="http://schemas.openxmlformats.org/officeDocument/2006/relationships/hyperlink" Target="#'- B -'!Q4"/><Relationship Id="rId13" Type="http://schemas.openxmlformats.org/officeDocument/2006/relationships/hyperlink" Target="#'- I -'!Q4"/><Relationship Id="rId18" Type="http://schemas.openxmlformats.org/officeDocument/2006/relationships/hyperlink" Target="#'Cuartos de Final'!Q4"/><Relationship Id="rId3" Type="http://schemas.openxmlformats.org/officeDocument/2006/relationships/image" Target="../media/image39.png"/><Relationship Id="rId21" Type="http://schemas.openxmlformats.org/officeDocument/2006/relationships/hyperlink" Target="#Resumen!B2"/><Relationship Id="rId7" Type="http://schemas.openxmlformats.org/officeDocument/2006/relationships/hyperlink" Target="#'- A -'!Q4"/><Relationship Id="rId12" Type="http://schemas.openxmlformats.org/officeDocument/2006/relationships/hyperlink" Target="#menu!D4"/><Relationship Id="rId17" Type="http://schemas.openxmlformats.org/officeDocument/2006/relationships/hyperlink" Target="#'Octavos de Final'!A1"/><Relationship Id="rId25" Type="http://schemas.openxmlformats.org/officeDocument/2006/relationships/image" Target="../media/image40.png"/><Relationship Id="rId2" Type="http://schemas.openxmlformats.org/officeDocument/2006/relationships/image" Target="../media/image38.png"/><Relationship Id="rId16" Type="http://schemas.openxmlformats.org/officeDocument/2006/relationships/hyperlink" Target="#'- L -'!Q4"/><Relationship Id="rId20" Type="http://schemas.openxmlformats.org/officeDocument/2006/relationships/hyperlink" Target="#FINAL!A1"/><Relationship Id="rId1" Type="http://schemas.openxmlformats.org/officeDocument/2006/relationships/image" Target="../media/image37.png"/><Relationship Id="rId6" Type="http://schemas.openxmlformats.org/officeDocument/2006/relationships/hyperlink" Target="#'- H -'!Q4"/><Relationship Id="rId11" Type="http://schemas.openxmlformats.org/officeDocument/2006/relationships/hyperlink" Target="#'- C -'!Q4"/><Relationship Id="rId24" Type="http://schemas.openxmlformats.org/officeDocument/2006/relationships/image" Target="../media/image7.png"/><Relationship Id="rId5" Type="http://schemas.openxmlformats.org/officeDocument/2006/relationships/hyperlink" Target="#'- G -'!Q4"/><Relationship Id="rId15" Type="http://schemas.openxmlformats.org/officeDocument/2006/relationships/hyperlink" Target="#'- K -'!Q4"/><Relationship Id="rId23" Type="http://schemas.openxmlformats.org/officeDocument/2006/relationships/hyperlink" Target="#'- 3ros -'!Q4"/><Relationship Id="rId10" Type="http://schemas.openxmlformats.org/officeDocument/2006/relationships/hyperlink" Target="#'- E -'!Q4"/><Relationship Id="rId19" Type="http://schemas.openxmlformats.org/officeDocument/2006/relationships/hyperlink" Target="#Semifinal!Q4"/><Relationship Id="rId4" Type="http://schemas.openxmlformats.org/officeDocument/2006/relationships/hyperlink" Target="#'- F -'!Q4"/><Relationship Id="rId9" Type="http://schemas.openxmlformats.org/officeDocument/2006/relationships/hyperlink" Target="#'- D -'!Q4"/><Relationship Id="rId14" Type="http://schemas.openxmlformats.org/officeDocument/2006/relationships/hyperlink" Target="#'- J -'!Q4"/><Relationship Id="rId22" Type="http://schemas.openxmlformats.org/officeDocument/2006/relationships/hyperlink" Target="#'16vos de Final'!Q4"/></Relationships>
</file>

<file path=xl/drawings/_rels/drawing11.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43.pn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42.pn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41.png"/><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44.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12.xml.rels><?xml version="1.0" encoding="UTF-8" standalone="yes"?>
<Relationships xmlns="http://schemas.openxmlformats.org/package/2006/relationships"><Relationship Id="rId8" Type="http://schemas.openxmlformats.org/officeDocument/2006/relationships/hyperlink" Target="#'- B -'!Q4"/><Relationship Id="rId13" Type="http://schemas.openxmlformats.org/officeDocument/2006/relationships/hyperlink" Target="#'- I -'!Q4"/><Relationship Id="rId18" Type="http://schemas.openxmlformats.org/officeDocument/2006/relationships/hyperlink" Target="#'Cuartos de Final'!Q4"/><Relationship Id="rId3" Type="http://schemas.openxmlformats.org/officeDocument/2006/relationships/image" Target="../media/image47.png"/><Relationship Id="rId21" Type="http://schemas.openxmlformats.org/officeDocument/2006/relationships/hyperlink" Target="#Resumen!B2"/><Relationship Id="rId7" Type="http://schemas.openxmlformats.org/officeDocument/2006/relationships/hyperlink" Target="#'- A -'!Q4"/><Relationship Id="rId12" Type="http://schemas.openxmlformats.org/officeDocument/2006/relationships/hyperlink" Target="#menu!D4"/><Relationship Id="rId17" Type="http://schemas.openxmlformats.org/officeDocument/2006/relationships/hyperlink" Target="#'Octavos de Final'!A1"/><Relationship Id="rId25" Type="http://schemas.openxmlformats.org/officeDocument/2006/relationships/image" Target="../media/image48.gif"/><Relationship Id="rId2" Type="http://schemas.openxmlformats.org/officeDocument/2006/relationships/image" Target="../media/image46.png"/><Relationship Id="rId16" Type="http://schemas.openxmlformats.org/officeDocument/2006/relationships/hyperlink" Target="#'- L -'!Q4"/><Relationship Id="rId20" Type="http://schemas.openxmlformats.org/officeDocument/2006/relationships/hyperlink" Target="#FINAL!A1"/><Relationship Id="rId1" Type="http://schemas.openxmlformats.org/officeDocument/2006/relationships/image" Target="../media/image45.png"/><Relationship Id="rId6" Type="http://schemas.openxmlformats.org/officeDocument/2006/relationships/hyperlink" Target="#'- H -'!Q4"/><Relationship Id="rId11" Type="http://schemas.openxmlformats.org/officeDocument/2006/relationships/hyperlink" Target="#'- C -'!Q4"/><Relationship Id="rId24" Type="http://schemas.openxmlformats.org/officeDocument/2006/relationships/image" Target="../media/image7.png"/><Relationship Id="rId5" Type="http://schemas.openxmlformats.org/officeDocument/2006/relationships/hyperlink" Target="#'- G -'!Q4"/><Relationship Id="rId15" Type="http://schemas.openxmlformats.org/officeDocument/2006/relationships/hyperlink" Target="#'- K -'!Q4"/><Relationship Id="rId23" Type="http://schemas.openxmlformats.org/officeDocument/2006/relationships/hyperlink" Target="#'- 3ros -'!Q4"/><Relationship Id="rId10" Type="http://schemas.openxmlformats.org/officeDocument/2006/relationships/hyperlink" Target="#'- E -'!Q4"/><Relationship Id="rId19" Type="http://schemas.openxmlformats.org/officeDocument/2006/relationships/hyperlink" Target="#Semifinal!Q4"/><Relationship Id="rId4" Type="http://schemas.openxmlformats.org/officeDocument/2006/relationships/hyperlink" Target="#'- F -'!Q4"/><Relationship Id="rId9" Type="http://schemas.openxmlformats.org/officeDocument/2006/relationships/hyperlink" Target="#'- D -'!Q4"/><Relationship Id="rId14" Type="http://schemas.openxmlformats.org/officeDocument/2006/relationships/hyperlink" Target="#'- J -'!Q4"/><Relationship Id="rId22" Type="http://schemas.openxmlformats.org/officeDocument/2006/relationships/hyperlink" Target="#'16vos de Final'!Q4"/></Relationships>
</file>

<file path=xl/drawings/_rels/drawing13.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51.png"/><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50.png"/><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49.png"/><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52.png"/><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14.xml.rels><?xml version="1.0" encoding="UTF-8" standalone="yes"?>
<Relationships xmlns="http://schemas.openxmlformats.org/package/2006/relationships"><Relationship Id="rId8" Type="http://schemas.openxmlformats.org/officeDocument/2006/relationships/hyperlink" Target="#'- C -'!Q4"/><Relationship Id="rId13" Type="http://schemas.openxmlformats.org/officeDocument/2006/relationships/hyperlink" Target="#'- L -'!Q4"/><Relationship Id="rId18" Type="http://schemas.openxmlformats.org/officeDocument/2006/relationships/hyperlink" Target="#Resumen!B2"/><Relationship Id="rId3" Type="http://schemas.openxmlformats.org/officeDocument/2006/relationships/hyperlink" Target="#'- H -'!Q4"/><Relationship Id="rId21" Type="http://schemas.openxmlformats.org/officeDocument/2006/relationships/image" Target="../media/image7.png"/><Relationship Id="rId7" Type="http://schemas.openxmlformats.org/officeDocument/2006/relationships/hyperlink" Target="#'- E -'!Q4"/><Relationship Id="rId12" Type="http://schemas.openxmlformats.org/officeDocument/2006/relationships/hyperlink" Target="#'- K -'!Q4"/><Relationship Id="rId17" Type="http://schemas.openxmlformats.org/officeDocument/2006/relationships/hyperlink" Target="#FINAL!A1"/><Relationship Id="rId2" Type="http://schemas.openxmlformats.org/officeDocument/2006/relationships/hyperlink" Target="#'- G -'!Q4"/><Relationship Id="rId16" Type="http://schemas.openxmlformats.org/officeDocument/2006/relationships/hyperlink" Target="#Semifinal!Q4"/><Relationship Id="rId20" Type="http://schemas.openxmlformats.org/officeDocument/2006/relationships/hyperlink" Target="#'- 3ros -'!Q4"/><Relationship Id="rId1" Type="http://schemas.openxmlformats.org/officeDocument/2006/relationships/hyperlink" Target="#'- F -'!Q4"/><Relationship Id="rId6" Type="http://schemas.openxmlformats.org/officeDocument/2006/relationships/hyperlink" Target="#'- D -'!Q4"/><Relationship Id="rId11" Type="http://schemas.openxmlformats.org/officeDocument/2006/relationships/hyperlink" Target="#'- J -'!Q4"/><Relationship Id="rId5" Type="http://schemas.openxmlformats.org/officeDocument/2006/relationships/hyperlink" Target="#'- B -'!Q4"/><Relationship Id="rId15" Type="http://schemas.openxmlformats.org/officeDocument/2006/relationships/hyperlink" Target="#'Cuartos de Final'!Q4"/><Relationship Id="rId10" Type="http://schemas.openxmlformats.org/officeDocument/2006/relationships/hyperlink" Target="#'- I -'!Q4"/><Relationship Id="rId19" Type="http://schemas.openxmlformats.org/officeDocument/2006/relationships/hyperlink" Target="#'16vos de Final'!Q4"/><Relationship Id="rId4" Type="http://schemas.openxmlformats.org/officeDocument/2006/relationships/hyperlink" Target="#'- A -'!Q4"/><Relationship Id="rId9" Type="http://schemas.openxmlformats.org/officeDocument/2006/relationships/hyperlink" Target="#menu!D4"/><Relationship Id="rId14" Type="http://schemas.openxmlformats.org/officeDocument/2006/relationships/hyperlink" Target="#'Octavos de Final'!A1"/></Relationships>
</file>

<file path=xl/drawings/_rels/drawing15.xml.rels><?xml version="1.0" encoding="UTF-8" standalone="yes"?>
<Relationships xmlns="http://schemas.openxmlformats.org/package/2006/relationships"><Relationship Id="rId13" Type="http://schemas.openxmlformats.org/officeDocument/2006/relationships/image" Target="../media/image65.emf"/><Relationship Id="rId18" Type="http://schemas.openxmlformats.org/officeDocument/2006/relationships/hyperlink" Target="#'- G -'!Q4"/><Relationship Id="rId26" Type="http://schemas.openxmlformats.org/officeDocument/2006/relationships/hyperlink" Target="#'- I -'!Q4"/><Relationship Id="rId21" Type="http://schemas.openxmlformats.org/officeDocument/2006/relationships/hyperlink" Target="#'- B -'!Q4"/><Relationship Id="rId34" Type="http://schemas.openxmlformats.org/officeDocument/2006/relationships/hyperlink" Target="#Resumen!B2"/><Relationship Id="rId7" Type="http://schemas.openxmlformats.org/officeDocument/2006/relationships/image" Target="../media/image59.emf"/><Relationship Id="rId12" Type="http://schemas.openxmlformats.org/officeDocument/2006/relationships/image" Target="../media/image64.emf"/><Relationship Id="rId17" Type="http://schemas.openxmlformats.org/officeDocument/2006/relationships/hyperlink" Target="#'- F -'!Q4"/><Relationship Id="rId25" Type="http://schemas.openxmlformats.org/officeDocument/2006/relationships/hyperlink" Target="#menu!D4"/><Relationship Id="rId33" Type="http://schemas.openxmlformats.org/officeDocument/2006/relationships/hyperlink" Target="#FINAL!A1"/><Relationship Id="rId2" Type="http://schemas.openxmlformats.org/officeDocument/2006/relationships/image" Target="../media/image54.emf"/><Relationship Id="rId16" Type="http://schemas.openxmlformats.org/officeDocument/2006/relationships/image" Target="../media/image68.emf"/><Relationship Id="rId20" Type="http://schemas.openxmlformats.org/officeDocument/2006/relationships/hyperlink" Target="#'- A -'!Q4"/><Relationship Id="rId29" Type="http://schemas.openxmlformats.org/officeDocument/2006/relationships/hyperlink" Target="#'- L -'!Q4"/><Relationship Id="rId1" Type="http://schemas.openxmlformats.org/officeDocument/2006/relationships/image" Target="../media/image53.emf"/><Relationship Id="rId6" Type="http://schemas.openxmlformats.org/officeDocument/2006/relationships/image" Target="../media/image58.emf"/><Relationship Id="rId11" Type="http://schemas.openxmlformats.org/officeDocument/2006/relationships/image" Target="../media/image63.emf"/><Relationship Id="rId24" Type="http://schemas.openxmlformats.org/officeDocument/2006/relationships/hyperlink" Target="#'- C -'!Q4"/><Relationship Id="rId32" Type="http://schemas.openxmlformats.org/officeDocument/2006/relationships/hyperlink" Target="#Semifinal!Q4"/><Relationship Id="rId37" Type="http://schemas.openxmlformats.org/officeDocument/2006/relationships/image" Target="../media/image7.png"/><Relationship Id="rId5" Type="http://schemas.openxmlformats.org/officeDocument/2006/relationships/image" Target="../media/image57.emf"/><Relationship Id="rId15" Type="http://schemas.openxmlformats.org/officeDocument/2006/relationships/image" Target="../media/image67.emf"/><Relationship Id="rId23" Type="http://schemas.openxmlformats.org/officeDocument/2006/relationships/hyperlink" Target="#'- E -'!Q4"/><Relationship Id="rId28" Type="http://schemas.openxmlformats.org/officeDocument/2006/relationships/hyperlink" Target="#'- K -'!Q4"/><Relationship Id="rId36" Type="http://schemas.openxmlformats.org/officeDocument/2006/relationships/hyperlink" Target="#'- 3ros -'!Q4"/><Relationship Id="rId10" Type="http://schemas.openxmlformats.org/officeDocument/2006/relationships/image" Target="../media/image62.emf"/><Relationship Id="rId19" Type="http://schemas.openxmlformats.org/officeDocument/2006/relationships/hyperlink" Target="#'- H -'!Q4"/><Relationship Id="rId31" Type="http://schemas.openxmlformats.org/officeDocument/2006/relationships/hyperlink" Target="#'Cuartos de Final'!Q4"/><Relationship Id="rId4" Type="http://schemas.openxmlformats.org/officeDocument/2006/relationships/image" Target="../media/image56.emf"/><Relationship Id="rId9" Type="http://schemas.openxmlformats.org/officeDocument/2006/relationships/image" Target="../media/image61.emf"/><Relationship Id="rId14" Type="http://schemas.openxmlformats.org/officeDocument/2006/relationships/image" Target="../media/image66.emf"/><Relationship Id="rId22" Type="http://schemas.openxmlformats.org/officeDocument/2006/relationships/hyperlink" Target="#'- D -'!Q4"/><Relationship Id="rId27" Type="http://schemas.openxmlformats.org/officeDocument/2006/relationships/hyperlink" Target="#'- J -'!Q4"/><Relationship Id="rId30" Type="http://schemas.openxmlformats.org/officeDocument/2006/relationships/hyperlink" Target="#'Octavos de Final'!A1"/><Relationship Id="rId35" Type="http://schemas.openxmlformats.org/officeDocument/2006/relationships/hyperlink" Target="#'16vos de Final'!Q4"/><Relationship Id="rId8" Type="http://schemas.openxmlformats.org/officeDocument/2006/relationships/image" Target="../media/image60.emf"/><Relationship Id="rId3" Type="http://schemas.openxmlformats.org/officeDocument/2006/relationships/image" Target="../media/image55.emf"/></Relationships>
</file>

<file path=xl/drawings/_rels/drawing16.xml.rels><?xml version="1.0" encoding="UTF-8" standalone="yes"?>
<Relationships xmlns="http://schemas.openxmlformats.org/package/2006/relationships"><Relationship Id="rId8" Type="http://schemas.openxmlformats.org/officeDocument/2006/relationships/image" Target="../media/image92.emf"/><Relationship Id="rId13" Type="http://schemas.openxmlformats.org/officeDocument/2006/relationships/hyperlink" Target="#'- B -'!Q4"/><Relationship Id="rId18" Type="http://schemas.openxmlformats.org/officeDocument/2006/relationships/hyperlink" Target="#'- I -'!Q4"/><Relationship Id="rId26" Type="http://schemas.openxmlformats.org/officeDocument/2006/relationships/hyperlink" Target="#Resumen!B2"/><Relationship Id="rId3" Type="http://schemas.openxmlformats.org/officeDocument/2006/relationships/image" Target="../media/image87.emf"/><Relationship Id="rId21" Type="http://schemas.openxmlformats.org/officeDocument/2006/relationships/hyperlink" Target="#'- L -'!Q4"/><Relationship Id="rId7" Type="http://schemas.openxmlformats.org/officeDocument/2006/relationships/image" Target="../media/image91.emf"/><Relationship Id="rId12" Type="http://schemas.openxmlformats.org/officeDocument/2006/relationships/hyperlink" Target="#'- A -'!Q4"/><Relationship Id="rId17" Type="http://schemas.openxmlformats.org/officeDocument/2006/relationships/hyperlink" Target="#menu!D4"/><Relationship Id="rId25" Type="http://schemas.openxmlformats.org/officeDocument/2006/relationships/hyperlink" Target="#FINAL!A1"/><Relationship Id="rId2" Type="http://schemas.openxmlformats.org/officeDocument/2006/relationships/image" Target="../media/image86.emf"/><Relationship Id="rId16" Type="http://schemas.openxmlformats.org/officeDocument/2006/relationships/hyperlink" Target="#'- C -'!Q4"/><Relationship Id="rId20" Type="http://schemas.openxmlformats.org/officeDocument/2006/relationships/hyperlink" Target="#'- K -'!Q4"/><Relationship Id="rId29" Type="http://schemas.openxmlformats.org/officeDocument/2006/relationships/image" Target="../media/image7.png"/><Relationship Id="rId1" Type="http://schemas.openxmlformats.org/officeDocument/2006/relationships/image" Target="../media/image85.emf"/><Relationship Id="rId6" Type="http://schemas.openxmlformats.org/officeDocument/2006/relationships/image" Target="../media/image90.emf"/><Relationship Id="rId11" Type="http://schemas.openxmlformats.org/officeDocument/2006/relationships/hyperlink" Target="#'- H -'!Q4"/><Relationship Id="rId24" Type="http://schemas.openxmlformats.org/officeDocument/2006/relationships/hyperlink" Target="#Semifinal!Q4"/><Relationship Id="rId5" Type="http://schemas.openxmlformats.org/officeDocument/2006/relationships/image" Target="../media/image89.emf"/><Relationship Id="rId15" Type="http://schemas.openxmlformats.org/officeDocument/2006/relationships/hyperlink" Target="#'- E -'!Q4"/><Relationship Id="rId23" Type="http://schemas.openxmlformats.org/officeDocument/2006/relationships/hyperlink" Target="#'Cuartos de Final'!Q4"/><Relationship Id="rId28" Type="http://schemas.openxmlformats.org/officeDocument/2006/relationships/hyperlink" Target="#'- 3ros -'!Q4"/><Relationship Id="rId10" Type="http://schemas.openxmlformats.org/officeDocument/2006/relationships/hyperlink" Target="#'- G -'!Q4"/><Relationship Id="rId19" Type="http://schemas.openxmlformats.org/officeDocument/2006/relationships/hyperlink" Target="#'- J -'!Q4"/><Relationship Id="rId4" Type="http://schemas.openxmlformats.org/officeDocument/2006/relationships/image" Target="../media/image88.emf"/><Relationship Id="rId9" Type="http://schemas.openxmlformats.org/officeDocument/2006/relationships/hyperlink" Target="#'- F -'!Q4"/><Relationship Id="rId14" Type="http://schemas.openxmlformats.org/officeDocument/2006/relationships/hyperlink" Target="#'- D -'!Q4"/><Relationship Id="rId22" Type="http://schemas.openxmlformats.org/officeDocument/2006/relationships/hyperlink" Target="#'Octavos de Final'!A1"/><Relationship Id="rId27" Type="http://schemas.openxmlformats.org/officeDocument/2006/relationships/hyperlink" Target="#'16vos de Final'!Q4"/></Relationships>
</file>

<file path=xl/drawings/_rels/drawing17.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103.emf"/><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102.emf"/><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101.emf"/><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104.emf"/><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18.xml.rels><?xml version="1.0" encoding="UTF-8" standalone="yes"?>
<Relationships xmlns="http://schemas.openxmlformats.org/package/2006/relationships"><Relationship Id="rId8" Type="http://schemas.openxmlformats.org/officeDocument/2006/relationships/hyperlink" Target="#'- D -'!Q4"/><Relationship Id="rId13" Type="http://schemas.openxmlformats.org/officeDocument/2006/relationships/hyperlink" Target="#'- J -'!Q4"/><Relationship Id="rId18" Type="http://schemas.openxmlformats.org/officeDocument/2006/relationships/hyperlink" Target="#Semifinal!Q4"/><Relationship Id="rId3" Type="http://schemas.openxmlformats.org/officeDocument/2006/relationships/hyperlink" Target="#'- F -'!Q4"/><Relationship Id="rId21" Type="http://schemas.openxmlformats.org/officeDocument/2006/relationships/hyperlink" Target="#'16vos de Final'!Q4"/><Relationship Id="rId7" Type="http://schemas.openxmlformats.org/officeDocument/2006/relationships/hyperlink" Target="#'- B -'!Q4"/><Relationship Id="rId12" Type="http://schemas.openxmlformats.org/officeDocument/2006/relationships/hyperlink" Target="#'- I -'!Q4"/><Relationship Id="rId17" Type="http://schemas.openxmlformats.org/officeDocument/2006/relationships/hyperlink" Target="#'Cuartos de Final'!Q4"/><Relationship Id="rId2" Type="http://schemas.openxmlformats.org/officeDocument/2006/relationships/image" Target="../media/image87.emf"/><Relationship Id="rId16" Type="http://schemas.openxmlformats.org/officeDocument/2006/relationships/hyperlink" Target="#'Octavos de Final'!A1"/><Relationship Id="rId20" Type="http://schemas.openxmlformats.org/officeDocument/2006/relationships/hyperlink" Target="#Resumen!B2"/><Relationship Id="rId1" Type="http://schemas.openxmlformats.org/officeDocument/2006/relationships/image" Target="../media/image109.emf"/><Relationship Id="rId6" Type="http://schemas.openxmlformats.org/officeDocument/2006/relationships/hyperlink" Target="#'- A -'!Q4"/><Relationship Id="rId11" Type="http://schemas.openxmlformats.org/officeDocument/2006/relationships/hyperlink" Target="#menu!D4"/><Relationship Id="rId5" Type="http://schemas.openxmlformats.org/officeDocument/2006/relationships/hyperlink" Target="#'- H -'!Q4"/><Relationship Id="rId15" Type="http://schemas.openxmlformats.org/officeDocument/2006/relationships/hyperlink" Target="#'- L -'!Q4"/><Relationship Id="rId23" Type="http://schemas.openxmlformats.org/officeDocument/2006/relationships/image" Target="../media/image7.png"/><Relationship Id="rId10" Type="http://schemas.openxmlformats.org/officeDocument/2006/relationships/hyperlink" Target="#'- C -'!Q4"/><Relationship Id="rId19" Type="http://schemas.openxmlformats.org/officeDocument/2006/relationships/hyperlink" Target="#FINAL!A1"/><Relationship Id="rId4" Type="http://schemas.openxmlformats.org/officeDocument/2006/relationships/hyperlink" Target="#'- G -'!Q4"/><Relationship Id="rId9" Type="http://schemas.openxmlformats.org/officeDocument/2006/relationships/hyperlink" Target="#'- E -'!Q4"/><Relationship Id="rId14" Type="http://schemas.openxmlformats.org/officeDocument/2006/relationships/hyperlink" Target="#'- K -'!Q4"/><Relationship Id="rId22" Type="http://schemas.openxmlformats.org/officeDocument/2006/relationships/hyperlink" Target="#'- 3ros -'!Q4"/></Relationships>
</file>

<file path=xl/drawings/_rels/drawing19.xml.rels><?xml version="1.0" encoding="UTF-8" standalone="yes"?>
<Relationships xmlns="http://schemas.openxmlformats.org/package/2006/relationships"><Relationship Id="rId8" Type="http://schemas.openxmlformats.org/officeDocument/2006/relationships/hyperlink" Target="#'- A -'!Q4"/><Relationship Id="rId13" Type="http://schemas.openxmlformats.org/officeDocument/2006/relationships/hyperlink" Target="#menu!D4"/><Relationship Id="rId18" Type="http://schemas.openxmlformats.org/officeDocument/2006/relationships/hyperlink" Target="#'Octavos de Final'!A1"/><Relationship Id="rId3" Type="http://schemas.openxmlformats.org/officeDocument/2006/relationships/image" Target="../media/image113.emf"/><Relationship Id="rId21" Type="http://schemas.openxmlformats.org/officeDocument/2006/relationships/hyperlink" Target="#FINAL!A1"/><Relationship Id="rId7" Type="http://schemas.openxmlformats.org/officeDocument/2006/relationships/hyperlink" Target="#'- H -'!Q4"/><Relationship Id="rId12" Type="http://schemas.openxmlformats.org/officeDocument/2006/relationships/hyperlink" Target="#'- C -'!Q4"/><Relationship Id="rId17" Type="http://schemas.openxmlformats.org/officeDocument/2006/relationships/hyperlink" Target="#'- L -'!Q4"/><Relationship Id="rId25" Type="http://schemas.openxmlformats.org/officeDocument/2006/relationships/image" Target="../media/image7.png"/><Relationship Id="rId2" Type="http://schemas.openxmlformats.org/officeDocument/2006/relationships/image" Target="../media/image112.emf"/><Relationship Id="rId16" Type="http://schemas.openxmlformats.org/officeDocument/2006/relationships/hyperlink" Target="#'- K -'!Q4"/><Relationship Id="rId20" Type="http://schemas.openxmlformats.org/officeDocument/2006/relationships/hyperlink" Target="#Semifinal!Q4"/><Relationship Id="rId1" Type="http://schemas.openxmlformats.org/officeDocument/2006/relationships/image" Target="../media/image111.emf"/><Relationship Id="rId6" Type="http://schemas.openxmlformats.org/officeDocument/2006/relationships/hyperlink" Target="#'- G -'!Q4"/><Relationship Id="rId11" Type="http://schemas.openxmlformats.org/officeDocument/2006/relationships/hyperlink" Target="#'- E -'!Q4"/><Relationship Id="rId24" Type="http://schemas.openxmlformats.org/officeDocument/2006/relationships/hyperlink" Target="#'- 3ros -'!Q4"/><Relationship Id="rId5" Type="http://schemas.openxmlformats.org/officeDocument/2006/relationships/hyperlink" Target="#'- F -'!Q4"/><Relationship Id="rId15" Type="http://schemas.openxmlformats.org/officeDocument/2006/relationships/hyperlink" Target="#'- J -'!Q4"/><Relationship Id="rId23" Type="http://schemas.openxmlformats.org/officeDocument/2006/relationships/hyperlink" Target="#'16vos de Final'!Q4"/><Relationship Id="rId10" Type="http://schemas.openxmlformats.org/officeDocument/2006/relationships/hyperlink" Target="#'- D -'!Q4"/><Relationship Id="rId19" Type="http://schemas.openxmlformats.org/officeDocument/2006/relationships/hyperlink" Target="#'Cuartos de Final'!Q4"/><Relationship Id="rId4" Type="http://schemas.openxmlformats.org/officeDocument/2006/relationships/image" Target="../media/image87.emf"/><Relationship Id="rId9" Type="http://schemas.openxmlformats.org/officeDocument/2006/relationships/hyperlink" Target="#'- B -'!Q4"/><Relationship Id="rId14" Type="http://schemas.openxmlformats.org/officeDocument/2006/relationships/hyperlink" Target="#'- I -'!Q4"/><Relationship Id="rId22" Type="http://schemas.openxmlformats.org/officeDocument/2006/relationships/hyperlink" Target="#Resumen!B2"/></Relationships>
</file>

<file path=xl/drawings/_rels/drawing20.xml.rels><?xml version="1.0" encoding="UTF-8" standalone="yes"?>
<Relationships xmlns="http://schemas.openxmlformats.org/package/2006/relationships"><Relationship Id="rId8" Type="http://schemas.openxmlformats.org/officeDocument/2006/relationships/hyperlink" Target="#'- C -'!Q4"/><Relationship Id="rId13" Type="http://schemas.openxmlformats.org/officeDocument/2006/relationships/hyperlink" Target="#'- L -'!Q4"/><Relationship Id="rId18" Type="http://schemas.openxmlformats.org/officeDocument/2006/relationships/hyperlink" Target="#Resumen!B2"/><Relationship Id="rId3" Type="http://schemas.openxmlformats.org/officeDocument/2006/relationships/hyperlink" Target="#'- H -'!Q4"/><Relationship Id="rId21" Type="http://schemas.openxmlformats.org/officeDocument/2006/relationships/image" Target="../media/image117.emf"/><Relationship Id="rId7" Type="http://schemas.openxmlformats.org/officeDocument/2006/relationships/hyperlink" Target="#'- E -'!Q4"/><Relationship Id="rId12" Type="http://schemas.openxmlformats.org/officeDocument/2006/relationships/hyperlink" Target="#'- K -'!Q4"/><Relationship Id="rId17" Type="http://schemas.openxmlformats.org/officeDocument/2006/relationships/hyperlink" Target="#FINAL!A1"/><Relationship Id="rId2" Type="http://schemas.openxmlformats.org/officeDocument/2006/relationships/hyperlink" Target="#'- G -'!Q4"/><Relationship Id="rId16" Type="http://schemas.openxmlformats.org/officeDocument/2006/relationships/hyperlink" Target="#Semifinal!Q4"/><Relationship Id="rId20" Type="http://schemas.openxmlformats.org/officeDocument/2006/relationships/hyperlink" Target="#'- 3ros -'!Q4"/><Relationship Id="rId1" Type="http://schemas.openxmlformats.org/officeDocument/2006/relationships/hyperlink" Target="#'- F -'!Q4"/><Relationship Id="rId6" Type="http://schemas.openxmlformats.org/officeDocument/2006/relationships/hyperlink" Target="#'- D -'!Q4"/><Relationship Id="rId11" Type="http://schemas.openxmlformats.org/officeDocument/2006/relationships/hyperlink" Target="#'- J -'!Q4"/><Relationship Id="rId5" Type="http://schemas.openxmlformats.org/officeDocument/2006/relationships/hyperlink" Target="#'- B -'!Q4"/><Relationship Id="rId15" Type="http://schemas.openxmlformats.org/officeDocument/2006/relationships/hyperlink" Target="#'Cuartos de Final'!Q4"/><Relationship Id="rId10" Type="http://schemas.openxmlformats.org/officeDocument/2006/relationships/hyperlink" Target="#'- I -'!Q4"/><Relationship Id="rId19" Type="http://schemas.openxmlformats.org/officeDocument/2006/relationships/hyperlink" Target="#'16vos de Final'!Q4"/><Relationship Id="rId4" Type="http://schemas.openxmlformats.org/officeDocument/2006/relationships/hyperlink" Target="#'- A -'!Q4"/><Relationship Id="rId9" Type="http://schemas.openxmlformats.org/officeDocument/2006/relationships/hyperlink" Target="#menu!D4"/><Relationship Id="rId14" Type="http://schemas.openxmlformats.org/officeDocument/2006/relationships/hyperlink" Target="#'Octavos de Final'!A1"/><Relationship Id="rId22" Type="http://schemas.openxmlformats.org/officeDocument/2006/relationships/image" Target="../media/image118.emf"/></Relationships>
</file>

<file path=xl/drawings/_rels/drawing21.xml.rels><?xml version="1.0" encoding="UTF-8" standalone="yes"?>
<Relationships xmlns="http://schemas.openxmlformats.org/package/2006/relationships"><Relationship Id="rId13" Type="http://schemas.openxmlformats.org/officeDocument/2006/relationships/image" Target="../media/image132.png"/><Relationship Id="rId18" Type="http://schemas.openxmlformats.org/officeDocument/2006/relationships/image" Target="../media/image29.png"/><Relationship Id="rId26" Type="http://schemas.openxmlformats.org/officeDocument/2006/relationships/image" Target="../media/image37.png"/><Relationship Id="rId39" Type="http://schemas.openxmlformats.org/officeDocument/2006/relationships/image" Target="../media/image155.png"/><Relationship Id="rId21" Type="http://schemas.openxmlformats.org/officeDocument/2006/relationships/image" Target="../media/image138.png"/><Relationship Id="rId34" Type="http://schemas.openxmlformats.org/officeDocument/2006/relationships/image" Target="../media/image150.png"/><Relationship Id="rId42" Type="http://schemas.openxmlformats.org/officeDocument/2006/relationships/image" Target="../media/image158.png"/><Relationship Id="rId47" Type="http://schemas.openxmlformats.org/officeDocument/2006/relationships/image" Target="../media/image163.png"/><Relationship Id="rId7" Type="http://schemas.openxmlformats.org/officeDocument/2006/relationships/image" Target="../media/image127.png"/><Relationship Id="rId2" Type="http://schemas.openxmlformats.org/officeDocument/2006/relationships/image" Target="../media/image122.jpeg"/><Relationship Id="rId16" Type="http://schemas.openxmlformats.org/officeDocument/2006/relationships/image" Target="../media/image25.png"/><Relationship Id="rId29" Type="http://schemas.openxmlformats.org/officeDocument/2006/relationships/image" Target="../media/image145.png"/><Relationship Id="rId11" Type="http://schemas.openxmlformats.org/officeDocument/2006/relationships/image" Target="../media/image131.png"/><Relationship Id="rId24" Type="http://schemas.openxmlformats.org/officeDocument/2006/relationships/image" Target="../media/image141.png"/><Relationship Id="rId32" Type="http://schemas.openxmlformats.org/officeDocument/2006/relationships/image" Target="../media/image148.png"/><Relationship Id="rId37" Type="http://schemas.openxmlformats.org/officeDocument/2006/relationships/image" Target="../media/image153.png"/><Relationship Id="rId40" Type="http://schemas.openxmlformats.org/officeDocument/2006/relationships/image" Target="../media/image156.png"/><Relationship Id="rId45" Type="http://schemas.openxmlformats.org/officeDocument/2006/relationships/image" Target="../media/image161.png"/><Relationship Id="rId5" Type="http://schemas.openxmlformats.org/officeDocument/2006/relationships/image" Target="../media/image125.png"/><Relationship Id="rId15" Type="http://schemas.openxmlformats.org/officeDocument/2006/relationships/image" Target="../media/image134.png"/><Relationship Id="rId23" Type="http://schemas.openxmlformats.org/officeDocument/2006/relationships/image" Target="../media/image140.png"/><Relationship Id="rId28" Type="http://schemas.openxmlformats.org/officeDocument/2006/relationships/image" Target="../media/image144.png"/><Relationship Id="rId36" Type="http://schemas.openxmlformats.org/officeDocument/2006/relationships/image" Target="../media/image152.png"/><Relationship Id="rId49" Type="http://schemas.openxmlformats.org/officeDocument/2006/relationships/image" Target="../media/image164.png"/><Relationship Id="rId10" Type="http://schemas.openxmlformats.org/officeDocument/2006/relationships/image" Target="../media/image130.png"/><Relationship Id="rId19" Type="http://schemas.openxmlformats.org/officeDocument/2006/relationships/image" Target="../media/image136.png"/><Relationship Id="rId31" Type="http://schemas.openxmlformats.org/officeDocument/2006/relationships/image" Target="../media/image147.png"/><Relationship Id="rId44" Type="http://schemas.openxmlformats.org/officeDocument/2006/relationships/image" Target="../media/image160.png"/><Relationship Id="rId4" Type="http://schemas.openxmlformats.org/officeDocument/2006/relationships/image" Target="../media/image124.png"/><Relationship Id="rId9" Type="http://schemas.openxmlformats.org/officeDocument/2006/relationships/image" Target="../media/image129.png"/><Relationship Id="rId14" Type="http://schemas.openxmlformats.org/officeDocument/2006/relationships/image" Target="../media/image133.png"/><Relationship Id="rId22" Type="http://schemas.openxmlformats.org/officeDocument/2006/relationships/image" Target="../media/image139.png"/><Relationship Id="rId27" Type="http://schemas.openxmlformats.org/officeDocument/2006/relationships/image" Target="../media/image143.png"/><Relationship Id="rId30" Type="http://schemas.openxmlformats.org/officeDocument/2006/relationships/image" Target="../media/image146.png"/><Relationship Id="rId35" Type="http://schemas.openxmlformats.org/officeDocument/2006/relationships/image" Target="../media/image151.png"/><Relationship Id="rId43" Type="http://schemas.openxmlformats.org/officeDocument/2006/relationships/image" Target="../media/image159.png"/><Relationship Id="rId48" Type="http://schemas.openxmlformats.org/officeDocument/2006/relationships/image" Target="../media/image48.gif"/><Relationship Id="rId8" Type="http://schemas.openxmlformats.org/officeDocument/2006/relationships/image" Target="../media/image128.png"/><Relationship Id="rId3" Type="http://schemas.openxmlformats.org/officeDocument/2006/relationships/image" Target="../media/image123.png"/><Relationship Id="rId12" Type="http://schemas.openxmlformats.org/officeDocument/2006/relationships/image" Target="../media/image21.png"/><Relationship Id="rId17" Type="http://schemas.openxmlformats.org/officeDocument/2006/relationships/image" Target="../media/image135.png"/><Relationship Id="rId25" Type="http://schemas.openxmlformats.org/officeDocument/2006/relationships/image" Target="../media/image142.png"/><Relationship Id="rId33" Type="http://schemas.openxmlformats.org/officeDocument/2006/relationships/image" Target="../media/image149.png"/><Relationship Id="rId38" Type="http://schemas.openxmlformats.org/officeDocument/2006/relationships/image" Target="../media/image154.png"/><Relationship Id="rId46" Type="http://schemas.openxmlformats.org/officeDocument/2006/relationships/image" Target="../media/image162.png"/><Relationship Id="rId20" Type="http://schemas.openxmlformats.org/officeDocument/2006/relationships/image" Target="../media/image137.png"/><Relationship Id="rId41" Type="http://schemas.openxmlformats.org/officeDocument/2006/relationships/image" Target="../media/image157.png"/><Relationship Id="rId1" Type="http://schemas.openxmlformats.org/officeDocument/2006/relationships/image" Target="../media/image121.png"/><Relationship Id="rId6" Type="http://schemas.openxmlformats.org/officeDocument/2006/relationships/image" Target="../media/image126.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76.emf"/><Relationship Id="rId13" Type="http://schemas.openxmlformats.org/officeDocument/2006/relationships/image" Target="../media/image81.emf"/><Relationship Id="rId3" Type="http://schemas.openxmlformats.org/officeDocument/2006/relationships/image" Target="../media/image71.emf"/><Relationship Id="rId7" Type="http://schemas.openxmlformats.org/officeDocument/2006/relationships/image" Target="../media/image75.emf"/><Relationship Id="rId12" Type="http://schemas.openxmlformats.org/officeDocument/2006/relationships/image" Target="../media/image80.emf"/><Relationship Id="rId2" Type="http://schemas.openxmlformats.org/officeDocument/2006/relationships/image" Target="../media/image70.emf"/><Relationship Id="rId16" Type="http://schemas.openxmlformats.org/officeDocument/2006/relationships/image" Target="../media/image84.emf"/><Relationship Id="rId1" Type="http://schemas.openxmlformats.org/officeDocument/2006/relationships/image" Target="../media/image69.emf"/><Relationship Id="rId6" Type="http://schemas.openxmlformats.org/officeDocument/2006/relationships/image" Target="../media/image74.emf"/><Relationship Id="rId11" Type="http://schemas.openxmlformats.org/officeDocument/2006/relationships/image" Target="../media/image79.emf"/><Relationship Id="rId5" Type="http://schemas.openxmlformats.org/officeDocument/2006/relationships/image" Target="../media/image73.emf"/><Relationship Id="rId15" Type="http://schemas.openxmlformats.org/officeDocument/2006/relationships/image" Target="../media/image83.emf"/><Relationship Id="rId10" Type="http://schemas.openxmlformats.org/officeDocument/2006/relationships/image" Target="../media/image78.emf"/><Relationship Id="rId4" Type="http://schemas.openxmlformats.org/officeDocument/2006/relationships/image" Target="../media/image72.emf"/><Relationship Id="rId9" Type="http://schemas.openxmlformats.org/officeDocument/2006/relationships/image" Target="../media/image77.emf"/><Relationship Id="rId14" Type="http://schemas.openxmlformats.org/officeDocument/2006/relationships/image" Target="../media/image82.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100.emf"/><Relationship Id="rId3" Type="http://schemas.openxmlformats.org/officeDocument/2006/relationships/image" Target="../media/image95.emf"/><Relationship Id="rId7" Type="http://schemas.openxmlformats.org/officeDocument/2006/relationships/image" Target="../media/image99.emf"/><Relationship Id="rId2" Type="http://schemas.openxmlformats.org/officeDocument/2006/relationships/image" Target="../media/image94.emf"/><Relationship Id="rId1" Type="http://schemas.openxmlformats.org/officeDocument/2006/relationships/image" Target="../media/image93.emf"/><Relationship Id="rId6" Type="http://schemas.openxmlformats.org/officeDocument/2006/relationships/image" Target="../media/image98.emf"/><Relationship Id="rId5" Type="http://schemas.openxmlformats.org/officeDocument/2006/relationships/image" Target="../media/image97.emf"/><Relationship Id="rId4" Type="http://schemas.openxmlformats.org/officeDocument/2006/relationships/image" Target="../media/image96.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07.emf"/><Relationship Id="rId2" Type="http://schemas.openxmlformats.org/officeDocument/2006/relationships/image" Target="../media/image106.emf"/><Relationship Id="rId1" Type="http://schemas.openxmlformats.org/officeDocument/2006/relationships/image" Target="../media/image105.emf"/><Relationship Id="rId4" Type="http://schemas.openxmlformats.org/officeDocument/2006/relationships/image" Target="../media/image108.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95.emf"/><Relationship Id="rId1" Type="http://schemas.openxmlformats.org/officeDocument/2006/relationships/image" Target="../media/image110.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16.emf"/><Relationship Id="rId2" Type="http://schemas.openxmlformats.org/officeDocument/2006/relationships/image" Target="../media/image115.emf"/><Relationship Id="rId1" Type="http://schemas.openxmlformats.org/officeDocument/2006/relationships/image" Target="../media/image114.emf"/><Relationship Id="rId4" Type="http://schemas.openxmlformats.org/officeDocument/2006/relationships/image" Target="../media/image95.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120.emf"/><Relationship Id="rId1" Type="http://schemas.openxmlformats.org/officeDocument/2006/relationships/image" Target="../media/image119.emf"/></Relationships>
</file>

<file path=xl/drawings/drawing1.xml><?xml version="1.0" encoding="utf-8"?>
<xdr:wsDr xmlns:xdr="http://schemas.openxmlformats.org/drawingml/2006/spreadsheetDrawing" xmlns:a="http://schemas.openxmlformats.org/drawingml/2006/main">
  <xdr:oneCellAnchor>
    <xdr:from>
      <xdr:col>4</xdr:col>
      <xdr:colOff>0</xdr:colOff>
      <xdr:row>9</xdr:row>
      <xdr:rowOff>9525</xdr:rowOff>
    </xdr:from>
    <xdr:ext cx="0" cy="181824"/>
    <xdr:pic>
      <xdr:nvPicPr>
        <xdr:cNvPr id="39" name="il_fi" descr="http://www.33ff.com/flags/XL_flags/Croatia_flag.gif">
          <a:extLst>
            <a:ext uri="{FF2B5EF4-FFF2-40B4-BE49-F238E27FC236}">
              <a16:creationId xmlns:a16="http://schemas.microsoft.com/office/drawing/2014/main" id="{00000000-0008-0000-0000-000027000000}"/>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7181850" y="1628775"/>
          <a:ext cx="270000" cy="172800"/>
        </a:xfrm>
        <a:prstGeom prst="rect">
          <a:avLst/>
        </a:prstGeom>
        <a:noFill/>
        <a:effectLst>
          <a:outerShdw blurRad="50800" dist="38100" dir="10800000" algn="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100262</xdr:colOff>
      <xdr:row>2</xdr:row>
      <xdr:rowOff>6684</xdr:rowOff>
    </xdr:from>
    <xdr:to>
      <xdr:col>0</xdr:col>
      <xdr:colOff>1466147</xdr:colOff>
      <xdr:row>40</xdr:row>
      <xdr:rowOff>87751</xdr:rowOff>
    </xdr:to>
    <xdr:grpSp>
      <xdr:nvGrpSpPr>
        <xdr:cNvPr id="3" name="Grupo 2">
          <a:extLst>
            <a:ext uri="{FF2B5EF4-FFF2-40B4-BE49-F238E27FC236}">
              <a16:creationId xmlns:a16="http://schemas.microsoft.com/office/drawing/2014/main" id="{31313F45-1CEE-9D28-0043-A50BE9F399D1}"/>
            </a:ext>
          </a:extLst>
        </xdr:cNvPr>
        <xdr:cNvGrpSpPr/>
      </xdr:nvGrpSpPr>
      <xdr:grpSpPr>
        <a:xfrm>
          <a:off x="100262" y="504915"/>
          <a:ext cx="1365885" cy="3275605"/>
          <a:chOff x="100262" y="514684"/>
          <a:chExt cx="1365885" cy="3463278"/>
        </a:xfrm>
      </xdr:grpSpPr>
      <xdr:sp macro="" textlink="">
        <xdr:nvSpPr>
          <xdr:cNvPr id="26" name="26 Rectángulo redondeado">
            <a:hlinkClick xmlns:r="http://schemas.openxmlformats.org/officeDocument/2006/relationships" r:id="rId2" tooltip="Grupo F"/>
            <a:extLst>
              <a:ext uri="{FF2B5EF4-FFF2-40B4-BE49-F238E27FC236}">
                <a16:creationId xmlns:a16="http://schemas.microsoft.com/office/drawing/2014/main" id="{8FF299C8-B5C9-731E-FF22-1943A12F771B}"/>
              </a:ext>
            </a:extLst>
          </xdr:cNvPr>
          <xdr:cNvSpPr/>
        </xdr:nvSpPr>
        <xdr:spPr bwMode="auto">
          <a:xfrm>
            <a:off x="818147" y="1294489"/>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7" name="27 Rectángulo redondeado">
            <a:hlinkClick xmlns:r="http://schemas.openxmlformats.org/officeDocument/2006/relationships" r:id="rId3" tooltip="Grupo G"/>
            <a:extLst>
              <a:ext uri="{FF2B5EF4-FFF2-40B4-BE49-F238E27FC236}">
                <a16:creationId xmlns:a16="http://schemas.microsoft.com/office/drawing/2014/main" id="{6EE92A51-54B6-4D75-9BDB-D6EADC001FCF}"/>
              </a:ext>
            </a:extLst>
          </xdr:cNvPr>
          <xdr:cNvSpPr/>
        </xdr:nvSpPr>
        <xdr:spPr bwMode="auto">
          <a:xfrm>
            <a:off x="109622" y="1527039"/>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8" name="28 Rectángulo redondeado">
            <a:hlinkClick xmlns:r="http://schemas.openxmlformats.org/officeDocument/2006/relationships" r:id="rId4" tooltip="Grupo H"/>
            <a:extLst>
              <a:ext uri="{FF2B5EF4-FFF2-40B4-BE49-F238E27FC236}">
                <a16:creationId xmlns:a16="http://schemas.microsoft.com/office/drawing/2014/main" id="{75CE356B-3257-5378-28C4-BC6BDBFD9CD1}"/>
              </a:ext>
            </a:extLst>
          </xdr:cNvPr>
          <xdr:cNvSpPr/>
        </xdr:nvSpPr>
        <xdr:spPr bwMode="auto">
          <a:xfrm>
            <a:off x="818147" y="153068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9" name="22 Rectángulo redondeado">
            <a:hlinkClick xmlns:r="http://schemas.openxmlformats.org/officeDocument/2006/relationships" r:id="rId5" tooltip="Grupo A"/>
            <a:extLst>
              <a:ext uri="{FF2B5EF4-FFF2-40B4-BE49-F238E27FC236}">
                <a16:creationId xmlns:a16="http://schemas.microsoft.com/office/drawing/2014/main" id="{607BD03B-676A-34FE-9941-65477F059C73}"/>
              </a:ext>
            </a:extLst>
          </xdr:cNvPr>
          <xdr:cNvSpPr/>
        </xdr:nvSpPr>
        <xdr:spPr bwMode="auto">
          <a:xfrm>
            <a:off x="109622" y="822093"/>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0" name="23 Rectángulo redondeado">
            <a:hlinkClick xmlns:r="http://schemas.openxmlformats.org/officeDocument/2006/relationships" r:id="rId6" tooltip="Grupo B"/>
            <a:extLst>
              <a:ext uri="{FF2B5EF4-FFF2-40B4-BE49-F238E27FC236}">
                <a16:creationId xmlns:a16="http://schemas.microsoft.com/office/drawing/2014/main" id="{C1E9E8DD-9CA1-C506-DD8C-20CBC1640139}"/>
              </a:ext>
            </a:extLst>
          </xdr:cNvPr>
          <xdr:cNvSpPr/>
        </xdr:nvSpPr>
        <xdr:spPr bwMode="auto">
          <a:xfrm>
            <a:off x="818147" y="822093"/>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1" name="24 Rectángulo redondeado">
            <a:hlinkClick xmlns:r="http://schemas.openxmlformats.org/officeDocument/2006/relationships" r:id="rId7" tooltip="Grupo D"/>
            <a:extLst>
              <a:ext uri="{FF2B5EF4-FFF2-40B4-BE49-F238E27FC236}">
                <a16:creationId xmlns:a16="http://schemas.microsoft.com/office/drawing/2014/main" id="{1731907A-3063-DF03-7C52-0EF381EFC15E}"/>
              </a:ext>
            </a:extLst>
          </xdr:cNvPr>
          <xdr:cNvSpPr/>
        </xdr:nvSpPr>
        <xdr:spPr bwMode="auto">
          <a:xfrm>
            <a:off x="818147" y="105829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2" name="25 Rectángulo redondeado">
            <a:hlinkClick xmlns:r="http://schemas.openxmlformats.org/officeDocument/2006/relationships" r:id="rId8" tooltip="Grupo E"/>
            <a:extLst>
              <a:ext uri="{FF2B5EF4-FFF2-40B4-BE49-F238E27FC236}">
                <a16:creationId xmlns:a16="http://schemas.microsoft.com/office/drawing/2014/main" id="{E5B9EAC1-257B-6B54-0BAB-0E34DE5A764C}"/>
              </a:ext>
            </a:extLst>
          </xdr:cNvPr>
          <xdr:cNvSpPr/>
        </xdr:nvSpPr>
        <xdr:spPr bwMode="auto">
          <a:xfrm>
            <a:off x="109622" y="1292614"/>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3" name="33 Rectángulo redondeado">
            <a:hlinkClick xmlns:r="http://schemas.openxmlformats.org/officeDocument/2006/relationships" r:id="rId9" tooltip="Grupo C"/>
            <a:extLst>
              <a:ext uri="{FF2B5EF4-FFF2-40B4-BE49-F238E27FC236}">
                <a16:creationId xmlns:a16="http://schemas.microsoft.com/office/drawing/2014/main" id="{663AC77F-4280-DB03-3F67-065ACFCBD37A}"/>
              </a:ext>
            </a:extLst>
          </xdr:cNvPr>
          <xdr:cNvSpPr/>
        </xdr:nvSpPr>
        <xdr:spPr bwMode="auto">
          <a:xfrm>
            <a:off x="109622" y="1056518"/>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4" name="34 Rectángulo redondeado">
            <a:hlinkClick xmlns:r="http://schemas.openxmlformats.org/officeDocument/2006/relationships" r:id="rId10" tooltip="Inicio"/>
            <a:extLst>
              <a:ext uri="{FF2B5EF4-FFF2-40B4-BE49-F238E27FC236}">
                <a16:creationId xmlns:a16="http://schemas.microsoft.com/office/drawing/2014/main" id="{5195BB61-B6A7-DC10-F2BA-8AD46B80BA34}"/>
              </a:ext>
            </a:extLst>
          </xdr:cNvPr>
          <xdr:cNvSpPr/>
        </xdr:nvSpPr>
        <xdr:spPr bwMode="auto">
          <a:xfrm>
            <a:off x="102937" y="514684"/>
            <a:ext cx="1362075" cy="181671"/>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1" u="none">
                <a:solidFill>
                  <a:sysClr val="windowText" lastClr="000000"/>
                </a:solidFill>
                <a:latin typeface="Arial" panose="020B0604020202020204" pitchFamily="34" charset="0"/>
                <a:cs typeface="Arial" panose="020B0604020202020204" pitchFamily="34" charset="0"/>
              </a:rPr>
              <a:t>Inicio</a:t>
            </a:r>
          </a:p>
        </xdr:txBody>
      </xdr:sp>
      <xdr:sp macro="" textlink="">
        <xdr:nvSpPr>
          <xdr:cNvPr id="35" name="28 Rectángulo redondeado">
            <a:hlinkClick xmlns:r="http://schemas.openxmlformats.org/officeDocument/2006/relationships" r:id="rId11" tooltip="Grupo I"/>
            <a:extLst>
              <a:ext uri="{FF2B5EF4-FFF2-40B4-BE49-F238E27FC236}">
                <a16:creationId xmlns:a16="http://schemas.microsoft.com/office/drawing/2014/main" id="{EE5BB1B4-462A-EE7C-5783-C24C1DA93466}"/>
              </a:ext>
            </a:extLst>
          </xdr:cNvPr>
          <xdr:cNvSpPr/>
        </xdr:nvSpPr>
        <xdr:spPr bwMode="auto">
          <a:xfrm>
            <a:off x="109622" y="1761464"/>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6" name="28 Rectángulo redondeado">
            <a:hlinkClick xmlns:r="http://schemas.openxmlformats.org/officeDocument/2006/relationships" r:id="rId12" tooltip="Grupo J"/>
            <a:extLst>
              <a:ext uri="{FF2B5EF4-FFF2-40B4-BE49-F238E27FC236}">
                <a16:creationId xmlns:a16="http://schemas.microsoft.com/office/drawing/2014/main" id="{4368C95F-4A39-8FD2-6014-458B8CBDAFCE}"/>
              </a:ext>
            </a:extLst>
          </xdr:cNvPr>
          <xdr:cNvSpPr/>
        </xdr:nvSpPr>
        <xdr:spPr bwMode="auto">
          <a:xfrm>
            <a:off x="818147" y="176688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7" name="28 Rectángulo redondeado">
            <a:hlinkClick xmlns:r="http://schemas.openxmlformats.org/officeDocument/2006/relationships" r:id="rId13" tooltip="Grupo K"/>
            <a:extLst>
              <a:ext uri="{FF2B5EF4-FFF2-40B4-BE49-F238E27FC236}">
                <a16:creationId xmlns:a16="http://schemas.microsoft.com/office/drawing/2014/main" id="{4BAB9B2C-FC53-CB3A-90DE-48C61DBCE9C1}"/>
              </a:ext>
            </a:extLst>
          </xdr:cNvPr>
          <xdr:cNvSpPr/>
        </xdr:nvSpPr>
        <xdr:spPr bwMode="auto">
          <a:xfrm>
            <a:off x="109622" y="1994219"/>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8" name="28 Rectángulo redondeado">
            <a:hlinkClick xmlns:r="http://schemas.openxmlformats.org/officeDocument/2006/relationships" r:id="rId14" tooltip="Grupo L"/>
            <a:extLst>
              <a:ext uri="{FF2B5EF4-FFF2-40B4-BE49-F238E27FC236}">
                <a16:creationId xmlns:a16="http://schemas.microsoft.com/office/drawing/2014/main" id="{033CE262-D72E-F44C-A61C-581077638702}"/>
              </a:ext>
            </a:extLst>
          </xdr:cNvPr>
          <xdr:cNvSpPr/>
        </xdr:nvSpPr>
        <xdr:spPr bwMode="auto">
          <a:xfrm>
            <a:off x="818147" y="2001415"/>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0" name="28 Rectángulo redondeado">
            <a:hlinkClick xmlns:r="http://schemas.openxmlformats.org/officeDocument/2006/relationships" r:id="rId15" tooltip="Octavos de Final"/>
            <a:extLst>
              <a:ext uri="{FF2B5EF4-FFF2-40B4-BE49-F238E27FC236}">
                <a16:creationId xmlns:a16="http://schemas.microsoft.com/office/drawing/2014/main" id="{6A9C91D1-9107-F670-B309-F0BF12C97656}"/>
              </a:ext>
            </a:extLst>
          </xdr:cNvPr>
          <xdr:cNvSpPr/>
        </xdr:nvSpPr>
        <xdr:spPr bwMode="auto">
          <a:xfrm>
            <a:off x="100262" y="2814047"/>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41" name="29 Rectángulo redondeado">
            <a:hlinkClick xmlns:r="http://schemas.openxmlformats.org/officeDocument/2006/relationships" r:id="rId16" tooltip="Cuartos de Final"/>
            <a:extLst>
              <a:ext uri="{FF2B5EF4-FFF2-40B4-BE49-F238E27FC236}">
                <a16:creationId xmlns:a16="http://schemas.microsoft.com/office/drawing/2014/main" id="{6452CBBE-1F80-5FF9-E54E-73EA8AD0AFF6}"/>
              </a:ext>
            </a:extLst>
          </xdr:cNvPr>
          <xdr:cNvSpPr/>
        </xdr:nvSpPr>
        <xdr:spPr bwMode="auto">
          <a:xfrm>
            <a:off x="100262" y="3058438"/>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42" name="30 Rectángulo redondeado">
            <a:hlinkClick xmlns:r="http://schemas.openxmlformats.org/officeDocument/2006/relationships" r:id="rId17" tooltip="Semi Final"/>
            <a:extLst>
              <a:ext uri="{FF2B5EF4-FFF2-40B4-BE49-F238E27FC236}">
                <a16:creationId xmlns:a16="http://schemas.microsoft.com/office/drawing/2014/main" id="{578D7B65-158A-9945-3A76-E9E254396301}"/>
              </a:ext>
            </a:extLst>
          </xdr:cNvPr>
          <xdr:cNvSpPr/>
        </xdr:nvSpPr>
        <xdr:spPr bwMode="auto">
          <a:xfrm>
            <a:off x="100262" y="3302829"/>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43" name="31 Rectángulo redondeado">
            <a:hlinkClick xmlns:r="http://schemas.openxmlformats.org/officeDocument/2006/relationships" r:id="rId18" tooltip="FINAL"/>
            <a:extLst>
              <a:ext uri="{FF2B5EF4-FFF2-40B4-BE49-F238E27FC236}">
                <a16:creationId xmlns:a16="http://schemas.microsoft.com/office/drawing/2014/main" id="{95248B35-5778-72FE-FB00-0DE31652A41D}"/>
              </a:ext>
            </a:extLst>
          </xdr:cNvPr>
          <xdr:cNvSpPr/>
        </xdr:nvSpPr>
        <xdr:spPr bwMode="auto">
          <a:xfrm>
            <a:off x="100262" y="3547220"/>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44" name="36 Rectángulo redondeado">
            <a:hlinkClick xmlns:r="http://schemas.openxmlformats.org/officeDocument/2006/relationships" r:id="rId19" tooltip="Resumen General"/>
            <a:extLst>
              <a:ext uri="{FF2B5EF4-FFF2-40B4-BE49-F238E27FC236}">
                <a16:creationId xmlns:a16="http://schemas.microsoft.com/office/drawing/2014/main" id="{B92C53A0-6AB9-9761-5EF7-C0436C0D7E59}"/>
              </a:ext>
            </a:extLst>
          </xdr:cNvPr>
          <xdr:cNvSpPr/>
        </xdr:nvSpPr>
        <xdr:spPr bwMode="auto">
          <a:xfrm>
            <a:off x="100262" y="3794286"/>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45" name="28 Rectángulo redondeado">
            <a:hlinkClick xmlns:r="http://schemas.openxmlformats.org/officeDocument/2006/relationships" r:id="rId20" tooltip="16vos Final"/>
            <a:extLst>
              <a:ext uri="{FF2B5EF4-FFF2-40B4-BE49-F238E27FC236}">
                <a16:creationId xmlns:a16="http://schemas.microsoft.com/office/drawing/2014/main" id="{87186C16-3B24-0B6C-A91B-099218F4E3BC}"/>
              </a:ext>
            </a:extLst>
          </xdr:cNvPr>
          <xdr:cNvSpPr/>
        </xdr:nvSpPr>
        <xdr:spPr bwMode="auto">
          <a:xfrm>
            <a:off x="100262" y="256965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46" name="28 Rectángulo redondeado">
            <a:hlinkClick xmlns:r="http://schemas.openxmlformats.org/officeDocument/2006/relationships" r:id="rId21" tooltip="Mejores 3ros"/>
            <a:extLst>
              <a:ext uri="{FF2B5EF4-FFF2-40B4-BE49-F238E27FC236}">
                <a16:creationId xmlns:a16="http://schemas.microsoft.com/office/drawing/2014/main" id="{E34B5EEA-2F57-C26D-11B7-C6D3B9F359C1}"/>
              </a:ext>
            </a:extLst>
          </xdr:cNvPr>
          <xdr:cNvSpPr/>
        </xdr:nvSpPr>
        <xdr:spPr bwMode="auto">
          <a:xfrm>
            <a:off x="100262" y="232526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8</xdr:col>
      <xdr:colOff>205478</xdr:colOff>
      <xdr:row>0</xdr:row>
      <xdr:rowOff>98579</xdr:rowOff>
    </xdr:from>
    <xdr:to>
      <xdr:col>11</xdr:col>
      <xdr:colOff>125622</xdr:colOff>
      <xdr:row>1</xdr:row>
      <xdr:rowOff>197891</xdr:rowOff>
    </xdr:to>
    <xdr:pic>
      <xdr:nvPicPr>
        <xdr:cNvPr id="6" name="Imagen 5">
          <a:extLst>
            <a:ext uri="{FF2B5EF4-FFF2-40B4-BE49-F238E27FC236}">
              <a16:creationId xmlns:a16="http://schemas.microsoft.com/office/drawing/2014/main" id="{ECAAE307-AF4E-B783-BE54-92B882B6529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l="14933" t="56524" r="11980" b="7444"/>
        <a:stretch>
          <a:fillRect/>
        </a:stretch>
      </xdr:blipFill>
      <xdr:spPr>
        <a:xfrm>
          <a:off x="6214583" y="98579"/>
          <a:ext cx="2493565" cy="353312"/>
        </a:xfrm>
        <a:prstGeom prst="rect">
          <a:avLst/>
        </a:prstGeom>
      </xdr:spPr>
    </xdr:pic>
    <xdr:clientData/>
  </xdr:twoCellAnchor>
  <xdr:twoCellAnchor editAs="oneCell">
    <xdr:from>
      <xdr:col>9</xdr:col>
      <xdr:colOff>425260</xdr:colOff>
      <xdr:row>20</xdr:row>
      <xdr:rowOff>24206</xdr:rowOff>
    </xdr:from>
    <xdr:to>
      <xdr:col>11</xdr:col>
      <xdr:colOff>154072</xdr:colOff>
      <xdr:row>40</xdr:row>
      <xdr:rowOff>333</xdr:rowOff>
    </xdr:to>
    <xdr:pic>
      <xdr:nvPicPr>
        <xdr:cNvPr id="4" name="Imagen 3" descr="Logotipo&#10;&#10;El contenido generado por IA puede ser incorrecto.">
          <a:extLst>
            <a:ext uri="{FF2B5EF4-FFF2-40B4-BE49-F238E27FC236}">
              <a16:creationId xmlns:a16="http://schemas.microsoft.com/office/drawing/2014/main" id="{98B48C02-792D-4147-A66A-5170A09F646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7054660" y="2208606"/>
          <a:ext cx="1690962" cy="1703327"/>
        </a:xfrm>
        <a:prstGeom prst="rect">
          <a:avLst/>
        </a:prstGeom>
        <a:effectLst>
          <a:outerShdw blurRad="50800" dist="50800" dir="8100000" algn="tr"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0</xdr:colOff>
      <xdr:row>8</xdr:row>
      <xdr:rowOff>0</xdr:rowOff>
    </xdr:from>
    <xdr:to>
      <xdr:col>21</xdr:col>
      <xdr:colOff>304800</xdr:colOff>
      <xdr:row>9</xdr:row>
      <xdr:rowOff>142875</xdr:rowOff>
    </xdr:to>
    <xdr:sp macro="" textlink="">
      <xdr:nvSpPr>
        <xdr:cNvPr id="2051" name="AutoShape 3" descr="data:image/jpeg;base64,/9j/4AAQSkZJRgABAQAAAQABAAD/2wCEAAkGBggGEQ8IBwgQEBEQDRYREhYXFhYYFBAZFBwWGBMUFRIXJyYgGCUkJRIWKzAsIzMpMy04GSozNTY2NScvOCoBCQoKDgwOGQ8PGjUgHiMuNTUyMyoyNTUyLTIxLzUsNjI1Miw1MSo0NjQyNTIwNTQwLiwsNCw0NSwpNDIwMjU1Mf/AABEIAK0BJAMBIgACEQEDEQH/xAAcAAEAAgMBAQEAAAAAAAAAAAAABQYBBAcIAwL/xAA6EAACAQMCAwcDAgQDCQAAAAAAAQIDBBEFEgYhMQcTIjRBdLIUMlFhcVKBkcEjJEIVM2JygqGx0fD/xAAcAQEAAQUBAQAAAAAAAAAAAAAABAIDBQYHCAH/xAAuEQEAAQIEAwgCAQUAAAAAAAAAAQIDBBEhcRIxMjM0QVFhcrHwE4EFIiOh0fH/2gAMAwEAAhEDEQA/AIMAGHaEAAAAAAAAAAAAAOq9kvla/un8KZeCj9kvla/un8KZeDJ2eiG44Hu9GwAC6mAAAAAAAABhmTDA888Y+fvfd1PkyHJjjHz977up8mQ5rlzqnd2nCdhb9sfAAChJAAAAAAAAAAAAAEkACc8oAAAAAAAAAAAAADqvZL5Wv7p/CmXgo/ZL5Wv7p/CmXgydnohuOB7vRsAAupgAAAAAAAAYZkwwPPPGPn733dT5MhyY4x8/e+7qfJkOa5c6p3dpwnYW/bHwAAoSQAAAAAAAAAAAABJAAnPKAAAAAAAAAAAAAA6r2S+Vr+6fwpl4KP2S+Vr+6fwpl4MnZ6Ibjge70bAALqYAAADRr65pttLua17TjJdcvp+76I2qFxRuV3lCrGcX6xaa/qimKonSJVTTMazD6AAqUhhmTDA888Y+fvfd1PkyHJjjHz977up8mQ5rlzqnd2nCdhb9sfAAChJAAAAAAAAAAAAAEkACc8oAAAAAAAAAAAAADqvZL5Wv7p/CmXgo/ZL5Wv7p/CmXgydnohuOB7vRsHzr16drF1q01GMVlv8AB9CI4n06rqVDu6EW5RqRmkmk3jKfXl0k+v4K65mKZmEx9rjXbO1t3qVWbVNL8c3zwkl+Skz7TaWod7bV7apTpzp7VKGxyg5cstN4Xr9zWVj8mlxxcapfxVpdW6oOnS3RlPvNvic09soPGdsMtvdtysLk2VDijgm34Tnb77qVao6fe1IxjiD5p7Iybz4o06nX8fgxt6/XrlpEenNlcNYtTEcWsy/WoVq8P8xo2qyqQqVZwfKSzKDhGanSnl0344eri00QGnceanpFbdSqSjzTbg3uS8WU0+Uuvr/CjQj3tlcyoY2RlFSi5cuT2yhKXpF7Z5/nj9CPvan1FWpcU09q3Szjpul4Vj/rXX8ke3bp4tI0mM4ZCuM6Ofjrp98HfuAe1K34las7+pCFVJQT5R3y9fDnknlJPo2n+megnjyzq1bVxdOcotfvyb6xeOqZ6N7L+MlxNb/T3FVOtRSXNpynDopS/LTyn/J+pk7Vyc+GWJxGH4aeOmN/v3/V2MMyYZJQHnnjHz977up8mQ5McY+fvfd1PkyHNcudU7u04TsLftj4AAUJIAAAAAAAAAAAAAkgATnlAAAAAAAAAAAAAAdV7JfK1/dP4Uy8FH7JfK1/dP4Uyz65r1nw/T+ovJ9eUIprdUfJYinj8/yMlbqim3Ey3DBTEYaiZ8m7c99sl9Nt37Xt3Z259M45kRbaxeWinDWqEIzjSlUXdtuMlHlhZ9X/AHN+ep0YUVftrZtUm8rCTxl59cZ9OuORBatdUlL66UlO2r0u67xYapp9Wk+vOK5ep8uV5ZTEp+vDnlp5kNIr8V4r6vUTt92Y0o8lPH5fXGV+7/RNp8t4nudQ1K9qOrJxdSrcUVDCag1S2045fr4pf1eEXGtfa7wNGpb3GoW07envrU/WuoylnDjjGN08L9+voqF2mX0NQjR1fS6sVG9op3EIvLhUoVJYqLPOGenIgX6fyRFPj45+Ph/hksJE254uefkp2u0LmlU31KyqSlFJNcsd3im1OPLEl1fL/Vk+mn2sa8FV7uTTacItZdzPKjODy8LwyfKP/lo+tn9HYqde8r73USk3FxlKopZUpx3dX4nlPGNsv+HF87JLjSdSp3XDvEPdtXNSNajTn61GpRq93J9JJd2ljD/HqKI444OXr5ptVzgjjnXzjy9VFjRpV33cKUYQlVhBSbbahU8dCT6fwuLfX+89wBxBW03ULevbuEfqqqjUj/oj3s3TqR29eqi1z5cuvMs3HPZyrLNzQs1LvKMoScYrDm4zgptLlFylG3ePzKfoVfRtIt7q7sKVGjsdbV1JvGH3VSlaV4xX6Jbmv3LtNiaZzz5LFeJprj0l6RMM1b/VLPS4qpe14wTnGPN+s3iP9/6P8GzGcaiUoSTTWU10afRpmQzYTOM8nnrjHz977up8mQ5McY+fvfd1PkyHNdudU7u1YTsLftj4AAUJIAAAAAAAAAAAAAkgATnlAAAAAAAAAAAAAAdV7JfK1/dP4Uzb7QNOjfRt5SqVI7Ku7pmklFNydTk9vLOH0zyfo1qdkvla/un8KZbtUjUnRrRo/c6UkuTl6PpFc2TuDjsZT5NwwUROGpifJru1pa5bO3u6EowqQ243Ldt/0TUo9HyTX4KDo/EdKlSnod1Cfd95NU5KlJOD7yThHu1ywtr5J8vTphTHBXEuo161XTdbnh06acXKEoSlmT8TykorxQjjl6Y6s/fFPBGnXlT6ujdxoV6snKMJOO2tUwlhbvFHPJPb+c465tTP5KIrt7SlTfuV2uG3yzzy9YQnEHBljTqxqcQavW3Xe2hGMYucV9sfHUfWKe38dTQ1nsf1GH+V0q4jOg5TnGMnFd3KW1JttZjlRim4ZzsSwuWMfQcS2NaNaVncOVNxkl3feRbWWsVFmOHJ88Ncsfg2Lvj7Wu9lKKdNrMHTx9m37liS5tc/7vHS3/RrxRkkx/Jzbopyzzjnnyjw0/Xy5/xZ2b6jwhCnfXtOLpVZuMtmH3U1Kbpp9MpqKa/5nF4wisVPqfBdQpuMIy2Qks4TaUucn6tbWv3OucTdoeoavCVrToUNqwnT295OcliUZ+JOMUnFtPPLk/XlHcNXbtorQ7/TLW5tbit4qcW5OE4LLlCaw3lLljPT0y2VTNPHlEJVvG0VW4ma4zmeW3609Ndd21wJ2ybErDieTqQWNtXG6cMNY3rrNLGc/cvXPUt1nwzZ21xpd3YU4ziqsGpwe6DjTtK1KM1Jen+5X64RFK14E0Ku4W3D8KrnJwU55qw3NrakpuSSfo0s46J+tx0rULy0s56hqVh9O6VByVGKilFQju5JZaz0w+m3p+ZFE+Gef3zR666blM3aNIicp/59hXe0bSLjW61Cna3EYpRlCopy2Rp8nJVW31j42s8+ax1Zd9Ks/wDZ9Cjad5v7ujGG7+Laks/9igcF8UanxVet3dGnOnGlPHLw0ouSeV+XJxSWfRZ/fpLPtnKqZrjxYzD/AI7k1XqM9fP0eeeMfP3vu6nyZDkxxj5+993U+TIcwlzqnd3TCdhb9sfAAChJAAAAAAAAAAAAAEkACc8oAAAAAAAAAAAAADqvZL5Wv7p/CmXgo/ZL5Wv7p/CmXgydnohuOB7vRsq2ucPOVSpfwp20YKMXLOYSqKM1OcZzWFzcIc3/AO86+mazpXHObLUbX/Gof4u2Ll4cYi2qkcdd3T1TWS31IKonCS5NYf8AMpN7wlW0i4pajplzXlNykpYUFFRxyU3yily6tPms4eNrsV0VW6s6IzieaVM3OKOBjWZ60qcoUbWrUt/ujKos1Ybc5yk9zXX7l0f5ITWeJdL1Goq1fh+jUxBTqSbcajl9vKUPvWE+T/C/lvX/ABdp7hb0ryve7qFOXeKDcY1pU1HOamOalzxJNZ55wnk+NXhnTOIMXnDmsworat9KonJx5NtPxKSxuWeuMPn1R9xF/wDNamm1lx6eX75rWCt2reJ/uV8VuYnOJ8J8MsoVPU9Tjd1IULCx7iko047ab5JKXOUpuL3dJNN+vPmWTR9N4c1CMIO2u3cvcvBibgs4l9qUWnl85R5bsZ5GnY8C3Fdv6fiCyajCDb2T8MKnKDWWk+VPlz9P1ZuXV9w9wfts1uva7T3yhNwjBN5UUobsvpy5/q0R8PTVRVNWIyyy8Muf6Xv5CnCW6OLDzrNUTPFE6UzE6U6bZc01oXBGnNfXapa16fd1JSUa86XNRw1Un3WP4X1bT5s2rviOx4pc9K06tNTlvpKTyqUlKDU1J+rxuaSTawn0yZubipxTQfcKvRoV6UaUnKDlskpZzGCaclLOHL0x++368McA2/DtT6ypcutUSah4dsae77sLL5skxrlTRGnmjVcfFT+KmOCec/dUnw3w/Z6BTcLS0VKU3mfjc29vKOZvry/bGSWZkwyRTTFMZQk00xTGVMZQ888Y+fvfd1PkyHJjjHz977up8mQ5r1zqnd2rCdhb9sfAAChJAAAAAAAAAAAAAEkACc8oAAAAAAAAAAAAADqvZL5Wv7p/CmXgo/ZL5Wv7p/CmXgydnohuOB7vRsAAupiN1Lh7T9Ve+6o5bccvPOSg8qOfRftjJH3nDELamoaVTXhlKcovH+LnMsYa25yopbk4xTyllIsQLU2aJnPLV8yhSdL4S1LTpqa7rLjTy03sjGCUe5jJ5mmsyeXvjPLzGLN257NtBuajuXQnDc8uEJbYfr4V0/boWkHz8NHKYzLlNN3riJ/X3k1rDTrXTIKhZUI04L0X/wBzNkAuxERGUERlpAYZkwz6+vPPGPn733dT5MhyY4x8/e+7qfJkOa5c6p3dpwnYW/bHwAAoSQAAAAAAAAAAAABJAAnPKAAAAAAAAAAAAAA6r2S+Vr+6fwpl4KP2S+Vr+6fwpl4MnZ6Ibjge70bAALqYAAAAAAAAGGZMMDzzxj5+993U+TIcmOMfP3vu6nyZDmuXOqd3acJ2Fv2x8AAKEkAAAAAAAAAAAAASQAJzygAAAAAAAAAAAAAOq9kvla/un8KZeCj9kvla/un8KZeDJ2eiG44Hu9GwAC6mAAAAAAAABhmTDA888Y+fvfd1PkyHJjjHz977up8mQ5rlzqnd2nCdhb9sfAAChJAAAAAAAAAAAAAEkACc8oAAAAAAAAAAAAADqvZL5Wv7p/CmXgo/ZL5Wv7p/CmXgydnohuOB7vRsAAupgAAAAAAAAYZkwwPPPGPn733dT5MhyY4x8/e+7qfJkOa5c6p3dpwnYW/bHwAAoSQAAAAAAAAAAAAB/9k=">
          <a:hlinkClick xmlns:r="http://schemas.openxmlformats.org/officeDocument/2006/relationships" r:id="rId1"/>
          <a:extLst>
            <a:ext uri="{FF2B5EF4-FFF2-40B4-BE49-F238E27FC236}">
              <a16:creationId xmlns:a16="http://schemas.microsoft.com/office/drawing/2014/main" id="{00000000-0008-0000-0100-000003080000}"/>
            </a:ext>
          </a:extLst>
        </xdr:cNvPr>
        <xdr:cNvSpPr>
          <a:spLocks noChangeAspect="1" noChangeArrowheads="1"/>
        </xdr:cNvSpPr>
      </xdr:nvSpPr>
      <xdr:spPr bwMode="auto">
        <a:xfrm>
          <a:off x="7972425" y="200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3175</xdr:colOff>
      <xdr:row>5</xdr:row>
      <xdr:rowOff>152400</xdr:rowOff>
    </xdr:from>
    <xdr:to>
      <xdr:col>16</xdr:col>
      <xdr:colOff>249697</xdr:colOff>
      <xdr:row>6</xdr:row>
      <xdr:rowOff>152475</xdr:rowOff>
    </xdr:to>
    <xdr:pic>
      <xdr:nvPicPr>
        <xdr:cNvPr id="2" name="Imagen 1">
          <a:extLst>
            <a:ext uri="{FF2B5EF4-FFF2-40B4-BE49-F238E27FC236}">
              <a16:creationId xmlns:a16="http://schemas.microsoft.com/office/drawing/2014/main" id="{5FF7C404-8A5A-4575-B8FC-D3020D5FCCC4}"/>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27925" y="1136650"/>
          <a:ext cx="246522" cy="158825"/>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9859</xdr:colOff>
      <xdr:row>9</xdr:row>
      <xdr:rowOff>159084</xdr:rowOff>
    </xdr:from>
    <xdr:to>
      <xdr:col>16</xdr:col>
      <xdr:colOff>256381</xdr:colOff>
      <xdr:row>10</xdr:row>
      <xdr:rowOff>159159</xdr:rowOff>
    </xdr:to>
    <xdr:pic>
      <xdr:nvPicPr>
        <xdr:cNvPr id="3" name="Imagen 2">
          <a:extLst>
            <a:ext uri="{FF2B5EF4-FFF2-40B4-BE49-F238E27FC236}">
              <a16:creationId xmlns:a16="http://schemas.microsoft.com/office/drawing/2014/main" id="{4A3B7047-CE8C-4698-A26E-87BB74135D9E}"/>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36280" y="1790031"/>
          <a:ext cx="246522" cy="160496"/>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7873</xdr:colOff>
      <xdr:row>7</xdr:row>
      <xdr:rowOff>152400</xdr:rowOff>
    </xdr:from>
    <xdr:to>
      <xdr:col>16</xdr:col>
      <xdr:colOff>244999</xdr:colOff>
      <xdr:row>8</xdr:row>
      <xdr:rowOff>152050</xdr:rowOff>
    </xdr:to>
    <xdr:pic>
      <xdr:nvPicPr>
        <xdr:cNvPr id="12" name="Picture 2">
          <a:extLst>
            <a:ext uri="{FF2B5EF4-FFF2-40B4-BE49-F238E27FC236}">
              <a16:creationId xmlns:a16="http://schemas.microsoft.com/office/drawing/2014/main" id="{AEFA4751-6633-4254-A48C-78B345A84752}"/>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7532623" y="145415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5" name="Grupo 4">
          <a:extLst>
            <a:ext uri="{FF2B5EF4-FFF2-40B4-BE49-F238E27FC236}">
              <a16:creationId xmlns:a16="http://schemas.microsoft.com/office/drawing/2014/main" id="{0E56D018-CE0B-AFFC-4986-3C26B3FE5607}"/>
            </a:ext>
          </a:extLst>
        </xdr:cNvPr>
        <xdr:cNvGrpSpPr/>
      </xdr:nvGrpSpPr>
      <xdr:grpSpPr>
        <a:xfrm>
          <a:off x="100260" y="508837"/>
          <a:ext cx="1365885" cy="3443225"/>
          <a:chOff x="100260" y="515521"/>
          <a:chExt cx="1365885" cy="3463278"/>
        </a:xfrm>
      </xdr:grpSpPr>
      <xdr:sp macro="" textlink="">
        <xdr:nvSpPr>
          <xdr:cNvPr id="27" name="26 Rectángulo redondeado">
            <a:hlinkClick xmlns:r="http://schemas.openxmlformats.org/officeDocument/2006/relationships" r:id="rId5" tooltip="Grupo F"/>
            <a:extLst>
              <a:ext uri="{FF2B5EF4-FFF2-40B4-BE49-F238E27FC236}">
                <a16:creationId xmlns:a16="http://schemas.microsoft.com/office/drawing/2014/main" id="{00000000-0008-0000-0100-00001B000000}"/>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8" name="27 Rectángulo redondeado">
            <a:hlinkClick xmlns:r="http://schemas.openxmlformats.org/officeDocument/2006/relationships" r:id="rId6" tooltip="Grupo G"/>
            <a:extLst>
              <a:ext uri="{FF2B5EF4-FFF2-40B4-BE49-F238E27FC236}">
                <a16:creationId xmlns:a16="http://schemas.microsoft.com/office/drawing/2014/main" id="{00000000-0008-0000-0100-00001C000000}"/>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9" name="28 Rectángulo redondeado">
            <a:hlinkClick xmlns:r="http://schemas.openxmlformats.org/officeDocument/2006/relationships" r:id="rId7" tooltip="Grupo H"/>
            <a:extLst>
              <a:ext uri="{FF2B5EF4-FFF2-40B4-BE49-F238E27FC236}">
                <a16:creationId xmlns:a16="http://schemas.microsoft.com/office/drawing/2014/main" id="{00000000-0008-0000-0100-00001D000000}"/>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3" name="22 Rectángulo redondeado">
            <a:hlinkClick xmlns:r="http://schemas.openxmlformats.org/officeDocument/2006/relationships" r:id="rId8" tooltip="Grupo A"/>
            <a:extLst>
              <a:ext uri="{FF2B5EF4-FFF2-40B4-BE49-F238E27FC236}">
                <a16:creationId xmlns:a16="http://schemas.microsoft.com/office/drawing/2014/main" id="{00000000-0008-0000-0100-000017000000}"/>
              </a:ext>
            </a:extLst>
          </xdr:cNvPr>
          <xdr:cNvSpPr/>
        </xdr:nvSpPr>
        <xdr:spPr bwMode="auto">
          <a:xfrm>
            <a:off x="109620" y="822930"/>
            <a:ext cx="648000" cy="181671"/>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A</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24" name="23 Rectángulo redondeado">
            <a:hlinkClick xmlns:r="http://schemas.openxmlformats.org/officeDocument/2006/relationships" r:id="rId9" tooltip="Grupo B"/>
            <a:extLst>
              <a:ext uri="{FF2B5EF4-FFF2-40B4-BE49-F238E27FC236}">
                <a16:creationId xmlns:a16="http://schemas.microsoft.com/office/drawing/2014/main" id="{00000000-0008-0000-0100-000018000000}"/>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5" name="24 Rectángulo redondeado">
            <a:hlinkClick xmlns:r="http://schemas.openxmlformats.org/officeDocument/2006/relationships" r:id="rId10" tooltip="Grupo D"/>
            <a:extLst>
              <a:ext uri="{FF2B5EF4-FFF2-40B4-BE49-F238E27FC236}">
                <a16:creationId xmlns:a16="http://schemas.microsoft.com/office/drawing/2014/main" id="{00000000-0008-0000-0100-000019000000}"/>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6" name="25 Rectángulo redondeado">
            <a:hlinkClick xmlns:r="http://schemas.openxmlformats.org/officeDocument/2006/relationships" r:id="rId11" tooltip="Grupo E"/>
            <a:extLst>
              <a:ext uri="{FF2B5EF4-FFF2-40B4-BE49-F238E27FC236}">
                <a16:creationId xmlns:a16="http://schemas.microsoft.com/office/drawing/2014/main" id="{00000000-0008-0000-0100-00001A000000}"/>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4" name="33 Rectángulo redondeado">
            <a:hlinkClick xmlns:r="http://schemas.openxmlformats.org/officeDocument/2006/relationships" r:id="rId12" tooltip="Grupo C"/>
            <a:extLst>
              <a:ext uri="{FF2B5EF4-FFF2-40B4-BE49-F238E27FC236}">
                <a16:creationId xmlns:a16="http://schemas.microsoft.com/office/drawing/2014/main" id="{00000000-0008-0000-0100-000022000000}"/>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5" name="34 Rectángulo redondeado">
            <a:hlinkClick xmlns:r="http://schemas.openxmlformats.org/officeDocument/2006/relationships" r:id="rId13" tooltip="Inicio"/>
            <a:extLst>
              <a:ext uri="{FF2B5EF4-FFF2-40B4-BE49-F238E27FC236}">
                <a16:creationId xmlns:a16="http://schemas.microsoft.com/office/drawing/2014/main" id="{00000000-0008-0000-0100-000023000000}"/>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6" name="28 Rectángulo redondeado">
            <a:hlinkClick xmlns:r="http://schemas.openxmlformats.org/officeDocument/2006/relationships" r:id="rId14" tooltip="Grupo I"/>
            <a:extLst>
              <a:ext uri="{FF2B5EF4-FFF2-40B4-BE49-F238E27FC236}">
                <a16:creationId xmlns:a16="http://schemas.microsoft.com/office/drawing/2014/main" id="{C4BFDFAE-7250-4369-9054-C05921DC2BEA}"/>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 name="28 Rectángulo redondeado">
            <a:hlinkClick xmlns:r="http://schemas.openxmlformats.org/officeDocument/2006/relationships" r:id="rId15" tooltip="Grupo J"/>
            <a:extLst>
              <a:ext uri="{FF2B5EF4-FFF2-40B4-BE49-F238E27FC236}">
                <a16:creationId xmlns:a16="http://schemas.microsoft.com/office/drawing/2014/main" id="{8B286C4D-BAFB-4E48-8900-72E911548508}"/>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8 Rectángulo redondeado">
            <a:hlinkClick xmlns:r="http://schemas.openxmlformats.org/officeDocument/2006/relationships" r:id="rId16" tooltip="Grupo K"/>
            <a:extLst>
              <a:ext uri="{FF2B5EF4-FFF2-40B4-BE49-F238E27FC236}">
                <a16:creationId xmlns:a16="http://schemas.microsoft.com/office/drawing/2014/main" id="{F54B074E-5E1F-451B-9D97-761FBDA9829B}"/>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8 Rectángulo redondeado">
            <a:hlinkClick xmlns:r="http://schemas.openxmlformats.org/officeDocument/2006/relationships" r:id="rId17" tooltip="Grupo L"/>
            <a:extLst>
              <a:ext uri="{FF2B5EF4-FFF2-40B4-BE49-F238E27FC236}">
                <a16:creationId xmlns:a16="http://schemas.microsoft.com/office/drawing/2014/main" id="{9D1948A6-8CF8-460F-98EB-7374370EB099}"/>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28 Rectángulo redondeado">
            <a:hlinkClick xmlns:r="http://schemas.openxmlformats.org/officeDocument/2006/relationships" r:id="rId18" tooltip="Octavos de Final"/>
            <a:extLst>
              <a:ext uri="{FF2B5EF4-FFF2-40B4-BE49-F238E27FC236}">
                <a16:creationId xmlns:a16="http://schemas.microsoft.com/office/drawing/2014/main" id="{CE124F06-D756-4F1D-BE28-BC466646365E}"/>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16" name="29 Rectángulo redondeado">
            <a:hlinkClick xmlns:r="http://schemas.openxmlformats.org/officeDocument/2006/relationships" r:id="rId19" tooltip="Cuartos de Final"/>
            <a:extLst>
              <a:ext uri="{FF2B5EF4-FFF2-40B4-BE49-F238E27FC236}">
                <a16:creationId xmlns:a16="http://schemas.microsoft.com/office/drawing/2014/main" id="{FB6401DE-1A52-43EA-AAB7-4A09D57AACF7}"/>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17" name="30 Rectángulo redondeado">
            <a:hlinkClick xmlns:r="http://schemas.openxmlformats.org/officeDocument/2006/relationships" r:id="rId20" tooltip="Semi Final"/>
            <a:extLst>
              <a:ext uri="{FF2B5EF4-FFF2-40B4-BE49-F238E27FC236}">
                <a16:creationId xmlns:a16="http://schemas.microsoft.com/office/drawing/2014/main" id="{A16DEDBB-BC49-4E30-92E1-53534D4381DC}"/>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18" name="31 Rectángulo redondeado">
            <a:hlinkClick xmlns:r="http://schemas.openxmlformats.org/officeDocument/2006/relationships" r:id="rId21" tooltip="FINAL"/>
            <a:extLst>
              <a:ext uri="{FF2B5EF4-FFF2-40B4-BE49-F238E27FC236}">
                <a16:creationId xmlns:a16="http://schemas.microsoft.com/office/drawing/2014/main" id="{C58B9D0C-83DB-4FEF-AB4F-296462ACCE59}"/>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19" name="36 Rectángulo redondeado">
            <a:hlinkClick xmlns:r="http://schemas.openxmlformats.org/officeDocument/2006/relationships" r:id="rId22" tooltip="Resumen General"/>
            <a:extLst>
              <a:ext uri="{FF2B5EF4-FFF2-40B4-BE49-F238E27FC236}">
                <a16:creationId xmlns:a16="http://schemas.microsoft.com/office/drawing/2014/main" id="{EB305A4E-9E3E-48C3-9C75-3F8F05998BD6}"/>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0" name="28 Rectángulo redondeado">
            <a:hlinkClick xmlns:r="http://schemas.openxmlformats.org/officeDocument/2006/relationships" r:id="rId23" tooltip="16vos Final"/>
            <a:extLst>
              <a:ext uri="{FF2B5EF4-FFF2-40B4-BE49-F238E27FC236}">
                <a16:creationId xmlns:a16="http://schemas.microsoft.com/office/drawing/2014/main" id="{E1C4AC7B-F7E4-4271-A155-C27CBFEE9165}"/>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1" name="28 Rectángulo redondeado">
            <a:hlinkClick xmlns:r="http://schemas.openxmlformats.org/officeDocument/2006/relationships" r:id="rId24" tooltip="Mejores 3ros"/>
            <a:extLst>
              <a:ext uri="{FF2B5EF4-FFF2-40B4-BE49-F238E27FC236}">
                <a16:creationId xmlns:a16="http://schemas.microsoft.com/office/drawing/2014/main" id="{C8067AE8-334E-477E-9FA0-BAD3B51D16C1}"/>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10" name="Imagen 9">
          <a:extLst>
            <a:ext uri="{FF2B5EF4-FFF2-40B4-BE49-F238E27FC236}">
              <a16:creationId xmlns:a16="http://schemas.microsoft.com/office/drawing/2014/main" id="{F2FBB167-81AA-D76B-AEA0-D83FFC78AC1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twoCellAnchor editAs="oneCell">
    <xdr:from>
      <xdr:col>16</xdr:col>
      <xdr:colOff>0</xdr:colOff>
      <xdr:row>12</xdr:row>
      <xdr:rowOff>0</xdr:rowOff>
    </xdr:from>
    <xdr:to>
      <xdr:col>16</xdr:col>
      <xdr:colOff>237600</xdr:colOff>
      <xdr:row>12</xdr:row>
      <xdr:rowOff>148875</xdr:rowOff>
    </xdr:to>
    <xdr:pic>
      <xdr:nvPicPr>
        <xdr:cNvPr id="9" name="Picture 10" descr="Diseño PNG Y SVG De Bandera Nacional De La República Checa Para Camisetas">
          <a:extLst>
            <a:ext uri="{FF2B5EF4-FFF2-40B4-BE49-F238E27FC236}">
              <a16:creationId xmlns:a16="http://schemas.microsoft.com/office/drawing/2014/main" id="{C06A71D4-401B-41FC-8006-B810FB3A8757}"/>
            </a:ext>
          </a:extLst>
        </xdr:cNvPr>
        <xdr:cNvPicPr>
          <a:picLocks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4422" t="14368" r="4111" b="31530"/>
        <a:stretch>
          <a:fillRect/>
        </a:stretch>
      </xdr:blipFill>
      <xdr:spPr bwMode="auto">
        <a:xfrm>
          <a:off x="7526421" y="2112211"/>
          <a:ext cx="237600"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16</xdr:col>
      <xdr:colOff>0</xdr:colOff>
      <xdr:row>6</xdr:row>
      <xdr:rowOff>0</xdr:rowOff>
    </xdr:from>
    <xdr:ext cx="237126" cy="158400"/>
    <xdr:pic>
      <xdr:nvPicPr>
        <xdr:cNvPr id="4" name="Picture 2">
          <a:extLst>
            <a:ext uri="{FF2B5EF4-FFF2-40B4-BE49-F238E27FC236}">
              <a16:creationId xmlns:a16="http://schemas.microsoft.com/office/drawing/2014/main" id="{F1F540A0-B9C4-4BBD-AE97-2985F40C6193}"/>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7524750" y="1143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6350</xdr:colOff>
      <xdr:row>12</xdr:row>
      <xdr:rowOff>0</xdr:rowOff>
    </xdr:from>
    <xdr:ext cx="237126" cy="158400"/>
    <xdr:pic>
      <xdr:nvPicPr>
        <xdr:cNvPr id="5" name="Picture 4">
          <a:extLst>
            <a:ext uri="{FF2B5EF4-FFF2-40B4-BE49-F238E27FC236}">
              <a16:creationId xmlns:a16="http://schemas.microsoft.com/office/drawing/2014/main" id="{D2852F5B-AB53-416A-BB04-E07FC36101A9}"/>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31100" y="1460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6350</xdr:colOff>
      <xdr:row>10</xdr:row>
      <xdr:rowOff>0</xdr:rowOff>
    </xdr:from>
    <xdr:ext cx="237126" cy="158400"/>
    <xdr:pic>
      <xdr:nvPicPr>
        <xdr:cNvPr id="6" name="Picture 6">
          <a:extLst>
            <a:ext uri="{FF2B5EF4-FFF2-40B4-BE49-F238E27FC236}">
              <a16:creationId xmlns:a16="http://schemas.microsoft.com/office/drawing/2014/main" id="{8B78A9AF-7719-4175-958B-424C4FCC0B97}"/>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31100" y="1778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100260</xdr:colOff>
      <xdr:row>2</xdr:row>
      <xdr:rowOff>7521</xdr:rowOff>
    </xdr:from>
    <xdr:to>
      <xdr:col>0</xdr:col>
      <xdr:colOff>1466145</xdr:colOff>
      <xdr:row>23</xdr:row>
      <xdr:rowOff>101957</xdr:rowOff>
    </xdr:to>
    <xdr:grpSp>
      <xdr:nvGrpSpPr>
        <xdr:cNvPr id="48" name="Grupo 47">
          <a:extLst>
            <a:ext uri="{FF2B5EF4-FFF2-40B4-BE49-F238E27FC236}">
              <a16:creationId xmlns:a16="http://schemas.microsoft.com/office/drawing/2014/main" id="{AA1B8DB5-6095-7607-4E9F-AC92092B4C6F}"/>
            </a:ext>
          </a:extLst>
        </xdr:cNvPr>
        <xdr:cNvGrpSpPr/>
      </xdr:nvGrpSpPr>
      <xdr:grpSpPr>
        <a:xfrm>
          <a:off x="100260" y="508837"/>
          <a:ext cx="1365885" cy="3463278"/>
          <a:chOff x="100260" y="515521"/>
          <a:chExt cx="1365885" cy="3463278"/>
        </a:xfrm>
      </xdr:grpSpPr>
      <xdr:sp macro="" textlink="">
        <xdr:nvSpPr>
          <xdr:cNvPr id="28" name="26 Rectángulo redondeado">
            <a:hlinkClick xmlns:r="http://schemas.openxmlformats.org/officeDocument/2006/relationships" r:id="rId4" tooltip="Grupo F"/>
            <a:extLst>
              <a:ext uri="{FF2B5EF4-FFF2-40B4-BE49-F238E27FC236}">
                <a16:creationId xmlns:a16="http://schemas.microsoft.com/office/drawing/2014/main" id="{380C8438-6EBA-4441-89CD-D7D7C25CE286}"/>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9" name="27 Rectángulo redondeado">
            <a:hlinkClick xmlns:r="http://schemas.openxmlformats.org/officeDocument/2006/relationships" r:id="rId5" tooltip="Grupo G"/>
            <a:extLst>
              <a:ext uri="{FF2B5EF4-FFF2-40B4-BE49-F238E27FC236}">
                <a16:creationId xmlns:a16="http://schemas.microsoft.com/office/drawing/2014/main" id="{37404300-ECE7-D986-22D8-698E3079FAB4}"/>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0" name="28 Rectángulo redondeado">
            <a:hlinkClick xmlns:r="http://schemas.openxmlformats.org/officeDocument/2006/relationships" r:id="rId6" tooltip="Grupo H"/>
            <a:extLst>
              <a:ext uri="{FF2B5EF4-FFF2-40B4-BE49-F238E27FC236}">
                <a16:creationId xmlns:a16="http://schemas.microsoft.com/office/drawing/2014/main" id="{4E9BAEC3-030F-91C3-F548-58D11178E41F}"/>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1" name="22 Rectángulo redondeado">
            <a:hlinkClick xmlns:r="http://schemas.openxmlformats.org/officeDocument/2006/relationships" r:id="rId7" tooltip="Grupo A"/>
            <a:extLst>
              <a:ext uri="{FF2B5EF4-FFF2-40B4-BE49-F238E27FC236}">
                <a16:creationId xmlns:a16="http://schemas.microsoft.com/office/drawing/2014/main" id="{8DFEE421-52CE-B034-4747-C80B26B971D6}"/>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2" name="23 Rectángulo redondeado">
            <a:hlinkClick xmlns:r="http://schemas.openxmlformats.org/officeDocument/2006/relationships" r:id="rId8" tooltip="Grupo B"/>
            <a:extLst>
              <a:ext uri="{FF2B5EF4-FFF2-40B4-BE49-F238E27FC236}">
                <a16:creationId xmlns:a16="http://schemas.microsoft.com/office/drawing/2014/main" id="{0E44271A-544E-5B72-C502-E84C6B4C66C6}"/>
              </a:ext>
            </a:extLst>
          </xdr:cNvPr>
          <xdr:cNvSpPr/>
        </xdr:nvSpPr>
        <xdr:spPr bwMode="auto">
          <a:xfrm>
            <a:off x="818145" y="822930"/>
            <a:ext cx="648000" cy="181671"/>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B</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33" name="24 Rectángulo redondeado">
            <a:hlinkClick xmlns:r="http://schemas.openxmlformats.org/officeDocument/2006/relationships" r:id="rId9" tooltip="Grupo D"/>
            <a:extLst>
              <a:ext uri="{FF2B5EF4-FFF2-40B4-BE49-F238E27FC236}">
                <a16:creationId xmlns:a16="http://schemas.microsoft.com/office/drawing/2014/main" id="{8206E0A4-1798-4B3C-36C7-5A95515C9D77}"/>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4" name="25 Rectángulo redondeado">
            <a:hlinkClick xmlns:r="http://schemas.openxmlformats.org/officeDocument/2006/relationships" r:id="rId10" tooltip="Grupo E"/>
            <a:extLst>
              <a:ext uri="{FF2B5EF4-FFF2-40B4-BE49-F238E27FC236}">
                <a16:creationId xmlns:a16="http://schemas.microsoft.com/office/drawing/2014/main" id="{38C15CFD-A0B9-7C17-6BBB-79611BF78439}"/>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5" name="33 Rectángulo redondeado">
            <a:hlinkClick xmlns:r="http://schemas.openxmlformats.org/officeDocument/2006/relationships" r:id="rId11" tooltip="Grupo C"/>
            <a:extLst>
              <a:ext uri="{FF2B5EF4-FFF2-40B4-BE49-F238E27FC236}">
                <a16:creationId xmlns:a16="http://schemas.microsoft.com/office/drawing/2014/main" id="{1F42506D-6734-272A-E08D-0124C7CFF793}"/>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6" name="34 Rectángulo redondeado">
            <a:hlinkClick xmlns:r="http://schemas.openxmlformats.org/officeDocument/2006/relationships" r:id="rId12" tooltip="Inicio"/>
            <a:extLst>
              <a:ext uri="{FF2B5EF4-FFF2-40B4-BE49-F238E27FC236}">
                <a16:creationId xmlns:a16="http://schemas.microsoft.com/office/drawing/2014/main" id="{7FC798C7-C393-CB35-9C96-2724D2A1DE67}"/>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37" name="28 Rectángulo redondeado">
            <a:hlinkClick xmlns:r="http://schemas.openxmlformats.org/officeDocument/2006/relationships" r:id="rId13" tooltip="Grupo I"/>
            <a:extLst>
              <a:ext uri="{FF2B5EF4-FFF2-40B4-BE49-F238E27FC236}">
                <a16:creationId xmlns:a16="http://schemas.microsoft.com/office/drawing/2014/main" id="{622A16C4-43DD-4387-C292-87242DF0D4DB}"/>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8" name="28 Rectángulo redondeado">
            <a:hlinkClick xmlns:r="http://schemas.openxmlformats.org/officeDocument/2006/relationships" r:id="rId14" tooltip="Grupo J"/>
            <a:extLst>
              <a:ext uri="{FF2B5EF4-FFF2-40B4-BE49-F238E27FC236}">
                <a16:creationId xmlns:a16="http://schemas.microsoft.com/office/drawing/2014/main" id="{B9C75E22-B405-F043-C293-A60FB32FAFB8}"/>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9" name="28 Rectángulo redondeado">
            <a:hlinkClick xmlns:r="http://schemas.openxmlformats.org/officeDocument/2006/relationships" r:id="rId15" tooltip="Grupo K"/>
            <a:extLst>
              <a:ext uri="{FF2B5EF4-FFF2-40B4-BE49-F238E27FC236}">
                <a16:creationId xmlns:a16="http://schemas.microsoft.com/office/drawing/2014/main" id="{A6A4FE2B-FA9E-EB53-2C8F-5040E8F6DDDF}"/>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0" name="28 Rectángulo redondeado">
            <a:hlinkClick xmlns:r="http://schemas.openxmlformats.org/officeDocument/2006/relationships" r:id="rId16" tooltip="Grupo L"/>
            <a:extLst>
              <a:ext uri="{FF2B5EF4-FFF2-40B4-BE49-F238E27FC236}">
                <a16:creationId xmlns:a16="http://schemas.microsoft.com/office/drawing/2014/main" id="{FE20F35D-5AA1-6124-ECFB-9DEEF731001B}"/>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1" name="28 Rectángulo redondeado">
            <a:hlinkClick xmlns:r="http://schemas.openxmlformats.org/officeDocument/2006/relationships" r:id="rId17" tooltip="Octavos de Final"/>
            <a:extLst>
              <a:ext uri="{FF2B5EF4-FFF2-40B4-BE49-F238E27FC236}">
                <a16:creationId xmlns:a16="http://schemas.microsoft.com/office/drawing/2014/main" id="{F1D0A2C7-EC77-F85F-3F58-AC991814C2BF}"/>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42" name="29 Rectángulo redondeado">
            <a:hlinkClick xmlns:r="http://schemas.openxmlformats.org/officeDocument/2006/relationships" r:id="rId18" tooltip="Cuartos de Final"/>
            <a:extLst>
              <a:ext uri="{FF2B5EF4-FFF2-40B4-BE49-F238E27FC236}">
                <a16:creationId xmlns:a16="http://schemas.microsoft.com/office/drawing/2014/main" id="{873910DE-777A-C70D-A035-1A86781136CB}"/>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43" name="30 Rectángulo redondeado">
            <a:hlinkClick xmlns:r="http://schemas.openxmlformats.org/officeDocument/2006/relationships" r:id="rId19" tooltip="Semi Final"/>
            <a:extLst>
              <a:ext uri="{FF2B5EF4-FFF2-40B4-BE49-F238E27FC236}">
                <a16:creationId xmlns:a16="http://schemas.microsoft.com/office/drawing/2014/main" id="{5303DDE8-E280-8387-AD3B-21CC8597336F}"/>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44" name="31 Rectángulo redondeado">
            <a:hlinkClick xmlns:r="http://schemas.openxmlformats.org/officeDocument/2006/relationships" r:id="rId20" tooltip="FINAL"/>
            <a:extLst>
              <a:ext uri="{FF2B5EF4-FFF2-40B4-BE49-F238E27FC236}">
                <a16:creationId xmlns:a16="http://schemas.microsoft.com/office/drawing/2014/main" id="{242A8F3C-01EA-FE53-6A7F-AE9978282DBB}"/>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45" name="36 Rectángulo redondeado">
            <a:hlinkClick xmlns:r="http://schemas.openxmlformats.org/officeDocument/2006/relationships" r:id="rId21" tooltip="Resumen General"/>
            <a:extLst>
              <a:ext uri="{FF2B5EF4-FFF2-40B4-BE49-F238E27FC236}">
                <a16:creationId xmlns:a16="http://schemas.microsoft.com/office/drawing/2014/main" id="{44BA704A-A058-3B1C-6F2E-3058F9E874CF}"/>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46" name="28 Rectángulo redondeado">
            <a:hlinkClick xmlns:r="http://schemas.openxmlformats.org/officeDocument/2006/relationships" r:id="rId22" tooltip="16vos Final"/>
            <a:extLst>
              <a:ext uri="{FF2B5EF4-FFF2-40B4-BE49-F238E27FC236}">
                <a16:creationId xmlns:a16="http://schemas.microsoft.com/office/drawing/2014/main" id="{F42B3592-AEC3-965C-E0D7-E2D8F0408700}"/>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47" name="28 Rectángulo redondeado">
            <a:hlinkClick xmlns:r="http://schemas.openxmlformats.org/officeDocument/2006/relationships" r:id="rId23" tooltip="Mejores 3ros"/>
            <a:extLst>
              <a:ext uri="{FF2B5EF4-FFF2-40B4-BE49-F238E27FC236}">
                <a16:creationId xmlns:a16="http://schemas.microsoft.com/office/drawing/2014/main" id="{68335C08-38D9-BFF6-D36F-1F3D5955A063}"/>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 name="Imagen 1">
          <a:extLst>
            <a:ext uri="{FF2B5EF4-FFF2-40B4-BE49-F238E27FC236}">
              <a16:creationId xmlns:a16="http://schemas.microsoft.com/office/drawing/2014/main" id="{C0EC6ABA-5023-41A3-A4A8-5596E6F69EDC}"/>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twoCellAnchor editAs="oneCell">
    <xdr:from>
      <xdr:col>16</xdr:col>
      <xdr:colOff>0</xdr:colOff>
      <xdr:row>8</xdr:row>
      <xdr:rowOff>0</xdr:rowOff>
    </xdr:from>
    <xdr:to>
      <xdr:col>16</xdr:col>
      <xdr:colOff>237600</xdr:colOff>
      <xdr:row>8</xdr:row>
      <xdr:rowOff>158400</xdr:rowOff>
    </xdr:to>
    <xdr:pic>
      <xdr:nvPicPr>
        <xdr:cNvPr id="3" name="Picture 12" descr="Bandera de Bosnia y Herzegovina | bandera horizontal | 6.7m² | 200x335cm">
          <a:extLst>
            <a:ext uri="{FF2B5EF4-FFF2-40B4-BE49-F238E27FC236}">
              <a16:creationId xmlns:a16="http://schemas.microsoft.com/office/drawing/2014/main" id="{8D19FC53-110D-4DE8-87D9-99A9D8269200}"/>
            </a:ext>
          </a:extLst>
        </xdr:cNvPr>
        <xdr:cNvPicPr>
          <a:picLocks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t="19805" b="19983"/>
        <a:stretch>
          <a:fillRect/>
        </a:stretch>
      </xdr:blipFill>
      <xdr:spPr bwMode="auto">
        <a:xfrm>
          <a:off x="7526421" y="2112211"/>
          <a:ext cx="237600"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16</xdr:col>
      <xdr:colOff>6350</xdr:colOff>
      <xdr:row>6</xdr:row>
      <xdr:rowOff>0</xdr:rowOff>
    </xdr:from>
    <xdr:ext cx="237126" cy="158400"/>
    <xdr:pic>
      <xdr:nvPicPr>
        <xdr:cNvPr id="4" name="Picture 8">
          <a:extLst>
            <a:ext uri="{FF2B5EF4-FFF2-40B4-BE49-F238E27FC236}">
              <a16:creationId xmlns:a16="http://schemas.microsoft.com/office/drawing/2014/main" id="{7839214F-89B5-4A4C-B082-1D5C0255DF23}"/>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7531100" y="1143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7458</xdr:colOff>
      <xdr:row>8</xdr:row>
      <xdr:rowOff>844</xdr:rowOff>
    </xdr:from>
    <xdr:ext cx="237126" cy="160071"/>
    <xdr:pic>
      <xdr:nvPicPr>
        <xdr:cNvPr id="5" name="Picture 10">
          <a:extLst>
            <a:ext uri="{FF2B5EF4-FFF2-40B4-BE49-F238E27FC236}">
              <a16:creationId xmlns:a16="http://schemas.microsoft.com/office/drawing/2014/main" id="{5118B350-9922-40D8-8803-EF5B016373A7}"/>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32208" y="1461344"/>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10</xdr:row>
      <xdr:rowOff>6350</xdr:rowOff>
    </xdr:from>
    <xdr:ext cx="237126" cy="160071"/>
    <xdr:pic>
      <xdr:nvPicPr>
        <xdr:cNvPr id="6" name="Picture 12">
          <a:extLst>
            <a:ext uri="{FF2B5EF4-FFF2-40B4-BE49-F238E27FC236}">
              <a16:creationId xmlns:a16="http://schemas.microsoft.com/office/drawing/2014/main" id="{384146E7-E523-4624-B398-3C096379B884}"/>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24750" y="178435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12700</xdr:colOff>
      <xdr:row>12</xdr:row>
      <xdr:rowOff>6350</xdr:rowOff>
    </xdr:from>
    <xdr:ext cx="238554" cy="160071"/>
    <xdr:pic>
      <xdr:nvPicPr>
        <xdr:cNvPr id="8" name="Picture 14">
          <a:extLst>
            <a:ext uri="{FF2B5EF4-FFF2-40B4-BE49-F238E27FC236}">
              <a16:creationId xmlns:a16="http://schemas.microsoft.com/office/drawing/2014/main" id="{2DA13BC0-6C1B-4E0F-A22A-5E08C7FAD577}"/>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7537450" y="2101850"/>
          <a:ext cx="238554"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100260</xdr:colOff>
      <xdr:row>2</xdr:row>
      <xdr:rowOff>7521</xdr:rowOff>
    </xdr:from>
    <xdr:to>
      <xdr:col>0</xdr:col>
      <xdr:colOff>1466145</xdr:colOff>
      <xdr:row>23</xdr:row>
      <xdr:rowOff>101957</xdr:rowOff>
    </xdr:to>
    <xdr:grpSp>
      <xdr:nvGrpSpPr>
        <xdr:cNvPr id="2" name="Grupo 1">
          <a:extLst>
            <a:ext uri="{FF2B5EF4-FFF2-40B4-BE49-F238E27FC236}">
              <a16:creationId xmlns:a16="http://schemas.microsoft.com/office/drawing/2014/main" id="{0BBE65E4-6A05-42AD-B13D-480B6041670F}"/>
            </a:ext>
          </a:extLst>
        </xdr:cNvPr>
        <xdr:cNvGrpSpPr/>
      </xdr:nvGrpSpPr>
      <xdr:grpSpPr>
        <a:xfrm>
          <a:off x="100260" y="508837"/>
          <a:ext cx="1365885" cy="3463278"/>
          <a:chOff x="100260" y="515521"/>
          <a:chExt cx="1365885" cy="3463278"/>
        </a:xfrm>
      </xdr:grpSpPr>
      <xdr:sp macro="" textlink="">
        <xdr:nvSpPr>
          <xdr:cNvPr id="3" name="26 Rectángulo redondeado">
            <a:hlinkClick xmlns:r="http://schemas.openxmlformats.org/officeDocument/2006/relationships" r:id="rId5" tooltip="Grupo F"/>
            <a:extLst>
              <a:ext uri="{FF2B5EF4-FFF2-40B4-BE49-F238E27FC236}">
                <a16:creationId xmlns:a16="http://schemas.microsoft.com/office/drawing/2014/main" id="{9A1BEB90-4759-4BBF-31E7-2035F3AC2090}"/>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7 Rectángulo redondeado">
            <a:hlinkClick xmlns:r="http://schemas.openxmlformats.org/officeDocument/2006/relationships" r:id="rId6" tooltip="Grupo G"/>
            <a:extLst>
              <a:ext uri="{FF2B5EF4-FFF2-40B4-BE49-F238E27FC236}">
                <a16:creationId xmlns:a16="http://schemas.microsoft.com/office/drawing/2014/main" id="{D0335F86-8F5B-5AD8-E790-86612ADF9955}"/>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8 Rectángulo redondeado">
            <a:hlinkClick xmlns:r="http://schemas.openxmlformats.org/officeDocument/2006/relationships" r:id="rId7" tooltip="Grupo H"/>
            <a:extLst>
              <a:ext uri="{FF2B5EF4-FFF2-40B4-BE49-F238E27FC236}">
                <a16:creationId xmlns:a16="http://schemas.microsoft.com/office/drawing/2014/main" id="{4558CC9F-6D23-20B7-35A7-244512887B15}"/>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2 Rectángulo redondeado">
            <a:hlinkClick xmlns:r="http://schemas.openxmlformats.org/officeDocument/2006/relationships" r:id="rId8" tooltip="Grupo A"/>
            <a:extLst>
              <a:ext uri="{FF2B5EF4-FFF2-40B4-BE49-F238E27FC236}">
                <a16:creationId xmlns:a16="http://schemas.microsoft.com/office/drawing/2014/main" id="{CBD073D2-913D-4FA6-9E3B-0801BE52D149}"/>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3 Rectángulo redondeado">
            <a:hlinkClick xmlns:r="http://schemas.openxmlformats.org/officeDocument/2006/relationships" r:id="rId9" tooltip="Grupo B"/>
            <a:extLst>
              <a:ext uri="{FF2B5EF4-FFF2-40B4-BE49-F238E27FC236}">
                <a16:creationId xmlns:a16="http://schemas.microsoft.com/office/drawing/2014/main" id="{1B61839D-9730-3820-CA9A-F4E5F7C1DFA7}"/>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24 Rectángulo redondeado">
            <a:hlinkClick xmlns:r="http://schemas.openxmlformats.org/officeDocument/2006/relationships" r:id="rId10" tooltip="Grupo D"/>
            <a:extLst>
              <a:ext uri="{FF2B5EF4-FFF2-40B4-BE49-F238E27FC236}">
                <a16:creationId xmlns:a16="http://schemas.microsoft.com/office/drawing/2014/main" id="{D632C2CD-828B-91CE-F59C-987405AD0267}"/>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25 Rectángulo redondeado">
            <a:hlinkClick xmlns:r="http://schemas.openxmlformats.org/officeDocument/2006/relationships" r:id="rId11" tooltip="Grupo E"/>
            <a:extLst>
              <a:ext uri="{FF2B5EF4-FFF2-40B4-BE49-F238E27FC236}">
                <a16:creationId xmlns:a16="http://schemas.microsoft.com/office/drawing/2014/main" id="{B1FBCEA7-A519-56B9-6D6A-1B6AD4871941}"/>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33 Rectángulo redondeado">
            <a:hlinkClick xmlns:r="http://schemas.openxmlformats.org/officeDocument/2006/relationships" r:id="rId12" tooltip="Grupo C"/>
            <a:extLst>
              <a:ext uri="{FF2B5EF4-FFF2-40B4-BE49-F238E27FC236}">
                <a16:creationId xmlns:a16="http://schemas.microsoft.com/office/drawing/2014/main" id="{C7210D6B-B0B8-EEE7-823E-A7905FEB969F}"/>
              </a:ext>
            </a:extLst>
          </xdr:cNvPr>
          <xdr:cNvSpPr/>
        </xdr:nvSpPr>
        <xdr:spPr bwMode="auto">
          <a:xfrm>
            <a:off x="109620" y="1057355"/>
            <a:ext cx="648000" cy="183342"/>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C</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16" name="34 Rectángulo redondeado">
            <a:hlinkClick xmlns:r="http://schemas.openxmlformats.org/officeDocument/2006/relationships" r:id="rId13" tooltip="Inicio"/>
            <a:extLst>
              <a:ext uri="{FF2B5EF4-FFF2-40B4-BE49-F238E27FC236}">
                <a16:creationId xmlns:a16="http://schemas.microsoft.com/office/drawing/2014/main" id="{9714B6D0-F4BB-A708-DF10-564746CA3A4D}"/>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7" name="28 Rectángulo redondeado">
            <a:hlinkClick xmlns:r="http://schemas.openxmlformats.org/officeDocument/2006/relationships" r:id="rId14" tooltip="Grupo I"/>
            <a:extLst>
              <a:ext uri="{FF2B5EF4-FFF2-40B4-BE49-F238E27FC236}">
                <a16:creationId xmlns:a16="http://schemas.microsoft.com/office/drawing/2014/main" id="{770E937B-E61E-2E13-6BFA-16E64F86A7C7}"/>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5" tooltip="Grupo J"/>
            <a:extLst>
              <a:ext uri="{FF2B5EF4-FFF2-40B4-BE49-F238E27FC236}">
                <a16:creationId xmlns:a16="http://schemas.microsoft.com/office/drawing/2014/main" id="{7C59016F-C945-71EB-0ABE-F3C94B8C482A}"/>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6" tooltip="Grupo K"/>
            <a:extLst>
              <a:ext uri="{FF2B5EF4-FFF2-40B4-BE49-F238E27FC236}">
                <a16:creationId xmlns:a16="http://schemas.microsoft.com/office/drawing/2014/main" id="{0A493DEC-A0DE-F81B-759E-A78B4A3DDF2D}"/>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0" name="28 Rectángulo redondeado">
            <a:hlinkClick xmlns:r="http://schemas.openxmlformats.org/officeDocument/2006/relationships" r:id="rId17" tooltip="Grupo L"/>
            <a:extLst>
              <a:ext uri="{FF2B5EF4-FFF2-40B4-BE49-F238E27FC236}">
                <a16:creationId xmlns:a16="http://schemas.microsoft.com/office/drawing/2014/main" id="{AC223B8F-D5B4-E51F-9986-0F5DCB8E228F}"/>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1" name="28 Rectángulo redondeado">
            <a:hlinkClick xmlns:r="http://schemas.openxmlformats.org/officeDocument/2006/relationships" r:id="rId18" tooltip="Octavos de Final"/>
            <a:extLst>
              <a:ext uri="{FF2B5EF4-FFF2-40B4-BE49-F238E27FC236}">
                <a16:creationId xmlns:a16="http://schemas.microsoft.com/office/drawing/2014/main" id="{02B276DA-61E8-1BCE-DBBD-2A5CFF8D5352}"/>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2" name="29 Rectángulo redondeado">
            <a:hlinkClick xmlns:r="http://schemas.openxmlformats.org/officeDocument/2006/relationships" r:id="rId19" tooltip="Cuartos de Final"/>
            <a:extLst>
              <a:ext uri="{FF2B5EF4-FFF2-40B4-BE49-F238E27FC236}">
                <a16:creationId xmlns:a16="http://schemas.microsoft.com/office/drawing/2014/main" id="{B4A600C7-F86A-7468-F31C-C97E6270AF18}"/>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3" name="30 Rectángulo redondeado">
            <a:hlinkClick xmlns:r="http://schemas.openxmlformats.org/officeDocument/2006/relationships" r:id="rId20" tooltip="Semi Final"/>
            <a:extLst>
              <a:ext uri="{FF2B5EF4-FFF2-40B4-BE49-F238E27FC236}">
                <a16:creationId xmlns:a16="http://schemas.microsoft.com/office/drawing/2014/main" id="{2C7D06D8-1304-503C-0D94-390B3AD97B7C}"/>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4" name="31 Rectángulo redondeado">
            <a:hlinkClick xmlns:r="http://schemas.openxmlformats.org/officeDocument/2006/relationships" r:id="rId21" tooltip="FINAL"/>
            <a:extLst>
              <a:ext uri="{FF2B5EF4-FFF2-40B4-BE49-F238E27FC236}">
                <a16:creationId xmlns:a16="http://schemas.microsoft.com/office/drawing/2014/main" id="{4116E903-747B-3D26-6518-B07BC022A0F5}"/>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5" name="36 Rectángulo redondeado">
            <a:hlinkClick xmlns:r="http://schemas.openxmlformats.org/officeDocument/2006/relationships" r:id="rId22" tooltip="Resumen General"/>
            <a:extLst>
              <a:ext uri="{FF2B5EF4-FFF2-40B4-BE49-F238E27FC236}">
                <a16:creationId xmlns:a16="http://schemas.microsoft.com/office/drawing/2014/main" id="{F610EF58-42A9-EADF-B453-90DE715BCBE7}"/>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3" tooltip="16vos Final"/>
            <a:extLst>
              <a:ext uri="{FF2B5EF4-FFF2-40B4-BE49-F238E27FC236}">
                <a16:creationId xmlns:a16="http://schemas.microsoft.com/office/drawing/2014/main" id="{D54F0319-FE19-1C02-1102-6E16234A7163}"/>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7" name="28 Rectángulo redondeado">
            <a:hlinkClick xmlns:r="http://schemas.openxmlformats.org/officeDocument/2006/relationships" r:id="rId24" tooltip="Mejores 3ros"/>
            <a:extLst>
              <a:ext uri="{FF2B5EF4-FFF2-40B4-BE49-F238E27FC236}">
                <a16:creationId xmlns:a16="http://schemas.microsoft.com/office/drawing/2014/main" id="{CB86DF16-3374-F207-058A-48FBB9F9ED07}"/>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8" name="Imagen 27">
          <a:extLst>
            <a:ext uri="{FF2B5EF4-FFF2-40B4-BE49-F238E27FC236}">
              <a16:creationId xmlns:a16="http://schemas.microsoft.com/office/drawing/2014/main" id="{B9ECF627-B065-4399-9011-1110C8A408C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0</xdr:colOff>
      <xdr:row>6</xdr:row>
      <xdr:rowOff>6350</xdr:rowOff>
    </xdr:from>
    <xdr:to>
      <xdr:col>16</xdr:col>
      <xdr:colOff>237126</xdr:colOff>
      <xdr:row>7</xdr:row>
      <xdr:rowOff>6000</xdr:rowOff>
    </xdr:to>
    <xdr:pic>
      <xdr:nvPicPr>
        <xdr:cNvPr id="4" name="Picture 16">
          <a:extLst>
            <a:ext uri="{FF2B5EF4-FFF2-40B4-BE49-F238E27FC236}">
              <a16:creationId xmlns:a16="http://schemas.microsoft.com/office/drawing/2014/main" id="{E44AD56E-6941-43C9-8BCB-C3391A9CD9A3}"/>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7524750" y="114935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6350</xdr:colOff>
      <xdr:row>8</xdr:row>
      <xdr:rowOff>0</xdr:rowOff>
    </xdr:from>
    <xdr:to>
      <xdr:col>16</xdr:col>
      <xdr:colOff>243476</xdr:colOff>
      <xdr:row>8</xdr:row>
      <xdr:rowOff>158400</xdr:rowOff>
    </xdr:to>
    <xdr:pic>
      <xdr:nvPicPr>
        <xdr:cNvPr id="5" name="Picture 18">
          <a:extLst>
            <a:ext uri="{FF2B5EF4-FFF2-40B4-BE49-F238E27FC236}">
              <a16:creationId xmlns:a16="http://schemas.microsoft.com/office/drawing/2014/main" id="{D8C84BD2-11C6-4C4F-838B-6EC469C0347E}"/>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31100" y="1460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6350</xdr:colOff>
      <xdr:row>10</xdr:row>
      <xdr:rowOff>0</xdr:rowOff>
    </xdr:from>
    <xdr:to>
      <xdr:col>16</xdr:col>
      <xdr:colOff>243476</xdr:colOff>
      <xdr:row>10</xdr:row>
      <xdr:rowOff>158400</xdr:rowOff>
    </xdr:to>
    <xdr:pic>
      <xdr:nvPicPr>
        <xdr:cNvPr id="6" name="Picture 20">
          <a:extLst>
            <a:ext uri="{FF2B5EF4-FFF2-40B4-BE49-F238E27FC236}">
              <a16:creationId xmlns:a16="http://schemas.microsoft.com/office/drawing/2014/main" id="{FEBCD2CE-3E66-488F-9B2A-1718C8FC92C6}"/>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31100" y="1778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2" name="Grupo 1">
          <a:extLst>
            <a:ext uri="{FF2B5EF4-FFF2-40B4-BE49-F238E27FC236}">
              <a16:creationId xmlns:a16="http://schemas.microsoft.com/office/drawing/2014/main" id="{9C991047-BECA-4767-A196-2B6F9DE967A1}"/>
            </a:ext>
          </a:extLst>
        </xdr:cNvPr>
        <xdr:cNvGrpSpPr/>
      </xdr:nvGrpSpPr>
      <xdr:grpSpPr>
        <a:xfrm>
          <a:off x="100260" y="508837"/>
          <a:ext cx="1365885" cy="3463278"/>
          <a:chOff x="100260" y="515521"/>
          <a:chExt cx="1365885" cy="3463278"/>
        </a:xfrm>
      </xdr:grpSpPr>
      <xdr:sp macro="" textlink="">
        <xdr:nvSpPr>
          <xdr:cNvPr id="3" name="26 Rectángulo redondeado">
            <a:hlinkClick xmlns:r="http://schemas.openxmlformats.org/officeDocument/2006/relationships" r:id="rId4" tooltip="Grupo F"/>
            <a:extLst>
              <a:ext uri="{FF2B5EF4-FFF2-40B4-BE49-F238E27FC236}">
                <a16:creationId xmlns:a16="http://schemas.microsoft.com/office/drawing/2014/main" id="{D0D7113E-7138-FCA5-5E27-04DB4421297E}"/>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7 Rectángulo redondeado">
            <a:hlinkClick xmlns:r="http://schemas.openxmlformats.org/officeDocument/2006/relationships" r:id="rId5" tooltip="Grupo G"/>
            <a:extLst>
              <a:ext uri="{FF2B5EF4-FFF2-40B4-BE49-F238E27FC236}">
                <a16:creationId xmlns:a16="http://schemas.microsoft.com/office/drawing/2014/main" id="{3FC3EB4D-20B9-0BFE-846E-CA4D583EFC75}"/>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8 Rectángulo redondeado">
            <a:hlinkClick xmlns:r="http://schemas.openxmlformats.org/officeDocument/2006/relationships" r:id="rId6" tooltip="Grupo H"/>
            <a:extLst>
              <a:ext uri="{FF2B5EF4-FFF2-40B4-BE49-F238E27FC236}">
                <a16:creationId xmlns:a16="http://schemas.microsoft.com/office/drawing/2014/main" id="{7A5B1D05-B06B-E00A-9D86-F84DD19BB423}"/>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2 Rectángulo redondeado">
            <a:hlinkClick xmlns:r="http://schemas.openxmlformats.org/officeDocument/2006/relationships" r:id="rId7" tooltip="Grupo A"/>
            <a:extLst>
              <a:ext uri="{FF2B5EF4-FFF2-40B4-BE49-F238E27FC236}">
                <a16:creationId xmlns:a16="http://schemas.microsoft.com/office/drawing/2014/main" id="{48E9D361-51B2-3F14-4759-0DA572E1FD4A}"/>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3 Rectángulo redondeado">
            <a:hlinkClick xmlns:r="http://schemas.openxmlformats.org/officeDocument/2006/relationships" r:id="rId8" tooltip="Grupo B"/>
            <a:extLst>
              <a:ext uri="{FF2B5EF4-FFF2-40B4-BE49-F238E27FC236}">
                <a16:creationId xmlns:a16="http://schemas.microsoft.com/office/drawing/2014/main" id="{1AD0895F-4195-CB21-C783-E4EED02C22B9}"/>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4 Rectángulo redondeado">
            <a:hlinkClick xmlns:r="http://schemas.openxmlformats.org/officeDocument/2006/relationships" r:id="rId9" tooltip="Grupo D"/>
            <a:extLst>
              <a:ext uri="{FF2B5EF4-FFF2-40B4-BE49-F238E27FC236}">
                <a16:creationId xmlns:a16="http://schemas.microsoft.com/office/drawing/2014/main" id="{9AB35D0A-4DC3-E437-FD30-7E597E2C162C}"/>
              </a:ext>
            </a:extLst>
          </xdr:cNvPr>
          <xdr:cNvSpPr/>
        </xdr:nvSpPr>
        <xdr:spPr bwMode="auto">
          <a:xfrm>
            <a:off x="818145" y="1059128"/>
            <a:ext cx="648000" cy="181671"/>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D</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12" name="25 Rectángulo redondeado">
            <a:hlinkClick xmlns:r="http://schemas.openxmlformats.org/officeDocument/2006/relationships" r:id="rId10" tooltip="Grupo E"/>
            <a:extLst>
              <a:ext uri="{FF2B5EF4-FFF2-40B4-BE49-F238E27FC236}">
                <a16:creationId xmlns:a16="http://schemas.microsoft.com/office/drawing/2014/main" id="{E3501512-0320-09BD-5942-93FBA1B921BB}"/>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33 Rectángulo redondeado">
            <a:hlinkClick xmlns:r="http://schemas.openxmlformats.org/officeDocument/2006/relationships" r:id="rId11" tooltip="Grupo C"/>
            <a:extLst>
              <a:ext uri="{FF2B5EF4-FFF2-40B4-BE49-F238E27FC236}">
                <a16:creationId xmlns:a16="http://schemas.microsoft.com/office/drawing/2014/main" id="{A9228473-D8CF-E5CE-0609-9CC9D01E60B7}"/>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34 Rectángulo redondeado">
            <a:hlinkClick xmlns:r="http://schemas.openxmlformats.org/officeDocument/2006/relationships" r:id="rId12" tooltip="Inicio"/>
            <a:extLst>
              <a:ext uri="{FF2B5EF4-FFF2-40B4-BE49-F238E27FC236}">
                <a16:creationId xmlns:a16="http://schemas.microsoft.com/office/drawing/2014/main" id="{BBDBC861-2D4F-FDC7-3250-CA1CC61EDB41}"/>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6" name="28 Rectángulo redondeado">
            <a:hlinkClick xmlns:r="http://schemas.openxmlformats.org/officeDocument/2006/relationships" r:id="rId13" tooltip="Grupo I"/>
            <a:extLst>
              <a:ext uri="{FF2B5EF4-FFF2-40B4-BE49-F238E27FC236}">
                <a16:creationId xmlns:a16="http://schemas.microsoft.com/office/drawing/2014/main" id="{42AB7765-B5E7-8A50-D009-00915569240C}"/>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4" tooltip="Grupo J"/>
            <a:extLst>
              <a:ext uri="{FF2B5EF4-FFF2-40B4-BE49-F238E27FC236}">
                <a16:creationId xmlns:a16="http://schemas.microsoft.com/office/drawing/2014/main" id="{B1DA9543-C3F6-CE55-E43A-5134CFB343E9}"/>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5" tooltip="Grupo K"/>
            <a:extLst>
              <a:ext uri="{FF2B5EF4-FFF2-40B4-BE49-F238E27FC236}">
                <a16:creationId xmlns:a16="http://schemas.microsoft.com/office/drawing/2014/main" id="{23B1717B-F59D-A956-F344-D29BDB2FAEEC}"/>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6" tooltip="Grupo L"/>
            <a:extLst>
              <a:ext uri="{FF2B5EF4-FFF2-40B4-BE49-F238E27FC236}">
                <a16:creationId xmlns:a16="http://schemas.microsoft.com/office/drawing/2014/main" id="{24E4FD20-106A-8895-4E5A-01CE34ABDA18}"/>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0" name="28 Rectángulo redondeado">
            <a:hlinkClick xmlns:r="http://schemas.openxmlformats.org/officeDocument/2006/relationships" r:id="rId17" tooltip="Octavos de Final"/>
            <a:extLst>
              <a:ext uri="{FF2B5EF4-FFF2-40B4-BE49-F238E27FC236}">
                <a16:creationId xmlns:a16="http://schemas.microsoft.com/office/drawing/2014/main" id="{37B2D691-A969-6B12-5BF0-7B453AE72A1A}"/>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1" name="29 Rectángulo redondeado">
            <a:hlinkClick xmlns:r="http://schemas.openxmlformats.org/officeDocument/2006/relationships" r:id="rId18" tooltip="Cuartos de Final"/>
            <a:extLst>
              <a:ext uri="{FF2B5EF4-FFF2-40B4-BE49-F238E27FC236}">
                <a16:creationId xmlns:a16="http://schemas.microsoft.com/office/drawing/2014/main" id="{7EA1F80E-5643-11FF-9DDF-954AC6B51091}"/>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2" name="30 Rectángulo redondeado">
            <a:hlinkClick xmlns:r="http://schemas.openxmlformats.org/officeDocument/2006/relationships" r:id="rId19" tooltip="Semi Final"/>
            <a:extLst>
              <a:ext uri="{FF2B5EF4-FFF2-40B4-BE49-F238E27FC236}">
                <a16:creationId xmlns:a16="http://schemas.microsoft.com/office/drawing/2014/main" id="{2C5FFAF6-FB5C-90B0-BAE6-4EA599502245}"/>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3" name="31 Rectángulo redondeado">
            <a:hlinkClick xmlns:r="http://schemas.openxmlformats.org/officeDocument/2006/relationships" r:id="rId20" tooltip="FINAL"/>
            <a:extLst>
              <a:ext uri="{FF2B5EF4-FFF2-40B4-BE49-F238E27FC236}">
                <a16:creationId xmlns:a16="http://schemas.microsoft.com/office/drawing/2014/main" id="{49874D3B-6035-6CEC-41B1-5948972B0C4D}"/>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4" name="36 Rectángulo redondeado">
            <a:hlinkClick xmlns:r="http://schemas.openxmlformats.org/officeDocument/2006/relationships" r:id="rId21" tooltip="Resumen General"/>
            <a:extLst>
              <a:ext uri="{FF2B5EF4-FFF2-40B4-BE49-F238E27FC236}">
                <a16:creationId xmlns:a16="http://schemas.microsoft.com/office/drawing/2014/main" id="{95618F65-2228-D2A7-97A9-1A51BA888C72}"/>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5" name="28 Rectángulo redondeado">
            <a:hlinkClick xmlns:r="http://schemas.openxmlformats.org/officeDocument/2006/relationships" r:id="rId22" tooltip="16vos Final"/>
            <a:extLst>
              <a:ext uri="{FF2B5EF4-FFF2-40B4-BE49-F238E27FC236}">
                <a16:creationId xmlns:a16="http://schemas.microsoft.com/office/drawing/2014/main" id="{8491FB4F-D51B-ACBA-B60B-083E4A65CA5F}"/>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6" name="28 Rectángulo redondeado">
            <a:hlinkClick xmlns:r="http://schemas.openxmlformats.org/officeDocument/2006/relationships" r:id="rId23" tooltip="Mejores 3ros"/>
            <a:extLst>
              <a:ext uri="{FF2B5EF4-FFF2-40B4-BE49-F238E27FC236}">
                <a16:creationId xmlns:a16="http://schemas.microsoft.com/office/drawing/2014/main" id="{6C8CA0F6-EB82-7093-757B-8DFD700D54F7}"/>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7" name="Imagen 26">
          <a:extLst>
            <a:ext uri="{FF2B5EF4-FFF2-40B4-BE49-F238E27FC236}">
              <a16:creationId xmlns:a16="http://schemas.microsoft.com/office/drawing/2014/main" id="{A73F94CC-1080-47F9-B72A-BF0A95BF2F4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twoCellAnchor editAs="oneCell">
    <xdr:from>
      <xdr:col>16</xdr:col>
      <xdr:colOff>1</xdr:colOff>
      <xdr:row>12</xdr:row>
      <xdr:rowOff>0</xdr:rowOff>
    </xdr:from>
    <xdr:to>
      <xdr:col>16</xdr:col>
      <xdr:colOff>237942</xdr:colOff>
      <xdr:row>12</xdr:row>
      <xdr:rowOff>158400</xdr:rowOff>
    </xdr:to>
    <xdr:pic>
      <xdr:nvPicPr>
        <xdr:cNvPr id="14" name="Picture 4" descr="Bandera de Turquía | bandera horizontal | 2.16m² | 120x180cm">
          <a:extLst>
            <a:ext uri="{FF2B5EF4-FFF2-40B4-BE49-F238E27FC236}">
              <a16:creationId xmlns:a16="http://schemas.microsoft.com/office/drawing/2014/main" id="{FD207FCB-D58D-4EDF-A017-485F5F23EE43}"/>
            </a:ext>
          </a:extLst>
        </xdr:cNvPr>
        <xdr:cNvPicPr>
          <a:picLocks noChangeAspect="1"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t="17053" b="16376"/>
        <a:stretch>
          <a:fillRect/>
        </a:stretch>
      </xdr:blipFill>
      <xdr:spPr bwMode="auto">
        <a:xfrm>
          <a:off x="7526422" y="2112211"/>
          <a:ext cx="237941"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323850</xdr:colOff>
      <xdr:row>6</xdr:row>
      <xdr:rowOff>0</xdr:rowOff>
    </xdr:from>
    <xdr:to>
      <xdr:col>16</xdr:col>
      <xdr:colOff>230776</xdr:colOff>
      <xdr:row>6</xdr:row>
      <xdr:rowOff>158400</xdr:rowOff>
    </xdr:to>
    <xdr:pic>
      <xdr:nvPicPr>
        <xdr:cNvPr id="2" name="Picture 2">
          <a:extLst>
            <a:ext uri="{FF2B5EF4-FFF2-40B4-BE49-F238E27FC236}">
              <a16:creationId xmlns:a16="http://schemas.microsoft.com/office/drawing/2014/main" id="{72B664A5-A7C0-4FEE-BFDE-2282118E4E82}"/>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7518400" y="1143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xdr:row>
      <xdr:rowOff>6350</xdr:rowOff>
    </xdr:from>
    <xdr:to>
      <xdr:col>16</xdr:col>
      <xdr:colOff>238554</xdr:colOff>
      <xdr:row>9</xdr:row>
      <xdr:rowOff>6000</xdr:rowOff>
    </xdr:to>
    <xdr:pic>
      <xdr:nvPicPr>
        <xdr:cNvPr id="4" name="Picture 4">
          <a:extLst>
            <a:ext uri="{FF2B5EF4-FFF2-40B4-BE49-F238E27FC236}">
              <a16:creationId xmlns:a16="http://schemas.microsoft.com/office/drawing/2014/main" id="{4DD726E3-195F-49C3-ADB8-990A1D4C7222}"/>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24750" y="1466850"/>
          <a:ext cx="238554"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10</xdr:row>
      <xdr:rowOff>0</xdr:rowOff>
    </xdr:from>
    <xdr:to>
      <xdr:col>16</xdr:col>
      <xdr:colOff>237126</xdr:colOff>
      <xdr:row>10</xdr:row>
      <xdr:rowOff>158400</xdr:rowOff>
    </xdr:to>
    <xdr:pic>
      <xdr:nvPicPr>
        <xdr:cNvPr id="5" name="Picture 6">
          <a:extLst>
            <a:ext uri="{FF2B5EF4-FFF2-40B4-BE49-F238E27FC236}">
              <a16:creationId xmlns:a16="http://schemas.microsoft.com/office/drawing/2014/main" id="{FC1D4C4A-EF29-4DB3-A467-709960CF8783}"/>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24750" y="1778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6" name="Picture 8">
          <a:extLst>
            <a:ext uri="{FF2B5EF4-FFF2-40B4-BE49-F238E27FC236}">
              <a16:creationId xmlns:a16="http://schemas.microsoft.com/office/drawing/2014/main" id="{CCCADA68-5518-4260-B807-6D4DDCD642F8}"/>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7524750" y="2095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3" name="Grupo 2">
          <a:extLst>
            <a:ext uri="{FF2B5EF4-FFF2-40B4-BE49-F238E27FC236}">
              <a16:creationId xmlns:a16="http://schemas.microsoft.com/office/drawing/2014/main" id="{E41F5F42-535D-44E4-A7ED-E2FE9879BCCA}"/>
            </a:ext>
          </a:extLst>
        </xdr:cNvPr>
        <xdr:cNvGrpSpPr/>
      </xdr:nvGrpSpPr>
      <xdr:grpSpPr>
        <a:xfrm>
          <a:off x="100260" y="508837"/>
          <a:ext cx="1365885" cy="3463278"/>
          <a:chOff x="100260" y="515521"/>
          <a:chExt cx="1365885" cy="3463278"/>
        </a:xfrm>
      </xdr:grpSpPr>
      <xdr:sp macro="" textlink="">
        <xdr:nvSpPr>
          <xdr:cNvPr id="7" name="26 Rectángulo redondeado">
            <a:hlinkClick xmlns:r="http://schemas.openxmlformats.org/officeDocument/2006/relationships" r:id="rId5" tooltip="Grupo F"/>
            <a:extLst>
              <a:ext uri="{FF2B5EF4-FFF2-40B4-BE49-F238E27FC236}">
                <a16:creationId xmlns:a16="http://schemas.microsoft.com/office/drawing/2014/main" id="{DD0FE516-5CB4-340C-F8A9-385665CBDFC5}"/>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7 Rectángulo redondeado">
            <a:hlinkClick xmlns:r="http://schemas.openxmlformats.org/officeDocument/2006/relationships" r:id="rId6" tooltip="Grupo G"/>
            <a:extLst>
              <a:ext uri="{FF2B5EF4-FFF2-40B4-BE49-F238E27FC236}">
                <a16:creationId xmlns:a16="http://schemas.microsoft.com/office/drawing/2014/main" id="{08D0DAF4-F662-3FEE-0486-E9C0075AE3F3}"/>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8 Rectángulo redondeado">
            <a:hlinkClick xmlns:r="http://schemas.openxmlformats.org/officeDocument/2006/relationships" r:id="rId7" tooltip="Grupo H"/>
            <a:extLst>
              <a:ext uri="{FF2B5EF4-FFF2-40B4-BE49-F238E27FC236}">
                <a16:creationId xmlns:a16="http://schemas.microsoft.com/office/drawing/2014/main" id="{74B94FB8-532C-D45C-B1B6-FBCF2EE26B56}"/>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2 Rectángulo redondeado">
            <a:hlinkClick xmlns:r="http://schemas.openxmlformats.org/officeDocument/2006/relationships" r:id="rId8" tooltip="Grupo A"/>
            <a:extLst>
              <a:ext uri="{FF2B5EF4-FFF2-40B4-BE49-F238E27FC236}">
                <a16:creationId xmlns:a16="http://schemas.microsoft.com/office/drawing/2014/main" id="{AD183D64-6CD4-30C7-AF49-13F7CC95EA71}"/>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3 Rectángulo redondeado">
            <a:hlinkClick xmlns:r="http://schemas.openxmlformats.org/officeDocument/2006/relationships" r:id="rId9" tooltip="Grupo B"/>
            <a:extLst>
              <a:ext uri="{FF2B5EF4-FFF2-40B4-BE49-F238E27FC236}">
                <a16:creationId xmlns:a16="http://schemas.microsoft.com/office/drawing/2014/main" id="{0BC8E2EC-2F28-67D8-2EED-521A7428D804}"/>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24 Rectángulo redondeado">
            <a:hlinkClick xmlns:r="http://schemas.openxmlformats.org/officeDocument/2006/relationships" r:id="rId10" tooltip="Grupo D"/>
            <a:extLst>
              <a:ext uri="{FF2B5EF4-FFF2-40B4-BE49-F238E27FC236}">
                <a16:creationId xmlns:a16="http://schemas.microsoft.com/office/drawing/2014/main" id="{ED3668E5-AD4B-5042-6C43-2D6F354B6BCF}"/>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25 Rectángulo redondeado">
            <a:hlinkClick xmlns:r="http://schemas.openxmlformats.org/officeDocument/2006/relationships" r:id="rId11" tooltip="Grupo E"/>
            <a:extLst>
              <a:ext uri="{FF2B5EF4-FFF2-40B4-BE49-F238E27FC236}">
                <a16:creationId xmlns:a16="http://schemas.microsoft.com/office/drawing/2014/main" id="{B51C2CBB-27DD-E58F-B7AB-FC1C116AB385}"/>
              </a:ext>
            </a:extLst>
          </xdr:cNvPr>
          <xdr:cNvSpPr/>
        </xdr:nvSpPr>
        <xdr:spPr bwMode="auto">
          <a:xfrm>
            <a:off x="109620" y="1293451"/>
            <a:ext cx="648000" cy="181671"/>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E</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14" name="33 Rectángulo redondeado">
            <a:hlinkClick xmlns:r="http://schemas.openxmlformats.org/officeDocument/2006/relationships" r:id="rId12" tooltip="Grupo C"/>
            <a:extLst>
              <a:ext uri="{FF2B5EF4-FFF2-40B4-BE49-F238E27FC236}">
                <a16:creationId xmlns:a16="http://schemas.microsoft.com/office/drawing/2014/main" id="{1C1C3CED-1414-D876-4370-F847578D7968}"/>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34 Rectángulo redondeado">
            <a:hlinkClick xmlns:r="http://schemas.openxmlformats.org/officeDocument/2006/relationships" r:id="rId13" tooltip="Inicio"/>
            <a:extLst>
              <a:ext uri="{FF2B5EF4-FFF2-40B4-BE49-F238E27FC236}">
                <a16:creationId xmlns:a16="http://schemas.microsoft.com/office/drawing/2014/main" id="{E9077930-9D67-A0C4-3014-CB15C3B65DC2}"/>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7" name="28 Rectángulo redondeado">
            <a:hlinkClick xmlns:r="http://schemas.openxmlformats.org/officeDocument/2006/relationships" r:id="rId14" tooltip="Grupo I"/>
            <a:extLst>
              <a:ext uri="{FF2B5EF4-FFF2-40B4-BE49-F238E27FC236}">
                <a16:creationId xmlns:a16="http://schemas.microsoft.com/office/drawing/2014/main" id="{C4C5E691-BF2A-496F-EF51-97851B714E36}"/>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5" tooltip="Grupo J"/>
            <a:extLst>
              <a:ext uri="{FF2B5EF4-FFF2-40B4-BE49-F238E27FC236}">
                <a16:creationId xmlns:a16="http://schemas.microsoft.com/office/drawing/2014/main" id="{7EEA2D46-0A5B-6D50-E425-35D067DA0E1E}"/>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6" tooltip="Grupo K"/>
            <a:extLst>
              <a:ext uri="{FF2B5EF4-FFF2-40B4-BE49-F238E27FC236}">
                <a16:creationId xmlns:a16="http://schemas.microsoft.com/office/drawing/2014/main" id="{B6293C28-28EB-C326-4357-B380AC7D507A}"/>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0" name="28 Rectángulo redondeado">
            <a:hlinkClick xmlns:r="http://schemas.openxmlformats.org/officeDocument/2006/relationships" r:id="rId17" tooltip="Grupo L"/>
            <a:extLst>
              <a:ext uri="{FF2B5EF4-FFF2-40B4-BE49-F238E27FC236}">
                <a16:creationId xmlns:a16="http://schemas.microsoft.com/office/drawing/2014/main" id="{2632D6A9-04B5-9545-C29F-EAE43E9D74AE}"/>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1" name="28 Rectángulo redondeado">
            <a:hlinkClick xmlns:r="http://schemas.openxmlformats.org/officeDocument/2006/relationships" r:id="rId18" tooltip="Octavos de Final"/>
            <a:extLst>
              <a:ext uri="{FF2B5EF4-FFF2-40B4-BE49-F238E27FC236}">
                <a16:creationId xmlns:a16="http://schemas.microsoft.com/office/drawing/2014/main" id="{C83EFBF4-0840-0BCD-59E7-5ED33538432A}"/>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2" name="29 Rectángulo redondeado">
            <a:hlinkClick xmlns:r="http://schemas.openxmlformats.org/officeDocument/2006/relationships" r:id="rId19" tooltip="Cuartos de Final"/>
            <a:extLst>
              <a:ext uri="{FF2B5EF4-FFF2-40B4-BE49-F238E27FC236}">
                <a16:creationId xmlns:a16="http://schemas.microsoft.com/office/drawing/2014/main" id="{AF896E7A-20F9-5D1D-40B3-FECE2F5FCD86}"/>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3" name="30 Rectángulo redondeado">
            <a:hlinkClick xmlns:r="http://schemas.openxmlformats.org/officeDocument/2006/relationships" r:id="rId20" tooltip="Semi Final"/>
            <a:extLst>
              <a:ext uri="{FF2B5EF4-FFF2-40B4-BE49-F238E27FC236}">
                <a16:creationId xmlns:a16="http://schemas.microsoft.com/office/drawing/2014/main" id="{B1A44A0A-3414-4139-8CBA-4DB0CD672514}"/>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4" name="31 Rectángulo redondeado">
            <a:hlinkClick xmlns:r="http://schemas.openxmlformats.org/officeDocument/2006/relationships" r:id="rId21" tooltip="FINAL"/>
            <a:extLst>
              <a:ext uri="{FF2B5EF4-FFF2-40B4-BE49-F238E27FC236}">
                <a16:creationId xmlns:a16="http://schemas.microsoft.com/office/drawing/2014/main" id="{2611130A-F22F-F997-6850-18EA48ADC08F}"/>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5" name="36 Rectángulo redondeado">
            <a:hlinkClick xmlns:r="http://schemas.openxmlformats.org/officeDocument/2006/relationships" r:id="rId22" tooltip="Resumen General"/>
            <a:extLst>
              <a:ext uri="{FF2B5EF4-FFF2-40B4-BE49-F238E27FC236}">
                <a16:creationId xmlns:a16="http://schemas.microsoft.com/office/drawing/2014/main" id="{A06DE30F-7DD3-8929-FBB8-7138437A70DE}"/>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3" tooltip="16vos Final"/>
            <a:extLst>
              <a:ext uri="{FF2B5EF4-FFF2-40B4-BE49-F238E27FC236}">
                <a16:creationId xmlns:a16="http://schemas.microsoft.com/office/drawing/2014/main" id="{93CD4DA5-2776-B187-BD3E-15BB113BE950}"/>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7" name="28 Rectángulo redondeado">
            <a:hlinkClick xmlns:r="http://schemas.openxmlformats.org/officeDocument/2006/relationships" r:id="rId24" tooltip="Mejores 3ros"/>
            <a:extLst>
              <a:ext uri="{FF2B5EF4-FFF2-40B4-BE49-F238E27FC236}">
                <a16:creationId xmlns:a16="http://schemas.microsoft.com/office/drawing/2014/main" id="{073CEC8A-2493-2CBF-1F61-032FC4235762}"/>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8" name="Imagen 27">
          <a:extLst>
            <a:ext uri="{FF2B5EF4-FFF2-40B4-BE49-F238E27FC236}">
              <a16:creationId xmlns:a16="http://schemas.microsoft.com/office/drawing/2014/main" id="{5A444419-E4C6-4DB7-B117-834B4AE8231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23</xdr:col>
      <xdr:colOff>0</xdr:colOff>
      <xdr:row>5</xdr:row>
      <xdr:rowOff>0</xdr:rowOff>
    </xdr:from>
    <xdr:to>
      <xdr:col>23</xdr:col>
      <xdr:colOff>304800</xdr:colOff>
      <xdr:row>6</xdr:row>
      <xdr:rowOff>142875</xdr:rowOff>
    </xdr:to>
    <xdr:sp macro="" textlink="">
      <xdr:nvSpPr>
        <xdr:cNvPr id="7169" name="AutoShape 1" descr="data:image/jpeg;base64,/9j/4AAQSkZJRgABAQAAAQABAAD/2wCEAAkGBhQGDhUIBxIQEBASDRYNEA4VEBoPDBANFRwhFBMQEhIYJycfGRoqGRIUKzssJCkpLCw4FSExQTEqOCYuLDUBCQoKDAwOGg4PGjUlHiUwNSksNCk1LzUtLykpKSwsNTUqNTQ1MiwsNSw1LDUpLCwqNCo1LCkpLikrKi80KTEpLP/AABEIALEBHAMBIgACEQEDEQH/xAAbAAEAAwEBAQEAAAAAAAAAAAAAAQIGBQQDB//EADoQAAEDAQQIBQIEBQUBAAAAAAABAgMRBFKS0QUSExYhMTKRQVFTcsEisQZhcYEUI0JDoWJjgpPhM//EABoBAQADAQEBAAAAAAAAAAAAAAABAgQFAwb/xAAfEQEAAgIDAQEBAQAAAAAAAAAAAhQBAxExUQQhQRL/2gAMAwEAAhEDEQA/ANFPO5Hu+p3Uv9S+ZTbuvOxKJ+t3vX7lDtYcZfbuvOxKNu687EpQAX27rzsSjbuvOxKUAF9u687Eo27rzsSlABfbuvOxKNu687EpQAX27rzsSjbuvOxKUAF9u687Eo27rzsSlABfbuvOxKNu687EpQAX27rzsSjbuvOxKUAF9u687Eo27rzsSlABfbuvOxKNu687EpQAX27rzsSjbuvOxKUAF9u687Eo27rzsSlABfbuvOxKNu687EpQAX27rzsSjbuvOxKUAF9u687Eo27rzsSlABfbuvOxKNu687EpQAX27rzsSnR0dK5WLVzuvzXyQ5Z0dG9C+/4QrLH4tHt4Z+t3vX7lC8/W73r9yhZUABKAAAAAAAAAAAAAAAAAAAAAAAAAAAAAAAAAAAAAAAAA6Ojehff8Ic46Ojehff8ACFZdLx7eGfrd71+5QvP1u96/coSqAAlAAAAAAAAAAAAAAAAAAAAAAAAAAAAAAAAAAAAAAAAAdHRvQvv+EOcdHRvQvv8AhCsul49vDP1u96/cobV/4LiequV8vFa82+P7FdyYr8vduR4Wdb1r7GMBs9yYr8vduQ3Jivy925CzrK+xjAbPcmK/L3bkNyYr8vduQs6yvsYwGz3Jivy925DcmK/L3bkLOsr7GMBs9yYr8vduQ3Jivy925CzrK+xjAbPcmK/L3bkNyYr8vduQs6yvsYwGz3Jivy925DcmK/L3bkLOsr7GMBs9yYr8vduQ3Jivy925CzrK+xjAbPcmK/L3bkNyYr8vduQs6yvsYwGz3Khvy925DcmK/L3bkLOsr7GMBs9yYr8vduQ3Jivy925CzrK+xjAbPcmK/L3bkNyYr8vduQs6yvsYwGz3Jivy925DcmK/L3bkLOsr7GMBs9yYr8vduQ3Jivy925CzrK+xjAbPcmK/L3bkNyYr8vduQs6yvsYwGz3Jivy925DcmK/L3bkLOsr7GMBs9yYr8vduQ3Jivy925CzrK+xjDo6N6F9/whotyYr8vduR94PwrHZ01WukXjXiqZfkRn6NecLR+eeMu2ADnOgAAAAAAAAAAAAAAAAFHSI1UaqpVeSV4rTnQmSRIUWSRUa1EqrlWjUROaqpwNJWlZkV07NeJHbSK2QuRyxeSubWvDxVOCoUnL/OOVox5y+z9OayRWtn0xrIsNojWm0ie7g1XeVHJT/lU8X8W6NGWWZVWSPSTWq6tdaN6q5q9l5fkc3SdvTXRbXRNeHZyvb/APOWP+3OxPFUdSqc/p8ORw36YkkRVY1737WOXXRquRJI2qzmnOvBe/mYp/Rx/WyGjnH5hsY9KPpK2J2tLJpBbNEq8WNjbRFcieSNqv51OxZtJttCvVODI37NZVVEY56cHIn6LQwOj9M0cxjF2eziWPaO5xq6qzS05q6nBPM7dktbNVrURX6q1s9jRavfKq12sy8kWq148q1L69/KmzTx/GvTiSeKw2la/wAPbJIXTUV6sZ9Ktj8KtVVXx58K+R7TZjPLLnHAACUAAAAAAAAAAAAAAAAAAAAAAAAAAAAAAAAAAA89ve6ONXWfZq7wbI7VY5PFNZOXZTKWtjrNWdIkgr1LZp0k534eCP8A2oabSsCWiOj4UnoqKkSqiVXlVFXh4mU0jZks/CSOxRuXpsyNWeb90b4/4M2/lo0uDZ4/46ZY3q5Y2/zFaqaiK5f9tFVG+PLyPdBpRr6tjTg36aJ4LzpThT9qnjsaLo60K21NSPaNRKaqMVq826zU6fHn/wCnut1Wqmoi8fJE4O81PnPo5zs4y68eOHmlc3SzHPhT62cnJ4qn9NVp5KffQtofO3gx6Rr1bNzYXP8ANXSr9Tv2/wAcj6W20JY4lVeatVGp4q/9DwaEszYmpM/ZpT6ayQ61lVfBFlbVyLy7mj485/fHnt44bTQzHRORYY7NBGq/UzX2lpd/qV6c15c6neM5ovR+s9k7rLZNStUljl13tcnJyIqUp+i1NGd/X05GztIAPV5gAAAAAAAAAAAAAAAAAAAAAAAAAAAAAAAAAA+c8KTtWJ9aOarVoqtdReHBU4oZ+0WJLIjmNYtks7K68rVRbRaHLTVRjkVXUVa8+Kr4GkPjLZWzObJIiK5iqrK8muXhWnmUnH/S8ZcMJb9EpRzWs1V1dosdapBDzV8q+Mi0Th4V/Q5bbNPA9lmikVNZGcFRHIx0nFjVqnkbWfQ730s0n17e0be1SIlGbNifTEn5VRqJ+54WwbT+e5K62meD70beDafl1GCfzYln9w2w38YZqzWF07XT2jWc9rNolV4ujRVZIiKnJUVKpTyX8jT2azPhe3ZPYySRlY5lZrWe1MVK0kb4Pp+6/wCVtHYnQo5kTdd9ktVUREqstnl+p7P11XL2OvBoZsevC6joHK18cS1/lvSquVq+CVov5cfMvq0cKbN3KNE6OSBVndE2GVfoejHLsX0/rRvLulU5HUIJN2McY4Y855zyAAlAAAAAAAAAAAAAAAADku/FNnauqsi1RaL9DufYjeuz+ouB2RhJ+t3vX7lDoVYeufZm329dn9RcDshvXZ/UXA7IwIFWHpZm329dn9RcDshvXZ/UXA7IwIFWHpZm329dn9RcDshvXZ/UXA7IwIFWHpZm329dn9RcDshvXZ/UXA7IwIFWHpZm329dn9RcDshvXZ/UXA7IwIFWHpZm329dn9RcDshvXZ/UXA7IwIFWHpZm329dn9RcDshvXZ/UXA7IwIFWHpZm329Vn9RcDsii/iazLwV/Jap/LdwXz5GEAqwLU29T8U2ZP7i/9bsid6rP6i4HZGBAqwLM2+3rs/qLgdkN67P6i4HZGBAqw9LM2+3rs/qLgdkN67P6i4HZGBAqw9LM2+3rs/qLgdkN67P6i4HZGBAqw9LU2+3rs/qLgdkN67P6i4HZGBAqw9LM2+3rs/qLgdkN67P6i4HZGBAqw9LM2+3rs/qLgdkN67P6i4HZGBAqw9LM2+3rs/qLgdkN67P6i4HZGBAqw9LM2+3rs/qLgdkfSL8RQTJrMeqpWnQ5OPY/PTo6N6F9/wAIRn5oYTj6Z5eGfrd71+5QvP1u96/coa2UABKAAAAAAAAAAAAAAAAAAAAAAAAAAAAAAAAAAAAAAAAA6Ojehff8Ic46Ojehff8ACFZdLx7eGfrd71+5QvP1u96/coSqAAlAAAAAAAAAAAAAAAAAAAAAAAAAAAAAAAAAAAAAAAAAdHRvQvv+EOcdHRvQvv8AhCsul49vDP1u96/coXn63e9fufOpOFUgioqShIIqKgSCKioEgioqBIIqKgSCKioEgioqBIIqKgSCKioEgioqBIIqKgSCKioEgioqBIIqKgSCKioEgioqBJ0dG9C+/wCEObU6Wjehff8ACFZdLx7e6TqX3KVAPB7AAAAAAAAAAAAAAAAAAAAAAAAAAAAAAAAAAAAAAAAAAAHrsfSvu+EAIz0nHb//2Q==">
          <a:hlinkClick xmlns:r="http://schemas.openxmlformats.org/officeDocument/2006/relationships" r:id="rId1"/>
          <a:extLst>
            <a:ext uri="{FF2B5EF4-FFF2-40B4-BE49-F238E27FC236}">
              <a16:creationId xmlns:a16="http://schemas.microsoft.com/office/drawing/2014/main" id="{00000000-0008-0000-0600-0000011C0000}"/>
            </a:ext>
          </a:extLst>
        </xdr:cNvPr>
        <xdr:cNvSpPr>
          <a:spLocks noChangeAspect="1" noChangeArrowheads="1"/>
        </xdr:cNvSpPr>
      </xdr:nvSpPr>
      <xdr:spPr bwMode="auto">
        <a:xfrm>
          <a:off x="9496425" y="146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6</xdr:row>
      <xdr:rowOff>0</xdr:rowOff>
    </xdr:from>
    <xdr:to>
      <xdr:col>16</xdr:col>
      <xdr:colOff>237126</xdr:colOff>
      <xdr:row>6</xdr:row>
      <xdr:rowOff>158400</xdr:rowOff>
    </xdr:to>
    <xdr:pic>
      <xdr:nvPicPr>
        <xdr:cNvPr id="2" name="Picture 10">
          <a:extLst>
            <a:ext uri="{FF2B5EF4-FFF2-40B4-BE49-F238E27FC236}">
              <a16:creationId xmlns:a16="http://schemas.microsoft.com/office/drawing/2014/main" id="{E2404D4B-475B-4752-B747-159021CCCE68}"/>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24750" y="1143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xdr:row>
      <xdr:rowOff>0</xdr:rowOff>
    </xdr:from>
    <xdr:to>
      <xdr:col>16</xdr:col>
      <xdr:colOff>237126</xdr:colOff>
      <xdr:row>8</xdr:row>
      <xdr:rowOff>158400</xdr:rowOff>
    </xdr:to>
    <xdr:pic>
      <xdr:nvPicPr>
        <xdr:cNvPr id="4" name="Picture 12">
          <a:extLst>
            <a:ext uri="{FF2B5EF4-FFF2-40B4-BE49-F238E27FC236}">
              <a16:creationId xmlns:a16="http://schemas.microsoft.com/office/drawing/2014/main" id="{062C0352-71FB-47E5-BB3A-E854C3D69512}"/>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24750" y="1460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5" name="Picture 14">
          <a:extLst>
            <a:ext uri="{FF2B5EF4-FFF2-40B4-BE49-F238E27FC236}">
              <a16:creationId xmlns:a16="http://schemas.microsoft.com/office/drawing/2014/main" id="{E3393A60-047E-44CE-B3AB-9241E866A7CF}"/>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7524750" y="1778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3" name="Grupo 2">
          <a:extLst>
            <a:ext uri="{FF2B5EF4-FFF2-40B4-BE49-F238E27FC236}">
              <a16:creationId xmlns:a16="http://schemas.microsoft.com/office/drawing/2014/main" id="{B7ABE3CC-1668-495F-A971-A93E2D6FAF38}"/>
            </a:ext>
          </a:extLst>
        </xdr:cNvPr>
        <xdr:cNvGrpSpPr/>
      </xdr:nvGrpSpPr>
      <xdr:grpSpPr>
        <a:xfrm>
          <a:off x="100260" y="508837"/>
          <a:ext cx="1365885" cy="3463278"/>
          <a:chOff x="100260" y="515521"/>
          <a:chExt cx="1365885" cy="3463278"/>
        </a:xfrm>
      </xdr:grpSpPr>
      <xdr:sp macro="" textlink="">
        <xdr:nvSpPr>
          <xdr:cNvPr id="6" name="26 Rectángulo redondeado">
            <a:hlinkClick xmlns:r="http://schemas.openxmlformats.org/officeDocument/2006/relationships" r:id="rId5" tooltip="Grupo F"/>
            <a:extLst>
              <a:ext uri="{FF2B5EF4-FFF2-40B4-BE49-F238E27FC236}">
                <a16:creationId xmlns:a16="http://schemas.microsoft.com/office/drawing/2014/main" id="{96D8D425-5F88-B67E-840E-34E77CBBD76D}"/>
              </a:ext>
            </a:extLst>
          </xdr:cNvPr>
          <xdr:cNvSpPr/>
        </xdr:nvSpPr>
        <xdr:spPr bwMode="auto">
          <a:xfrm>
            <a:off x="818145" y="1295326"/>
            <a:ext cx="648000" cy="181672"/>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F</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7" name="27 Rectángulo redondeado">
            <a:hlinkClick xmlns:r="http://schemas.openxmlformats.org/officeDocument/2006/relationships" r:id="rId6" tooltip="Grupo G"/>
            <a:extLst>
              <a:ext uri="{FF2B5EF4-FFF2-40B4-BE49-F238E27FC236}">
                <a16:creationId xmlns:a16="http://schemas.microsoft.com/office/drawing/2014/main" id="{6801A861-CBC1-7738-1540-D14C49FC2B4B}"/>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8 Rectángulo redondeado">
            <a:hlinkClick xmlns:r="http://schemas.openxmlformats.org/officeDocument/2006/relationships" r:id="rId7" tooltip="Grupo H"/>
            <a:extLst>
              <a:ext uri="{FF2B5EF4-FFF2-40B4-BE49-F238E27FC236}">
                <a16:creationId xmlns:a16="http://schemas.microsoft.com/office/drawing/2014/main" id="{32176887-CB96-AC9F-E83A-AE9F6A23572E}"/>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2 Rectángulo redondeado">
            <a:hlinkClick xmlns:r="http://schemas.openxmlformats.org/officeDocument/2006/relationships" r:id="rId8" tooltip="Grupo A"/>
            <a:extLst>
              <a:ext uri="{FF2B5EF4-FFF2-40B4-BE49-F238E27FC236}">
                <a16:creationId xmlns:a16="http://schemas.microsoft.com/office/drawing/2014/main" id="{4FD6AD93-9380-6843-B285-3862950CF5B2}"/>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3 Rectángulo redondeado">
            <a:hlinkClick xmlns:r="http://schemas.openxmlformats.org/officeDocument/2006/relationships" r:id="rId9" tooltip="Grupo B"/>
            <a:extLst>
              <a:ext uri="{FF2B5EF4-FFF2-40B4-BE49-F238E27FC236}">
                <a16:creationId xmlns:a16="http://schemas.microsoft.com/office/drawing/2014/main" id="{AAF0F128-BDAD-3B7B-C8FA-D515A9335B5E}"/>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4 Rectángulo redondeado">
            <a:hlinkClick xmlns:r="http://schemas.openxmlformats.org/officeDocument/2006/relationships" r:id="rId10" tooltip="Grupo D"/>
            <a:extLst>
              <a:ext uri="{FF2B5EF4-FFF2-40B4-BE49-F238E27FC236}">
                <a16:creationId xmlns:a16="http://schemas.microsoft.com/office/drawing/2014/main" id="{0796B0B2-5711-C2F5-4F4E-37FF773F1D4D}"/>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25 Rectángulo redondeado">
            <a:hlinkClick xmlns:r="http://schemas.openxmlformats.org/officeDocument/2006/relationships" r:id="rId11" tooltip="Grupo E"/>
            <a:extLst>
              <a:ext uri="{FF2B5EF4-FFF2-40B4-BE49-F238E27FC236}">
                <a16:creationId xmlns:a16="http://schemas.microsoft.com/office/drawing/2014/main" id="{3528DD55-BD56-AF8D-A22C-3CF55222178F}"/>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33 Rectángulo redondeado">
            <a:hlinkClick xmlns:r="http://schemas.openxmlformats.org/officeDocument/2006/relationships" r:id="rId12" tooltip="Grupo C"/>
            <a:extLst>
              <a:ext uri="{FF2B5EF4-FFF2-40B4-BE49-F238E27FC236}">
                <a16:creationId xmlns:a16="http://schemas.microsoft.com/office/drawing/2014/main" id="{7B9CC398-1EA2-883E-B32E-D22DAC4C881A}"/>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34 Rectángulo redondeado">
            <a:hlinkClick xmlns:r="http://schemas.openxmlformats.org/officeDocument/2006/relationships" r:id="rId13" tooltip="Inicio"/>
            <a:extLst>
              <a:ext uri="{FF2B5EF4-FFF2-40B4-BE49-F238E27FC236}">
                <a16:creationId xmlns:a16="http://schemas.microsoft.com/office/drawing/2014/main" id="{13F2D39B-7281-11B4-15F1-9923E313DA5B}"/>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6" name="28 Rectángulo redondeado">
            <a:hlinkClick xmlns:r="http://schemas.openxmlformats.org/officeDocument/2006/relationships" r:id="rId14" tooltip="Grupo I"/>
            <a:extLst>
              <a:ext uri="{FF2B5EF4-FFF2-40B4-BE49-F238E27FC236}">
                <a16:creationId xmlns:a16="http://schemas.microsoft.com/office/drawing/2014/main" id="{8E26AC3F-CC4F-6146-1CBC-43805BD46F9D}"/>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5" tooltip="Grupo J"/>
            <a:extLst>
              <a:ext uri="{FF2B5EF4-FFF2-40B4-BE49-F238E27FC236}">
                <a16:creationId xmlns:a16="http://schemas.microsoft.com/office/drawing/2014/main" id="{CE2D1FAF-D380-8A2A-01FC-0C7BA9C51B4E}"/>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6" tooltip="Grupo K"/>
            <a:extLst>
              <a:ext uri="{FF2B5EF4-FFF2-40B4-BE49-F238E27FC236}">
                <a16:creationId xmlns:a16="http://schemas.microsoft.com/office/drawing/2014/main" id="{A9F4A2CD-51A3-956E-8D4B-05E22ABA0DD4}"/>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7" tooltip="Grupo L"/>
            <a:extLst>
              <a:ext uri="{FF2B5EF4-FFF2-40B4-BE49-F238E27FC236}">
                <a16:creationId xmlns:a16="http://schemas.microsoft.com/office/drawing/2014/main" id="{139788E0-56A9-35E6-3405-9D591CF4E193}"/>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0" name="28 Rectángulo redondeado">
            <a:hlinkClick xmlns:r="http://schemas.openxmlformats.org/officeDocument/2006/relationships" r:id="rId18" tooltip="Octavos de Final"/>
            <a:extLst>
              <a:ext uri="{FF2B5EF4-FFF2-40B4-BE49-F238E27FC236}">
                <a16:creationId xmlns:a16="http://schemas.microsoft.com/office/drawing/2014/main" id="{1A079038-26BB-3503-5018-D26C86FD6637}"/>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1" name="29 Rectángulo redondeado">
            <a:hlinkClick xmlns:r="http://schemas.openxmlformats.org/officeDocument/2006/relationships" r:id="rId19" tooltip="Cuartos de Final"/>
            <a:extLst>
              <a:ext uri="{FF2B5EF4-FFF2-40B4-BE49-F238E27FC236}">
                <a16:creationId xmlns:a16="http://schemas.microsoft.com/office/drawing/2014/main" id="{93641F16-A8E9-438D-54B0-0E1CEE3843A2}"/>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2" name="30 Rectángulo redondeado">
            <a:hlinkClick xmlns:r="http://schemas.openxmlformats.org/officeDocument/2006/relationships" r:id="rId20" tooltip="Semi Final"/>
            <a:extLst>
              <a:ext uri="{FF2B5EF4-FFF2-40B4-BE49-F238E27FC236}">
                <a16:creationId xmlns:a16="http://schemas.microsoft.com/office/drawing/2014/main" id="{45C48FAA-B2A0-E4B5-7F91-37ABEBA1565C}"/>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3" name="31 Rectángulo redondeado">
            <a:hlinkClick xmlns:r="http://schemas.openxmlformats.org/officeDocument/2006/relationships" r:id="rId21" tooltip="FINAL"/>
            <a:extLst>
              <a:ext uri="{FF2B5EF4-FFF2-40B4-BE49-F238E27FC236}">
                <a16:creationId xmlns:a16="http://schemas.microsoft.com/office/drawing/2014/main" id="{ED59A593-10C5-5BEE-29DD-6748371A9258}"/>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4" name="36 Rectángulo redondeado">
            <a:hlinkClick xmlns:r="http://schemas.openxmlformats.org/officeDocument/2006/relationships" r:id="rId22" tooltip="Resumen General"/>
            <a:extLst>
              <a:ext uri="{FF2B5EF4-FFF2-40B4-BE49-F238E27FC236}">
                <a16:creationId xmlns:a16="http://schemas.microsoft.com/office/drawing/2014/main" id="{F13FD93A-42DC-12EF-7C46-B6ABF7076CF7}"/>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5" name="28 Rectángulo redondeado">
            <a:hlinkClick xmlns:r="http://schemas.openxmlformats.org/officeDocument/2006/relationships" r:id="rId23" tooltip="16vos Final"/>
            <a:extLst>
              <a:ext uri="{FF2B5EF4-FFF2-40B4-BE49-F238E27FC236}">
                <a16:creationId xmlns:a16="http://schemas.microsoft.com/office/drawing/2014/main" id="{101EEDDA-C662-8032-8C8C-9BAFFBAF226F}"/>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6" name="28 Rectángulo redondeado">
            <a:hlinkClick xmlns:r="http://schemas.openxmlformats.org/officeDocument/2006/relationships" r:id="rId24" tooltip="Mejores 3ros"/>
            <a:extLst>
              <a:ext uri="{FF2B5EF4-FFF2-40B4-BE49-F238E27FC236}">
                <a16:creationId xmlns:a16="http://schemas.microsoft.com/office/drawing/2014/main" id="{98BE043E-8BF0-010A-BCB3-DF72336C2085}"/>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7" name="Imagen 26">
          <a:extLst>
            <a:ext uri="{FF2B5EF4-FFF2-40B4-BE49-F238E27FC236}">
              <a16:creationId xmlns:a16="http://schemas.microsoft.com/office/drawing/2014/main" id="{1EF49151-B71F-45D6-A589-E59AE5724649}"/>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twoCellAnchor editAs="oneCell">
    <xdr:from>
      <xdr:col>16</xdr:col>
      <xdr:colOff>0</xdr:colOff>
      <xdr:row>10</xdr:row>
      <xdr:rowOff>0</xdr:rowOff>
    </xdr:from>
    <xdr:to>
      <xdr:col>16</xdr:col>
      <xdr:colOff>237600</xdr:colOff>
      <xdr:row>10</xdr:row>
      <xdr:rowOff>158400</xdr:rowOff>
    </xdr:to>
    <xdr:pic>
      <xdr:nvPicPr>
        <xdr:cNvPr id="15" name="Picture 2" descr="Bandera de Suecia | bandera horizontal | 1.35m² | 90x150cm">
          <a:extLst>
            <a:ext uri="{FF2B5EF4-FFF2-40B4-BE49-F238E27FC236}">
              <a16:creationId xmlns:a16="http://schemas.microsoft.com/office/drawing/2014/main" id="{CF9CEF40-C81C-4BDF-BBA6-0139C07DD0C5}"/>
            </a:ext>
          </a:extLst>
        </xdr:cNvPr>
        <xdr:cNvPicPr>
          <a:picLocks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t="20052" b="20118"/>
        <a:stretch>
          <a:fillRect/>
        </a:stretch>
      </xdr:blipFill>
      <xdr:spPr bwMode="auto">
        <a:xfrm>
          <a:off x="7526421" y="2112211"/>
          <a:ext cx="237600"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16</xdr:col>
      <xdr:colOff>237126</xdr:colOff>
      <xdr:row>6</xdr:row>
      <xdr:rowOff>158400</xdr:rowOff>
    </xdr:to>
    <xdr:pic>
      <xdr:nvPicPr>
        <xdr:cNvPr id="2" name="Picture 16">
          <a:extLst>
            <a:ext uri="{FF2B5EF4-FFF2-40B4-BE49-F238E27FC236}">
              <a16:creationId xmlns:a16="http://schemas.microsoft.com/office/drawing/2014/main" id="{A8FB1C2B-C321-44D2-BF3D-5E086C8E0C09}"/>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7524750" y="1143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xdr:row>
      <xdr:rowOff>0</xdr:rowOff>
    </xdr:from>
    <xdr:to>
      <xdr:col>16</xdr:col>
      <xdr:colOff>237126</xdr:colOff>
      <xdr:row>8</xdr:row>
      <xdr:rowOff>158400</xdr:rowOff>
    </xdr:to>
    <xdr:pic>
      <xdr:nvPicPr>
        <xdr:cNvPr id="4" name="Picture 18">
          <a:extLst>
            <a:ext uri="{FF2B5EF4-FFF2-40B4-BE49-F238E27FC236}">
              <a16:creationId xmlns:a16="http://schemas.microsoft.com/office/drawing/2014/main" id="{587DFF7F-B181-4F6D-B3F5-D1B682E9FED2}"/>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24750" y="1460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10</xdr:row>
      <xdr:rowOff>0</xdr:rowOff>
    </xdr:from>
    <xdr:to>
      <xdr:col>16</xdr:col>
      <xdr:colOff>237126</xdr:colOff>
      <xdr:row>10</xdr:row>
      <xdr:rowOff>158400</xdr:rowOff>
    </xdr:to>
    <xdr:pic>
      <xdr:nvPicPr>
        <xdr:cNvPr id="5" name="Picture 20">
          <a:extLst>
            <a:ext uri="{FF2B5EF4-FFF2-40B4-BE49-F238E27FC236}">
              <a16:creationId xmlns:a16="http://schemas.microsoft.com/office/drawing/2014/main" id="{5AC82868-221B-40E8-A4C3-90FAF1051ADA}"/>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24750" y="1778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8" name="Picture 22">
          <a:extLst>
            <a:ext uri="{FF2B5EF4-FFF2-40B4-BE49-F238E27FC236}">
              <a16:creationId xmlns:a16="http://schemas.microsoft.com/office/drawing/2014/main" id="{94920165-3859-4AB1-8168-9F998FEBEF11}"/>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7524750" y="2095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3" name="Grupo 2">
          <a:extLst>
            <a:ext uri="{FF2B5EF4-FFF2-40B4-BE49-F238E27FC236}">
              <a16:creationId xmlns:a16="http://schemas.microsoft.com/office/drawing/2014/main" id="{2F4999C5-5196-4B93-8C66-6D9BAF5F0E4E}"/>
            </a:ext>
          </a:extLst>
        </xdr:cNvPr>
        <xdr:cNvGrpSpPr/>
      </xdr:nvGrpSpPr>
      <xdr:grpSpPr>
        <a:xfrm>
          <a:off x="100260" y="508837"/>
          <a:ext cx="1365885" cy="3463278"/>
          <a:chOff x="100260" y="515521"/>
          <a:chExt cx="1365885" cy="3463278"/>
        </a:xfrm>
      </xdr:grpSpPr>
      <xdr:sp macro="" textlink="">
        <xdr:nvSpPr>
          <xdr:cNvPr id="6" name="26 Rectángulo redondeado">
            <a:hlinkClick xmlns:r="http://schemas.openxmlformats.org/officeDocument/2006/relationships" r:id="rId5" tooltip="Grupo F"/>
            <a:extLst>
              <a:ext uri="{FF2B5EF4-FFF2-40B4-BE49-F238E27FC236}">
                <a16:creationId xmlns:a16="http://schemas.microsoft.com/office/drawing/2014/main" id="{770C4B66-A601-9C9E-D46F-5ACC25298E07}"/>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7 Rectángulo redondeado">
            <a:hlinkClick xmlns:r="http://schemas.openxmlformats.org/officeDocument/2006/relationships" r:id="rId6" tooltip="Grupo G"/>
            <a:extLst>
              <a:ext uri="{FF2B5EF4-FFF2-40B4-BE49-F238E27FC236}">
                <a16:creationId xmlns:a16="http://schemas.microsoft.com/office/drawing/2014/main" id="{9814B458-A6FC-6067-CDA6-12FE976A4488}"/>
              </a:ext>
            </a:extLst>
          </xdr:cNvPr>
          <xdr:cNvSpPr/>
        </xdr:nvSpPr>
        <xdr:spPr bwMode="auto">
          <a:xfrm>
            <a:off x="109620" y="1527876"/>
            <a:ext cx="648000" cy="181671"/>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G</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9" name="28 Rectángulo redondeado">
            <a:hlinkClick xmlns:r="http://schemas.openxmlformats.org/officeDocument/2006/relationships" r:id="rId7" tooltip="Grupo H"/>
            <a:extLst>
              <a:ext uri="{FF2B5EF4-FFF2-40B4-BE49-F238E27FC236}">
                <a16:creationId xmlns:a16="http://schemas.microsoft.com/office/drawing/2014/main" id="{CDA59B60-941B-7126-33F7-9C0C2775821A}"/>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2 Rectángulo redondeado">
            <a:hlinkClick xmlns:r="http://schemas.openxmlformats.org/officeDocument/2006/relationships" r:id="rId8" tooltip="Grupo A"/>
            <a:extLst>
              <a:ext uri="{FF2B5EF4-FFF2-40B4-BE49-F238E27FC236}">
                <a16:creationId xmlns:a16="http://schemas.microsoft.com/office/drawing/2014/main" id="{F1B5DABB-7A4C-ABDA-5239-D8CBB3AEBDD4}"/>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3 Rectángulo redondeado">
            <a:hlinkClick xmlns:r="http://schemas.openxmlformats.org/officeDocument/2006/relationships" r:id="rId9" tooltip="Grupo B"/>
            <a:extLst>
              <a:ext uri="{FF2B5EF4-FFF2-40B4-BE49-F238E27FC236}">
                <a16:creationId xmlns:a16="http://schemas.microsoft.com/office/drawing/2014/main" id="{2017C223-4F8D-527C-ADEB-FC71E4C0F527}"/>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24 Rectángulo redondeado">
            <a:hlinkClick xmlns:r="http://schemas.openxmlformats.org/officeDocument/2006/relationships" r:id="rId10" tooltip="Grupo D"/>
            <a:extLst>
              <a:ext uri="{FF2B5EF4-FFF2-40B4-BE49-F238E27FC236}">
                <a16:creationId xmlns:a16="http://schemas.microsoft.com/office/drawing/2014/main" id="{C885F823-3C2B-AD75-1908-415F24C5A363}"/>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25 Rectángulo redondeado">
            <a:hlinkClick xmlns:r="http://schemas.openxmlformats.org/officeDocument/2006/relationships" r:id="rId11" tooltip="Grupo E"/>
            <a:extLst>
              <a:ext uri="{FF2B5EF4-FFF2-40B4-BE49-F238E27FC236}">
                <a16:creationId xmlns:a16="http://schemas.microsoft.com/office/drawing/2014/main" id="{58F6E835-659D-90EB-0BD7-AD455F1CF4F4}"/>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33 Rectángulo redondeado">
            <a:hlinkClick xmlns:r="http://schemas.openxmlformats.org/officeDocument/2006/relationships" r:id="rId12" tooltip="Grupo C"/>
            <a:extLst>
              <a:ext uri="{FF2B5EF4-FFF2-40B4-BE49-F238E27FC236}">
                <a16:creationId xmlns:a16="http://schemas.microsoft.com/office/drawing/2014/main" id="{DC5CE083-2E74-069B-F224-563880978FB9}"/>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34 Rectángulo redondeado">
            <a:hlinkClick xmlns:r="http://schemas.openxmlformats.org/officeDocument/2006/relationships" r:id="rId13" tooltip="Inicio"/>
            <a:extLst>
              <a:ext uri="{FF2B5EF4-FFF2-40B4-BE49-F238E27FC236}">
                <a16:creationId xmlns:a16="http://schemas.microsoft.com/office/drawing/2014/main" id="{BFB2B7BF-2EC3-700D-C781-CCC38D92745D}"/>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7" name="28 Rectángulo redondeado">
            <a:hlinkClick xmlns:r="http://schemas.openxmlformats.org/officeDocument/2006/relationships" r:id="rId14" tooltip="Grupo I"/>
            <a:extLst>
              <a:ext uri="{FF2B5EF4-FFF2-40B4-BE49-F238E27FC236}">
                <a16:creationId xmlns:a16="http://schemas.microsoft.com/office/drawing/2014/main" id="{A8D9098D-18C9-1BFC-B0D7-CB66D7A542F3}"/>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5" tooltip="Grupo J"/>
            <a:extLst>
              <a:ext uri="{FF2B5EF4-FFF2-40B4-BE49-F238E27FC236}">
                <a16:creationId xmlns:a16="http://schemas.microsoft.com/office/drawing/2014/main" id="{D112650F-5B9D-16BB-5541-7065E44BC0F2}"/>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6" tooltip="Grupo K"/>
            <a:extLst>
              <a:ext uri="{FF2B5EF4-FFF2-40B4-BE49-F238E27FC236}">
                <a16:creationId xmlns:a16="http://schemas.microsoft.com/office/drawing/2014/main" id="{085625A3-AF2A-4ED7-6695-7C3C77705D61}"/>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0" name="28 Rectángulo redondeado">
            <a:hlinkClick xmlns:r="http://schemas.openxmlformats.org/officeDocument/2006/relationships" r:id="rId17" tooltip="Grupo L"/>
            <a:extLst>
              <a:ext uri="{FF2B5EF4-FFF2-40B4-BE49-F238E27FC236}">
                <a16:creationId xmlns:a16="http://schemas.microsoft.com/office/drawing/2014/main" id="{402736D8-997F-877C-D791-AD8DD232B27E}"/>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1" name="28 Rectángulo redondeado">
            <a:hlinkClick xmlns:r="http://schemas.openxmlformats.org/officeDocument/2006/relationships" r:id="rId18" tooltip="Octavos de Final"/>
            <a:extLst>
              <a:ext uri="{FF2B5EF4-FFF2-40B4-BE49-F238E27FC236}">
                <a16:creationId xmlns:a16="http://schemas.microsoft.com/office/drawing/2014/main" id="{B55EEE96-036F-9493-718F-C340B9A500F4}"/>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2" name="29 Rectángulo redondeado">
            <a:hlinkClick xmlns:r="http://schemas.openxmlformats.org/officeDocument/2006/relationships" r:id="rId19" tooltip="Cuartos de Final"/>
            <a:extLst>
              <a:ext uri="{FF2B5EF4-FFF2-40B4-BE49-F238E27FC236}">
                <a16:creationId xmlns:a16="http://schemas.microsoft.com/office/drawing/2014/main" id="{9747C8E1-4E8A-F579-43DE-22BBC99EFA6A}"/>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3" name="30 Rectángulo redondeado">
            <a:hlinkClick xmlns:r="http://schemas.openxmlformats.org/officeDocument/2006/relationships" r:id="rId20" tooltip="Semi Final"/>
            <a:extLst>
              <a:ext uri="{FF2B5EF4-FFF2-40B4-BE49-F238E27FC236}">
                <a16:creationId xmlns:a16="http://schemas.microsoft.com/office/drawing/2014/main" id="{5A22DC84-43A0-D4B9-F2BB-45A55458B875}"/>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4" name="31 Rectángulo redondeado">
            <a:hlinkClick xmlns:r="http://schemas.openxmlformats.org/officeDocument/2006/relationships" r:id="rId21" tooltip="FINAL"/>
            <a:extLst>
              <a:ext uri="{FF2B5EF4-FFF2-40B4-BE49-F238E27FC236}">
                <a16:creationId xmlns:a16="http://schemas.microsoft.com/office/drawing/2014/main" id="{6203FF10-4C01-4790-9B6E-C4D0E4FCB2D8}"/>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5" name="36 Rectángulo redondeado">
            <a:hlinkClick xmlns:r="http://schemas.openxmlformats.org/officeDocument/2006/relationships" r:id="rId22" tooltip="Resumen General"/>
            <a:extLst>
              <a:ext uri="{FF2B5EF4-FFF2-40B4-BE49-F238E27FC236}">
                <a16:creationId xmlns:a16="http://schemas.microsoft.com/office/drawing/2014/main" id="{3FD302B6-8636-E9CE-EAB7-9BE34F6CEC17}"/>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3" tooltip="16vos Final"/>
            <a:extLst>
              <a:ext uri="{FF2B5EF4-FFF2-40B4-BE49-F238E27FC236}">
                <a16:creationId xmlns:a16="http://schemas.microsoft.com/office/drawing/2014/main" id="{1484E4ED-C6B3-94EB-90B5-B81C50DD0036}"/>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7" name="28 Rectángulo redondeado">
            <a:hlinkClick xmlns:r="http://schemas.openxmlformats.org/officeDocument/2006/relationships" r:id="rId24" tooltip="Mejores 3ros"/>
            <a:extLst>
              <a:ext uri="{FF2B5EF4-FFF2-40B4-BE49-F238E27FC236}">
                <a16:creationId xmlns:a16="http://schemas.microsoft.com/office/drawing/2014/main" id="{C1A6471C-2879-87EB-8FCD-405CE09281DD}"/>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8" name="Imagen 27">
          <a:extLst>
            <a:ext uri="{FF2B5EF4-FFF2-40B4-BE49-F238E27FC236}">
              <a16:creationId xmlns:a16="http://schemas.microsoft.com/office/drawing/2014/main" id="{BA4CE442-D172-4549-8147-4685867031C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16</xdr:col>
      <xdr:colOff>237126</xdr:colOff>
      <xdr:row>6</xdr:row>
      <xdr:rowOff>158400</xdr:rowOff>
    </xdr:to>
    <xdr:pic>
      <xdr:nvPicPr>
        <xdr:cNvPr id="2" name="Picture 24">
          <a:extLst>
            <a:ext uri="{FF2B5EF4-FFF2-40B4-BE49-F238E27FC236}">
              <a16:creationId xmlns:a16="http://schemas.microsoft.com/office/drawing/2014/main" id="{9FA52622-021F-4ABA-A696-4E17B51EA85B}"/>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7524750" y="1143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xdr:row>
      <xdr:rowOff>0</xdr:rowOff>
    </xdr:from>
    <xdr:to>
      <xdr:col>16</xdr:col>
      <xdr:colOff>237126</xdr:colOff>
      <xdr:row>8</xdr:row>
      <xdr:rowOff>158400</xdr:rowOff>
    </xdr:to>
    <xdr:pic>
      <xdr:nvPicPr>
        <xdr:cNvPr id="8" name="Picture 26">
          <a:extLst>
            <a:ext uri="{FF2B5EF4-FFF2-40B4-BE49-F238E27FC236}">
              <a16:creationId xmlns:a16="http://schemas.microsoft.com/office/drawing/2014/main" id="{2600A546-456A-4944-970B-3D21586C96AA}"/>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524750" y="1460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10</xdr:row>
      <xdr:rowOff>0</xdr:rowOff>
    </xdr:from>
    <xdr:to>
      <xdr:col>16</xdr:col>
      <xdr:colOff>237126</xdr:colOff>
      <xdr:row>10</xdr:row>
      <xdr:rowOff>158400</xdr:rowOff>
    </xdr:to>
    <xdr:pic>
      <xdr:nvPicPr>
        <xdr:cNvPr id="21" name="Picture 28">
          <a:extLst>
            <a:ext uri="{FF2B5EF4-FFF2-40B4-BE49-F238E27FC236}">
              <a16:creationId xmlns:a16="http://schemas.microsoft.com/office/drawing/2014/main" id="{E8B1B3DC-C496-488C-BDE7-99469CFBE179}"/>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524750" y="17780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23" name="Picture 30">
          <a:extLst>
            <a:ext uri="{FF2B5EF4-FFF2-40B4-BE49-F238E27FC236}">
              <a16:creationId xmlns:a16="http://schemas.microsoft.com/office/drawing/2014/main" id="{66E8D3B1-C79D-4B50-AC97-596F27875967}"/>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7524750" y="2095500"/>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3" name="Grupo 2">
          <a:extLst>
            <a:ext uri="{FF2B5EF4-FFF2-40B4-BE49-F238E27FC236}">
              <a16:creationId xmlns:a16="http://schemas.microsoft.com/office/drawing/2014/main" id="{D82E4F09-17B1-4E4B-904B-97B142504970}"/>
            </a:ext>
          </a:extLst>
        </xdr:cNvPr>
        <xdr:cNvGrpSpPr/>
      </xdr:nvGrpSpPr>
      <xdr:grpSpPr>
        <a:xfrm>
          <a:off x="100260" y="508837"/>
          <a:ext cx="1365885" cy="3463278"/>
          <a:chOff x="100260" y="515521"/>
          <a:chExt cx="1365885" cy="3463278"/>
        </a:xfrm>
      </xdr:grpSpPr>
      <xdr:sp macro="" textlink="">
        <xdr:nvSpPr>
          <xdr:cNvPr id="4" name="26 Rectángulo redondeado">
            <a:hlinkClick xmlns:r="http://schemas.openxmlformats.org/officeDocument/2006/relationships" r:id="rId5" tooltip="Grupo F"/>
            <a:extLst>
              <a:ext uri="{FF2B5EF4-FFF2-40B4-BE49-F238E27FC236}">
                <a16:creationId xmlns:a16="http://schemas.microsoft.com/office/drawing/2014/main" id="{5A943ECA-6C75-CBFB-B90C-59E2ACAA918B}"/>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7 Rectángulo redondeado">
            <a:hlinkClick xmlns:r="http://schemas.openxmlformats.org/officeDocument/2006/relationships" r:id="rId6" tooltip="Grupo G"/>
            <a:extLst>
              <a:ext uri="{FF2B5EF4-FFF2-40B4-BE49-F238E27FC236}">
                <a16:creationId xmlns:a16="http://schemas.microsoft.com/office/drawing/2014/main" id="{09542C4E-1037-467B-9457-5DFB996EEF67}"/>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8 Rectángulo redondeado">
            <a:hlinkClick xmlns:r="http://schemas.openxmlformats.org/officeDocument/2006/relationships" r:id="rId7" tooltip="Grupo H"/>
            <a:extLst>
              <a:ext uri="{FF2B5EF4-FFF2-40B4-BE49-F238E27FC236}">
                <a16:creationId xmlns:a16="http://schemas.microsoft.com/office/drawing/2014/main" id="{16EC9CD3-298D-7305-4312-F97006B2C47B}"/>
              </a:ext>
            </a:extLst>
          </xdr:cNvPr>
          <xdr:cNvSpPr/>
        </xdr:nvSpPr>
        <xdr:spPr bwMode="auto">
          <a:xfrm>
            <a:off x="818145" y="1531525"/>
            <a:ext cx="648000" cy="181671"/>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H</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7" name="22 Rectángulo redondeado">
            <a:hlinkClick xmlns:r="http://schemas.openxmlformats.org/officeDocument/2006/relationships" r:id="rId8" tooltip="Grupo A"/>
            <a:extLst>
              <a:ext uri="{FF2B5EF4-FFF2-40B4-BE49-F238E27FC236}">
                <a16:creationId xmlns:a16="http://schemas.microsoft.com/office/drawing/2014/main" id="{75F37392-1DDD-E149-D057-F254A210D199}"/>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3 Rectángulo redondeado">
            <a:hlinkClick xmlns:r="http://schemas.openxmlformats.org/officeDocument/2006/relationships" r:id="rId9" tooltip="Grupo B"/>
            <a:extLst>
              <a:ext uri="{FF2B5EF4-FFF2-40B4-BE49-F238E27FC236}">
                <a16:creationId xmlns:a16="http://schemas.microsoft.com/office/drawing/2014/main" id="{848F947C-899C-865D-602E-7588D7F0E4B7}"/>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4 Rectángulo redondeado">
            <a:hlinkClick xmlns:r="http://schemas.openxmlformats.org/officeDocument/2006/relationships" r:id="rId10" tooltip="Grupo D"/>
            <a:extLst>
              <a:ext uri="{FF2B5EF4-FFF2-40B4-BE49-F238E27FC236}">
                <a16:creationId xmlns:a16="http://schemas.microsoft.com/office/drawing/2014/main" id="{9900361F-7A31-2558-D87C-77DABD196FB9}"/>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5 Rectángulo redondeado">
            <a:hlinkClick xmlns:r="http://schemas.openxmlformats.org/officeDocument/2006/relationships" r:id="rId11" tooltip="Grupo E"/>
            <a:extLst>
              <a:ext uri="{FF2B5EF4-FFF2-40B4-BE49-F238E27FC236}">
                <a16:creationId xmlns:a16="http://schemas.microsoft.com/office/drawing/2014/main" id="{F6211DC0-B9C1-68D6-071B-AE3A04BBBC18}"/>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33 Rectángulo redondeado">
            <a:hlinkClick xmlns:r="http://schemas.openxmlformats.org/officeDocument/2006/relationships" r:id="rId12" tooltip="Grupo C"/>
            <a:extLst>
              <a:ext uri="{FF2B5EF4-FFF2-40B4-BE49-F238E27FC236}">
                <a16:creationId xmlns:a16="http://schemas.microsoft.com/office/drawing/2014/main" id="{20B541C0-10CD-D4C8-7969-E45DF18CA1EE}"/>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34 Rectángulo redondeado">
            <a:hlinkClick xmlns:r="http://schemas.openxmlformats.org/officeDocument/2006/relationships" r:id="rId13" tooltip="Inicio"/>
            <a:extLst>
              <a:ext uri="{FF2B5EF4-FFF2-40B4-BE49-F238E27FC236}">
                <a16:creationId xmlns:a16="http://schemas.microsoft.com/office/drawing/2014/main" id="{5703F699-0730-DCA6-53E4-D5970831D970}"/>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4" name="28 Rectángulo redondeado">
            <a:hlinkClick xmlns:r="http://schemas.openxmlformats.org/officeDocument/2006/relationships" r:id="rId14" tooltip="Grupo I"/>
            <a:extLst>
              <a:ext uri="{FF2B5EF4-FFF2-40B4-BE49-F238E27FC236}">
                <a16:creationId xmlns:a16="http://schemas.microsoft.com/office/drawing/2014/main" id="{A867CDC2-0813-F2AD-9869-94DB336EE7EB}"/>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5" tooltip="Grupo J"/>
            <a:extLst>
              <a:ext uri="{FF2B5EF4-FFF2-40B4-BE49-F238E27FC236}">
                <a16:creationId xmlns:a16="http://schemas.microsoft.com/office/drawing/2014/main" id="{99EA561F-2CA5-12B1-6FDB-BA9520BED0BE}"/>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6" tooltip="Grupo K"/>
            <a:extLst>
              <a:ext uri="{FF2B5EF4-FFF2-40B4-BE49-F238E27FC236}">
                <a16:creationId xmlns:a16="http://schemas.microsoft.com/office/drawing/2014/main" id="{4A6A98CA-83D1-E1DD-4309-A4FB9454209A}"/>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7" tooltip="Grupo L"/>
            <a:extLst>
              <a:ext uri="{FF2B5EF4-FFF2-40B4-BE49-F238E27FC236}">
                <a16:creationId xmlns:a16="http://schemas.microsoft.com/office/drawing/2014/main" id="{6F61D161-6220-7715-8BAF-EC13766EC3ED}"/>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8" tooltip="Octavos de Final"/>
            <a:extLst>
              <a:ext uri="{FF2B5EF4-FFF2-40B4-BE49-F238E27FC236}">
                <a16:creationId xmlns:a16="http://schemas.microsoft.com/office/drawing/2014/main" id="{AF187BEE-0D5A-FB5A-C763-2FBF39DE6CD2}"/>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0" name="29 Rectángulo redondeado">
            <a:hlinkClick xmlns:r="http://schemas.openxmlformats.org/officeDocument/2006/relationships" r:id="rId19" tooltip="Cuartos de Final"/>
            <a:extLst>
              <a:ext uri="{FF2B5EF4-FFF2-40B4-BE49-F238E27FC236}">
                <a16:creationId xmlns:a16="http://schemas.microsoft.com/office/drawing/2014/main" id="{662D3066-D5D8-AEF8-4826-751000780C42}"/>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2" name="30 Rectángulo redondeado">
            <a:hlinkClick xmlns:r="http://schemas.openxmlformats.org/officeDocument/2006/relationships" r:id="rId20" tooltip="Semi Final"/>
            <a:extLst>
              <a:ext uri="{FF2B5EF4-FFF2-40B4-BE49-F238E27FC236}">
                <a16:creationId xmlns:a16="http://schemas.microsoft.com/office/drawing/2014/main" id="{D8AC5CB6-F49A-6B10-2C94-20BEE56C7857}"/>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4" name="31 Rectángulo redondeado">
            <a:hlinkClick xmlns:r="http://schemas.openxmlformats.org/officeDocument/2006/relationships" r:id="rId21" tooltip="FINAL"/>
            <a:extLst>
              <a:ext uri="{FF2B5EF4-FFF2-40B4-BE49-F238E27FC236}">
                <a16:creationId xmlns:a16="http://schemas.microsoft.com/office/drawing/2014/main" id="{AD46B5AF-F13E-C89F-A05A-08410C8F527D}"/>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5" name="36 Rectángulo redondeado">
            <a:hlinkClick xmlns:r="http://schemas.openxmlformats.org/officeDocument/2006/relationships" r:id="rId22" tooltip="Resumen General"/>
            <a:extLst>
              <a:ext uri="{FF2B5EF4-FFF2-40B4-BE49-F238E27FC236}">
                <a16:creationId xmlns:a16="http://schemas.microsoft.com/office/drawing/2014/main" id="{F137831E-E4A7-7AD5-4011-067E8F0AB422}"/>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3" tooltip="16vos Final"/>
            <a:extLst>
              <a:ext uri="{FF2B5EF4-FFF2-40B4-BE49-F238E27FC236}">
                <a16:creationId xmlns:a16="http://schemas.microsoft.com/office/drawing/2014/main" id="{8A5E58CB-5AF4-FDFB-A8FD-3A4F864AD279}"/>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7" name="28 Rectángulo redondeado">
            <a:hlinkClick xmlns:r="http://schemas.openxmlformats.org/officeDocument/2006/relationships" r:id="rId24" tooltip="Mejores 3ros"/>
            <a:extLst>
              <a:ext uri="{FF2B5EF4-FFF2-40B4-BE49-F238E27FC236}">
                <a16:creationId xmlns:a16="http://schemas.microsoft.com/office/drawing/2014/main" id="{881AE38E-FD75-B354-0A4F-770318046C4B}"/>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8" name="Imagen 27">
          <a:extLst>
            <a:ext uri="{FF2B5EF4-FFF2-40B4-BE49-F238E27FC236}">
              <a16:creationId xmlns:a16="http://schemas.microsoft.com/office/drawing/2014/main" id="{881C4657-4831-4ADE-A060-21C3CBB0EE84}"/>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16</xdr:col>
      <xdr:colOff>0</xdr:colOff>
      <xdr:row>6</xdr:row>
      <xdr:rowOff>0</xdr:rowOff>
    </xdr:from>
    <xdr:ext cx="237126" cy="158400"/>
    <xdr:pic>
      <xdr:nvPicPr>
        <xdr:cNvPr id="18" name="Picture 2">
          <a:extLst>
            <a:ext uri="{FF2B5EF4-FFF2-40B4-BE49-F238E27FC236}">
              <a16:creationId xmlns:a16="http://schemas.microsoft.com/office/drawing/2014/main" id="{A3DAF277-C172-45C9-B57C-D91E7F2BC7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6421" y="1470526"/>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16</xdr:col>
      <xdr:colOff>0</xdr:colOff>
      <xdr:row>8</xdr:row>
      <xdr:rowOff>0</xdr:rowOff>
    </xdr:from>
    <xdr:to>
      <xdr:col>16</xdr:col>
      <xdr:colOff>237126</xdr:colOff>
      <xdr:row>8</xdr:row>
      <xdr:rowOff>158400</xdr:rowOff>
    </xdr:to>
    <xdr:pic>
      <xdr:nvPicPr>
        <xdr:cNvPr id="19" name="Picture 4">
          <a:extLst>
            <a:ext uri="{FF2B5EF4-FFF2-40B4-BE49-F238E27FC236}">
              <a16:creationId xmlns:a16="http://schemas.microsoft.com/office/drawing/2014/main" id="{ACFCC0C7-04FC-4B53-8B55-8F6E4049FC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26421" y="1791368"/>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20" name="Picture 6">
          <a:extLst>
            <a:ext uri="{FF2B5EF4-FFF2-40B4-BE49-F238E27FC236}">
              <a16:creationId xmlns:a16="http://schemas.microsoft.com/office/drawing/2014/main" id="{AD6D7964-2608-41A7-ACD3-59C2D226459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6421" y="2112211"/>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2" name="Grupo 1">
          <a:extLst>
            <a:ext uri="{FF2B5EF4-FFF2-40B4-BE49-F238E27FC236}">
              <a16:creationId xmlns:a16="http://schemas.microsoft.com/office/drawing/2014/main" id="{7744B4C5-907C-4757-82B0-A59B4A76093F}"/>
            </a:ext>
          </a:extLst>
        </xdr:cNvPr>
        <xdr:cNvGrpSpPr/>
      </xdr:nvGrpSpPr>
      <xdr:grpSpPr>
        <a:xfrm>
          <a:off x="100260" y="508837"/>
          <a:ext cx="1365885" cy="3463278"/>
          <a:chOff x="100260" y="515521"/>
          <a:chExt cx="1365885" cy="3463278"/>
        </a:xfrm>
      </xdr:grpSpPr>
      <xdr:sp macro="" textlink="">
        <xdr:nvSpPr>
          <xdr:cNvPr id="3" name="26 Rectángulo redondeado">
            <a:hlinkClick xmlns:r="http://schemas.openxmlformats.org/officeDocument/2006/relationships" r:id="rId4" tooltip="Grupo F"/>
            <a:extLst>
              <a:ext uri="{FF2B5EF4-FFF2-40B4-BE49-F238E27FC236}">
                <a16:creationId xmlns:a16="http://schemas.microsoft.com/office/drawing/2014/main" id="{DC43F248-2071-5988-4A61-35B3290997DB}"/>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 name="27 Rectángulo redondeado">
            <a:hlinkClick xmlns:r="http://schemas.openxmlformats.org/officeDocument/2006/relationships" r:id="rId5" tooltip="Grupo G"/>
            <a:extLst>
              <a:ext uri="{FF2B5EF4-FFF2-40B4-BE49-F238E27FC236}">
                <a16:creationId xmlns:a16="http://schemas.microsoft.com/office/drawing/2014/main" id="{02620393-4F67-4A35-0390-10B7D1DD7D1B}"/>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8 Rectángulo redondeado">
            <a:hlinkClick xmlns:r="http://schemas.openxmlformats.org/officeDocument/2006/relationships" r:id="rId6" tooltip="Grupo H"/>
            <a:extLst>
              <a:ext uri="{FF2B5EF4-FFF2-40B4-BE49-F238E27FC236}">
                <a16:creationId xmlns:a16="http://schemas.microsoft.com/office/drawing/2014/main" id="{F537054A-8B7C-4446-310D-AC5153DD0D7F}"/>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2 Rectángulo redondeado">
            <a:hlinkClick xmlns:r="http://schemas.openxmlformats.org/officeDocument/2006/relationships" r:id="rId7" tooltip="Grupo A"/>
            <a:extLst>
              <a:ext uri="{FF2B5EF4-FFF2-40B4-BE49-F238E27FC236}">
                <a16:creationId xmlns:a16="http://schemas.microsoft.com/office/drawing/2014/main" id="{31699F02-04D8-28B2-EC05-10832179EF03}"/>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3 Rectángulo redondeado">
            <a:hlinkClick xmlns:r="http://schemas.openxmlformats.org/officeDocument/2006/relationships" r:id="rId8" tooltip="Grupo B"/>
            <a:extLst>
              <a:ext uri="{FF2B5EF4-FFF2-40B4-BE49-F238E27FC236}">
                <a16:creationId xmlns:a16="http://schemas.microsoft.com/office/drawing/2014/main" id="{745157E5-DD09-C25D-095A-A9CE0EE890D6}"/>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4 Rectángulo redondeado">
            <a:hlinkClick xmlns:r="http://schemas.openxmlformats.org/officeDocument/2006/relationships" r:id="rId9" tooltip="Grupo D"/>
            <a:extLst>
              <a:ext uri="{FF2B5EF4-FFF2-40B4-BE49-F238E27FC236}">
                <a16:creationId xmlns:a16="http://schemas.microsoft.com/office/drawing/2014/main" id="{1DB7E392-AE35-F01D-7ADA-7FDC6DE43FCF}"/>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5 Rectángulo redondeado">
            <a:hlinkClick xmlns:r="http://schemas.openxmlformats.org/officeDocument/2006/relationships" r:id="rId10" tooltip="Grupo E"/>
            <a:extLst>
              <a:ext uri="{FF2B5EF4-FFF2-40B4-BE49-F238E27FC236}">
                <a16:creationId xmlns:a16="http://schemas.microsoft.com/office/drawing/2014/main" id="{CC03DFFE-5144-5164-D7E5-DF7788803DF7}"/>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33 Rectángulo redondeado">
            <a:hlinkClick xmlns:r="http://schemas.openxmlformats.org/officeDocument/2006/relationships" r:id="rId11" tooltip="Grupo C"/>
            <a:extLst>
              <a:ext uri="{FF2B5EF4-FFF2-40B4-BE49-F238E27FC236}">
                <a16:creationId xmlns:a16="http://schemas.microsoft.com/office/drawing/2014/main" id="{295F8DF3-5B60-6EB7-C6EA-C835B2406CA4}"/>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34 Rectángulo redondeado">
            <a:hlinkClick xmlns:r="http://schemas.openxmlformats.org/officeDocument/2006/relationships" r:id="rId12" tooltip="Inicio"/>
            <a:extLst>
              <a:ext uri="{FF2B5EF4-FFF2-40B4-BE49-F238E27FC236}">
                <a16:creationId xmlns:a16="http://schemas.microsoft.com/office/drawing/2014/main" id="{AAC5B119-DAC8-3933-B035-AFD225495C51}"/>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3" name="28 Rectángulo redondeado">
            <a:hlinkClick xmlns:r="http://schemas.openxmlformats.org/officeDocument/2006/relationships" r:id="rId13" tooltip="Grupo I"/>
            <a:extLst>
              <a:ext uri="{FF2B5EF4-FFF2-40B4-BE49-F238E27FC236}">
                <a16:creationId xmlns:a16="http://schemas.microsoft.com/office/drawing/2014/main" id="{A1384079-C217-A149-A623-77B2360343A0}"/>
              </a:ext>
            </a:extLst>
          </xdr:cNvPr>
          <xdr:cNvSpPr/>
        </xdr:nvSpPr>
        <xdr:spPr bwMode="auto">
          <a:xfrm>
            <a:off x="109620" y="1762301"/>
            <a:ext cx="648000"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I</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14" name="28 Rectángulo redondeado">
            <a:hlinkClick xmlns:r="http://schemas.openxmlformats.org/officeDocument/2006/relationships" r:id="rId14" tooltip="Grupo J"/>
            <a:extLst>
              <a:ext uri="{FF2B5EF4-FFF2-40B4-BE49-F238E27FC236}">
                <a16:creationId xmlns:a16="http://schemas.microsoft.com/office/drawing/2014/main" id="{1F15F8DC-4EA3-E161-5BF5-301C91949448}"/>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28 Rectángulo redondeado">
            <a:hlinkClick xmlns:r="http://schemas.openxmlformats.org/officeDocument/2006/relationships" r:id="rId15" tooltip="Grupo K"/>
            <a:extLst>
              <a:ext uri="{FF2B5EF4-FFF2-40B4-BE49-F238E27FC236}">
                <a16:creationId xmlns:a16="http://schemas.microsoft.com/office/drawing/2014/main" id="{E42AC42A-AF53-A301-5EDF-C18614914F24}"/>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6" tooltip="Grupo L"/>
            <a:extLst>
              <a:ext uri="{FF2B5EF4-FFF2-40B4-BE49-F238E27FC236}">
                <a16:creationId xmlns:a16="http://schemas.microsoft.com/office/drawing/2014/main" id="{3795348C-3F44-0CAC-B78A-4C699470E565}"/>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7" tooltip="Octavos de Final"/>
            <a:extLst>
              <a:ext uri="{FF2B5EF4-FFF2-40B4-BE49-F238E27FC236}">
                <a16:creationId xmlns:a16="http://schemas.microsoft.com/office/drawing/2014/main" id="{F5918E48-8D75-89D6-D36F-998248390481}"/>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1" name="29 Rectángulo redondeado">
            <a:hlinkClick xmlns:r="http://schemas.openxmlformats.org/officeDocument/2006/relationships" r:id="rId18" tooltip="Cuartos de Final"/>
            <a:extLst>
              <a:ext uri="{FF2B5EF4-FFF2-40B4-BE49-F238E27FC236}">
                <a16:creationId xmlns:a16="http://schemas.microsoft.com/office/drawing/2014/main" id="{974FC1FC-CB80-9532-B6BF-B627C34D6B0E}"/>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2" name="30 Rectángulo redondeado">
            <a:hlinkClick xmlns:r="http://schemas.openxmlformats.org/officeDocument/2006/relationships" r:id="rId19" tooltip="Semi Final"/>
            <a:extLst>
              <a:ext uri="{FF2B5EF4-FFF2-40B4-BE49-F238E27FC236}">
                <a16:creationId xmlns:a16="http://schemas.microsoft.com/office/drawing/2014/main" id="{55D19A30-4881-A360-836F-384ED0C331D4}"/>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3" name="31 Rectángulo redondeado">
            <a:hlinkClick xmlns:r="http://schemas.openxmlformats.org/officeDocument/2006/relationships" r:id="rId20" tooltip="FINAL"/>
            <a:extLst>
              <a:ext uri="{FF2B5EF4-FFF2-40B4-BE49-F238E27FC236}">
                <a16:creationId xmlns:a16="http://schemas.microsoft.com/office/drawing/2014/main" id="{439E368F-1A75-9A55-B7F0-242EDEAA4C08}"/>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4" name="36 Rectángulo redondeado">
            <a:hlinkClick xmlns:r="http://schemas.openxmlformats.org/officeDocument/2006/relationships" r:id="rId21" tooltip="Resumen General"/>
            <a:extLst>
              <a:ext uri="{FF2B5EF4-FFF2-40B4-BE49-F238E27FC236}">
                <a16:creationId xmlns:a16="http://schemas.microsoft.com/office/drawing/2014/main" id="{DBF2789C-E426-F8AA-1729-EB1DB87D4C00}"/>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5" name="28 Rectángulo redondeado">
            <a:hlinkClick xmlns:r="http://schemas.openxmlformats.org/officeDocument/2006/relationships" r:id="rId22" tooltip="16vos Final"/>
            <a:extLst>
              <a:ext uri="{FF2B5EF4-FFF2-40B4-BE49-F238E27FC236}">
                <a16:creationId xmlns:a16="http://schemas.microsoft.com/office/drawing/2014/main" id="{7FA93D54-245A-5E3B-5FBC-9A21B304B511}"/>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6" name="28 Rectángulo redondeado">
            <a:hlinkClick xmlns:r="http://schemas.openxmlformats.org/officeDocument/2006/relationships" r:id="rId23" tooltip="Mejores 3ros"/>
            <a:extLst>
              <a:ext uri="{FF2B5EF4-FFF2-40B4-BE49-F238E27FC236}">
                <a16:creationId xmlns:a16="http://schemas.microsoft.com/office/drawing/2014/main" id="{A58942E7-6C49-954D-A3BF-ACCB35161D33}"/>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7" name="Imagen 26">
          <a:extLst>
            <a:ext uri="{FF2B5EF4-FFF2-40B4-BE49-F238E27FC236}">
              <a16:creationId xmlns:a16="http://schemas.microsoft.com/office/drawing/2014/main" id="{4876340E-9F86-479D-9263-E1A720DADF84}"/>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twoCellAnchor editAs="oneCell">
    <xdr:from>
      <xdr:col>16</xdr:col>
      <xdr:colOff>0</xdr:colOff>
      <xdr:row>10</xdr:row>
      <xdr:rowOff>0</xdr:rowOff>
    </xdr:from>
    <xdr:to>
      <xdr:col>16</xdr:col>
      <xdr:colOff>237126</xdr:colOff>
      <xdr:row>10</xdr:row>
      <xdr:rowOff>158400</xdr:rowOff>
    </xdr:to>
    <xdr:pic>
      <xdr:nvPicPr>
        <xdr:cNvPr id="9" name="Picture 2">
          <a:extLst>
            <a:ext uri="{FF2B5EF4-FFF2-40B4-BE49-F238E27FC236}">
              <a16:creationId xmlns:a16="http://schemas.microsoft.com/office/drawing/2014/main" id="{FB43AB49-5312-4E39-8440-3D5C8FE258BF}"/>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7526421" y="1149684"/>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16</xdr:col>
      <xdr:colOff>237126</xdr:colOff>
      <xdr:row>6</xdr:row>
      <xdr:rowOff>158400</xdr:rowOff>
    </xdr:to>
    <xdr:pic>
      <xdr:nvPicPr>
        <xdr:cNvPr id="20" name="Picture 8">
          <a:extLst>
            <a:ext uri="{FF2B5EF4-FFF2-40B4-BE49-F238E27FC236}">
              <a16:creationId xmlns:a16="http://schemas.microsoft.com/office/drawing/2014/main" id="{0DE27FD5-424A-479F-A3C6-25138A8ED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6421" y="1149684"/>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xdr:row>
      <xdr:rowOff>0</xdr:rowOff>
    </xdr:from>
    <xdr:to>
      <xdr:col>16</xdr:col>
      <xdr:colOff>237126</xdr:colOff>
      <xdr:row>8</xdr:row>
      <xdr:rowOff>158400</xdr:rowOff>
    </xdr:to>
    <xdr:pic>
      <xdr:nvPicPr>
        <xdr:cNvPr id="21" name="Picture 2">
          <a:extLst>
            <a:ext uri="{FF2B5EF4-FFF2-40B4-BE49-F238E27FC236}">
              <a16:creationId xmlns:a16="http://schemas.microsoft.com/office/drawing/2014/main" id="{6E4E8FAB-6F12-4987-9725-B24F26F4FF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26421" y="1470526"/>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10</xdr:row>
      <xdr:rowOff>0</xdr:rowOff>
    </xdr:from>
    <xdr:to>
      <xdr:col>16</xdr:col>
      <xdr:colOff>237126</xdr:colOff>
      <xdr:row>10</xdr:row>
      <xdr:rowOff>158400</xdr:rowOff>
    </xdr:to>
    <xdr:pic>
      <xdr:nvPicPr>
        <xdr:cNvPr id="22" name="Picture 4">
          <a:extLst>
            <a:ext uri="{FF2B5EF4-FFF2-40B4-BE49-F238E27FC236}">
              <a16:creationId xmlns:a16="http://schemas.microsoft.com/office/drawing/2014/main" id="{2DC5A960-A464-4B8E-BB5D-0FC64BFC9C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6421" y="1791368"/>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23" name="Picture 6">
          <a:extLst>
            <a:ext uri="{FF2B5EF4-FFF2-40B4-BE49-F238E27FC236}">
              <a16:creationId xmlns:a16="http://schemas.microsoft.com/office/drawing/2014/main" id="{EA4C24EC-54AB-43A8-A53E-3C0D8EACA14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526421" y="2112211"/>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2" name="Grupo 1">
          <a:extLst>
            <a:ext uri="{FF2B5EF4-FFF2-40B4-BE49-F238E27FC236}">
              <a16:creationId xmlns:a16="http://schemas.microsoft.com/office/drawing/2014/main" id="{06E82C23-5E52-40DC-BCD4-78E9CC4252D2}"/>
            </a:ext>
          </a:extLst>
        </xdr:cNvPr>
        <xdr:cNvGrpSpPr/>
      </xdr:nvGrpSpPr>
      <xdr:grpSpPr>
        <a:xfrm>
          <a:off x="100260" y="508837"/>
          <a:ext cx="1365885" cy="3463278"/>
          <a:chOff x="100260" y="515521"/>
          <a:chExt cx="1365885" cy="3463278"/>
        </a:xfrm>
      </xdr:grpSpPr>
      <xdr:sp macro="" textlink="">
        <xdr:nvSpPr>
          <xdr:cNvPr id="3" name="26 Rectángulo redondeado">
            <a:hlinkClick xmlns:r="http://schemas.openxmlformats.org/officeDocument/2006/relationships" r:id="rId5" tooltip="Grupo F"/>
            <a:extLst>
              <a:ext uri="{FF2B5EF4-FFF2-40B4-BE49-F238E27FC236}">
                <a16:creationId xmlns:a16="http://schemas.microsoft.com/office/drawing/2014/main" id="{55596DB2-3784-9923-DC22-9B3C6AFC15F8}"/>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 name="27 Rectángulo redondeado">
            <a:hlinkClick xmlns:r="http://schemas.openxmlformats.org/officeDocument/2006/relationships" r:id="rId6" tooltip="Grupo G"/>
            <a:extLst>
              <a:ext uri="{FF2B5EF4-FFF2-40B4-BE49-F238E27FC236}">
                <a16:creationId xmlns:a16="http://schemas.microsoft.com/office/drawing/2014/main" id="{B591DA52-E762-9FEE-9921-07E8E798399F}"/>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8 Rectángulo redondeado">
            <a:hlinkClick xmlns:r="http://schemas.openxmlformats.org/officeDocument/2006/relationships" r:id="rId7" tooltip="Grupo H"/>
            <a:extLst>
              <a:ext uri="{FF2B5EF4-FFF2-40B4-BE49-F238E27FC236}">
                <a16:creationId xmlns:a16="http://schemas.microsoft.com/office/drawing/2014/main" id="{1C616FF1-E738-6B24-8A24-1C0BA0B432EE}"/>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2 Rectángulo redondeado">
            <a:hlinkClick xmlns:r="http://schemas.openxmlformats.org/officeDocument/2006/relationships" r:id="rId8" tooltip="Grupo A"/>
            <a:extLst>
              <a:ext uri="{FF2B5EF4-FFF2-40B4-BE49-F238E27FC236}">
                <a16:creationId xmlns:a16="http://schemas.microsoft.com/office/drawing/2014/main" id="{DA60A3B3-010E-B762-4EAA-3C63DA87CD96}"/>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3 Rectángulo redondeado">
            <a:hlinkClick xmlns:r="http://schemas.openxmlformats.org/officeDocument/2006/relationships" r:id="rId9" tooltip="Grupo B"/>
            <a:extLst>
              <a:ext uri="{FF2B5EF4-FFF2-40B4-BE49-F238E27FC236}">
                <a16:creationId xmlns:a16="http://schemas.microsoft.com/office/drawing/2014/main" id="{2B21D159-6609-B6C4-F4C9-AC67EB6937B5}"/>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4 Rectángulo redondeado">
            <a:hlinkClick xmlns:r="http://schemas.openxmlformats.org/officeDocument/2006/relationships" r:id="rId10" tooltip="Grupo D"/>
            <a:extLst>
              <a:ext uri="{FF2B5EF4-FFF2-40B4-BE49-F238E27FC236}">
                <a16:creationId xmlns:a16="http://schemas.microsoft.com/office/drawing/2014/main" id="{4C09BB1E-14FF-9458-2970-724A49FB358D}"/>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5 Rectángulo redondeado">
            <a:hlinkClick xmlns:r="http://schemas.openxmlformats.org/officeDocument/2006/relationships" r:id="rId11" tooltip="Grupo E"/>
            <a:extLst>
              <a:ext uri="{FF2B5EF4-FFF2-40B4-BE49-F238E27FC236}">
                <a16:creationId xmlns:a16="http://schemas.microsoft.com/office/drawing/2014/main" id="{80925C6A-00E8-4273-3C1F-BFFB60C550E9}"/>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33 Rectángulo redondeado">
            <a:hlinkClick xmlns:r="http://schemas.openxmlformats.org/officeDocument/2006/relationships" r:id="rId12" tooltip="Grupo C"/>
            <a:extLst>
              <a:ext uri="{FF2B5EF4-FFF2-40B4-BE49-F238E27FC236}">
                <a16:creationId xmlns:a16="http://schemas.microsoft.com/office/drawing/2014/main" id="{F46C3BA5-6A8F-AF88-056E-F1775F6AF34E}"/>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34 Rectángulo redondeado">
            <a:hlinkClick xmlns:r="http://schemas.openxmlformats.org/officeDocument/2006/relationships" r:id="rId13" tooltip="Inicio"/>
            <a:extLst>
              <a:ext uri="{FF2B5EF4-FFF2-40B4-BE49-F238E27FC236}">
                <a16:creationId xmlns:a16="http://schemas.microsoft.com/office/drawing/2014/main" id="{C466485D-5A43-B0FB-916C-F8244D5C6B3F}"/>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3" name="28 Rectángulo redondeado">
            <a:hlinkClick xmlns:r="http://schemas.openxmlformats.org/officeDocument/2006/relationships" r:id="rId14" tooltip="Grupo I"/>
            <a:extLst>
              <a:ext uri="{FF2B5EF4-FFF2-40B4-BE49-F238E27FC236}">
                <a16:creationId xmlns:a16="http://schemas.microsoft.com/office/drawing/2014/main" id="{F5185AF8-466C-E2EC-0D8A-0C9C0DFC3D72}"/>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28 Rectángulo redondeado">
            <a:hlinkClick xmlns:r="http://schemas.openxmlformats.org/officeDocument/2006/relationships" r:id="rId15" tooltip="Grupo J"/>
            <a:extLst>
              <a:ext uri="{FF2B5EF4-FFF2-40B4-BE49-F238E27FC236}">
                <a16:creationId xmlns:a16="http://schemas.microsoft.com/office/drawing/2014/main" id="{3B22DF1E-3FFC-4408-690A-C9CF790E1424}"/>
              </a:ext>
            </a:extLst>
          </xdr:cNvPr>
          <xdr:cNvSpPr/>
        </xdr:nvSpPr>
        <xdr:spPr bwMode="auto">
          <a:xfrm>
            <a:off x="818145" y="1767723"/>
            <a:ext cx="648000"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J</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15" name="28 Rectángulo redondeado">
            <a:hlinkClick xmlns:r="http://schemas.openxmlformats.org/officeDocument/2006/relationships" r:id="rId16" tooltip="Grupo K"/>
            <a:extLst>
              <a:ext uri="{FF2B5EF4-FFF2-40B4-BE49-F238E27FC236}">
                <a16:creationId xmlns:a16="http://schemas.microsoft.com/office/drawing/2014/main" id="{AABC4E47-08BF-C93E-317A-0DCF02534A53}"/>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7" tooltip="Grupo L"/>
            <a:extLst>
              <a:ext uri="{FF2B5EF4-FFF2-40B4-BE49-F238E27FC236}">
                <a16:creationId xmlns:a16="http://schemas.microsoft.com/office/drawing/2014/main" id="{B750AC98-4133-A95B-C9D7-F9D28BF2F153}"/>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8" tooltip="Octavos de Final"/>
            <a:extLst>
              <a:ext uri="{FF2B5EF4-FFF2-40B4-BE49-F238E27FC236}">
                <a16:creationId xmlns:a16="http://schemas.microsoft.com/office/drawing/2014/main" id="{CF9A2802-4CE4-61CD-8653-0E50615DC3CC}"/>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18" name="29 Rectángulo redondeado">
            <a:hlinkClick xmlns:r="http://schemas.openxmlformats.org/officeDocument/2006/relationships" r:id="rId19" tooltip="Cuartos de Final"/>
            <a:extLst>
              <a:ext uri="{FF2B5EF4-FFF2-40B4-BE49-F238E27FC236}">
                <a16:creationId xmlns:a16="http://schemas.microsoft.com/office/drawing/2014/main" id="{F4ED90F3-590B-170A-1C37-CC72E77EAB5C}"/>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19" name="30 Rectángulo redondeado">
            <a:hlinkClick xmlns:r="http://schemas.openxmlformats.org/officeDocument/2006/relationships" r:id="rId20" tooltip="Semi Final"/>
            <a:extLst>
              <a:ext uri="{FF2B5EF4-FFF2-40B4-BE49-F238E27FC236}">
                <a16:creationId xmlns:a16="http://schemas.microsoft.com/office/drawing/2014/main" id="{900D724E-DC93-97A3-BC60-E44E7C2F0D05}"/>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4" name="31 Rectángulo redondeado">
            <a:hlinkClick xmlns:r="http://schemas.openxmlformats.org/officeDocument/2006/relationships" r:id="rId21" tooltip="FINAL"/>
            <a:extLst>
              <a:ext uri="{FF2B5EF4-FFF2-40B4-BE49-F238E27FC236}">
                <a16:creationId xmlns:a16="http://schemas.microsoft.com/office/drawing/2014/main" id="{EA9470B0-7BB6-1B49-B0A9-85957AD30575}"/>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5" name="36 Rectángulo redondeado">
            <a:hlinkClick xmlns:r="http://schemas.openxmlformats.org/officeDocument/2006/relationships" r:id="rId22" tooltip="Resumen General"/>
            <a:extLst>
              <a:ext uri="{FF2B5EF4-FFF2-40B4-BE49-F238E27FC236}">
                <a16:creationId xmlns:a16="http://schemas.microsoft.com/office/drawing/2014/main" id="{844458DA-C9B6-6005-CD96-5C0BE4F8D702}"/>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3" tooltip="16vos Final"/>
            <a:extLst>
              <a:ext uri="{FF2B5EF4-FFF2-40B4-BE49-F238E27FC236}">
                <a16:creationId xmlns:a16="http://schemas.microsoft.com/office/drawing/2014/main" id="{74DB48AD-424A-1260-9AF2-8FE0B34787D8}"/>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7" name="28 Rectángulo redondeado">
            <a:hlinkClick xmlns:r="http://schemas.openxmlformats.org/officeDocument/2006/relationships" r:id="rId24" tooltip="Mejores 3ros"/>
            <a:extLst>
              <a:ext uri="{FF2B5EF4-FFF2-40B4-BE49-F238E27FC236}">
                <a16:creationId xmlns:a16="http://schemas.microsoft.com/office/drawing/2014/main" id="{8CAE8732-9990-2E18-9EDA-C177639FF9B6}"/>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8" name="Imagen 27">
          <a:extLst>
            <a:ext uri="{FF2B5EF4-FFF2-40B4-BE49-F238E27FC236}">
              <a16:creationId xmlns:a16="http://schemas.microsoft.com/office/drawing/2014/main" id="{B5014389-DB6C-47CB-BF29-9806D5FE023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16</xdr:col>
      <xdr:colOff>237126</xdr:colOff>
      <xdr:row>6</xdr:row>
      <xdr:rowOff>158400</xdr:rowOff>
    </xdr:to>
    <xdr:pic>
      <xdr:nvPicPr>
        <xdr:cNvPr id="20" name="Picture 8">
          <a:extLst>
            <a:ext uri="{FF2B5EF4-FFF2-40B4-BE49-F238E27FC236}">
              <a16:creationId xmlns:a16="http://schemas.microsoft.com/office/drawing/2014/main" id="{ED34AC72-AC13-4015-8023-A4FFA2A648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6421" y="1470526"/>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10</xdr:row>
      <xdr:rowOff>0</xdr:rowOff>
    </xdr:from>
    <xdr:to>
      <xdr:col>16</xdr:col>
      <xdr:colOff>237126</xdr:colOff>
      <xdr:row>10</xdr:row>
      <xdr:rowOff>158400</xdr:rowOff>
    </xdr:to>
    <xdr:pic>
      <xdr:nvPicPr>
        <xdr:cNvPr id="21" name="Picture 10">
          <a:extLst>
            <a:ext uri="{FF2B5EF4-FFF2-40B4-BE49-F238E27FC236}">
              <a16:creationId xmlns:a16="http://schemas.microsoft.com/office/drawing/2014/main" id="{1416501A-FD8D-4184-A076-CD499F7A2F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26421" y="1791368"/>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22" name="Picture 12">
          <a:extLst>
            <a:ext uri="{FF2B5EF4-FFF2-40B4-BE49-F238E27FC236}">
              <a16:creationId xmlns:a16="http://schemas.microsoft.com/office/drawing/2014/main" id="{6DE17B8E-3F66-448B-B1B6-36624B4D3A6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6421" y="2112211"/>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2" name="Grupo 1">
          <a:extLst>
            <a:ext uri="{FF2B5EF4-FFF2-40B4-BE49-F238E27FC236}">
              <a16:creationId xmlns:a16="http://schemas.microsoft.com/office/drawing/2014/main" id="{C440BC3F-D3D8-4326-A7C8-A016E127F484}"/>
            </a:ext>
          </a:extLst>
        </xdr:cNvPr>
        <xdr:cNvGrpSpPr/>
      </xdr:nvGrpSpPr>
      <xdr:grpSpPr>
        <a:xfrm>
          <a:off x="100260" y="508837"/>
          <a:ext cx="1365885" cy="3463278"/>
          <a:chOff x="100260" y="515521"/>
          <a:chExt cx="1365885" cy="3463278"/>
        </a:xfrm>
      </xdr:grpSpPr>
      <xdr:sp macro="" textlink="">
        <xdr:nvSpPr>
          <xdr:cNvPr id="3" name="26 Rectángulo redondeado">
            <a:hlinkClick xmlns:r="http://schemas.openxmlformats.org/officeDocument/2006/relationships" r:id="rId4" tooltip="Grupo F"/>
            <a:extLst>
              <a:ext uri="{FF2B5EF4-FFF2-40B4-BE49-F238E27FC236}">
                <a16:creationId xmlns:a16="http://schemas.microsoft.com/office/drawing/2014/main" id="{947B0039-331E-2ACA-C5DB-389F6E6361D8}"/>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 name="27 Rectángulo redondeado">
            <a:hlinkClick xmlns:r="http://schemas.openxmlformats.org/officeDocument/2006/relationships" r:id="rId5" tooltip="Grupo G"/>
            <a:extLst>
              <a:ext uri="{FF2B5EF4-FFF2-40B4-BE49-F238E27FC236}">
                <a16:creationId xmlns:a16="http://schemas.microsoft.com/office/drawing/2014/main" id="{1F249129-2FDC-E1D9-7A4F-1CE2E96F26F1}"/>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8 Rectángulo redondeado">
            <a:hlinkClick xmlns:r="http://schemas.openxmlformats.org/officeDocument/2006/relationships" r:id="rId6" tooltip="Grupo H"/>
            <a:extLst>
              <a:ext uri="{FF2B5EF4-FFF2-40B4-BE49-F238E27FC236}">
                <a16:creationId xmlns:a16="http://schemas.microsoft.com/office/drawing/2014/main" id="{7A3374A6-06DB-1E93-8161-0BE1921CCA61}"/>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2 Rectángulo redondeado">
            <a:hlinkClick xmlns:r="http://schemas.openxmlformats.org/officeDocument/2006/relationships" r:id="rId7" tooltip="Grupo A"/>
            <a:extLst>
              <a:ext uri="{FF2B5EF4-FFF2-40B4-BE49-F238E27FC236}">
                <a16:creationId xmlns:a16="http://schemas.microsoft.com/office/drawing/2014/main" id="{7B459E40-4110-DCF5-A4E9-7457CF3B6629}"/>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3 Rectángulo redondeado">
            <a:hlinkClick xmlns:r="http://schemas.openxmlformats.org/officeDocument/2006/relationships" r:id="rId8" tooltip="Grupo B"/>
            <a:extLst>
              <a:ext uri="{FF2B5EF4-FFF2-40B4-BE49-F238E27FC236}">
                <a16:creationId xmlns:a16="http://schemas.microsoft.com/office/drawing/2014/main" id="{FD1132B5-B034-0CC6-B4A3-3F40D1946949}"/>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4 Rectángulo redondeado">
            <a:hlinkClick xmlns:r="http://schemas.openxmlformats.org/officeDocument/2006/relationships" r:id="rId9" tooltip="Grupo D"/>
            <a:extLst>
              <a:ext uri="{FF2B5EF4-FFF2-40B4-BE49-F238E27FC236}">
                <a16:creationId xmlns:a16="http://schemas.microsoft.com/office/drawing/2014/main" id="{85661EE5-540E-1B81-5F0A-D1EAB75ADACC}"/>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5 Rectángulo redondeado">
            <a:hlinkClick xmlns:r="http://schemas.openxmlformats.org/officeDocument/2006/relationships" r:id="rId10" tooltip="Grupo E"/>
            <a:extLst>
              <a:ext uri="{FF2B5EF4-FFF2-40B4-BE49-F238E27FC236}">
                <a16:creationId xmlns:a16="http://schemas.microsoft.com/office/drawing/2014/main" id="{1FA79232-0B70-855A-10A6-84C3E674CA4F}"/>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33 Rectángulo redondeado">
            <a:hlinkClick xmlns:r="http://schemas.openxmlformats.org/officeDocument/2006/relationships" r:id="rId11" tooltip="Grupo C"/>
            <a:extLst>
              <a:ext uri="{FF2B5EF4-FFF2-40B4-BE49-F238E27FC236}">
                <a16:creationId xmlns:a16="http://schemas.microsoft.com/office/drawing/2014/main" id="{7CC76554-EC52-4495-3D8C-B2BDF87300EA}"/>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34 Rectángulo redondeado">
            <a:hlinkClick xmlns:r="http://schemas.openxmlformats.org/officeDocument/2006/relationships" r:id="rId12" tooltip="Inicio"/>
            <a:extLst>
              <a:ext uri="{FF2B5EF4-FFF2-40B4-BE49-F238E27FC236}">
                <a16:creationId xmlns:a16="http://schemas.microsoft.com/office/drawing/2014/main" id="{9E72F52A-1B25-B765-D486-9E39912F1886}"/>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3" name="28 Rectángulo redondeado">
            <a:hlinkClick xmlns:r="http://schemas.openxmlformats.org/officeDocument/2006/relationships" r:id="rId13" tooltip="Grupo I"/>
            <a:extLst>
              <a:ext uri="{FF2B5EF4-FFF2-40B4-BE49-F238E27FC236}">
                <a16:creationId xmlns:a16="http://schemas.microsoft.com/office/drawing/2014/main" id="{9D3D5FDD-3A16-50F1-3A4E-1161F50E9E66}"/>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28 Rectángulo redondeado">
            <a:hlinkClick xmlns:r="http://schemas.openxmlformats.org/officeDocument/2006/relationships" r:id="rId14" tooltip="Grupo J"/>
            <a:extLst>
              <a:ext uri="{FF2B5EF4-FFF2-40B4-BE49-F238E27FC236}">
                <a16:creationId xmlns:a16="http://schemas.microsoft.com/office/drawing/2014/main" id="{FC1335C5-2A3B-E1AB-9E40-3099E5B2BBD9}"/>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28 Rectángulo redondeado">
            <a:hlinkClick xmlns:r="http://schemas.openxmlformats.org/officeDocument/2006/relationships" r:id="rId15" tooltip="Grupo K"/>
            <a:extLst>
              <a:ext uri="{FF2B5EF4-FFF2-40B4-BE49-F238E27FC236}">
                <a16:creationId xmlns:a16="http://schemas.microsoft.com/office/drawing/2014/main" id="{FA5ED418-0AE0-A305-F97D-E30EDC20A97E}"/>
              </a:ext>
            </a:extLst>
          </xdr:cNvPr>
          <xdr:cNvSpPr/>
        </xdr:nvSpPr>
        <xdr:spPr bwMode="auto">
          <a:xfrm>
            <a:off x="109620" y="1995056"/>
            <a:ext cx="648000"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K</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6" tooltip="Grupo L"/>
            <a:extLst>
              <a:ext uri="{FF2B5EF4-FFF2-40B4-BE49-F238E27FC236}">
                <a16:creationId xmlns:a16="http://schemas.microsoft.com/office/drawing/2014/main" id="{4EB73232-4969-1A7D-D54E-987AD5A34B31}"/>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7" tooltip="Octavos de Final"/>
            <a:extLst>
              <a:ext uri="{FF2B5EF4-FFF2-40B4-BE49-F238E27FC236}">
                <a16:creationId xmlns:a16="http://schemas.microsoft.com/office/drawing/2014/main" id="{8E0822BA-6301-75A8-9B2A-53FF93D22D8E}"/>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18" name="29 Rectángulo redondeado">
            <a:hlinkClick xmlns:r="http://schemas.openxmlformats.org/officeDocument/2006/relationships" r:id="rId18" tooltip="Cuartos de Final"/>
            <a:extLst>
              <a:ext uri="{FF2B5EF4-FFF2-40B4-BE49-F238E27FC236}">
                <a16:creationId xmlns:a16="http://schemas.microsoft.com/office/drawing/2014/main" id="{03C78015-0ECB-ADB8-9889-D2640DA2E799}"/>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19" name="30 Rectángulo redondeado">
            <a:hlinkClick xmlns:r="http://schemas.openxmlformats.org/officeDocument/2006/relationships" r:id="rId19" tooltip="Semi Final"/>
            <a:extLst>
              <a:ext uri="{FF2B5EF4-FFF2-40B4-BE49-F238E27FC236}">
                <a16:creationId xmlns:a16="http://schemas.microsoft.com/office/drawing/2014/main" id="{B2D125D6-B6AB-EBBF-1370-7815E7EB7EBC}"/>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3" name="31 Rectángulo redondeado">
            <a:hlinkClick xmlns:r="http://schemas.openxmlformats.org/officeDocument/2006/relationships" r:id="rId20" tooltip="FINAL"/>
            <a:extLst>
              <a:ext uri="{FF2B5EF4-FFF2-40B4-BE49-F238E27FC236}">
                <a16:creationId xmlns:a16="http://schemas.microsoft.com/office/drawing/2014/main" id="{28EBF263-0816-CAD7-D90E-49A760DDCDD7}"/>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4" name="36 Rectángulo redondeado">
            <a:hlinkClick xmlns:r="http://schemas.openxmlformats.org/officeDocument/2006/relationships" r:id="rId21" tooltip="Resumen General"/>
            <a:extLst>
              <a:ext uri="{FF2B5EF4-FFF2-40B4-BE49-F238E27FC236}">
                <a16:creationId xmlns:a16="http://schemas.microsoft.com/office/drawing/2014/main" id="{17692746-CB32-AD7F-1343-4C590F3CDB57}"/>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5" name="28 Rectángulo redondeado">
            <a:hlinkClick xmlns:r="http://schemas.openxmlformats.org/officeDocument/2006/relationships" r:id="rId22" tooltip="16vos Final"/>
            <a:extLst>
              <a:ext uri="{FF2B5EF4-FFF2-40B4-BE49-F238E27FC236}">
                <a16:creationId xmlns:a16="http://schemas.microsoft.com/office/drawing/2014/main" id="{F04B7566-B0C8-6E53-1011-4C321F381517}"/>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6" name="28 Rectángulo redondeado">
            <a:hlinkClick xmlns:r="http://schemas.openxmlformats.org/officeDocument/2006/relationships" r:id="rId23" tooltip="Mejores 3ros"/>
            <a:extLst>
              <a:ext uri="{FF2B5EF4-FFF2-40B4-BE49-F238E27FC236}">
                <a16:creationId xmlns:a16="http://schemas.microsoft.com/office/drawing/2014/main" id="{F37B7E42-6438-281D-113B-C5F29A24331F}"/>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7" name="Imagen 26">
          <a:extLst>
            <a:ext uri="{FF2B5EF4-FFF2-40B4-BE49-F238E27FC236}">
              <a16:creationId xmlns:a16="http://schemas.microsoft.com/office/drawing/2014/main" id="{9B8D701B-ED1F-462E-9BD0-20200F583941}"/>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twoCellAnchor editAs="oneCell">
    <xdr:from>
      <xdr:col>16</xdr:col>
      <xdr:colOff>0</xdr:colOff>
      <xdr:row>8</xdr:row>
      <xdr:rowOff>0</xdr:rowOff>
    </xdr:from>
    <xdr:to>
      <xdr:col>16</xdr:col>
      <xdr:colOff>237600</xdr:colOff>
      <xdr:row>8</xdr:row>
      <xdr:rowOff>158400</xdr:rowOff>
    </xdr:to>
    <xdr:pic>
      <xdr:nvPicPr>
        <xdr:cNvPr id="8" name="Picture 14" descr="Index of /Imagenes/Banderas y escudos/banderas eliminatorias">
          <a:extLst>
            <a:ext uri="{FF2B5EF4-FFF2-40B4-BE49-F238E27FC236}">
              <a16:creationId xmlns:a16="http://schemas.microsoft.com/office/drawing/2014/main" id="{30D125AF-D844-4E88-886C-99F010F64AB6}"/>
            </a:ext>
          </a:extLst>
        </xdr:cNvPr>
        <xdr:cNvPicPr>
          <a:picLocks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7526421" y="1149684"/>
          <a:ext cx="237600"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16</xdr:col>
      <xdr:colOff>237126</xdr:colOff>
      <xdr:row>6</xdr:row>
      <xdr:rowOff>158400</xdr:rowOff>
    </xdr:to>
    <xdr:pic>
      <xdr:nvPicPr>
        <xdr:cNvPr id="20" name="Picture 14">
          <a:extLst>
            <a:ext uri="{FF2B5EF4-FFF2-40B4-BE49-F238E27FC236}">
              <a16:creationId xmlns:a16="http://schemas.microsoft.com/office/drawing/2014/main" id="{DE899FA7-EACF-4D83-826E-16C9D9202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6421" y="1149684"/>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xdr:row>
      <xdr:rowOff>0</xdr:rowOff>
    </xdr:from>
    <xdr:to>
      <xdr:col>16</xdr:col>
      <xdr:colOff>237126</xdr:colOff>
      <xdr:row>8</xdr:row>
      <xdr:rowOff>158400</xdr:rowOff>
    </xdr:to>
    <xdr:pic>
      <xdr:nvPicPr>
        <xdr:cNvPr id="21" name="Picture 16">
          <a:extLst>
            <a:ext uri="{FF2B5EF4-FFF2-40B4-BE49-F238E27FC236}">
              <a16:creationId xmlns:a16="http://schemas.microsoft.com/office/drawing/2014/main" id="{367F7CA9-6209-4FD5-9A57-6479603E6C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26421" y="1470526"/>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10</xdr:row>
      <xdr:rowOff>0</xdr:rowOff>
    </xdr:from>
    <xdr:to>
      <xdr:col>16</xdr:col>
      <xdr:colOff>237126</xdr:colOff>
      <xdr:row>10</xdr:row>
      <xdr:rowOff>158400</xdr:rowOff>
    </xdr:to>
    <xdr:pic>
      <xdr:nvPicPr>
        <xdr:cNvPr id="22" name="Picture 18">
          <a:extLst>
            <a:ext uri="{FF2B5EF4-FFF2-40B4-BE49-F238E27FC236}">
              <a16:creationId xmlns:a16="http://schemas.microsoft.com/office/drawing/2014/main" id="{F041A3CF-9F3D-4AF1-A6C6-87E99497B8F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6421" y="1791368"/>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16</xdr:col>
      <xdr:colOff>237126</xdr:colOff>
      <xdr:row>12</xdr:row>
      <xdr:rowOff>158400</xdr:rowOff>
    </xdr:to>
    <xdr:pic>
      <xdr:nvPicPr>
        <xdr:cNvPr id="23" name="Picture 20">
          <a:extLst>
            <a:ext uri="{FF2B5EF4-FFF2-40B4-BE49-F238E27FC236}">
              <a16:creationId xmlns:a16="http://schemas.microsoft.com/office/drawing/2014/main" id="{077ED514-3610-49F5-8686-D4FB279FDB1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526421" y="2112211"/>
          <a:ext cx="237126" cy="1584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100260</xdr:colOff>
      <xdr:row>2</xdr:row>
      <xdr:rowOff>7521</xdr:rowOff>
    </xdr:from>
    <xdr:to>
      <xdr:col>0</xdr:col>
      <xdr:colOff>1466145</xdr:colOff>
      <xdr:row>23</xdr:row>
      <xdr:rowOff>101957</xdr:rowOff>
    </xdr:to>
    <xdr:grpSp>
      <xdr:nvGrpSpPr>
        <xdr:cNvPr id="2" name="Grupo 1">
          <a:extLst>
            <a:ext uri="{FF2B5EF4-FFF2-40B4-BE49-F238E27FC236}">
              <a16:creationId xmlns:a16="http://schemas.microsoft.com/office/drawing/2014/main" id="{AE3819B9-50EB-46A4-85AC-41381FBA3204}"/>
            </a:ext>
          </a:extLst>
        </xdr:cNvPr>
        <xdr:cNvGrpSpPr/>
      </xdr:nvGrpSpPr>
      <xdr:grpSpPr>
        <a:xfrm>
          <a:off x="100260" y="508837"/>
          <a:ext cx="1365885" cy="3463278"/>
          <a:chOff x="100260" y="515521"/>
          <a:chExt cx="1365885" cy="3463278"/>
        </a:xfrm>
      </xdr:grpSpPr>
      <xdr:sp macro="" textlink="">
        <xdr:nvSpPr>
          <xdr:cNvPr id="3" name="26 Rectángulo redondeado">
            <a:hlinkClick xmlns:r="http://schemas.openxmlformats.org/officeDocument/2006/relationships" r:id="rId5" tooltip="Grupo F"/>
            <a:extLst>
              <a:ext uri="{FF2B5EF4-FFF2-40B4-BE49-F238E27FC236}">
                <a16:creationId xmlns:a16="http://schemas.microsoft.com/office/drawing/2014/main" id="{2EECB34D-EE21-136A-01A7-53165ADEBC99}"/>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 name="27 Rectángulo redondeado">
            <a:hlinkClick xmlns:r="http://schemas.openxmlformats.org/officeDocument/2006/relationships" r:id="rId6" tooltip="Grupo G"/>
            <a:extLst>
              <a:ext uri="{FF2B5EF4-FFF2-40B4-BE49-F238E27FC236}">
                <a16:creationId xmlns:a16="http://schemas.microsoft.com/office/drawing/2014/main" id="{A577AAFE-B780-DDBA-3F57-CF8F138B99E0}"/>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8 Rectángulo redondeado">
            <a:hlinkClick xmlns:r="http://schemas.openxmlformats.org/officeDocument/2006/relationships" r:id="rId7" tooltip="Grupo H"/>
            <a:extLst>
              <a:ext uri="{FF2B5EF4-FFF2-40B4-BE49-F238E27FC236}">
                <a16:creationId xmlns:a16="http://schemas.microsoft.com/office/drawing/2014/main" id="{D8768715-194E-D943-C4DA-290180024D69}"/>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2 Rectángulo redondeado">
            <a:hlinkClick xmlns:r="http://schemas.openxmlformats.org/officeDocument/2006/relationships" r:id="rId8" tooltip="Grupo A"/>
            <a:extLst>
              <a:ext uri="{FF2B5EF4-FFF2-40B4-BE49-F238E27FC236}">
                <a16:creationId xmlns:a16="http://schemas.microsoft.com/office/drawing/2014/main" id="{EF6D3CD6-8909-8E10-902B-E8A2A82E463C}"/>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3 Rectángulo redondeado">
            <a:hlinkClick xmlns:r="http://schemas.openxmlformats.org/officeDocument/2006/relationships" r:id="rId9" tooltip="Grupo B"/>
            <a:extLst>
              <a:ext uri="{FF2B5EF4-FFF2-40B4-BE49-F238E27FC236}">
                <a16:creationId xmlns:a16="http://schemas.microsoft.com/office/drawing/2014/main" id="{571AB7E7-B97D-1514-A45E-729F484AE985}"/>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4 Rectángulo redondeado">
            <a:hlinkClick xmlns:r="http://schemas.openxmlformats.org/officeDocument/2006/relationships" r:id="rId10" tooltip="Grupo D"/>
            <a:extLst>
              <a:ext uri="{FF2B5EF4-FFF2-40B4-BE49-F238E27FC236}">
                <a16:creationId xmlns:a16="http://schemas.microsoft.com/office/drawing/2014/main" id="{5F0B83B6-1864-6BC5-A9B9-69E7B3FD799F}"/>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5 Rectángulo redondeado">
            <a:hlinkClick xmlns:r="http://schemas.openxmlformats.org/officeDocument/2006/relationships" r:id="rId11" tooltip="Grupo E"/>
            <a:extLst>
              <a:ext uri="{FF2B5EF4-FFF2-40B4-BE49-F238E27FC236}">
                <a16:creationId xmlns:a16="http://schemas.microsoft.com/office/drawing/2014/main" id="{56EA9730-5A7E-88BE-0DEB-86FA14F417A9}"/>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33 Rectángulo redondeado">
            <a:hlinkClick xmlns:r="http://schemas.openxmlformats.org/officeDocument/2006/relationships" r:id="rId12" tooltip="Grupo C"/>
            <a:extLst>
              <a:ext uri="{FF2B5EF4-FFF2-40B4-BE49-F238E27FC236}">
                <a16:creationId xmlns:a16="http://schemas.microsoft.com/office/drawing/2014/main" id="{D0549BBA-31C0-9778-2C73-37BE70ECF056}"/>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34 Rectángulo redondeado">
            <a:hlinkClick xmlns:r="http://schemas.openxmlformats.org/officeDocument/2006/relationships" r:id="rId13" tooltip="Inicio"/>
            <a:extLst>
              <a:ext uri="{FF2B5EF4-FFF2-40B4-BE49-F238E27FC236}">
                <a16:creationId xmlns:a16="http://schemas.microsoft.com/office/drawing/2014/main" id="{DF011176-7EA8-A0AE-0770-E6494CA7ADEF}"/>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3" name="28 Rectángulo redondeado">
            <a:hlinkClick xmlns:r="http://schemas.openxmlformats.org/officeDocument/2006/relationships" r:id="rId14" tooltip="Grupo I"/>
            <a:extLst>
              <a:ext uri="{FF2B5EF4-FFF2-40B4-BE49-F238E27FC236}">
                <a16:creationId xmlns:a16="http://schemas.microsoft.com/office/drawing/2014/main" id="{BD5987F9-784D-9AF9-7D44-F11D79CB3949}"/>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28 Rectángulo redondeado">
            <a:hlinkClick xmlns:r="http://schemas.openxmlformats.org/officeDocument/2006/relationships" r:id="rId15" tooltip="Grupo J"/>
            <a:extLst>
              <a:ext uri="{FF2B5EF4-FFF2-40B4-BE49-F238E27FC236}">
                <a16:creationId xmlns:a16="http://schemas.microsoft.com/office/drawing/2014/main" id="{A0D26AE1-B2F4-EE8E-B19A-B04DB8D94F3E}"/>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28 Rectángulo redondeado">
            <a:hlinkClick xmlns:r="http://schemas.openxmlformats.org/officeDocument/2006/relationships" r:id="rId16" tooltip="Grupo K"/>
            <a:extLst>
              <a:ext uri="{FF2B5EF4-FFF2-40B4-BE49-F238E27FC236}">
                <a16:creationId xmlns:a16="http://schemas.microsoft.com/office/drawing/2014/main" id="{813E948F-900C-1B49-BE89-E55D856DEFF0}"/>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7" tooltip="Grupo L"/>
            <a:extLst>
              <a:ext uri="{FF2B5EF4-FFF2-40B4-BE49-F238E27FC236}">
                <a16:creationId xmlns:a16="http://schemas.microsoft.com/office/drawing/2014/main" id="{3D8D1423-A103-D922-6CEB-F230720A569C}"/>
              </a:ext>
            </a:extLst>
          </xdr:cNvPr>
          <xdr:cNvSpPr/>
        </xdr:nvSpPr>
        <xdr:spPr bwMode="auto">
          <a:xfrm>
            <a:off x="818145" y="2002252"/>
            <a:ext cx="648000"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1">
                <a:solidFill>
                  <a:sysClr val="windowText" lastClr="000000"/>
                </a:solidFill>
                <a:latin typeface="Arial" panose="020B0604020202020204" pitchFamily="34" charset="0"/>
                <a:cs typeface="Arial" panose="020B0604020202020204" pitchFamily="34" charset="0"/>
              </a:rPr>
              <a:t>GRUPO</a:t>
            </a:r>
            <a:r>
              <a:rPr lang="es-CO" sz="900" b="1" baseline="0">
                <a:solidFill>
                  <a:sysClr val="windowText" lastClr="000000"/>
                </a:solidFill>
                <a:latin typeface="Arial" panose="020B0604020202020204" pitchFamily="34" charset="0"/>
                <a:cs typeface="Arial" panose="020B0604020202020204" pitchFamily="34" charset="0"/>
              </a:rPr>
              <a:t> L</a:t>
            </a:r>
            <a:endParaRPr lang="es-CO" sz="900" b="1">
              <a:solidFill>
                <a:sysClr val="windowText" lastClr="000000"/>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8" tooltip="Octavos de Final"/>
            <a:extLst>
              <a:ext uri="{FF2B5EF4-FFF2-40B4-BE49-F238E27FC236}">
                <a16:creationId xmlns:a16="http://schemas.microsoft.com/office/drawing/2014/main" id="{B556B4AC-638D-1737-D730-63B671145576}"/>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18" name="29 Rectángulo redondeado">
            <a:hlinkClick xmlns:r="http://schemas.openxmlformats.org/officeDocument/2006/relationships" r:id="rId19" tooltip="Cuartos de Final"/>
            <a:extLst>
              <a:ext uri="{FF2B5EF4-FFF2-40B4-BE49-F238E27FC236}">
                <a16:creationId xmlns:a16="http://schemas.microsoft.com/office/drawing/2014/main" id="{9E648756-B4E7-C9DF-5723-2FA4A7EFF326}"/>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19" name="30 Rectángulo redondeado">
            <a:hlinkClick xmlns:r="http://schemas.openxmlformats.org/officeDocument/2006/relationships" r:id="rId20" tooltip="Semi Final"/>
            <a:extLst>
              <a:ext uri="{FF2B5EF4-FFF2-40B4-BE49-F238E27FC236}">
                <a16:creationId xmlns:a16="http://schemas.microsoft.com/office/drawing/2014/main" id="{6F079E76-3BD1-7C21-4008-9B32358B81AA}"/>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4" name="31 Rectángulo redondeado">
            <a:hlinkClick xmlns:r="http://schemas.openxmlformats.org/officeDocument/2006/relationships" r:id="rId21" tooltip="FINAL"/>
            <a:extLst>
              <a:ext uri="{FF2B5EF4-FFF2-40B4-BE49-F238E27FC236}">
                <a16:creationId xmlns:a16="http://schemas.microsoft.com/office/drawing/2014/main" id="{D8EA3CDC-3FF3-F4B7-2114-61287C9082FB}"/>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5" name="36 Rectángulo redondeado">
            <a:hlinkClick xmlns:r="http://schemas.openxmlformats.org/officeDocument/2006/relationships" r:id="rId22" tooltip="Resumen General"/>
            <a:extLst>
              <a:ext uri="{FF2B5EF4-FFF2-40B4-BE49-F238E27FC236}">
                <a16:creationId xmlns:a16="http://schemas.microsoft.com/office/drawing/2014/main" id="{77F4A2F8-820A-40BD-B4A6-4337B9504D2B}"/>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3" tooltip="16vos Final"/>
            <a:extLst>
              <a:ext uri="{FF2B5EF4-FFF2-40B4-BE49-F238E27FC236}">
                <a16:creationId xmlns:a16="http://schemas.microsoft.com/office/drawing/2014/main" id="{7D503336-94E1-FE81-12DB-0FF3C9869DF3}"/>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7" name="28 Rectángulo redondeado">
            <a:hlinkClick xmlns:r="http://schemas.openxmlformats.org/officeDocument/2006/relationships" r:id="rId24" tooltip="Mejores 3ros"/>
            <a:extLst>
              <a:ext uri="{FF2B5EF4-FFF2-40B4-BE49-F238E27FC236}">
                <a16:creationId xmlns:a16="http://schemas.microsoft.com/office/drawing/2014/main" id="{6CFCCC0C-7032-F842-2A96-9289370740CF}"/>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8" name="Imagen 27">
          <a:extLst>
            <a:ext uri="{FF2B5EF4-FFF2-40B4-BE49-F238E27FC236}">
              <a16:creationId xmlns:a16="http://schemas.microsoft.com/office/drawing/2014/main" id="{BCFC4710-9FEB-4C46-AEB7-EFE8EFC8C706}"/>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100260</xdr:colOff>
      <xdr:row>2</xdr:row>
      <xdr:rowOff>7521</xdr:rowOff>
    </xdr:from>
    <xdr:to>
      <xdr:col>0</xdr:col>
      <xdr:colOff>1466145</xdr:colOff>
      <xdr:row>23</xdr:row>
      <xdr:rowOff>101957</xdr:rowOff>
    </xdr:to>
    <xdr:grpSp>
      <xdr:nvGrpSpPr>
        <xdr:cNvPr id="2" name="Grupo 1">
          <a:extLst>
            <a:ext uri="{FF2B5EF4-FFF2-40B4-BE49-F238E27FC236}">
              <a16:creationId xmlns:a16="http://schemas.microsoft.com/office/drawing/2014/main" id="{67BD7A2F-FC93-4FD5-876B-3BB43BFE44AC}"/>
            </a:ext>
          </a:extLst>
        </xdr:cNvPr>
        <xdr:cNvGrpSpPr/>
      </xdr:nvGrpSpPr>
      <xdr:grpSpPr>
        <a:xfrm>
          <a:off x="100260" y="508837"/>
          <a:ext cx="1365885" cy="3463278"/>
          <a:chOff x="100260" y="515521"/>
          <a:chExt cx="1365885" cy="3463278"/>
        </a:xfrm>
      </xdr:grpSpPr>
      <xdr:sp macro="" textlink="">
        <xdr:nvSpPr>
          <xdr:cNvPr id="3" name="26 Rectángulo redondeado">
            <a:hlinkClick xmlns:r="http://schemas.openxmlformats.org/officeDocument/2006/relationships" r:id="rId1" tooltip="Grupo F"/>
            <a:extLst>
              <a:ext uri="{FF2B5EF4-FFF2-40B4-BE49-F238E27FC236}">
                <a16:creationId xmlns:a16="http://schemas.microsoft.com/office/drawing/2014/main" id="{44F86638-B4CD-4365-FFD7-1BAAFB1800F4}"/>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 name="27 Rectángulo redondeado">
            <a:hlinkClick xmlns:r="http://schemas.openxmlformats.org/officeDocument/2006/relationships" r:id="rId2" tooltip="Grupo G"/>
            <a:extLst>
              <a:ext uri="{FF2B5EF4-FFF2-40B4-BE49-F238E27FC236}">
                <a16:creationId xmlns:a16="http://schemas.microsoft.com/office/drawing/2014/main" id="{C6033EB1-616E-427C-135B-726FD7B8EA49}"/>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8 Rectángulo redondeado">
            <a:hlinkClick xmlns:r="http://schemas.openxmlformats.org/officeDocument/2006/relationships" r:id="rId3" tooltip="Grupo H"/>
            <a:extLst>
              <a:ext uri="{FF2B5EF4-FFF2-40B4-BE49-F238E27FC236}">
                <a16:creationId xmlns:a16="http://schemas.microsoft.com/office/drawing/2014/main" id="{973DA8D2-735C-C5C2-C858-92893B11CF48}"/>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2 Rectángulo redondeado">
            <a:hlinkClick xmlns:r="http://schemas.openxmlformats.org/officeDocument/2006/relationships" r:id="rId4" tooltip="Grupo A"/>
            <a:extLst>
              <a:ext uri="{FF2B5EF4-FFF2-40B4-BE49-F238E27FC236}">
                <a16:creationId xmlns:a16="http://schemas.microsoft.com/office/drawing/2014/main" id="{7D4BD248-E766-A95A-61A3-77DF6235C6A7}"/>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3 Rectángulo redondeado">
            <a:hlinkClick xmlns:r="http://schemas.openxmlformats.org/officeDocument/2006/relationships" r:id="rId5" tooltip="Grupo B"/>
            <a:extLst>
              <a:ext uri="{FF2B5EF4-FFF2-40B4-BE49-F238E27FC236}">
                <a16:creationId xmlns:a16="http://schemas.microsoft.com/office/drawing/2014/main" id="{DA9A4D02-DA88-F8C9-4D1B-FEE54518201B}"/>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4 Rectángulo redondeado">
            <a:hlinkClick xmlns:r="http://schemas.openxmlformats.org/officeDocument/2006/relationships" r:id="rId6" tooltip="Grupo D"/>
            <a:extLst>
              <a:ext uri="{FF2B5EF4-FFF2-40B4-BE49-F238E27FC236}">
                <a16:creationId xmlns:a16="http://schemas.microsoft.com/office/drawing/2014/main" id="{F281D900-8412-856D-4392-E3E2B2A973FE}"/>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5 Rectángulo redondeado">
            <a:hlinkClick xmlns:r="http://schemas.openxmlformats.org/officeDocument/2006/relationships" r:id="rId7" tooltip="Grupo E"/>
            <a:extLst>
              <a:ext uri="{FF2B5EF4-FFF2-40B4-BE49-F238E27FC236}">
                <a16:creationId xmlns:a16="http://schemas.microsoft.com/office/drawing/2014/main" id="{B20D08E2-908D-0F62-8834-AB8976234580}"/>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33 Rectángulo redondeado">
            <a:hlinkClick xmlns:r="http://schemas.openxmlformats.org/officeDocument/2006/relationships" r:id="rId8" tooltip="Grupo C"/>
            <a:extLst>
              <a:ext uri="{FF2B5EF4-FFF2-40B4-BE49-F238E27FC236}">
                <a16:creationId xmlns:a16="http://schemas.microsoft.com/office/drawing/2014/main" id="{3990C285-B0FE-CA2C-7DFD-87F1AE51591E}"/>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34 Rectángulo redondeado">
            <a:hlinkClick xmlns:r="http://schemas.openxmlformats.org/officeDocument/2006/relationships" r:id="rId9" tooltip="Inicio"/>
            <a:extLst>
              <a:ext uri="{FF2B5EF4-FFF2-40B4-BE49-F238E27FC236}">
                <a16:creationId xmlns:a16="http://schemas.microsoft.com/office/drawing/2014/main" id="{F32E5791-B5A2-EDF6-A1D4-AAEBF789D12E}"/>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2" name="28 Rectángulo redondeado">
            <a:hlinkClick xmlns:r="http://schemas.openxmlformats.org/officeDocument/2006/relationships" r:id="rId10" tooltip="Grupo I"/>
            <a:extLst>
              <a:ext uri="{FF2B5EF4-FFF2-40B4-BE49-F238E27FC236}">
                <a16:creationId xmlns:a16="http://schemas.microsoft.com/office/drawing/2014/main" id="{F860DB0F-B92F-E293-EE5C-DB64EC2B14D9}"/>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28 Rectángulo redondeado">
            <a:hlinkClick xmlns:r="http://schemas.openxmlformats.org/officeDocument/2006/relationships" r:id="rId11" tooltip="Grupo J"/>
            <a:extLst>
              <a:ext uri="{FF2B5EF4-FFF2-40B4-BE49-F238E27FC236}">
                <a16:creationId xmlns:a16="http://schemas.microsoft.com/office/drawing/2014/main" id="{F1C30E70-B2D0-4099-5E2B-0D97C267B6A3}"/>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28 Rectángulo redondeado">
            <a:hlinkClick xmlns:r="http://schemas.openxmlformats.org/officeDocument/2006/relationships" r:id="rId12" tooltip="Grupo K"/>
            <a:extLst>
              <a:ext uri="{FF2B5EF4-FFF2-40B4-BE49-F238E27FC236}">
                <a16:creationId xmlns:a16="http://schemas.microsoft.com/office/drawing/2014/main" id="{DB079270-54F6-D425-D1CD-22F6C5F48758}"/>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28 Rectángulo redondeado">
            <a:hlinkClick xmlns:r="http://schemas.openxmlformats.org/officeDocument/2006/relationships" r:id="rId13" tooltip="Grupo L"/>
            <a:extLst>
              <a:ext uri="{FF2B5EF4-FFF2-40B4-BE49-F238E27FC236}">
                <a16:creationId xmlns:a16="http://schemas.microsoft.com/office/drawing/2014/main" id="{9AE390D8-D25C-C104-08F4-94CBA980BC0B}"/>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4" tooltip="Octavos de Final"/>
            <a:extLst>
              <a:ext uri="{FF2B5EF4-FFF2-40B4-BE49-F238E27FC236}">
                <a16:creationId xmlns:a16="http://schemas.microsoft.com/office/drawing/2014/main" id="{BCDAD018-C7FE-DB95-DFF5-667F983EDE33}"/>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17" name="29 Rectángulo redondeado">
            <a:hlinkClick xmlns:r="http://schemas.openxmlformats.org/officeDocument/2006/relationships" r:id="rId15" tooltip="Cuartos de Final"/>
            <a:extLst>
              <a:ext uri="{FF2B5EF4-FFF2-40B4-BE49-F238E27FC236}">
                <a16:creationId xmlns:a16="http://schemas.microsoft.com/office/drawing/2014/main" id="{EB8C94A0-0B37-A1C6-3440-DA314B5D8C0F}"/>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18" name="30 Rectángulo redondeado">
            <a:hlinkClick xmlns:r="http://schemas.openxmlformats.org/officeDocument/2006/relationships" r:id="rId16" tooltip="Semi Final"/>
            <a:extLst>
              <a:ext uri="{FF2B5EF4-FFF2-40B4-BE49-F238E27FC236}">
                <a16:creationId xmlns:a16="http://schemas.microsoft.com/office/drawing/2014/main" id="{C0C112ED-A6E5-E098-CF87-1CD635A8B0AD}"/>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19" name="31 Rectángulo redondeado">
            <a:hlinkClick xmlns:r="http://schemas.openxmlformats.org/officeDocument/2006/relationships" r:id="rId17" tooltip="FINAL"/>
            <a:extLst>
              <a:ext uri="{FF2B5EF4-FFF2-40B4-BE49-F238E27FC236}">
                <a16:creationId xmlns:a16="http://schemas.microsoft.com/office/drawing/2014/main" id="{5802DD05-B32D-DE86-57E5-71F52E660FE9}"/>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0" name="36 Rectángulo redondeado">
            <a:hlinkClick xmlns:r="http://schemas.openxmlformats.org/officeDocument/2006/relationships" r:id="rId18" tooltip="Resumen General"/>
            <a:extLst>
              <a:ext uri="{FF2B5EF4-FFF2-40B4-BE49-F238E27FC236}">
                <a16:creationId xmlns:a16="http://schemas.microsoft.com/office/drawing/2014/main" id="{98D4FFA3-8A63-D992-A38F-2A0A673BC795}"/>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1" name="28 Rectángulo redondeado">
            <a:hlinkClick xmlns:r="http://schemas.openxmlformats.org/officeDocument/2006/relationships" r:id="rId19" tooltip="16vos Final"/>
            <a:extLst>
              <a:ext uri="{FF2B5EF4-FFF2-40B4-BE49-F238E27FC236}">
                <a16:creationId xmlns:a16="http://schemas.microsoft.com/office/drawing/2014/main" id="{B7486A38-EDDC-C750-EC22-A89C51D0DBCF}"/>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2" name="28 Rectángulo redondeado">
            <a:hlinkClick xmlns:r="http://schemas.openxmlformats.org/officeDocument/2006/relationships" r:id="rId20" tooltip="Mejores 3ros"/>
            <a:extLst>
              <a:ext uri="{FF2B5EF4-FFF2-40B4-BE49-F238E27FC236}">
                <a16:creationId xmlns:a16="http://schemas.microsoft.com/office/drawing/2014/main" id="{A158E679-A153-3C10-55BB-93BB6043EC81}"/>
              </a:ext>
            </a:extLst>
          </xdr:cNvPr>
          <xdr:cNvSpPr/>
        </xdr:nvSpPr>
        <xdr:spPr bwMode="auto">
          <a:xfrm>
            <a:off x="100260" y="2326102"/>
            <a:ext cx="1362075"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1">
                <a:solidFill>
                  <a:sysClr val="windowText" lastClr="000000"/>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1531130</xdr:colOff>
      <xdr:row>1</xdr:row>
      <xdr:rowOff>193664</xdr:rowOff>
    </xdr:to>
    <xdr:pic>
      <xdr:nvPicPr>
        <xdr:cNvPr id="23" name="Imagen 22">
          <a:extLst>
            <a:ext uri="{FF2B5EF4-FFF2-40B4-BE49-F238E27FC236}">
              <a16:creationId xmlns:a16="http://schemas.microsoft.com/office/drawing/2014/main" id="{5F5868C2-DBC1-4FC5-BC0D-B6EFF4BA131D}"/>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9</xdr:col>
      <xdr:colOff>0</xdr:colOff>
      <xdr:row>6</xdr:row>
      <xdr:rowOff>79041</xdr:rowOff>
    </xdr:from>
    <xdr:to>
      <xdr:col>9</xdr:col>
      <xdr:colOff>742950</xdr:colOff>
      <xdr:row>6</xdr:row>
      <xdr:rowOff>79041</xdr:rowOff>
    </xdr:to>
    <xdr:sp macro="" textlink="">
      <xdr:nvSpPr>
        <xdr:cNvPr id="2" name="Line 2">
          <a:extLst>
            <a:ext uri="{FF2B5EF4-FFF2-40B4-BE49-F238E27FC236}">
              <a16:creationId xmlns:a16="http://schemas.microsoft.com/office/drawing/2014/main" id="{F8E71A0E-CC46-4A75-B7DD-479DD8C56F6A}"/>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10</xdr:col>
          <xdr:colOff>1211683</xdr:colOff>
          <xdr:row>5</xdr:row>
          <xdr:rowOff>98256</xdr:rowOff>
        </xdr:from>
        <xdr:to>
          <xdr:col>12</xdr:col>
          <xdr:colOff>115729</xdr:colOff>
          <xdr:row>7</xdr:row>
          <xdr:rowOff>56151</xdr:rowOff>
        </xdr:to>
        <xdr:pic>
          <xdr:nvPicPr>
            <xdr:cNvPr id="24" name="Picture 6" descr="cup_fifaworld2">
              <a:extLst>
                <a:ext uri="{FF2B5EF4-FFF2-40B4-BE49-F238E27FC236}">
                  <a16:creationId xmlns:a16="http://schemas.microsoft.com/office/drawing/2014/main" id="{31BCC780-08D4-433C-AB6A-DFB9C38B7BE2}"/>
                </a:ext>
              </a:extLst>
            </xdr:cNvPr>
            <xdr:cNvPicPr>
              <a:picLocks noChangeAspect="1" noChangeArrowheads="1"/>
              <a:extLst>
                <a:ext uri="{84589F7E-364E-4C9E-8A38-B11213B215E9}">
                  <a14:cameraTool cellRange="OFuno" spid="_x0000_s313564"/>
                </a:ext>
              </a:extLst>
            </xdr:cNvPicPr>
          </xdr:nvPicPr>
          <xdr:blipFill>
            <a:blip xmlns:r="http://schemas.openxmlformats.org/officeDocument/2006/relationships" r:embed="rId1"/>
            <a:srcRect/>
            <a:stretch>
              <a:fillRect/>
            </a:stretch>
          </xdr:blipFill>
          <xdr:spPr bwMode="auto">
            <a:xfrm>
              <a:off x="7902578" y="1087519"/>
              <a:ext cx="401309"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oneCellAnchor>
        <xdr:from>
          <xdr:col>10</xdr:col>
          <xdr:colOff>1211682</xdr:colOff>
          <xdr:row>9</xdr:row>
          <xdr:rowOff>98701</xdr:rowOff>
        </xdr:from>
        <xdr:ext cx="403200" cy="252000"/>
        <xdr:pic>
          <xdr:nvPicPr>
            <xdr:cNvPr id="25" name="Picture 6" descr="cup_fifaworld2">
              <a:extLst>
                <a:ext uri="{FF2B5EF4-FFF2-40B4-BE49-F238E27FC236}">
                  <a16:creationId xmlns:a16="http://schemas.microsoft.com/office/drawing/2014/main" id="{EC4999A7-9BA2-403D-AECA-2583D6B62F09}"/>
                </a:ext>
              </a:extLst>
            </xdr:cNvPr>
            <xdr:cNvPicPr>
              <a:picLocks noChangeAspect="1" noChangeArrowheads="1"/>
              <a:extLst>
                <a:ext uri="{84589F7E-364E-4C9E-8A38-B11213B215E9}">
                  <a14:cameraTool cellRange="OFdos" spid="_x0000_s313565"/>
                </a:ext>
              </a:extLst>
            </xdr:cNvPicPr>
          </xdr:nvPicPr>
          <xdr:blipFill>
            <a:blip xmlns:r="http://schemas.openxmlformats.org/officeDocument/2006/relationships" r:embed="rId2"/>
            <a:srcRect/>
            <a:stretch>
              <a:fillRect/>
            </a:stretch>
          </xdr:blipFill>
          <xdr:spPr bwMode="auto">
            <a:xfrm>
              <a:off x="7902577" y="1676175"/>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13</xdr:row>
          <xdr:rowOff>99147</xdr:rowOff>
        </xdr:from>
        <xdr:ext cx="403200" cy="252000"/>
        <xdr:pic>
          <xdr:nvPicPr>
            <xdr:cNvPr id="26" name="Picture 6" descr="cup_fifaworld2">
              <a:extLst>
                <a:ext uri="{FF2B5EF4-FFF2-40B4-BE49-F238E27FC236}">
                  <a16:creationId xmlns:a16="http://schemas.microsoft.com/office/drawing/2014/main" id="{E67884DB-7C3A-4D19-9E2D-1BCD91553A33}"/>
                </a:ext>
              </a:extLst>
            </xdr:cNvPr>
            <xdr:cNvPicPr>
              <a:picLocks noChangeAspect="1" noChangeArrowheads="1"/>
              <a:extLst>
                <a:ext uri="{84589F7E-364E-4C9E-8A38-B11213B215E9}">
                  <a14:cameraTool cellRange="OFtres" spid="_x0000_s313566"/>
                </a:ext>
              </a:extLst>
            </xdr:cNvPicPr>
          </xdr:nvPicPr>
          <xdr:blipFill>
            <a:blip xmlns:r="http://schemas.openxmlformats.org/officeDocument/2006/relationships" r:embed="rId3"/>
            <a:srcRect/>
            <a:stretch>
              <a:fillRect/>
            </a:stretch>
          </xdr:blipFill>
          <xdr:spPr bwMode="auto">
            <a:xfrm>
              <a:off x="7902577" y="2264831"/>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17</xdr:row>
          <xdr:rowOff>99592</xdr:rowOff>
        </xdr:from>
        <xdr:ext cx="403200" cy="252000"/>
        <xdr:pic>
          <xdr:nvPicPr>
            <xdr:cNvPr id="27" name="Picture 6" descr="cup_fifaworld2">
              <a:extLst>
                <a:ext uri="{FF2B5EF4-FFF2-40B4-BE49-F238E27FC236}">
                  <a16:creationId xmlns:a16="http://schemas.microsoft.com/office/drawing/2014/main" id="{F105B536-7E9F-4F5F-B901-0EEEBC8A1BC2}"/>
                </a:ext>
              </a:extLst>
            </xdr:cNvPr>
            <xdr:cNvPicPr>
              <a:picLocks noChangeAspect="1" noChangeArrowheads="1"/>
              <a:extLst>
                <a:ext uri="{84589F7E-364E-4C9E-8A38-B11213B215E9}">
                  <a14:cameraTool cellRange="OFcuatro" spid="_x0000_s313567"/>
                </a:ext>
              </a:extLst>
            </xdr:cNvPicPr>
          </xdr:nvPicPr>
          <xdr:blipFill>
            <a:blip xmlns:r="http://schemas.openxmlformats.org/officeDocument/2006/relationships" r:embed="rId4"/>
            <a:srcRect/>
            <a:stretch>
              <a:fillRect/>
            </a:stretch>
          </xdr:blipFill>
          <xdr:spPr bwMode="auto">
            <a:xfrm>
              <a:off x="7902577" y="2853487"/>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21</xdr:row>
          <xdr:rowOff>100038</xdr:rowOff>
        </xdr:from>
        <xdr:ext cx="403200" cy="252000"/>
        <xdr:pic>
          <xdr:nvPicPr>
            <xdr:cNvPr id="28" name="Picture 6" descr="cup_fifaworld2">
              <a:extLst>
                <a:ext uri="{FF2B5EF4-FFF2-40B4-BE49-F238E27FC236}">
                  <a16:creationId xmlns:a16="http://schemas.microsoft.com/office/drawing/2014/main" id="{BF5DAF2E-4600-4532-A335-B27D955F015E}"/>
                </a:ext>
              </a:extLst>
            </xdr:cNvPr>
            <xdr:cNvPicPr>
              <a:picLocks noChangeAspect="1" noChangeArrowheads="1"/>
              <a:extLst>
                <a:ext uri="{84589F7E-364E-4C9E-8A38-B11213B215E9}">
                  <a14:cameraTool cellRange="OFcinco" spid="_x0000_s313568"/>
                </a:ext>
              </a:extLst>
            </xdr:cNvPicPr>
          </xdr:nvPicPr>
          <xdr:blipFill>
            <a:blip xmlns:r="http://schemas.openxmlformats.org/officeDocument/2006/relationships" r:embed="rId5"/>
            <a:srcRect/>
            <a:stretch>
              <a:fillRect/>
            </a:stretch>
          </xdr:blipFill>
          <xdr:spPr bwMode="auto">
            <a:xfrm>
              <a:off x="7902577" y="3442143"/>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25</xdr:row>
          <xdr:rowOff>100483</xdr:rowOff>
        </xdr:from>
        <xdr:ext cx="403200" cy="252000"/>
        <xdr:pic>
          <xdr:nvPicPr>
            <xdr:cNvPr id="29" name="Picture 6" descr="cup_fifaworld2">
              <a:extLst>
                <a:ext uri="{FF2B5EF4-FFF2-40B4-BE49-F238E27FC236}">
                  <a16:creationId xmlns:a16="http://schemas.microsoft.com/office/drawing/2014/main" id="{3A0F6B7E-F39B-4782-98A3-86F5A2B9B364}"/>
                </a:ext>
              </a:extLst>
            </xdr:cNvPr>
            <xdr:cNvPicPr>
              <a:picLocks noChangeAspect="1" noChangeArrowheads="1"/>
              <a:extLst>
                <a:ext uri="{84589F7E-364E-4C9E-8A38-B11213B215E9}">
                  <a14:cameraTool cellRange="OFseis" spid="_x0000_s313569"/>
                </a:ext>
              </a:extLst>
            </xdr:cNvPicPr>
          </xdr:nvPicPr>
          <xdr:blipFill>
            <a:blip xmlns:r="http://schemas.openxmlformats.org/officeDocument/2006/relationships" r:embed="rId6"/>
            <a:srcRect/>
            <a:stretch>
              <a:fillRect/>
            </a:stretch>
          </xdr:blipFill>
          <xdr:spPr bwMode="auto">
            <a:xfrm>
              <a:off x="7902577" y="4030799"/>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29</xdr:row>
          <xdr:rowOff>100929</xdr:rowOff>
        </xdr:from>
        <xdr:ext cx="403200" cy="252000"/>
        <xdr:pic>
          <xdr:nvPicPr>
            <xdr:cNvPr id="30" name="Picture 6" descr="cup_fifaworld2">
              <a:extLst>
                <a:ext uri="{FF2B5EF4-FFF2-40B4-BE49-F238E27FC236}">
                  <a16:creationId xmlns:a16="http://schemas.microsoft.com/office/drawing/2014/main" id="{3D595933-6FBE-4447-B8D1-1B5488B76E52}"/>
                </a:ext>
              </a:extLst>
            </xdr:cNvPr>
            <xdr:cNvPicPr>
              <a:picLocks noChangeAspect="1" noChangeArrowheads="1"/>
              <a:extLst>
                <a:ext uri="{84589F7E-364E-4C9E-8A38-B11213B215E9}">
                  <a14:cameraTool cellRange="OFsiete" spid="_x0000_s313570"/>
                </a:ext>
              </a:extLst>
            </xdr:cNvPicPr>
          </xdr:nvPicPr>
          <xdr:blipFill>
            <a:blip xmlns:r="http://schemas.openxmlformats.org/officeDocument/2006/relationships" r:embed="rId7"/>
            <a:srcRect/>
            <a:stretch>
              <a:fillRect/>
            </a:stretch>
          </xdr:blipFill>
          <xdr:spPr bwMode="auto">
            <a:xfrm>
              <a:off x="7902577" y="4619455"/>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33</xdr:row>
          <xdr:rowOff>101374</xdr:rowOff>
        </xdr:from>
        <xdr:ext cx="403200" cy="252000"/>
        <xdr:pic>
          <xdr:nvPicPr>
            <xdr:cNvPr id="31" name="Picture 6" descr="cup_fifaworld2">
              <a:extLst>
                <a:ext uri="{FF2B5EF4-FFF2-40B4-BE49-F238E27FC236}">
                  <a16:creationId xmlns:a16="http://schemas.microsoft.com/office/drawing/2014/main" id="{C0E9BDF9-CEFA-4DF2-AD06-1D09F752C5B5}"/>
                </a:ext>
              </a:extLst>
            </xdr:cNvPr>
            <xdr:cNvPicPr>
              <a:picLocks noChangeAspect="1" noChangeArrowheads="1"/>
              <a:extLst>
                <a:ext uri="{84589F7E-364E-4C9E-8A38-B11213B215E9}">
                  <a14:cameraTool cellRange="OFocho" spid="_x0000_s313571"/>
                </a:ext>
              </a:extLst>
            </xdr:cNvPicPr>
          </xdr:nvPicPr>
          <xdr:blipFill>
            <a:blip xmlns:r="http://schemas.openxmlformats.org/officeDocument/2006/relationships" r:embed="rId8"/>
            <a:srcRect/>
            <a:stretch>
              <a:fillRect/>
            </a:stretch>
          </xdr:blipFill>
          <xdr:spPr bwMode="auto">
            <a:xfrm>
              <a:off x="7902577" y="5208111"/>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37</xdr:row>
          <xdr:rowOff>101820</xdr:rowOff>
        </xdr:from>
        <xdr:ext cx="403200" cy="252000"/>
        <xdr:pic>
          <xdr:nvPicPr>
            <xdr:cNvPr id="53" name="Picture 6" descr="cup_fifaworld2">
              <a:extLst>
                <a:ext uri="{FF2B5EF4-FFF2-40B4-BE49-F238E27FC236}">
                  <a16:creationId xmlns:a16="http://schemas.microsoft.com/office/drawing/2014/main" id="{56C0D233-68DC-4D1E-A565-719635F7555C}"/>
                </a:ext>
              </a:extLst>
            </xdr:cNvPr>
            <xdr:cNvPicPr>
              <a:picLocks noChangeAspect="1" noChangeArrowheads="1"/>
              <a:extLst>
                <a:ext uri="{84589F7E-364E-4C9E-8A38-B11213B215E9}">
                  <a14:cameraTool cellRange="ofnueve" spid="_x0000_s313572"/>
                </a:ext>
              </a:extLst>
            </xdr:cNvPicPr>
          </xdr:nvPicPr>
          <xdr:blipFill>
            <a:blip xmlns:r="http://schemas.openxmlformats.org/officeDocument/2006/relationships" r:embed="rId9"/>
            <a:srcRect/>
            <a:stretch>
              <a:fillRect/>
            </a:stretch>
          </xdr:blipFill>
          <xdr:spPr bwMode="auto">
            <a:xfrm>
              <a:off x="7902577" y="5796767"/>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41</xdr:row>
          <xdr:rowOff>102265</xdr:rowOff>
        </xdr:from>
        <xdr:ext cx="403200" cy="252000"/>
        <xdr:pic>
          <xdr:nvPicPr>
            <xdr:cNvPr id="56" name="Picture 6" descr="cup_fifaworld2">
              <a:extLst>
                <a:ext uri="{FF2B5EF4-FFF2-40B4-BE49-F238E27FC236}">
                  <a16:creationId xmlns:a16="http://schemas.microsoft.com/office/drawing/2014/main" id="{7BBB42D2-6C35-4D51-ACE2-7FBB56820155}"/>
                </a:ext>
              </a:extLst>
            </xdr:cNvPr>
            <xdr:cNvPicPr>
              <a:picLocks noChangeAspect="1" noChangeArrowheads="1"/>
              <a:extLst>
                <a:ext uri="{84589F7E-364E-4C9E-8A38-B11213B215E9}">
                  <a14:cameraTool cellRange="ddiez" spid="_x0000_s313573"/>
                </a:ext>
              </a:extLst>
            </xdr:cNvPicPr>
          </xdr:nvPicPr>
          <xdr:blipFill>
            <a:blip xmlns:r="http://schemas.openxmlformats.org/officeDocument/2006/relationships" r:embed="rId10"/>
            <a:srcRect/>
            <a:stretch>
              <a:fillRect/>
            </a:stretch>
          </xdr:blipFill>
          <xdr:spPr bwMode="auto">
            <a:xfrm>
              <a:off x="7902577" y="6385423"/>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49</xdr:row>
          <xdr:rowOff>103156</xdr:rowOff>
        </xdr:from>
        <xdr:ext cx="403200" cy="252000"/>
        <xdr:pic>
          <xdr:nvPicPr>
            <xdr:cNvPr id="60" name="Picture 6" descr="cup_fifaworld2">
              <a:extLst>
                <a:ext uri="{FF2B5EF4-FFF2-40B4-BE49-F238E27FC236}">
                  <a16:creationId xmlns:a16="http://schemas.microsoft.com/office/drawing/2014/main" id="{B257EB4D-01F5-402D-A3AB-4A1995C38E7D}"/>
                </a:ext>
              </a:extLst>
            </xdr:cNvPr>
            <xdr:cNvPicPr>
              <a:picLocks noChangeAspect="1" noChangeArrowheads="1"/>
              <a:extLst>
                <a:ext uri="{84589F7E-364E-4C9E-8A38-B11213B215E9}">
                  <a14:cameraTool cellRange="ddoce" spid="_x0000_s313574"/>
                </a:ext>
              </a:extLst>
            </xdr:cNvPicPr>
          </xdr:nvPicPr>
          <xdr:blipFill>
            <a:blip xmlns:r="http://schemas.openxmlformats.org/officeDocument/2006/relationships" r:embed="rId11"/>
            <a:srcRect/>
            <a:stretch>
              <a:fillRect/>
            </a:stretch>
          </xdr:blipFill>
          <xdr:spPr bwMode="auto">
            <a:xfrm>
              <a:off x="7902577" y="7562735"/>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53</xdr:row>
          <xdr:rowOff>103602</xdr:rowOff>
        </xdr:from>
        <xdr:ext cx="403200" cy="252000"/>
        <xdr:pic>
          <xdr:nvPicPr>
            <xdr:cNvPr id="62" name="Picture 6" descr="cup_fifaworld2">
              <a:extLst>
                <a:ext uri="{FF2B5EF4-FFF2-40B4-BE49-F238E27FC236}">
                  <a16:creationId xmlns:a16="http://schemas.microsoft.com/office/drawing/2014/main" id="{D1E8A526-D3C8-4580-AE80-5B84ADE6785E}"/>
                </a:ext>
              </a:extLst>
            </xdr:cNvPr>
            <xdr:cNvPicPr>
              <a:picLocks noChangeAspect="1" noChangeArrowheads="1"/>
              <a:extLst>
                <a:ext uri="{84589F7E-364E-4C9E-8A38-B11213B215E9}">
                  <a14:cameraTool cellRange="dtrece" spid="_x0000_s313575"/>
                </a:ext>
              </a:extLst>
            </xdr:cNvPicPr>
          </xdr:nvPicPr>
          <xdr:blipFill>
            <a:blip xmlns:r="http://schemas.openxmlformats.org/officeDocument/2006/relationships" r:embed="rId12"/>
            <a:srcRect/>
            <a:stretch>
              <a:fillRect/>
            </a:stretch>
          </xdr:blipFill>
          <xdr:spPr bwMode="auto">
            <a:xfrm>
              <a:off x="7902577" y="8151391"/>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57</xdr:row>
          <xdr:rowOff>104047</xdr:rowOff>
        </xdr:from>
        <xdr:ext cx="403200" cy="252000"/>
        <xdr:pic>
          <xdr:nvPicPr>
            <xdr:cNvPr id="64" name="Picture 6" descr="cup_fifaworld2">
              <a:extLst>
                <a:ext uri="{FF2B5EF4-FFF2-40B4-BE49-F238E27FC236}">
                  <a16:creationId xmlns:a16="http://schemas.microsoft.com/office/drawing/2014/main" id="{E8696A5B-7D4B-4527-8CA2-400467E41683}"/>
                </a:ext>
              </a:extLst>
            </xdr:cNvPr>
            <xdr:cNvPicPr>
              <a:picLocks noChangeAspect="1" noChangeArrowheads="1"/>
              <a:extLst>
                <a:ext uri="{84589F7E-364E-4C9E-8A38-B11213B215E9}">
                  <a14:cameraTool cellRange="dcatorce" spid="_x0000_s313576"/>
                </a:ext>
              </a:extLst>
            </xdr:cNvPicPr>
          </xdr:nvPicPr>
          <xdr:blipFill>
            <a:blip xmlns:r="http://schemas.openxmlformats.org/officeDocument/2006/relationships" r:embed="rId13"/>
            <a:srcRect/>
            <a:stretch>
              <a:fillRect/>
            </a:stretch>
          </xdr:blipFill>
          <xdr:spPr bwMode="auto">
            <a:xfrm>
              <a:off x="7902577" y="8740047"/>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61</xdr:row>
          <xdr:rowOff>104492</xdr:rowOff>
        </xdr:from>
        <xdr:ext cx="403200" cy="252000"/>
        <xdr:pic>
          <xdr:nvPicPr>
            <xdr:cNvPr id="66" name="Picture 6" descr="cup_fifaworld2">
              <a:extLst>
                <a:ext uri="{FF2B5EF4-FFF2-40B4-BE49-F238E27FC236}">
                  <a16:creationId xmlns:a16="http://schemas.microsoft.com/office/drawing/2014/main" id="{BCBFEE00-21FA-450F-B7B0-29CC6FBED572}"/>
                </a:ext>
              </a:extLst>
            </xdr:cNvPr>
            <xdr:cNvPicPr>
              <a:picLocks noChangeAspect="1" noChangeArrowheads="1"/>
              <a:extLst>
                <a:ext uri="{84589F7E-364E-4C9E-8A38-B11213B215E9}">
                  <a14:cameraTool cellRange="dquince" spid="_x0000_s313577"/>
                </a:ext>
              </a:extLst>
            </xdr:cNvPicPr>
          </xdr:nvPicPr>
          <xdr:blipFill>
            <a:blip xmlns:r="http://schemas.openxmlformats.org/officeDocument/2006/relationships" r:embed="rId14"/>
            <a:srcRect/>
            <a:stretch>
              <a:fillRect/>
            </a:stretch>
          </xdr:blipFill>
          <xdr:spPr bwMode="auto">
            <a:xfrm>
              <a:off x="7902577" y="9328703"/>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1211682</xdr:colOff>
          <xdr:row>65</xdr:row>
          <xdr:rowOff>104940</xdr:rowOff>
        </xdr:from>
        <xdr:ext cx="403200" cy="252000"/>
        <xdr:pic>
          <xdr:nvPicPr>
            <xdr:cNvPr id="68" name="Picture 6" descr="cup_fifaworld2">
              <a:extLst>
                <a:ext uri="{FF2B5EF4-FFF2-40B4-BE49-F238E27FC236}">
                  <a16:creationId xmlns:a16="http://schemas.microsoft.com/office/drawing/2014/main" id="{420E35B9-ADA8-4C7A-8B63-E2A89570118C}"/>
                </a:ext>
              </a:extLst>
            </xdr:cNvPr>
            <xdr:cNvPicPr>
              <a:picLocks noChangeAspect="1" noChangeArrowheads="1"/>
              <a:extLst>
                <a:ext uri="{84589F7E-364E-4C9E-8A38-B11213B215E9}">
                  <a14:cameraTool cellRange="ddiesies" spid="_x0000_s313578"/>
                </a:ext>
              </a:extLst>
            </xdr:cNvPicPr>
          </xdr:nvPicPr>
          <xdr:blipFill>
            <a:blip xmlns:r="http://schemas.openxmlformats.org/officeDocument/2006/relationships" r:embed="rId15"/>
            <a:srcRect/>
            <a:stretch>
              <a:fillRect/>
            </a:stretch>
          </xdr:blipFill>
          <xdr:spPr bwMode="auto">
            <a:xfrm>
              <a:off x="7902577" y="9917361"/>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1183608</xdr:colOff>
          <xdr:row>45</xdr:row>
          <xdr:rowOff>102711</xdr:rowOff>
        </xdr:from>
        <xdr:ext cx="403200" cy="252000"/>
        <xdr:pic>
          <xdr:nvPicPr>
            <xdr:cNvPr id="10" name="Picture 6" descr="cup_fifaworld2">
              <a:extLst>
                <a:ext uri="{FF2B5EF4-FFF2-40B4-BE49-F238E27FC236}">
                  <a16:creationId xmlns:a16="http://schemas.microsoft.com/office/drawing/2014/main" id="{08E67824-B5C6-4F52-97AB-A68A12D7ADD5}"/>
                </a:ext>
              </a:extLst>
            </xdr:cNvPr>
            <xdr:cNvPicPr>
              <a:picLocks noChangeAspect="1" noChangeArrowheads="1"/>
              <a:extLst>
                <a:ext uri="{84589F7E-364E-4C9E-8A38-B11213B215E9}">
                  <a14:cameraTool cellRange="donce" spid="_x0000_s313579"/>
                </a:ext>
              </a:extLst>
            </xdr:cNvPicPr>
          </xdr:nvPicPr>
          <xdr:blipFill>
            <a:blip xmlns:r="http://schemas.openxmlformats.org/officeDocument/2006/relationships" r:embed="rId16"/>
            <a:srcRect/>
            <a:stretch>
              <a:fillRect/>
            </a:stretch>
          </xdr:blipFill>
          <xdr:spPr bwMode="auto">
            <a:xfrm>
              <a:off x="7874503" y="6974079"/>
              <a:ext cx="4032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xdr:twoCellAnchor>
    <xdr:from>
      <xdr:col>9</xdr:col>
      <xdr:colOff>20052</xdr:colOff>
      <xdr:row>10</xdr:row>
      <xdr:rowOff>119145</xdr:rowOff>
    </xdr:from>
    <xdr:to>
      <xdr:col>9</xdr:col>
      <xdr:colOff>763002</xdr:colOff>
      <xdr:row>10</xdr:row>
      <xdr:rowOff>119145</xdr:rowOff>
    </xdr:to>
    <xdr:sp macro="" textlink="">
      <xdr:nvSpPr>
        <xdr:cNvPr id="12" name="Line 2">
          <a:extLst>
            <a:ext uri="{FF2B5EF4-FFF2-40B4-BE49-F238E27FC236}">
              <a16:creationId xmlns:a16="http://schemas.microsoft.com/office/drawing/2014/main" id="{806CFCEB-D5DA-4618-AA21-3913F2E29EFD}"/>
            </a:ext>
          </a:extLst>
        </xdr:cNvPr>
        <xdr:cNvSpPr>
          <a:spLocks noChangeShapeType="1"/>
        </xdr:cNvSpPr>
      </xdr:nvSpPr>
      <xdr:spPr bwMode="auto">
        <a:xfrm>
          <a:off x="5888789" y="1850356"/>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14</xdr:row>
      <xdr:rowOff>79041</xdr:rowOff>
    </xdr:from>
    <xdr:to>
      <xdr:col>9</xdr:col>
      <xdr:colOff>742950</xdr:colOff>
      <xdr:row>14</xdr:row>
      <xdr:rowOff>79041</xdr:rowOff>
    </xdr:to>
    <xdr:sp macro="" textlink="">
      <xdr:nvSpPr>
        <xdr:cNvPr id="13" name="Line 2">
          <a:extLst>
            <a:ext uri="{FF2B5EF4-FFF2-40B4-BE49-F238E27FC236}">
              <a16:creationId xmlns:a16="http://schemas.microsoft.com/office/drawing/2014/main" id="{B7C8D08F-3BEB-4C58-AEB7-698FB3A3DC4A}"/>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18</xdr:row>
      <xdr:rowOff>79041</xdr:rowOff>
    </xdr:from>
    <xdr:to>
      <xdr:col>9</xdr:col>
      <xdr:colOff>742950</xdr:colOff>
      <xdr:row>18</xdr:row>
      <xdr:rowOff>79041</xdr:rowOff>
    </xdr:to>
    <xdr:sp macro="" textlink="">
      <xdr:nvSpPr>
        <xdr:cNvPr id="14" name="Line 2">
          <a:extLst>
            <a:ext uri="{FF2B5EF4-FFF2-40B4-BE49-F238E27FC236}">
              <a16:creationId xmlns:a16="http://schemas.microsoft.com/office/drawing/2014/main" id="{CC3A110A-4C59-404A-AB94-830B7A4BE294}"/>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22</xdr:row>
      <xdr:rowOff>79041</xdr:rowOff>
    </xdr:from>
    <xdr:to>
      <xdr:col>9</xdr:col>
      <xdr:colOff>742950</xdr:colOff>
      <xdr:row>22</xdr:row>
      <xdr:rowOff>79041</xdr:rowOff>
    </xdr:to>
    <xdr:sp macro="" textlink="">
      <xdr:nvSpPr>
        <xdr:cNvPr id="15" name="Line 2">
          <a:extLst>
            <a:ext uri="{FF2B5EF4-FFF2-40B4-BE49-F238E27FC236}">
              <a16:creationId xmlns:a16="http://schemas.microsoft.com/office/drawing/2014/main" id="{DEC6D729-EF08-4498-A225-69C9F165E7FC}"/>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26</xdr:row>
      <xdr:rowOff>79041</xdr:rowOff>
    </xdr:from>
    <xdr:to>
      <xdr:col>9</xdr:col>
      <xdr:colOff>742950</xdr:colOff>
      <xdr:row>26</xdr:row>
      <xdr:rowOff>79041</xdr:rowOff>
    </xdr:to>
    <xdr:sp macro="" textlink="">
      <xdr:nvSpPr>
        <xdr:cNvPr id="16" name="Line 2">
          <a:extLst>
            <a:ext uri="{FF2B5EF4-FFF2-40B4-BE49-F238E27FC236}">
              <a16:creationId xmlns:a16="http://schemas.microsoft.com/office/drawing/2014/main" id="{00FC60A8-B47D-41F3-80CA-DBF2BDB252D0}"/>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79041</xdr:rowOff>
    </xdr:from>
    <xdr:to>
      <xdr:col>9</xdr:col>
      <xdr:colOff>742950</xdr:colOff>
      <xdr:row>30</xdr:row>
      <xdr:rowOff>79041</xdr:rowOff>
    </xdr:to>
    <xdr:sp macro="" textlink="">
      <xdr:nvSpPr>
        <xdr:cNvPr id="17" name="Line 2">
          <a:extLst>
            <a:ext uri="{FF2B5EF4-FFF2-40B4-BE49-F238E27FC236}">
              <a16:creationId xmlns:a16="http://schemas.microsoft.com/office/drawing/2014/main" id="{0C33A989-A72F-4987-BFD1-2C6276C2AF90}"/>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79041</xdr:rowOff>
    </xdr:from>
    <xdr:to>
      <xdr:col>9</xdr:col>
      <xdr:colOff>742950</xdr:colOff>
      <xdr:row>34</xdr:row>
      <xdr:rowOff>79041</xdr:rowOff>
    </xdr:to>
    <xdr:sp macro="" textlink="">
      <xdr:nvSpPr>
        <xdr:cNvPr id="18" name="Line 2">
          <a:extLst>
            <a:ext uri="{FF2B5EF4-FFF2-40B4-BE49-F238E27FC236}">
              <a16:creationId xmlns:a16="http://schemas.microsoft.com/office/drawing/2014/main" id="{FF865CA8-66E3-4721-97DB-7E147FF02C8D}"/>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38</xdr:row>
      <xdr:rowOff>79041</xdr:rowOff>
    </xdr:from>
    <xdr:to>
      <xdr:col>9</xdr:col>
      <xdr:colOff>742950</xdr:colOff>
      <xdr:row>38</xdr:row>
      <xdr:rowOff>79041</xdr:rowOff>
    </xdr:to>
    <xdr:sp macro="" textlink="">
      <xdr:nvSpPr>
        <xdr:cNvPr id="19" name="Line 2">
          <a:extLst>
            <a:ext uri="{FF2B5EF4-FFF2-40B4-BE49-F238E27FC236}">
              <a16:creationId xmlns:a16="http://schemas.microsoft.com/office/drawing/2014/main" id="{9892C5A6-6FFC-4827-99E1-18A247ACE2B1}"/>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42</xdr:row>
      <xdr:rowOff>79041</xdr:rowOff>
    </xdr:from>
    <xdr:to>
      <xdr:col>9</xdr:col>
      <xdr:colOff>742950</xdr:colOff>
      <xdr:row>42</xdr:row>
      <xdr:rowOff>79041</xdr:rowOff>
    </xdr:to>
    <xdr:sp macro="" textlink="">
      <xdr:nvSpPr>
        <xdr:cNvPr id="20" name="Line 2">
          <a:extLst>
            <a:ext uri="{FF2B5EF4-FFF2-40B4-BE49-F238E27FC236}">
              <a16:creationId xmlns:a16="http://schemas.microsoft.com/office/drawing/2014/main" id="{DDCD68E7-B507-4740-A4A1-4D47B1B91690}"/>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79041</xdr:rowOff>
    </xdr:from>
    <xdr:to>
      <xdr:col>9</xdr:col>
      <xdr:colOff>742950</xdr:colOff>
      <xdr:row>46</xdr:row>
      <xdr:rowOff>79041</xdr:rowOff>
    </xdr:to>
    <xdr:sp macro="" textlink="">
      <xdr:nvSpPr>
        <xdr:cNvPr id="21" name="Line 2">
          <a:extLst>
            <a:ext uri="{FF2B5EF4-FFF2-40B4-BE49-F238E27FC236}">
              <a16:creationId xmlns:a16="http://schemas.microsoft.com/office/drawing/2014/main" id="{2109E351-EC0D-4E0C-A058-14E4DF0C222D}"/>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50</xdr:row>
      <xdr:rowOff>79041</xdr:rowOff>
    </xdr:from>
    <xdr:to>
      <xdr:col>9</xdr:col>
      <xdr:colOff>742950</xdr:colOff>
      <xdr:row>50</xdr:row>
      <xdr:rowOff>79041</xdr:rowOff>
    </xdr:to>
    <xdr:sp macro="" textlink="">
      <xdr:nvSpPr>
        <xdr:cNvPr id="22" name="Line 2">
          <a:extLst>
            <a:ext uri="{FF2B5EF4-FFF2-40B4-BE49-F238E27FC236}">
              <a16:creationId xmlns:a16="http://schemas.microsoft.com/office/drawing/2014/main" id="{DCD5CF14-7B14-4E8C-8566-943DA3561A8B}"/>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54</xdr:row>
      <xdr:rowOff>79041</xdr:rowOff>
    </xdr:from>
    <xdr:to>
      <xdr:col>9</xdr:col>
      <xdr:colOff>742950</xdr:colOff>
      <xdr:row>54</xdr:row>
      <xdr:rowOff>79041</xdr:rowOff>
    </xdr:to>
    <xdr:sp macro="" textlink="">
      <xdr:nvSpPr>
        <xdr:cNvPr id="23" name="Line 2">
          <a:extLst>
            <a:ext uri="{FF2B5EF4-FFF2-40B4-BE49-F238E27FC236}">
              <a16:creationId xmlns:a16="http://schemas.microsoft.com/office/drawing/2014/main" id="{A6BA595B-1E55-4C61-961C-E961AE611187}"/>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79041</xdr:rowOff>
    </xdr:from>
    <xdr:to>
      <xdr:col>9</xdr:col>
      <xdr:colOff>742950</xdr:colOff>
      <xdr:row>58</xdr:row>
      <xdr:rowOff>79041</xdr:rowOff>
    </xdr:to>
    <xdr:sp macro="" textlink="">
      <xdr:nvSpPr>
        <xdr:cNvPr id="32" name="Line 2">
          <a:extLst>
            <a:ext uri="{FF2B5EF4-FFF2-40B4-BE49-F238E27FC236}">
              <a16:creationId xmlns:a16="http://schemas.microsoft.com/office/drawing/2014/main" id="{909AEC5D-C8EC-4982-9E20-C999F62D99C1}"/>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79041</xdr:rowOff>
    </xdr:from>
    <xdr:to>
      <xdr:col>9</xdr:col>
      <xdr:colOff>742950</xdr:colOff>
      <xdr:row>62</xdr:row>
      <xdr:rowOff>79041</xdr:rowOff>
    </xdr:to>
    <xdr:sp macro="" textlink="">
      <xdr:nvSpPr>
        <xdr:cNvPr id="54" name="Line 2">
          <a:extLst>
            <a:ext uri="{FF2B5EF4-FFF2-40B4-BE49-F238E27FC236}">
              <a16:creationId xmlns:a16="http://schemas.microsoft.com/office/drawing/2014/main" id="{F272272A-514F-46AF-BE6A-7AB86ECBCFC5}"/>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66</xdr:row>
      <xdr:rowOff>79041</xdr:rowOff>
    </xdr:from>
    <xdr:to>
      <xdr:col>9</xdr:col>
      <xdr:colOff>742950</xdr:colOff>
      <xdr:row>66</xdr:row>
      <xdr:rowOff>79041</xdr:rowOff>
    </xdr:to>
    <xdr:sp macro="" textlink="">
      <xdr:nvSpPr>
        <xdr:cNvPr id="58" name="Line 2">
          <a:extLst>
            <a:ext uri="{FF2B5EF4-FFF2-40B4-BE49-F238E27FC236}">
              <a16:creationId xmlns:a16="http://schemas.microsoft.com/office/drawing/2014/main" id="{A25F1C61-A1FF-423F-8627-C56043303673}"/>
            </a:ext>
          </a:extLst>
        </xdr:cNvPr>
        <xdr:cNvSpPr>
          <a:spLocks noChangeShapeType="1"/>
        </xdr:cNvSpPr>
      </xdr:nvSpPr>
      <xdr:spPr bwMode="auto">
        <a:xfrm>
          <a:off x="5868737" y="122204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editAs="oneCell">
    <xdr:from>
      <xdr:col>0</xdr:col>
      <xdr:colOff>100260</xdr:colOff>
      <xdr:row>2</xdr:row>
      <xdr:rowOff>7521</xdr:rowOff>
    </xdr:from>
    <xdr:to>
      <xdr:col>0</xdr:col>
      <xdr:colOff>1466145</xdr:colOff>
      <xdr:row>25</xdr:row>
      <xdr:rowOff>38457</xdr:rowOff>
    </xdr:to>
    <xdr:grpSp>
      <xdr:nvGrpSpPr>
        <xdr:cNvPr id="3" name="Grupo 2">
          <a:extLst>
            <a:ext uri="{FF2B5EF4-FFF2-40B4-BE49-F238E27FC236}">
              <a16:creationId xmlns:a16="http://schemas.microsoft.com/office/drawing/2014/main" id="{48FE654C-3DD0-476B-AFC6-FB89B5B5FEF0}"/>
            </a:ext>
          </a:extLst>
        </xdr:cNvPr>
        <xdr:cNvGrpSpPr/>
      </xdr:nvGrpSpPr>
      <xdr:grpSpPr>
        <a:xfrm>
          <a:off x="100260" y="504478"/>
          <a:ext cx="1365885" cy="3343979"/>
          <a:chOff x="100260" y="515521"/>
          <a:chExt cx="1365885" cy="3463278"/>
        </a:xfrm>
      </xdr:grpSpPr>
      <xdr:sp macro="" textlink="">
        <xdr:nvSpPr>
          <xdr:cNvPr id="4" name="26 Rectángulo redondeado">
            <a:hlinkClick xmlns:r="http://schemas.openxmlformats.org/officeDocument/2006/relationships" r:id="rId17" tooltip="Grupo F"/>
            <a:extLst>
              <a:ext uri="{FF2B5EF4-FFF2-40B4-BE49-F238E27FC236}">
                <a16:creationId xmlns:a16="http://schemas.microsoft.com/office/drawing/2014/main" id="{1BCE662E-9767-BE07-8143-72659B21ECFA}"/>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7 Rectángulo redondeado">
            <a:hlinkClick xmlns:r="http://schemas.openxmlformats.org/officeDocument/2006/relationships" r:id="rId18" tooltip="Grupo G"/>
            <a:extLst>
              <a:ext uri="{FF2B5EF4-FFF2-40B4-BE49-F238E27FC236}">
                <a16:creationId xmlns:a16="http://schemas.microsoft.com/office/drawing/2014/main" id="{660D918A-8A1B-BD0F-7050-08311D4388D6}"/>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8 Rectángulo redondeado">
            <a:hlinkClick xmlns:r="http://schemas.openxmlformats.org/officeDocument/2006/relationships" r:id="rId19" tooltip="Grupo H"/>
            <a:extLst>
              <a:ext uri="{FF2B5EF4-FFF2-40B4-BE49-F238E27FC236}">
                <a16:creationId xmlns:a16="http://schemas.microsoft.com/office/drawing/2014/main" id="{0EB81A9E-54E7-67F9-261A-DBAF61052B3A}"/>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2 Rectángulo redondeado">
            <a:hlinkClick xmlns:r="http://schemas.openxmlformats.org/officeDocument/2006/relationships" r:id="rId20" tooltip="Grupo A"/>
            <a:extLst>
              <a:ext uri="{FF2B5EF4-FFF2-40B4-BE49-F238E27FC236}">
                <a16:creationId xmlns:a16="http://schemas.microsoft.com/office/drawing/2014/main" id="{6B79F7C2-4385-23A6-7CC7-FF998DF02881}"/>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3 Rectángulo redondeado">
            <a:hlinkClick xmlns:r="http://schemas.openxmlformats.org/officeDocument/2006/relationships" r:id="rId21" tooltip="Grupo B"/>
            <a:extLst>
              <a:ext uri="{FF2B5EF4-FFF2-40B4-BE49-F238E27FC236}">
                <a16:creationId xmlns:a16="http://schemas.microsoft.com/office/drawing/2014/main" id="{C988F764-3FC8-75A2-C672-3653900F3F7D}"/>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4 Rectángulo redondeado">
            <a:hlinkClick xmlns:r="http://schemas.openxmlformats.org/officeDocument/2006/relationships" r:id="rId22" tooltip="Grupo D"/>
            <a:extLst>
              <a:ext uri="{FF2B5EF4-FFF2-40B4-BE49-F238E27FC236}">
                <a16:creationId xmlns:a16="http://schemas.microsoft.com/office/drawing/2014/main" id="{B21F8FBC-D6ED-AAA0-42A3-3E63DAE70ACD}"/>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3" name="25 Rectángulo redondeado">
            <a:hlinkClick xmlns:r="http://schemas.openxmlformats.org/officeDocument/2006/relationships" r:id="rId23" tooltip="Grupo E"/>
            <a:extLst>
              <a:ext uri="{FF2B5EF4-FFF2-40B4-BE49-F238E27FC236}">
                <a16:creationId xmlns:a16="http://schemas.microsoft.com/office/drawing/2014/main" id="{153E4702-9D40-E596-5332-AA61E051783B}"/>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4" name="33 Rectángulo redondeado">
            <a:hlinkClick xmlns:r="http://schemas.openxmlformats.org/officeDocument/2006/relationships" r:id="rId24" tooltip="Grupo C"/>
            <a:extLst>
              <a:ext uri="{FF2B5EF4-FFF2-40B4-BE49-F238E27FC236}">
                <a16:creationId xmlns:a16="http://schemas.microsoft.com/office/drawing/2014/main" id="{0E637BA0-3EE5-B092-11C2-7D33895FBCF4}"/>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5" name="34 Rectángulo redondeado">
            <a:hlinkClick xmlns:r="http://schemas.openxmlformats.org/officeDocument/2006/relationships" r:id="rId25" tooltip="Inicio"/>
            <a:extLst>
              <a:ext uri="{FF2B5EF4-FFF2-40B4-BE49-F238E27FC236}">
                <a16:creationId xmlns:a16="http://schemas.microsoft.com/office/drawing/2014/main" id="{F34CEAC8-D040-83ED-3093-1F53A95708FD}"/>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36" name="28 Rectángulo redondeado">
            <a:hlinkClick xmlns:r="http://schemas.openxmlformats.org/officeDocument/2006/relationships" r:id="rId26" tooltip="Grupo I"/>
            <a:extLst>
              <a:ext uri="{FF2B5EF4-FFF2-40B4-BE49-F238E27FC236}">
                <a16:creationId xmlns:a16="http://schemas.microsoft.com/office/drawing/2014/main" id="{B502DC1B-6105-1B2E-C376-4107A6218900}"/>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7" name="28 Rectángulo redondeado">
            <a:hlinkClick xmlns:r="http://schemas.openxmlformats.org/officeDocument/2006/relationships" r:id="rId27" tooltip="Grupo J"/>
            <a:extLst>
              <a:ext uri="{FF2B5EF4-FFF2-40B4-BE49-F238E27FC236}">
                <a16:creationId xmlns:a16="http://schemas.microsoft.com/office/drawing/2014/main" id="{276C648C-AE22-F270-4ECC-2C583C045056}"/>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8" name="28 Rectángulo redondeado">
            <a:hlinkClick xmlns:r="http://schemas.openxmlformats.org/officeDocument/2006/relationships" r:id="rId28" tooltip="Grupo K"/>
            <a:extLst>
              <a:ext uri="{FF2B5EF4-FFF2-40B4-BE49-F238E27FC236}">
                <a16:creationId xmlns:a16="http://schemas.microsoft.com/office/drawing/2014/main" id="{A677F18E-38F1-184D-242F-B56397AE5C39}"/>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9" name="28 Rectángulo redondeado">
            <a:hlinkClick xmlns:r="http://schemas.openxmlformats.org/officeDocument/2006/relationships" r:id="rId29" tooltip="Grupo L"/>
            <a:extLst>
              <a:ext uri="{FF2B5EF4-FFF2-40B4-BE49-F238E27FC236}">
                <a16:creationId xmlns:a16="http://schemas.microsoft.com/office/drawing/2014/main" id="{09B22959-E0BE-16DE-1B37-1C29B3E17207}"/>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0" name="28 Rectángulo redondeado">
            <a:hlinkClick xmlns:r="http://schemas.openxmlformats.org/officeDocument/2006/relationships" r:id="rId30" tooltip="Octavos de Final"/>
            <a:extLst>
              <a:ext uri="{FF2B5EF4-FFF2-40B4-BE49-F238E27FC236}">
                <a16:creationId xmlns:a16="http://schemas.microsoft.com/office/drawing/2014/main" id="{9C314127-892C-22BE-6858-75E84D362A92}"/>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41" name="29 Rectángulo redondeado">
            <a:hlinkClick xmlns:r="http://schemas.openxmlformats.org/officeDocument/2006/relationships" r:id="rId31" tooltip="Cuartos de Final"/>
            <a:extLst>
              <a:ext uri="{FF2B5EF4-FFF2-40B4-BE49-F238E27FC236}">
                <a16:creationId xmlns:a16="http://schemas.microsoft.com/office/drawing/2014/main" id="{0D168F19-30BD-F7EF-DC30-4CDB8FF41947}"/>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42" name="30 Rectángulo redondeado">
            <a:hlinkClick xmlns:r="http://schemas.openxmlformats.org/officeDocument/2006/relationships" r:id="rId32" tooltip="Semi Final"/>
            <a:extLst>
              <a:ext uri="{FF2B5EF4-FFF2-40B4-BE49-F238E27FC236}">
                <a16:creationId xmlns:a16="http://schemas.microsoft.com/office/drawing/2014/main" id="{CAAAD9E4-BDBA-6487-ADB5-AD6683F9F02B}"/>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43" name="31 Rectángulo redondeado">
            <a:hlinkClick xmlns:r="http://schemas.openxmlformats.org/officeDocument/2006/relationships" r:id="rId33" tooltip="FINAL"/>
            <a:extLst>
              <a:ext uri="{FF2B5EF4-FFF2-40B4-BE49-F238E27FC236}">
                <a16:creationId xmlns:a16="http://schemas.microsoft.com/office/drawing/2014/main" id="{C0C1F10D-D3B2-952B-A3EE-6066CB436004}"/>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44" name="36 Rectángulo redondeado">
            <a:hlinkClick xmlns:r="http://schemas.openxmlformats.org/officeDocument/2006/relationships" r:id="rId34" tooltip="Resumen General"/>
            <a:extLst>
              <a:ext uri="{FF2B5EF4-FFF2-40B4-BE49-F238E27FC236}">
                <a16:creationId xmlns:a16="http://schemas.microsoft.com/office/drawing/2014/main" id="{928384A0-105E-61AF-ED6C-E6D96E9AAE48}"/>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45" name="28 Rectángulo redondeado">
            <a:hlinkClick xmlns:r="http://schemas.openxmlformats.org/officeDocument/2006/relationships" r:id="rId35" tooltip="16vos Final"/>
            <a:extLst>
              <a:ext uri="{FF2B5EF4-FFF2-40B4-BE49-F238E27FC236}">
                <a16:creationId xmlns:a16="http://schemas.microsoft.com/office/drawing/2014/main" id="{A107356E-B060-1F11-E6E5-5B76AFD73FB2}"/>
              </a:ext>
            </a:extLst>
          </xdr:cNvPr>
          <xdr:cNvSpPr/>
        </xdr:nvSpPr>
        <xdr:spPr bwMode="auto">
          <a:xfrm>
            <a:off x="100260" y="2570493"/>
            <a:ext cx="1362075"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1">
                <a:solidFill>
                  <a:sysClr val="windowText" lastClr="000000"/>
                </a:solidFill>
                <a:latin typeface="Arial" panose="020B0604020202020204" pitchFamily="34" charset="0"/>
                <a:cs typeface="Arial" panose="020B0604020202020204" pitchFamily="34" charset="0"/>
              </a:rPr>
              <a:t>Dieciseisavos de final</a:t>
            </a:r>
          </a:p>
        </xdr:txBody>
      </xdr:sp>
      <xdr:sp macro="" textlink="">
        <xdr:nvSpPr>
          <xdr:cNvPr id="46" name="28 Rectángulo redondeado">
            <a:hlinkClick xmlns:r="http://schemas.openxmlformats.org/officeDocument/2006/relationships" r:id="rId36" tooltip="Mejores 3ros"/>
            <a:extLst>
              <a:ext uri="{FF2B5EF4-FFF2-40B4-BE49-F238E27FC236}">
                <a16:creationId xmlns:a16="http://schemas.microsoft.com/office/drawing/2014/main" id="{53DEFBD7-CEDC-8064-EDA6-B1A41E6805B9}"/>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1</xdr:col>
      <xdr:colOff>1687</xdr:colOff>
      <xdr:row>1</xdr:row>
      <xdr:rowOff>193664</xdr:rowOff>
    </xdr:to>
    <xdr:pic>
      <xdr:nvPicPr>
        <xdr:cNvPr id="47" name="Imagen 46">
          <a:extLst>
            <a:ext uri="{FF2B5EF4-FFF2-40B4-BE49-F238E27FC236}">
              <a16:creationId xmlns:a16="http://schemas.microsoft.com/office/drawing/2014/main" id="{FAA3BBFA-313C-40AA-8B84-15F5D0CAA56F}"/>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1225050</xdr:colOff>
          <xdr:row>5</xdr:row>
          <xdr:rowOff>98256</xdr:rowOff>
        </xdr:from>
        <xdr:to>
          <xdr:col>12</xdr:col>
          <xdr:colOff>112276</xdr:colOff>
          <xdr:row>7</xdr:row>
          <xdr:rowOff>56151</xdr:rowOff>
        </xdr:to>
        <xdr:pic>
          <xdr:nvPicPr>
            <xdr:cNvPr id="35" name="Picture 6" descr="cup_fifaworld2">
              <a:extLst>
                <a:ext uri="{FF2B5EF4-FFF2-40B4-BE49-F238E27FC236}">
                  <a16:creationId xmlns:a16="http://schemas.microsoft.com/office/drawing/2014/main" id="{00000000-0008-0000-0900-000023000000}"/>
                </a:ext>
              </a:extLst>
            </xdr:cNvPr>
            <xdr:cNvPicPr>
              <a:picLocks noChangeAspect="1" noChangeArrowheads="1"/>
              <a:extLst>
                <a:ext uri="{84589F7E-364E-4C9E-8A38-B11213B215E9}">
                  <a14:cameraTool cellRange="OFuno" spid="_x0000_s264943"/>
                </a:ext>
              </a:extLst>
            </xdr:cNvPicPr>
          </xdr:nvPicPr>
          <xdr:blipFill>
            <a:blip xmlns:r="http://schemas.openxmlformats.org/officeDocument/2006/relationships" r:embed="rId1"/>
            <a:srcRect/>
            <a:stretch>
              <a:fillRect/>
            </a:stretch>
          </xdr:blipFill>
          <xdr:spPr bwMode="auto">
            <a:xfrm>
              <a:off x="7915945" y="1087519"/>
              <a:ext cx="384489"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oneCellAnchor>
        <xdr:from>
          <xdr:col>10</xdr:col>
          <xdr:colOff>1225050</xdr:colOff>
          <xdr:row>9</xdr:row>
          <xdr:rowOff>98256</xdr:rowOff>
        </xdr:from>
        <xdr:ext cx="384300" cy="252000"/>
        <xdr:pic>
          <xdr:nvPicPr>
            <xdr:cNvPr id="27" name="Picture 6" descr="cup_fifaworld2">
              <a:extLst>
                <a:ext uri="{FF2B5EF4-FFF2-40B4-BE49-F238E27FC236}">
                  <a16:creationId xmlns:a16="http://schemas.microsoft.com/office/drawing/2014/main" id="{00000000-0008-0000-0900-00001B000000}"/>
                </a:ext>
              </a:extLst>
            </xdr:cNvPr>
            <xdr:cNvPicPr>
              <a:picLocks noChangeAspect="1" noChangeArrowheads="1"/>
              <a:extLst>
                <a:ext uri="{84589F7E-364E-4C9E-8A38-B11213B215E9}">
                  <a14:cameraTool cellRange="OFdos" spid="_x0000_s264944"/>
                </a:ext>
              </a:extLst>
            </xdr:cNvPicPr>
          </xdr:nvPicPr>
          <xdr:blipFill>
            <a:blip xmlns:r="http://schemas.openxmlformats.org/officeDocument/2006/relationships" r:embed="rId2"/>
            <a:srcRect/>
            <a:stretch>
              <a:fillRect/>
            </a:stretch>
          </xdr:blipFill>
          <xdr:spPr bwMode="auto">
            <a:xfrm>
              <a:off x="7915945" y="1675730"/>
              <a:ext cx="3843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11</xdr:col>
          <xdr:colOff>1839</xdr:colOff>
          <xdr:row>13</xdr:row>
          <xdr:rowOff>98257</xdr:rowOff>
        </xdr:from>
        <xdr:ext cx="384300" cy="252000"/>
        <xdr:pic>
          <xdr:nvPicPr>
            <xdr:cNvPr id="28" name="Picture 6" descr="cup_fifaworld2">
              <a:extLst>
                <a:ext uri="{FF2B5EF4-FFF2-40B4-BE49-F238E27FC236}">
                  <a16:creationId xmlns:a16="http://schemas.microsoft.com/office/drawing/2014/main" id="{00000000-0008-0000-0900-00001C000000}"/>
                </a:ext>
              </a:extLst>
            </xdr:cNvPr>
            <xdr:cNvPicPr>
              <a:picLocks noChangeAspect="1" noChangeArrowheads="1"/>
              <a:extLst>
                <a:ext uri="{84589F7E-364E-4C9E-8A38-B11213B215E9}">
                  <a14:cameraTool cellRange="OFtres" spid="_x0000_s264945"/>
                </a:ext>
              </a:extLst>
            </xdr:cNvPicPr>
          </xdr:nvPicPr>
          <xdr:blipFill>
            <a:blip xmlns:r="http://schemas.openxmlformats.org/officeDocument/2006/relationships" r:embed="rId3"/>
            <a:srcRect/>
            <a:stretch>
              <a:fillRect/>
            </a:stretch>
          </xdr:blipFill>
          <xdr:spPr bwMode="auto">
            <a:xfrm>
              <a:off x="7929313" y="2263941"/>
              <a:ext cx="3843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1225050</xdr:colOff>
          <xdr:row>17</xdr:row>
          <xdr:rowOff>98257</xdr:rowOff>
        </xdr:from>
        <xdr:ext cx="384300" cy="252000"/>
        <xdr:pic>
          <xdr:nvPicPr>
            <xdr:cNvPr id="29" name="Picture 6" descr="cup_fifaworld2">
              <a:extLst>
                <a:ext uri="{FF2B5EF4-FFF2-40B4-BE49-F238E27FC236}">
                  <a16:creationId xmlns:a16="http://schemas.microsoft.com/office/drawing/2014/main" id="{00000000-0008-0000-0900-00001D000000}"/>
                </a:ext>
              </a:extLst>
            </xdr:cNvPr>
            <xdr:cNvPicPr>
              <a:picLocks noChangeAspect="1" noChangeArrowheads="1"/>
              <a:extLst>
                <a:ext uri="{84589F7E-364E-4C9E-8A38-B11213B215E9}">
                  <a14:cameraTool cellRange="OFcuatro" spid="_x0000_s264946"/>
                </a:ext>
              </a:extLst>
            </xdr:cNvPicPr>
          </xdr:nvPicPr>
          <xdr:blipFill>
            <a:blip xmlns:r="http://schemas.openxmlformats.org/officeDocument/2006/relationships" r:embed="rId4"/>
            <a:srcRect/>
            <a:stretch>
              <a:fillRect/>
            </a:stretch>
          </xdr:blipFill>
          <xdr:spPr bwMode="auto">
            <a:xfrm>
              <a:off x="7915945" y="2852152"/>
              <a:ext cx="3843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1225050</xdr:colOff>
          <xdr:row>21</xdr:row>
          <xdr:rowOff>98258</xdr:rowOff>
        </xdr:from>
        <xdr:ext cx="384300" cy="252000"/>
        <xdr:pic>
          <xdr:nvPicPr>
            <xdr:cNvPr id="30" name="Picture 6" descr="cup_fifaworld2">
              <a:extLst>
                <a:ext uri="{FF2B5EF4-FFF2-40B4-BE49-F238E27FC236}">
                  <a16:creationId xmlns:a16="http://schemas.microsoft.com/office/drawing/2014/main" id="{00000000-0008-0000-0900-00001E000000}"/>
                </a:ext>
              </a:extLst>
            </xdr:cNvPr>
            <xdr:cNvPicPr>
              <a:picLocks noChangeAspect="1" noChangeArrowheads="1"/>
              <a:extLst>
                <a:ext uri="{84589F7E-364E-4C9E-8A38-B11213B215E9}">
                  <a14:cameraTool cellRange="OFcinco" spid="_x0000_s264947"/>
                </a:ext>
              </a:extLst>
            </xdr:cNvPicPr>
          </xdr:nvPicPr>
          <xdr:blipFill>
            <a:blip xmlns:r="http://schemas.openxmlformats.org/officeDocument/2006/relationships" r:embed="rId5"/>
            <a:srcRect/>
            <a:stretch>
              <a:fillRect/>
            </a:stretch>
          </xdr:blipFill>
          <xdr:spPr bwMode="auto">
            <a:xfrm>
              <a:off x="7915945" y="3440363"/>
              <a:ext cx="3843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1225050</xdr:colOff>
          <xdr:row>25</xdr:row>
          <xdr:rowOff>98258</xdr:rowOff>
        </xdr:from>
        <xdr:ext cx="384300" cy="252000"/>
        <xdr:pic>
          <xdr:nvPicPr>
            <xdr:cNvPr id="31" name="Picture 6" descr="cup_fifaworld2">
              <a:extLst>
                <a:ext uri="{FF2B5EF4-FFF2-40B4-BE49-F238E27FC236}">
                  <a16:creationId xmlns:a16="http://schemas.microsoft.com/office/drawing/2014/main" id="{00000000-0008-0000-0900-00001F000000}"/>
                </a:ext>
              </a:extLst>
            </xdr:cNvPr>
            <xdr:cNvPicPr>
              <a:picLocks noChangeAspect="1" noChangeArrowheads="1"/>
              <a:extLst>
                <a:ext uri="{84589F7E-364E-4C9E-8A38-B11213B215E9}">
                  <a14:cameraTool cellRange="OFseis" spid="_x0000_s264948"/>
                </a:ext>
              </a:extLst>
            </xdr:cNvPicPr>
          </xdr:nvPicPr>
          <xdr:blipFill>
            <a:blip xmlns:r="http://schemas.openxmlformats.org/officeDocument/2006/relationships" r:embed="rId6"/>
            <a:srcRect/>
            <a:stretch>
              <a:fillRect/>
            </a:stretch>
          </xdr:blipFill>
          <xdr:spPr bwMode="auto">
            <a:xfrm>
              <a:off x="7915945" y="4028574"/>
              <a:ext cx="3843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1225050</xdr:colOff>
          <xdr:row>29</xdr:row>
          <xdr:rowOff>98259</xdr:rowOff>
        </xdr:from>
        <xdr:ext cx="384300" cy="252000"/>
        <xdr:pic>
          <xdr:nvPicPr>
            <xdr:cNvPr id="32" name="Picture 6" descr="cup_fifaworld2">
              <a:extLst>
                <a:ext uri="{FF2B5EF4-FFF2-40B4-BE49-F238E27FC236}">
                  <a16:creationId xmlns:a16="http://schemas.microsoft.com/office/drawing/2014/main" id="{00000000-0008-0000-0900-000020000000}"/>
                </a:ext>
              </a:extLst>
            </xdr:cNvPr>
            <xdr:cNvPicPr>
              <a:picLocks noChangeAspect="1" noChangeArrowheads="1"/>
              <a:extLst>
                <a:ext uri="{84589F7E-364E-4C9E-8A38-B11213B215E9}">
                  <a14:cameraTool cellRange="OFsiete" spid="_x0000_s264949"/>
                </a:ext>
              </a:extLst>
            </xdr:cNvPicPr>
          </xdr:nvPicPr>
          <xdr:blipFill>
            <a:blip xmlns:r="http://schemas.openxmlformats.org/officeDocument/2006/relationships" r:embed="rId7"/>
            <a:srcRect/>
            <a:stretch>
              <a:fillRect/>
            </a:stretch>
          </xdr:blipFill>
          <xdr:spPr bwMode="auto">
            <a:xfrm>
              <a:off x="7915945" y="4616785"/>
              <a:ext cx="3843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1225050</xdr:colOff>
          <xdr:row>33</xdr:row>
          <xdr:rowOff>98256</xdr:rowOff>
        </xdr:from>
        <xdr:ext cx="384300" cy="252000"/>
        <xdr:pic>
          <xdr:nvPicPr>
            <xdr:cNvPr id="33" name="Picture 6" descr="cup_fifaworld2">
              <a:extLst>
                <a:ext uri="{FF2B5EF4-FFF2-40B4-BE49-F238E27FC236}">
                  <a16:creationId xmlns:a16="http://schemas.microsoft.com/office/drawing/2014/main" id="{00000000-0008-0000-0900-000021000000}"/>
                </a:ext>
              </a:extLst>
            </xdr:cNvPr>
            <xdr:cNvPicPr>
              <a:picLocks noChangeAspect="1" noChangeArrowheads="1"/>
              <a:extLst>
                <a:ext uri="{84589F7E-364E-4C9E-8A38-B11213B215E9}">
                  <a14:cameraTool cellRange="OFocho" spid="_x0000_s264950"/>
                </a:ext>
              </a:extLst>
            </xdr:cNvPicPr>
          </xdr:nvPicPr>
          <xdr:blipFill>
            <a:blip xmlns:r="http://schemas.openxmlformats.org/officeDocument/2006/relationships" r:embed="rId8"/>
            <a:srcRect/>
            <a:stretch>
              <a:fillRect/>
            </a:stretch>
          </xdr:blipFill>
          <xdr:spPr bwMode="auto">
            <a:xfrm>
              <a:off x="7915945" y="5204993"/>
              <a:ext cx="384300" cy="252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xdr:twoCellAnchor>
    <xdr:from>
      <xdr:col>9</xdr:col>
      <xdr:colOff>0</xdr:colOff>
      <xdr:row>6</xdr:row>
      <xdr:rowOff>79041</xdr:rowOff>
    </xdr:from>
    <xdr:to>
      <xdr:col>9</xdr:col>
      <xdr:colOff>742950</xdr:colOff>
      <xdr:row>6</xdr:row>
      <xdr:rowOff>79041</xdr:rowOff>
    </xdr:to>
    <xdr:sp macro="" textlink="">
      <xdr:nvSpPr>
        <xdr:cNvPr id="2" name="Line 2">
          <a:extLst>
            <a:ext uri="{FF2B5EF4-FFF2-40B4-BE49-F238E27FC236}">
              <a16:creationId xmlns:a16="http://schemas.microsoft.com/office/drawing/2014/main" id="{630CEBA9-A3E4-49CF-A08F-A03D273C3D47}"/>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10</xdr:row>
      <xdr:rowOff>79041</xdr:rowOff>
    </xdr:from>
    <xdr:to>
      <xdr:col>9</xdr:col>
      <xdr:colOff>742950</xdr:colOff>
      <xdr:row>10</xdr:row>
      <xdr:rowOff>79041</xdr:rowOff>
    </xdr:to>
    <xdr:sp macro="" textlink="">
      <xdr:nvSpPr>
        <xdr:cNvPr id="3" name="Line 2">
          <a:extLst>
            <a:ext uri="{FF2B5EF4-FFF2-40B4-BE49-F238E27FC236}">
              <a16:creationId xmlns:a16="http://schemas.microsoft.com/office/drawing/2014/main" id="{CC48193C-F14B-4A61-85AD-682633A14758}"/>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14</xdr:row>
      <xdr:rowOff>79041</xdr:rowOff>
    </xdr:from>
    <xdr:to>
      <xdr:col>9</xdr:col>
      <xdr:colOff>742950</xdr:colOff>
      <xdr:row>14</xdr:row>
      <xdr:rowOff>79041</xdr:rowOff>
    </xdr:to>
    <xdr:sp macro="" textlink="">
      <xdr:nvSpPr>
        <xdr:cNvPr id="4" name="Line 2">
          <a:extLst>
            <a:ext uri="{FF2B5EF4-FFF2-40B4-BE49-F238E27FC236}">
              <a16:creationId xmlns:a16="http://schemas.microsoft.com/office/drawing/2014/main" id="{83F59D7F-BBD1-40C0-AB28-B99DE0B81499}"/>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18</xdr:row>
      <xdr:rowOff>79041</xdr:rowOff>
    </xdr:from>
    <xdr:to>
      <xdr:col>9</xdr:col>
      <xdr:colOff>742950</xdr:colOff>
      <xdr:row>18</xdr:row>
      <xdr:rowOff>79041</xdr:rowOff>
    </xdr:to>
    <xdr:sp macro="" textlink="">
      <xdr:nvSpPr>
        <xdr:cNvPr id="5" name="Line 2">
          <a:extLst>
            <a:ext uri="{FF2B5EF4-FFF2-40B4-BE49-F238E27FC236}">
              <a16:creationId xmlns:a16="http://schemas.microsoft.com/office/drawing/2014/main" id="{830D49C5-E491-4B16-9988-ABEC64592E4A}"/>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22</xdr:row>
      <xdr:rowOff>79041</xdr:rowOff>
    </xdr:from>
    <xdr:to>
      <xdr:col>9</xdr:col>
      <xdr:colOff>742950</xdr:colOff>
      <xdr:row>22</xdr:row>
      <xdr:rowOff>79041</xdr:rowOff>
    </xdr:to>
    <xdr:sp macro="" textlink="">
      <xdr:nvSpPr>
        <xdr:cNvPr id="6" name="Line 2">
          <a:extLst>
            <a:ext uri="{FF2B5EF4-FFF2-40B4-BE49-F238E27FC236}">
              <a16:creationId xmlns:a16="http://schemas.microsoft.com/office/drawing/2014/main" id="{2FA059C4-9446-4027-AD37-41EBB2606247}"/>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26</xdr:row>
      <xdr:rowOff>79041</xdr:rowOff>
    </xdr:from>
    <xdr:to>
      <xdr:col>9</xdr:col>
      <xdr:colOff>742950</xdr:colOff>
      <xdr:row>26</xdr:row>
      <xdr:rowOff>79041</xdr:rowOff>
    </xdr:to>
    <xdr:sp macro="" textlink="">
      <xdr:nvSpPr>
        <xdr:cNvPr id="7" name="Line 2">
          <a:extLst>
            <a:ext uri="{FF2B5EF4-FFF2-40B4-BE49-F238E27FC236}">
              <a16:creationId xmlns:a16="http://schemas.microsoft.com/office/drawing/2014/main" id="{0FEA155D-46A7-46EB-8D88-04FACC807BAB}"/>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79041</xdr:rowOff>
    </xdr:from>
    <xdr:to>
      <xdr:col>9</xdr:col>
      <xdr:colOff>742950</xdr:colOff>
      <xdr:row>30</xdr:row>
      <xdr:rowOff>79041</xdr:rowOff>
    </xdr:to>
    <xdr:sp macro="" textlink="">
      <xdr:nvSpPr>
        <xdr:cNvPr id="8" name="Line 2">
          <a:extLst>
            <a:ext uri="{FF2B5EF4-FFF2-40B4-BE49-F238E27FC236}">
              <a16:creationId xmlns:a16="http://schemas.microsoft.com/office/drawing/2014/main" id="{5F50FF83-F87E-4335-B654-41029B838982}"/>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79041</xdr:rowOff>
    </xdr:from>
    <xdr:to>
      <xdr:col>9</xdr:col>
      <xdr:colOff>742950</xdr:colOff>
      <xdr:row>34</xdr:row>
      <xdr:rowOff>79041</xdr:rowOff>
    </xdr:to>
    <xdr:sp macro="" textlink="">
      <xdr:nvSpPr>
        <xdr:cNvPr id="9" name="Line 2">
          <a:extLst>
            <a:ext uri="{FF2B5EF4-FFF2-40B4-BE49-F238E27FC236}">
              <a16:creationId xmlns:a16="http://schemas.microsoft.com/office/drawing/2014/main" id="{683DFE0B-E3DB-4C5B-8053-C434118CBB45}"/>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editAs="oneCell">
    <xdr:from>
      <xdr:col>0</xdr:col>
      <xdr:colOff>100260</xdr:colOff>
      <xdr:row>2</xdr:row>
      <xdr:rowOff>7521</xdr:rowOff>
    </xdr:from>
    <xdr:to>
      <xdr:col>0</xdr:col>
      <xdr:colOff>1466145</xdr:colOff>
      <xdr:row>25</xdr:row>
      <xdr:rowOff>38457</xdr:rowOff>
    </xdr:to>
    <xdr:grpSp>
      <xdr:nvGrpSpPr>
        <xdr:cNvPr id="10" name="Grupo 9">
          <a:extLst>
            <a:ext uri="{FF2B5EF4-FFF2-40B4-BE49-F238E27FC236}">
              <a16:creationId xmlns:a16="http://schemas.microsoft.com/office/drawing/2014/main" id="{58A52A58-8D06-4630-911D-B59B755B3DD6}"/>
            </a:ext>
          </a:extLst>
        </xdr:cNvPr>
        <xdr:cNvGrpSpPr/>
      </xdr:nvGrpSpPr>
      <xdr:grpSpPr>
        <a:xfrm>
          <a:off x="100260" y="505752"/>
          <a:ext cx="1365885" cy="3372013"/>
          <a:chOff x="100260" y="515521"/>
          <a:chExt cx="1365885" cy="3463278"/>
        </a:xfrm>
      </xdr:grpSpPr>
      <xdr:sp macro="" textlink="">
        <xdr:nvSpPr>
          <xdr:cNvPr id="11" name="26 Rectángulo redondeado">
            <a:hlinkClick xmlns:r="http://schemas.openxmlformats.org/officeDocument/2006/relationships" r:id="rId9" tooltip="Grupo F"/>
            <a:extLst>
              <a:ext uri="{FF2B5EF4-FFF2-40B4-BE49-F238E27FC236}">
                <a16:creationId xmlns:a16="http://schemas.microsoft.com/office/drawing/2014/main" id="{41D7DA81-602A-0415-089E-259BD983FB33}"/>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27 Rectángulo redondeado">
            <a:hlinkClick xmlns:r="http://schemas.openxmlformats.org/officeDocument/2006/relationships" r:id="rId10" tooltip="Grupo G"/>
            <a:extLst>
              <a:ext uri="{FF2B5EF4-FFF2-40B4-BE49-F238E27FC236}">
                <a16:creationId xmlns:a16="http://schemas.microsoft.com/office/drawing/2014/main" id="{9265EFB3-DE51-8DEA-0966-2916983F09EE}"/>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28 Rectángulo redondeado">
            <a:hlinkClick xmlns:r="http://schemas.openxmlformats.org/officeDocument/2006/relationships" r:id="rId11" tooltip="Grupo H"/>
            <a:extLst>
              <a:ext uri="{FF2B5EF4-FFF2-40B4-BE49-F238E27FC236}">
                <a16:creationId xmlns:a16="http://schemas.microsoft.com/office/drawing/2014/main" id="{3B4C59AB-7C0B-23D0-3DAF-0F5AA1157B56}"/>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22 Rectángulo redondeado">
            <a:hlinkClick xmlns:r="http://schemas.openxmlformats.org/officeDocument/2006/relationships" r:id="rId12" tooltip="Grupo A"/>
            <a:extLst>
              <a:ext uri="{FF2B5EF4-FFF2-40B4-BE49-F238E27FC236}">
                <a16:creationId xmlns:a16="http://schemas.microsoft.com/office/drawing/2014/main" id="{C1B3D144-754C-90C6-8728-2B590A8CF394}"/>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23 Rectángulo redondeado">
            <a:hlinkClick xmlns:r="http://schemas.openxmlformats.org/officeDocument/2006/relationships" r:id="rId13" tooltip="Grupo B"/>
            <a:extLst>
              <a:ext uri="{FF2B5EF4-FFF2-40B4-BE49-F238E27FC236}">
                <a16:creationId xmlns:a16="http://schemas.microsoft.com/office/drawing/2014/main" id="{1F3C0A8A-BAD3-FF3F-A695-13393D935C8A}"/>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4 Rectángulo redondeado">
            <a:hlinkClick xmlns:r="http://schemas.openxmlformats.org/officeDocument/2006/relationships" r:id="rId14" tooltip="Grupo D"/>
            <a:extLst>
              <a:ext uri="{FF2B5EF4-FFF2-40B4-BE49-F238E27FC236}">
                <a16:creationId xmlns:a16="http://schemas.microsoft.com/office/drawing/2014/main" id="{286C871F-68ED-7C71-186C-60ECEED78835}"/>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5 Rectángulo redondeado">
            <a:hlinkClick xmlns:r="http://schemas.openxmlformats.org/officeDocument/2006/relationships" r:id="rId15" tooltip="Grupo E"/>
            <a:extLst>
              <a:ext uri="{FF2B5EF4-FFF2-40B4-BE49-F238E27FC236}">
                <a16:creationId xmlns:a16="http://schemas.microsoft.com/office/drawing/2014/main" id="{1E0A42FF-3323-8D15-7AE7-182EC16F8C33}"/>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33 Rectángulo redondeado">
            <a:hlinkClick xmlns:r="http://schemas.openxmlformats.org/officeDocument/2006/relationships" r:id="rId16" tooltip="Grupo C"/>
            <a:extLst>
              <a:ext uri="{FF2B5EF4-FFF2-40B4-BE49-F238E27FC236}">
                <a16:creationId xmlns:a16="http://schemas.microsoft.com/office/drawing/2014/main" id="{F29614C6-472B-5634-EFB3-B61CFDDB79FF}"/>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34 Rectángulo redondeado">
            <a:hlinkClick xmlns:r="http://schemas.openxmlformats.org/officeDocument/2006/relationships" r:id="rId17" tooltip="Inicio"/>
            <a:extLst>
              <a:ext uri="{FF2B5EF4-FFF2-40B4-BE49-F238E27FC236}">
                <a16:creationId xmlns:a16="http://schemas.microsoft.com/office/drawing/2014/main" id="{E91350E7-E054-46EA-E231-E09DAF19379F}"/>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20" name="28 Rectángulo redondeado">
            <a:hlinkClick xmlns:r="http://schemas.openxmlformats.org/officeDocument/2006/relationships" r:id="rId18" tooltip="Grupo I"/>
            <a:extLst>
              <a:ext uri="{FF2B5EF4-FFF2-40B4-BE49-F238E27FC236}">
                <a16:creationId xmlns:a16="http://schemas.microsoft.com/office/drawing/2014/main" id="{AD117F24-2D83-5B05-5C8B-B4D965552679}"/>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1" name="28 Rectángulo redondeado">
            <a:hlinkClick xmlns:r="http://schemas.openxmlformats.org/officeDocument/2006/relationships" r:id="rId19" tooltip="Grupo J"/>
            <a:extLst>
              <a:ext uri="{FF2B5EF4-FFF2-40B4-BE49-F238E27FC236}">
                <a16:creationId xmlns:a16="http://schemas.microsoft.com/office/drawing/2014/main" id="{9B756571-FC35-5B86-7562-0E499CDD6041}"/>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2" name="28 Rectángulo redondeado">
            <a:hlinkClick xmlns:r="http://schemas.openxmlformats.org/officeDocument/2006/relationships" r:id="rId20" tooltip="Grupo K"/>
            <a:extLst>
              <a:ext uri="{FF2B5EF4-FFF2-40B4-BE49-F238E27FC236}">
                <a16:creationId xmlns:a16="http://schemas.microsoft.com/office/drawing/2014/main" id="{FCFF3508-A3E8-7E70-1E5B-82405506D896}"/>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3" name="28 Rectángulo redondeado">
            <a:hlinkClick xmlns:r="http://schemas.openxmlformats.org/officeDocument/2006/relationships" r:id="rId21" tooltip="Grupo L"/>
            <a:extLst>
              <a:ext uri="{FF2B5EF4-FFF2-40B4-BE49-F238E27FC236}">
                <a16:creationId xmlns:a16="http://schemas.microsoft.com/office/drawing/2014/main" id="{CB19936A-35C3-DA05-2D0D-B3495B8285DC}"/>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4" name="28 Rectángulo redondeado">
            <a:hlinkClick xmlns:r="http://schemas.openxmlformats.org/officeDocument/2006/relationships" r:id="rId22" tooltip="Octavos de Final"/>
            <a:extLst>
              <a:ext uri="{FF2B5EF4-FFF2-40B4-BE49-F238E27FC236}">
                <a16:creationId xmlns:a16="http://schemas.microsoft.com/office/drawing/2014/main" id="{4376427F-EA54-ED6A-BA9F-DFE53E0DB5D0}"/>
              </a:ext>
            </a:extLst>
          </xdr:cNvPr>
          <xdr:cNvSpPr/>
        </xdr:nvSpPr>
        <xdr:spPr bwMode="auto">
          <a:xfrm>
            <a:off x="100260" y="2814884"/>
            <a:ext cx="1362075"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1">
                <a:solidFill>
                  <a:sysClr val="windowText" lastClr="000000"/>
                </a:solidFill>
                <a:latin typeface="Arial" panose="020B0604020202020204" pitchFamily="34" charset="0"/>
                <a:cs typeface="Arial" panose="020B0604020202020204" pitchFamily="34" charset="0"/>
              </a:rPr>
              <a:t>Octavos de Final</a:t>
            </a:r>
          </a:p>
        </xdr:txBody>
      </xdr:sp>
      <xdr:sp macro="" textlink="">
        <xdr:nvSpPr>
          <xdr:cNvPr id="25" name="29 Rectángulo redondeado">
            <a:hlinkClick xmlns:r="http://schemas.openxmlformats.org/officeDocument/2006/relationships" r:id="rId23" tooltip="Cuartos de Final"/>
            <a:extLst>
              <a:ext uri="{FF2B5EF4-FFF2-40B4-BE49-F238E27FC236}">
                <a16:creationId xmlns:a16="http://schemas.microsoft.com/office/drawing/2014/main" id="{1073E880-A229-9CFF-7025-CB26FB3D2D12}"/>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6" name="30 Rectángulo redondeado">
            <a:hlinkClick xmlns:r="http://schemas.openxmlformats.org/officeDocument/2006/relationships" r:id="rId24" tooltip="Semi Final"/>
            <a:extLst>
              <a:ext uri="{FF2B5EF4-FFF2-40B4-BE49-F238E27FC236}">
                <a16:creationId xmlns:a16="http://schemas.microsoft.com/office/drawing/2014/main" id="{0F1D5CD3-0339-5BB3-0A00-1A577EFCE238}"/>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34" name="31 Rectángulo redondeado">
            <a:hlinkClick xmlns:r="http://schemas.openxmlformats.org/officeDocument/2006/relationships" r:id="rId25" tooltip="FINAL"/>
            <a:extLst>
              <a:ext uri="{FF2B5EF4-FFF2-40B4-BE49-F238E27FC236}">
                <a16:creationId xmlns:a16="http://schemas.microsoft.com/office/drawing/2014/main" id="{294420AD-B8C7-5F47-3081-01DF511DD28A}"/>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36" name="36 Rectángulo redondeado">
            <a:hlinkClick xmlns:r="http://schemas.openxmlformats.org/officeDocument/2006/relationships" r:id="rId26" tooltip="Resumen General"/>
            <a:extLst>
              <a:ext uri="{FF2B5EF4-FFF2-40B4-BE49-F238E27FC236}">
                <a16:creationId xmlns:a16="http://schemas.microsoft.com/office/drawing/2014/main" id="{7CBDA505-40A3-9241-301F-A5C7902632C0}"/>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37" name="28 Rectángulo redondeado">
            <a:hlinkClick xmlns:r="http://schemas.openxmlformats.org/officeDocument/2006/relationships" r:id="rId27" tooltip="16vos Final"/>
            <a:extLst>
              <a:ext uri="{FF2B5EF4-FFF2-40B4-BE49-F238E27FC236}">
                <a16:creationId xmlns:a16="http://schemas.microsoft.com/office/drawing/2014/main" id="{97328B52-FDFD-1927-5A6A-3A058FEDE80D}"/>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38" name="28 Rectángulo redondeado">
            <a:hlinkClick xmlns:r="http://schemas.openxmlformats.org/officeDocument/2006/relationships" r:id="rId28" tooltip="Mejores 3ros"/>
            <a:extLst>
              <a:ext uri="{FF2B5EF4-FFF2-40B4-BE49-F238E27FC236}">
                <a16:creationId xmlns:a16="http://schemas.microsoft.com/office/drawing/2014/main" id="{6B9B8867-FD55-040F-2BB6-A24E1FDDE1DF}"/>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39" name="Imagen 38">
          <a:extLst>
            <a:ext uri="{FF2B5EF4-FFF2-40B4-BE49-F238E27FC236}">
              <a16:creationId xmlns:a16="http://schemas.microsoft.com/office/drawing/2014/main" id="{681B06F0-FF9A-4A23-B727-A9342A5E62B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1217364</xdr:colOff>
          <xdr:row>5</xdr:row>
          <xdr:rowOff>87729</xdr:rowOff>
        </xdr:from>
        <xdr:to>
          <xdr:col>12</xdr:col>
          <xdr:colOff>172727</xdr:colOff>
          <xdr:row>7</xdr:row>
          <xdr:rowOff>81624</xdr:rowOff>
        </xdr:to>
        <xdr:pic>
          <xdr:nvPicPr>
            <xdr:cNvPr id="21" name="Picture 6" descr="cup_fifaworld2">
              <a:extLst>
                <a:ext uri="{FF2B5EF4-FFF2-40B4-BE49-F238E27FC236}">
                  <a16:creationId xmlns:a16="http://schemas.microsoft.com/office/drawing/2014/main" id="{00000000-0008-0000-0A00-000015000000}"/>
                </a:ext>
              </a:extLst>
            </xdr:cNvPr>
            <xdr:cNvPicPr>
              <a:picLocks noChangeAspect="1" noChangeArrowheads="1"/>
              <a:extLst>
                <a:ext uri="{84589F7E-364E-4C9E-8A38-B11213B215E9}">
                  <a14:cameraTool cellRange="CFuno" spid="_x0000_s265578"/>
                </a:ext>
              </a:extLst>
            </xdr:cNvPicPr>
          </xdr:nvPicPr>
          <xdr:blipFill>
            <a:blip xmlns:r="http://schemas.openxmlformats.org/officeDocument/2006/relationships" r:embed="rId1"/>
            <a:srcRect/>
            <a:stretch>
              <a:fillRect/>
            </a:stretch>
          </xdr:blipFill>
          <xdr:spPr bwMode="auto">
            <a:xfrm>
              <a:off x="7908259" y="1076992"/>
              <a:ext cx="452626" cy="288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oneCellAnchor>
        <xdr:from>
          <xdr:col>10</xdr:col>
          <xdr:colOff>1230732</xdr:colOff>
          <xdr:row>9</xdr:row>
          <xdr:rowOff>87729</xdr:rowOff>
        </xdr:from>
        <xdr:ext cx="439200" cy="288000"/>
        <xdr:pic>
          <xdr:nvPicPr>
            <xdr:cNvPr id="23" name="Picture 6" descr="cup_fifaworld2">
              <a:extLst>
                <a:ext uri="{FF2B5EF4-FFF2-40B4-BE49-F238E27FC236}">
                  <a16:creationId xmlns:a16="http://schemas.microsoft.com/office/drawing/2014/main" id="{00000000-0008-0000-0A00-000017000000}"/>
                </a:ext>
              </a:extLst>
            </xdr:cNvPr>
            <xdr:cNvPicPr>
              <a:picLocks noChangeAspect="1" noChangeArrowheads="1"/>
              <a:extLst>
                <a:ext uri="{84589F7E-364E-4C9E-8A38-B11213B215E9}">
                  <a14:cameraTool cellRange="CFdos" spid="_x0000_s265579"/>
                </a:ext>
              </a:extLst>
            </xdr:cNvPicPr>
          </xdr:nvPicPr>
          <xdr:blipFill>
            <a:blip xmlns:r="http://schemas.openxmlformats.org/officeDocument/2006/relationships" r:embed="rId2"/>
            <a:srcRect/>
            <a:stretch>
              <a:fillRect/>
            </a:stretch>
          </xdr:blipFill>
          <xdr:spPr bwMode="auto">
            <a:xfrm>
              <a:off x="7921627" y="1665203"/>
              <a:ext cx="439200" cy="288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1230732</xdr:colOff>
          <xdr:row>13</xdr:row>
          <xdr:rowOff>87729</xdr:rowOff>
        </xdr:from>
        <xdr:ext cx="439200" cy="288000"/>
        <xdr:pic>
          <xdr:nvPicPr>
            <xdr:cNvPr id="24" name="Picture 6" descr="cup_fifaworld2">
              <a:extLst>
                <a:ext uri="{FF2B5EF4-FFF2-40B4-BE49-F238E27FC236}">
                  <a16:creationId xmlns:a16="http://schemas.microsoft.com/office/drawing/2014/main" id="{00000000-0008-0000-0A00-000018000000}"/>
                </a:ext>
              </a:extLst>
            </xdr:cNvPr>
            <xdr:cNvPicPr>
              <a:picLocks noChangeAspect="1" noChangeArrowheads="1"/>
              <a:extLst>
                <a:ext uri="{84589F7E-364E-4C9E-8A38-B11213B215E9}">
                  <a14:cameraTool cellRange="CFtres" spid="_x0000_s265580"/>
                </a:ext>
              </a:extLst>
            </xdr:cNvPicPr>
          </xdr:nvPicPr>
          <xdr:blipFill>
            <a:blip xmlns:r="http://schemas.openxmlformats.org/officeDocument/2006/relationships" r:embed="rId3"/>
            <a:srcRect/>
            <a:stretch>
              <a:fillRect/>
            </a:stretch>
          </xdr:blipFill>
          <xdr:spPr bwMode="auto">
            <a:xfrm>
              <a:off x="7921627" y="2253413"/>
              <a:ext cx="439200" cy="288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10</xdr:col>
          <xdr:colOff>1230732</xdr:colOff>
          <xdr:row>17</xdr:row>
          <xdr:rowOff>87729</xdr:rowOff>
        </xdr:from>
        <xdr:ext cx="439200" cy="288000"/>
        <xdr:pic>
          <xdr:nvPicPr>
            <xdr:cNvPr id="25" name="Picture 6" descr="cup_fifaworld2">
              <a:extLst>
                <a:ext uri="{FF2B5EF4-FFF2-40B4-BE49-F238E27FC236}">
                  <a16:creationId xmlns:a16="http://schemas.microsoft.com/office/drawing/2014/main" id="{00000000-0008-0000-0A00-000019000000}"/>
                </a:ext>
              </a:extLst>
            </xdr:cNvPr>
            <xdr:cNvPicPr>
              <a:picLocks noChangeAspect="1" noChangeArrowheads="1"/>
              <a:extLst>
                <a:ext uri="{84589F7E-364E-4C9E-8A38-B11213B215E9}">
                  <a14:cameraTool cellRange="CFcuatro" spid="_x0000_s265581"/>
                </a:ext>
              </a:extLst>
            </xdr:cNvPicPr>
          </xdr:nvPicPr>
          <xdr:blipFill>
            <a:blip xmlns:r="http://schemas.openxmlformats.org/officeDocument/2006/relationships" r:embed="rId4"/>
            <a:srcRect/>
            <a:stretch>
              <a:fillRect/>
            </a:stretch>
          </xdr:blipFill>
          <xdr:spPr bwMode="auto">
            <a:xfrm>
              <a:off x="7921627" y="2841624"/>
              <a:ext cx="439200" cy="288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xdr:twoCellAnchor>
    <xdr:from>
      <xdr:col>9</xdr:col>
      <xdr:colOff>0</xdr:colOff>
      <xdr:row>6</xdr:row>
      <xdr:rowOff>79041</xdr:rowOff>
    </xdr:from>
    <xdr:to>
      <xdr:col>9</xdr:col>
      <xdr:colOff>742950</xdr:colOff>
      <xdr:row>6</xdr:row>
      <xdr:rowOff>79041</xdr:rowOff>
    </xdr:to>
    <xdr:sp macro="" textlink="">
      <xdr:nvSpPr>
        <xdr:cNvPr id="7" name="Line 2">
          <a:extLst>
            <a:ext uri="{FF2B5EF4-FFF2-40B4-BE49-F238E27FC236}">
              <a16:creationId xmlns:a16="http://schemas.microsoft.com/office/drawing/2014/main" id="{F7BCA443-75DA-4E81-BDA9-60DDD8AAC67A}"/>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10</xdr:row>
      <xdr:rowOff>79041</xdr:rowOff>
    </xdr:from>
    <xdr:to>
      <xdr:col>9</xdr:col>
      <xdr:colOff>742950</xdr:colOff>
      <xdr:row>10</xdr:row>
      <xdr:rowOff>79041</xdr:rowOff>
    </xdr:to>
    <xdr:sp macro="" textlink="">
      <xdr:nvSpPr>
        <xdr:cNvPr id="8" name="Line 2">
          <a:extLst>
            <a:ext uri="{FF2B5EF4-FFF2-40B4-BE49-F238E27FC236}">
              <a16:creationId xmlns:a16="http://schemas.microsoft.com/office/drawing/2014/main" id="{A45AAE90-71DA-4B22-813F-A55016BA8E47}"/>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14</xdr:row>
      <xdr:rowOff>79041</xdr:rowOff>
    </xdr:from>
    <xdr:to>
      <xdr:col>9</xdr:col>
      <xdr:colOff>742950</xdr:colOff>
      <xdr:row>14</xdr:row>
      <xdr:rowOff>79041</xdr:rowOff>
    </xdr:to>
    <xdr:sp macro="" textlink="">
      <xdr:nvSpPr>
        <xdr:cNvPr id="9" name="Line 2">
          <a:extLst>
            <a:ext uri="{FF2B5EF4-FFF2-40B4-BE49-F238E27FC236}">
              <a16:creationId xmlns:a16="http://schemas.microsoft.com/office/drawing/2014/main" id="{27506778-83B2-4515-A87F-845A5CB6E730}"/>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18</xdr:row>
      <xdr:rowOff>79041</xdr:rowOff>
    </xdr:from>
    <xdr:to>
      <xdr:col>9</xdr:col>
      <xdr:colOff>742950</xdr:colOff>
      <xdr:row>18</xdr:row>
      <xdr:rowOff>79041</xdr:rowOff>
    </xdr:to>
    <xdr:sp macro="" textlink="">
      <xdr:nvSpPr>
        <xdr:cNvPr id="10" name="Line 2">
          <a:extLst>
            <a:ext uri="{FF2B5EF4-FFF2-40B4-BE49-F238E27FC236}">
              <a16:creationId xmlns:a16="http://schemas.microsoft.com/office/drawing/2014/main" id="{CA19BB85-5792-48EF-A457-8B9A7B522891}"/>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editAs="oneCell">
    <xdr:from>
      <xdr:col>0</xdr:col>
      <xdr:colOff>100260</xdr:colOff>
      <xdr:row>2</xdr:row>
      <xdr:rowOff>7521</xdr:rowOff>
    </xdr:from>
    <xdr:to>
      <xdr:col>0</xdr:col>
      <xdr:colOff>1466145</xdr:colOff>
      <xdr:row>25</xdr:row>
      <xdr:rowOff>38457</xdr:rowOff>
    </xdr:to>
    <xdr:grpSp>
      <xdr:nvGrpSpPr>
        <xdr:cNvPr id="3" name="Grupo 2">
          <a:extLst>
            <a:ext uri="{FF2B5EF4-FFF2-40B4-BE49-F238E27FC236}">
              <a16:creationId xmlns:a16="http://schemas.microsoft.com/office/drawing/2014/main" id="{605F132F-20A7-45B5-A810-C633DD932D09}"/>
            </a:ext>
          </a:extLst>
        </xdr:cNvPr>
        <xdr:cNvGrpSpPr/>
      </xdr:nvGrpSpPr>
      <xdr:grpSpPr>
        <a:xfrm>
          <a:off x="100260" y="506762"/>
          <a:ext cx="1365885" cy="3479643"/>
          <a:chOff x="100260" y="515521"/>
          <a:chExt cx="1365885" cy="3463278"/>
        </a:xfrm>
      </xdr:grpSpPr>
      <xdr:sp macro="" textlink="">
        <xdr:nvSpPr>
          <xdr:cNvPr id="4" name="26 Rectángulo redondeado">
            <a:hlinkClick xmlns:r="http://schemas.openxmlformats.org/officeDocument/2006/relationships" r:id="rId5" tooltip="Grupo F"/>
            <a:extLst>
              <a:ext uri="{FF2B5EF4-FFF2-40B4-BE49-F238E27FC236}">
                <a16:creationId xmlns:a16="http://schemas.microsoft.com/office/drawing/2014/main" id="{DB03446D-4254-6E14-71F1-F72759B93771}"/>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7 Rectángulo redondeado">
            <a:hlinkClick xmlns:r="http://schemas.openxmlformats.org/officeDocument/2006/relationships" r:id="rId6" tooltip="Grupo G"/>
            <a:extLst>
              <a:ext uri="{FF2B5EF4-FFF2-40B4-BE49-F238E27FC236}">
                <a16:creationId xmlns:a16="http://schemas.microsoft.com/office/drawing/2014/main" id="{329C7638-BC31-E613-F94F-D3CB5F3DDEC3}"/>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8 Rectángulo redondeado">
            <a:hlinkClick xmlns:r="http://schemas.openxmlformats.org/officeDocument/2006/relationships" r:id="rId7" tooltip="Grupo H"/>
            <a:extLst>
              <a:ext uri="{FF2B5EF4-FFF2-40B4-BE49-F238E27FC236}">
                <a16:creationId xmlns:a16="http://schemas.microsoft.com/office/drawing/2014/main" id="{9AE94782-34C9-85FF-E975-8DCF79940330}"/>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2 Rectángulo redondeado">
            <a:hlinkClick xmlns:r="http://schemas.openxmlformats.org/officeDocument/2006/relationships" r:id="rId8" tooltip="Grupo A"/>
            <a:extLst>
              <a:ext uri="{FF2B5EF4-FFF2-40B4-BE49-F238E27FC236}">
                <a16:creationId xmlns:a16="http://schemas.microsoft.com/office/drawing/2014/main" id="{60ED7B84-2951-329A-A66D-B8CCC6226E53}"/>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23 Rectángulo redondeado">
            <a:hlinkClick xmlns:r="http://schemas.openxmlformats.org/officeDocument/2006/relationships" r:id="rId9" tooltip="Grupo B"/>
            <a:extLst>
              <a:ext uri="{FF2B5EF4-FFF2-40B4-BE49-F238E27FC236}">
                <a16:creationId xmlns:a16="http://schemas.microsoft.com/office/drawing/2014/main" id="{2E144A72-65B2-B172-DB8E-658BD1B2FD3F}"/>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24 Rectángulo redondeado">
            <a:hlinkClick xmlns:r="http://schemas.openxmlformats.org/officeDocument/2006/relationships" r:id="rId10" tooltip="Grupo D"/>
            <a:extLst>
              <a:ext uri="{FF2B5EF4-FFF2-40B4-BE49-F238E27FC236}">
                <a16:creationId xmlns:a16="http://schemas.microsoft.com/office/drawing/2014/main" id="{2D897CFC-EFCE-5197-5A96-7BFE2FE14C15}"/>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25 Rectángulo redondeado">
            <a:hlinkClick xmlns:r="http://schemas.openxmlformats.org/officeDocument/2006/relationships" r:id="rId11" tooltip="Grupo E"/>
            <a:extLst>
              <a:ext uri="{FF2B5EF4-FFF2-40B4-BE49-F238E27FC236}">
                <a16:creationId xmlns:a16="http://schemas.microsoft.com/office/drawing/2014/main" id="{97C6592B-3BEF-75A7-E251-B37BCD509682}"/>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33 Rectángulo redondeado">
            <a:hlinkClick xmlns:r="http://schemas.openxmlformats.org/officeDocument/2006/relationships" r:id="rId12" tooltip="Grupo C"/>
            <a:extLst>
              <a:ext uri="{FF2B5EF4-FFF2-40B4-BE49-F238E27FC236}">
                <a16:creationId xmlns:a16="http://schemas.microsoft.com/office/drawing/2014/main" id="{3EE3A0F6-9B72-710D-2D48-279320C9151A}"/>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34 Rectángulo redondeado">
            <a:hlinkClick xmlns:r="http://schemas.openxmlformats.org/officeDocument/2006/relationships" r:id="rId13" tooltip="Inicio"/>
            <a:extLst>
              <a:ext uri="{FF2B5EF4-FFF2-40B4-BE49-F238E27FC236}">
                <a16:creationId xmlns:a16="http://schemas.microsoft.com/office/drawing/2014/main" id="{67FFC787-DD9C-A38E-3D4F-00BD07FB744B}"/>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7" name="28 Rectángulo redondeado">
            <a:hlinkClick xmlns:r="http://schemas.openxmlformats.org/officeDocument/2006/relationships" r:id="rId14" tooltip="Grupo I"/>
            <a:extLst>
              <a:ext uri="{FF2B5EF4-FFF2-40B4-BE49-F238E27FC236}">
                <a16:creationId xmlns:a16="http://schemas.microsoft.com/office/drawing/2014/main" id="{38160E0E-6C59-A271-0A28-1B2C7C82532E}"/>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5" tooltip="Grupo J"/>
            <a:extLst>
              <a:ext uri="{FF2B5EF4-FFF2-40B4-BE49-F238E27FC236}">
                <a16:creationId xmlns:a16="http://schemas.microsoft.com/office/drawing/2014/main" id="{15252E0D-BA77-7320-4B16-EA20EC3B78A2}"/>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6" tooltip="Grupo K"/>
            <a:extLst>
              <a:ext uri="{FF2B5EF4-FFF2-40B4-BE49-F238E27FC236}">
                <a16:creationId xmlns:a16="http://schemas.microsoft.com/office/drawing/2014/main" id="{E62E97E9-58D9-59C0-4D98-6ABD13A99828}"/>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0" name="28 Rectángulo redondeado">
            <a:hlinkClick xmlns:r="http://schemas.openxmlformats.org/officeDocument/2006/relationships" r:id="rId17" tooltip="Grupo L"/>
            <a:extLst>
              <a:ext uri="{FF2B5EF4-FFF2-40B4-BE49-F238E27FC236}">
                <a16:creationId xmlns:a16="http://schemas.microsoft.com/office/drawing/2014/main" id="{029918FC-B329-1532-50B1-CF2EE871017A}"/>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2" name="28 Rectángulo redondeado">
            <a:hlinkClick xmlns:r="http://schemas.openxmlformats.org/officeDocument/2006/relationships" r:id="rId18" tooltip="Octavos de Final"/>
            <a:extLst>
              <a:ext uri="{FF2B5EF4-FFF2-40B4-BE49-F238E27FC236}">
                <a16:creationId xmlns:a16="http://schemas.microsoft.com/office/drawing/2014/main" id="{3C463F5F-256B-1CA6-B9FF-F6515292A484}"/>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6" name="29 Rectángulo redondeado">
            <a:hlinkClick xmlns:r="http://schemas.openxmlformats.org/officeDocument/2006/relationships" r:id="rId19" tooltip="Cuartos de Final"/>
            <a:extLst>
              <a:ext uri="{FF2B5EF4-FFF2-40B4-BE49-F238E27FC236}">
                <a16:creationId xmlns:a16="http://schemas.microsoft.com/office/drawing/2014/main" id="{28F6B576-09F8-A650-3552-71477211D627}"/>
              </a:ext>
            </a:extLst>
          </xdr:cNvPr>
          <xdr:cNvSpPr/>
        </xdr:nvSpPr>
        <xdr:spPr bwMode="auto">
          <a:xfrm>
            <a:off x="100260" y="3059275"/>
            <a:ext cx="1362075"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1">
                <a:solidFill>
                  <a:sysClr val="windowText" lastClr="000000"/>
                </a:solidFill>
                <a:latin typeface="Arial" panose="020B0604020202020204" pitchFamily="34" charset="0"/>
                <a:cs typeface="Arial" panose="020B0604020202020204" pitchFamily="34" charset="0"/>
              </a:rPr>
              <a:t>Cuartos de Final</a:t>
            </a:r>
          </a:p>
        </xdr:txBody>
      </xdr:sp>
      <xdr:sp macro="" textlink="">
        <xdr:nvSpPr>
          <xdr:cNvPr id="27" name="30 Rectángulo redondeado">
            <a:hlinkClick xmlns:r="http://schemas.openxmlformats.org/officeDocument/2006/relationships" r:id="rId20" tooltip="Semi Final"/>
            <a:extLst>
              <a:ext uri="{FF2B5EF4-FFF2-40B4-BE49-F238E27FC236}">
                <a16:creationId xmlns:a16="http://schemas.microsoft.com/office/drawing/2014/main" id="{02B3C9BD-7750-0205-426A-46122C82182E}"/>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8" name="31 Rectángulo redondeado">
            <a:hlinkClick xmlns:r="http://schemas.openxmlformats.org/officeDocument/2006/relationships" r:id="rId21" tooltip="FINAL"/>
            <a:extLst>
              <a:ext uri="{FF2B5EF4-FFF2-40B4-BE49-F238E27FC236}">
                <a16:creationId xmlns:a16="http://schemas.microsoft.com/office/drawing/2014/main" id="{0C737996-25A3-72B5-B72E-243B80983D0B}"/>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9" name="36 Rectángulo redondeado">
            <a:hlinkClick xmlns:r="http://schemas.openxmlformats.org/officeDocument/2006/relationships" r:id="rId22" tooltip="Resumen General"/>
            <a:extLst>
              <a:ext uri="{FF2B5EF4-FFF2-40B4-BE49-F238E27FC236}">
                <a16:creationId xmlns:a16="http://schemas.microsoft.com/office/drawing/2014/main" id="{6D63A9FB-2F73-BFBA-860F-68AB00664393}"/>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30" name="28 Rectángulo redondeado">
            <a:hlinkClick xmlns:r="http://schemas.openxmlformats.org/officeDocument/2006/relationships" r:id="rId23" tooltip="16vos Final"/>
            <a:extLst>
              <a:ext uri="{FF2B5EF4-FFF2-40B4-BE49-F238E27FC236}">
                <a16:creationId xmlns:a16="http://schemas.microsoft.com/office/drawing/2014/main" id="{A501D910-0B5B-21D4-3347-C71A526AAEE1}"/>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31" name="28 Rectángulo redondeado">
            <a:hlinkClick xmlns:r="http://schemas.openxmlformats.org/officeDocument/2006/relationships" r:id="rId24" tooltip="Mejores 3ros"/>
            <a:extLst>
              <a:ext uri="{FF2B5EF4-FFF2-40B4-BE49-F238E27FC236}">
                <a16:creationId xmlns:a16="http://schemas.microsoft.com/office/drawing/2014/main" id="{BE3BB761-9DD8-8EA1-1F83-6F43494428D3}"/>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32" name="Imagen 31">
          <a:extLst>
            <a:ext uri="{FF2B5EF4-FFF2-40B4-BE49-F238E27FC236}">
              <a16:creationId xmlns:a16="http://schemas.microsoft.com/office/drawing/2014/main" id="{869D67A8-9664-4189-AC07-C5FE06A6F8D4}"/>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1210680</xdr:colOff>
          <xdr:row>5</xdr:row>
          <xdr:rowOff>66675</xdr:rowOff>
        </xdr:from>
        <xdr:to>
          <xdr:col>12</xdr:col>
          <xdr:colOff>222621</xdr:colOff>
          <xdr:row>7</xdr:row>
          <xdr:rowOff>96570</xdr:rowOff>
        </xdr:to>
        <xdr:pic>
          <xdr:nvPicPr>
            <xdr:cNvPr id="20" name="Picture 6" descr="cup_fifaworld2">
              <a:extLst>
                <a:ext uri="{FF2B5EF4-FFF2-40B4-BE49-F238E27FC236}">
                  <a16:creationId xmlns:a16="http://schemas.microsoft.com/office/drawing/2014/main" id="{00000000-0008-0000-0B00-000014000000}"/>
                </a:ext>
              </a:extLst>
            </xdr:cNvPr>
            <xdr:cNvPicPr>
              <a:picLocks noChangeAspect="1" noChangeArrowheads="1"/>
              <a:extLst>
                <a:ext uri="{84589F7E-364E-4C9E-8A38-B11213B215E9}">
                  <a14:cameraTool cellRange="SFuno" spid="_x0000_s129712"/>
                </a:ext>
              </a:extLst>
            </xdr:cNvPicPr>
          </xdr:nvPicPr>
          <xdr:blipFill>
            <a:blip xmlns:r="http://schemas.openxmlformats.org/officeDocument/2006/relationships" r:embed="rId1"/>
            <a:srcRect/>
            <a:stretch>
              <a:fillRect/>
            </a:stretch>
          </xdr:blipFill>
          <xdr:spPr bwMode="auto">
            <a:xfrm>
              <a:off x="7901575" y="1055938"/>
              <a:ext cx="509204" cy="324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oneCellAnchor>
        <xdr:from>
          <xdr:col>10</xdr:col>
          <xdr:colOff>1230732</xdr:colOff>
          <xdr:row>9</xdr:row>
          <xdr:rowOff>66675</xdr:rowOff>
        </xdr:from>
        <xdr:ext cx="494100" cy="324000"/>
        <xdr:pic>
          <xdr:nvPicPr>
            <xdr:cNvPr id="21" name="Picture 6" descr="cup_fifaworld2">
              <a:extLst>
                <a:ext uri="{FF2B5EF4-FFF2-40B4-BE49-F238E27FC236}">
                  <a16:creationId xmlns:a16="http://schemas.microsoft.com/office/drawing/2014/main" id="{00000000-0008-0000-0B00-000015000000}"/>
                </a:ext>
              </a:extLst>
            </xdr:cNvPr>
            <xdr:cNvPicPr>
              <a:picLocks noChangeAspect="1" noChangeArrowheads="1"/>
              <a:extLst>
                <a:ext uri="{84589F7E-364E-4C9E-8A38-B11213B215E9}">
                  <a14:cameraTool cellRange="SFdos" spid="_x0000_s129713"/>
                </a:ext>
              </a:extLst>
            </xdr:cNvPicPr>
          </xdr:nvPicPr>
          <xdr:blipFill>
            <a:blip xmlns:r="http://schemas.openxmlformats.org/officeDocument/2006/relationships" r:embed="rId2"/>
            <a:srcRect/>
            <a:stretch>
              <a:fillRect/>
            </a:stretch>
          </xdr:blipFill>
          <xdr:spPr bwMode="auto">
            <a:xfrm>
              <a:off x="7921627" y="1644149"/>
              <a:ext cx="494100" cy="324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oneCellAnchor>
    </mc:Choice>
    <mc:Fallback/>
  </mc:AlternateContent>
  <xdr:twoCellAnchor>
    <xdr:from>
      <xdr:col>9</xdr:col>
      <xdr:colOff>0</xdr:colOff>
      <xdr:row>6</xdr:row>
      <xdr:rowOff>79041</xdr:rowOff>
    </xdr:from>
    <xdr:to>
      <xdr:col>9</xdr:col>
      <xdr:colOff>742950</xdr:colOff>
      <xdr:row>6</xdr:row>
      <xdr:rowOff>79041</xdr:rowOff>
    </xdr:to>
    <xdr:sp macro="" textlink="">
      <xdr:nvSpPr>
        <xdr:cNvPr id="24" name="Line 2">
          <a:extLst>
            <a:ext uri="{FF2B5EF4-FFF2-40B4-BE49-F238E27FC236}">
              <a16:creationId xmlns:a16="http://schemas.microsoft.com/office/drawing/2014/main" id="{EAAD1400-6625-4C8A-87AF-0C8954235F4E}"/>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10</xdr:row>
      <xdr:rowOff>79041</xdr:rowOff>
    </xdr:from>
    <xdr:to>
      <xdr:col>9</xdr:col>
      <xdr:colOff>742950</xdr:colOff>
      <xdr:row>10</xdr:row>
      <xdr:rowOff>79041</xdr:rowOff>
    </xdr:to>
    <xdr:sp macro="" textlink="">
      <xdr:nvSpPr>
        <xdr:cNvPr id="25" name="Line 2">
          <a:extLst>
            <a:ext uri="{FF2B5EF4-FFF2-40B4-BE49-F238E27FC236}">
              <a16:creationId xmlns:a16="http://schemas.microsoft.com/office/drawing/2014/main" id="{89884A9C-F764-4372-9444-3689690FF442}"/>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editAs="oneCell">
    <xdr:from>
      <xdr:col>0</xdr:col>
      <xdr:colOff>100260</xdr:colOff>
      <xdr:row>2</xdr:row>
      <xdr:rowOff>7521</xdr:rowOff>
    </xdr:from>
    <xdr:to>
      <xdr:col>0</xdr:col>
      <xdr:colOff>1466145</xdr:colOff>
      <xdr:row>25</xdr:row>
      <xdr:rowOff>38457</xdr:rowOff>
    </xdr:to>
    <xdr:grpSp>
      <xdr:nvGrpSpPr>
        <xdr:cNvPr id="2" name="Grupo 1">
          <a:extLst>
            <a:ext uri="{FF2B5EF4-FFF2-40B4-BE49-F238E27FC236}">
              <a16:creationId xmlns:a16="http://schemas.microsoft.com/office/drawing/2014/main" id="{A3F95A90-4F16-47C2-A688-655BF02822AB}"/>
            </a:ext>
          </a:extLst>
        </xdr:cNvPr>
        <xdr:cNvGrpSpPr/>
      </xdr:nvGrpSpPr>
      <xdr:grpSpPr>
        <a:xfrm>
          <a:off x="100260" y="506762"/>
          <a:ext cx="1365885" cy="3479643"/>
          <a:chOff x="100260" y="515521"/>
          <a:chExt cx="1365885" cy="3463278"/>
        </a:xfrm>
      </xdr:grpSpPr>
      <xdr:sp macro="" textlink="">
        <xdr:nvSpPr>
          <xdr:cNvPr id="3" name="26 Rectángulo redondeado">
            <a:hlinkClick xmlns:r="http://schemas.openxmlformats.org/officeDocument/2006/relationships" r:id="rId3" tooltip="Grupo F"/>
            <a:extLst>
              <a:ext uri="{FF2B5EF4-FFF2-40B4-BE49-F238E27FC236}">
                <a16:creationId xmlns:a16="http://schemas.microsoft.com/office/drawing/2014/main" id="{0C5A39C6-64D9-D5C0-2D79-9778294CC731}"/>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4" name="27 Rectángulo redondeado">
            <a:hlinkClick xmlns:r="http://schemas.openxmlformats.org/officeDocument/2006/relationships" r:id="rId4" tooltip="Grupo G"/>
            <a:extLst>
              <a:ext uri="{FF2B5EF4-FFF2-40B4-BE49-F238E27FC236}">
                <a16:creationId xmlns:a16="http://schemas.microsoft.com/office/drawing/2014/main" id="{9040B593-3294-761B-D54C-9109127E77A8}"/>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5" name="28 Rectángulo redondeado">
            <a:hlinkClick xmlns:r="http://schemas.openxmlformats.org/officeDocument/2006/relationships" r:id="rId5" tooltip="Grupo H"/>
            <a:extLst>
              <a:ext uri="{FF2B5EF4-FFF2-40B4-BE49-F238E27FC236}">
                <a16:creationId xmlns:a16="http://schemas.microsoft.com/office/drawing/2014/main" id="{FFC1B74D-F6DF-6C01-C648-29BA45E12873}"/>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6" name="22 Rectángulo redondeado">
            <a:hlinkClick xmlns:r="http://schemas.openxmlformats.org/officeDocument/2006/relationships" r:id="rId6" tooltip="Grupo A"/>
            <a:extLst>
              <a:ext uri="{FF2B5EF4-FFF2-40B4-BE49-F238E27FC236}">
                <a16:creationId xmlns:a16="http://schemas.microsoft.com/office/drawing/2014/main" id="{57F67C21-F23A-886B-5048-7581EBA1DF18}"/>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3 Rectángulo redondeado">
            <a:hlinkClick xmlns:r="http://schemas.openxmlformats.org/officeDocument/2006/relationships" r:id="rId7" tooltip="Grupo B"/>
            <a:extLst>
              <a:ext uri="{FF2B5EF4-FFF2-40B4-BE49-F238E27FC236}">
                <a16:creationId xmlns:a16="http://schemas.microsoft.com/office/drawing/2014/main" id="{19355862-3A18-A348-92BE-FBD08008EA96}"/>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4 Rectángulo redondeado">
            <a:hlinkClick xmlns:r="http://schemas.openxmlformats.org/officeDocument/2006/relationships" r:id="rId8" tooltip="Grupo D"/>
            <a:extLst>
              <a:ext uri="{FF2B5EF4-FFF2-40B4-BE49-F238E27FC236}">
                <a16:creationId xmlns:a16="http://schemas.microsoft.com/office/drawing/2014/main" id="{12BEDC07-F23A-5B00-90D1-6D6E4EBFC1D4}"/>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5 Rectángulo redondeado">
            <a:hlinkClick xmlns:r="http://schemas.openxmlformats.org/officeDocument/2006/relationships" r:id="rId9" tooltip="Grupo E"/>
            <a:extLst>
              <a:ext uri="{FF2B5EF4-FFF2-40B4-BE49-F238E27FC236}">
                <a16:creationId xmlns:a16="http://schemas.microsoft.com/office/drawing/2014/main" id="{345BB07D-787E-A87F-71B9-36302A23D31A}"/>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33 Rectángulo redondeado">
            <a:hlinkClick xmlns:r="http://schemas.openxmlformats.org/officeDocument/2006/relationships" r:id="rId10" tooltip="Grupo C"/>
            <a:extLst>
              <a:ext uri="{FF2B5EF4-FFF2-40B4-BE49-F238E27FC236}">
                <a16:creationId xmlns:a16="http://schemas.microsoft.com/office/drawing/2014/main" id="{7C35D44D-C91C-8CAD-F463-369A29B2D8BF}"/>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34 Rectángulo redondeado">
            <a:hlinkClick xmlns:r="http://schemas.openxmlformats.org/officeDocument/2006/relationships" r:id="rId11" tooltip="Inicio"/>
            <a:extLst>
              <a:ext uri="{FF2B5EF4-FFF2-40B4-BE49-F238E27FC236}">
                <a16:creationId xmlns:a16="http://schemas.microsoft.com/office/drawing/2014/main" id="{D4A3F422-2EFF-7389-F9EB-50B5A998882E}"/>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2" name="28 Rectángulo redondeado">
            <a:hlinkClick xmlns:r="http://schemas.openxmlformats.org/officeDocument/2006/relationships" r:id="rId12" tooltip="Grupo I"/>
            <a:extLst>
              <a:ext uri="{FF2B5EF4-FFF2-40B4-BE49-F238E27FC236}">
                <a16:creationId xmlns:a16="http://schemas.microsoft.com/office/drawing/2014/main" id="{E2A66DA0-A158-862D-04D8-5BC2755F4BD7}"/>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28 Rectángulo redondeado">
            <a:hlinkClick xmlns:r="http://schemas.openxmlformats.org/officeDocument/2006/relationships" r:id="rId13" tooltip="Grupo J"/>
            <a:extLst>
              <a:ext uri="{FF2B5EF4-FFF2-40B4-BE49-F238E27FC236}">
                <a16:creationId xmlns:a16="http://schemas.microsoft.com/office/drawing/2014/main" id="{7BB54A9D-971C-91A5-80DA-1EC6A81864CA}"/>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28 Rectángulo redondeado">
            <a:hlinkClick xmlns:r="http://schemas.openxmlformats.org/officeDocument/2006/relationships" r:id="rId14" tooltip="Grupo K"/>
            <a:extLst>
              <a:ext uri="{FF2B5EF4-FFF2-40B4-BE49-F238E27FC236}">
                <a16:creationId xmlns:a16="http://schemas.microsoft.com/office/drawing/2014/main" id="{EBBE06F4-8934-6B95-67C4-163447B1040F}"/>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5" name="28 Rectángulo redondeado">
            <a:hlinkClick xmlns:r="http://schemas.openxmlformats.org/officeDocument/2006/relationships" r:id="rId15" tooltip="Grupo L"/>
            <a:extLst>
              <a:ext uri="{FF2B5EF4-FFF2-40B4-BE49-F238E27FC236}">
                <a16:creationId xmlns:a16="http://schemas.microsoft.com/office/drawing/2014/main" id="{7172DC4E-B3EE-1C1C-ECB4-F6448EE53EB8}"/>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6" tooltip="Octavos de Final"/>
            <a:extLst>
              <a:ext uri="{FF2B5EF4-FFF2-40B4-BE49-F238E27FC236}">
                <a16:creationId xmlns:a16="http://schemas.microsoft.com/office/drawing/2014/main" id="{9893B244-E155-262F-5A64-AEB9CC64B94D}"/>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17" name="29 Rectángulo redondeado">
            <a:hlinkClick xmlns:r="http://schemas.openxmlformats.org/officeDocument/2006/relationships" r:id="rId17" tooltip="Cuartos de Final"/>
            <a:extLst>
              <a:ext uri="{FF2B5EF4-FFF2-40B4-BE49-F238E27FC236}">
                <a16:creationId xmlns:a16="http://schemas.microsoft.com/office/drawing/2014/main" id="{A451F5D0-F654-0FF0-44E5-28336A302F1D}"/>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18" name="30 Rectángulo redondeado">
            <a:hlinkClick xmlns:r="http://schemas.openxmlformats.org/officeDocument/2006/relationships" r:id="rId18" tooltip="Semi Final"/>
            <a:extLst>
              <a:ext uri="{FF2B5EF4-FFF2-40B4-BE49-F238E27FC236}">
                <a16:creationId xmlns:a16="http://schemas.microsoft.com/office/drawing/2014/main" id="{2C90B021-324E-980D-58F4-689B5CD36418}"/>
              </a:ext>
            </a:extLst>
          </xdr:cNvPr>
          <xdr:cNvSpPr/>
        </xdr:nvSpPr>
        <xdr:spPr bwMode="auto">
          <a:xfrm>
            <a:off x="100260" y="3303666"/>
            <a:ext cx="1362075" cy="180000"/>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1">
                <a:solidFill>
                  <a:sysClr val="windowText" lastClr="000000"/>
                </a:solidFill>
                <a:latin typeface="Arial" panose="020B0604020202020204" pitchFamily="34" charset="0"/>
                <a:cs typeface="Arial" panose="020B0604020202020204" pitchFamily="34" charset="0"/>
              </a:rPr>
              <a:t>Semi Final</a:t>
            </a:r>
          </a:p>
        </xdr:txBody>
      </xdr:sp>
      <xdr:sp macro="" textlink="">
        <xdr:nvSpPr>
          <xdr:cNvPr id="19" name="31 Rectángulo redondeado">
            <a:hlinkClick xmlns:r="http://schemas.openxmlformats.org/officeDocument/2006/relationships" r:id="rId19" tooltip="FINAL"/>
            <a:extLst>
              <a:ext uri="{FF2B5EF4-FFF2-40B4-BE49-F238E27FC236}">
                <a16:creationId xmlns:a16="http://schemas.microsoft.com/office/drawing/2014/main" id="{9A7B0122-3B17-D85C-5CC5-47E783CA3936}"/>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22" name="36 Rectángulo redondeado">
            <a:hlinkClick xmlns:r="http://schemas.openxmlformats.org/officeDocument/2006/relationships" r:id="rId20" tooltip="Resumen General"/>
            <a:extLst>
              <a:ext uri="{FF2B5EF4-FFF2-40B4-BE49-F238E27FC236}">
                <a16:creationId xmlns:a16="http://schemas.microsoft.com/office/drawing/2014/main" id="{9EA82803-175B-6649-E19C-F61C923251EF}"/>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1" tooltip="16vos Final"/>
            <a:extLst>
              <a:ext uri="{FF2B5EF4-FFF2-40B4-BE49-F238E27FC236}">
                <a16:creationId xmlns:a16="http://schemas.microsoft.com/office/drawing/2014/main" id="{6CF5FC8E-C111-829F-40EA-C8C0AA437E67}"/>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7" name="28 Rectángulo redondeado">
            <a:hlinkClick xmlns:r="http://schemas.openxmlformats.org/officeDocument/2006/relationships" r:id="rId22" tooltip="Mejores 3ros"/>
            <a:extLst>
              <a:ext uri="{FF2B5EF4-FFF2-40B4-BE49-F238E27FC236}">
                <a16:creationId xmlns:a16="http://schemas.microsoft.com/office/drawing/2014/main" id="{92A4D7E1-7AE3-A8D9-703A-627BA164E69B}"/>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28" name="Imagen 27">
          <a:extLst>
            <a:ext uri="{FF2B5EF4-FFF2-40B4-BE49-F238E27FC236}">
              <a16:creationId xmlns:a16="http://schemas.microsoft.com/office/drawing/2014/main" id="{62713E73-6735-489D-B660-7B43B78BF03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832774</xdr:colOff>
          <xdr:row>18</xdr:row>
          <xdr:rowOff>42019</xdr:rowOff>
        </xdr:from>
        <xdr:to>
          <xdr:col>12</xdr:col>
          <xdr:colOff>150432</xdr:colOff>
          <xdr:row>26</xdr:row>
          <xdr:rowOff>56906</xdr:rowOff>
        </xdr:to>
        <xdr:pic>
          <xdr:nvPicPr>
            <xdr:cNvPr id="27" name="Picture 6" descr="cup_fifaworld2">
              <a:extLst>
                <a:ext uri="{FF2B5EF4-FFF2-40B4-BE49-F238E27FC236}">
                  <a16:creationId xmlns:a16="http://schemas.microsoft.com/office/drawing/2014/main" id="{00000000-0008-0000-0C00-00001B000000}"/>
                </a:ext>
              </a:extLst>
            </xdr:cNvPr>
            <xdr:cNvPicPr>
              <a:picLocks noChangeAspect="1" noChangeArrowheads="1"/>
              <a:extLst>
                <a:ext uri="{84589F7E-364E-4C9E-8A38-B11213B215E9}">
                  <a14:cameraTool cellRange="copa" spid="_x0000_s247236"/>
                </a:ext>
              </a:extLst>
            </xdr:cNvPicPr>
          </xdr:nvPicPr>
          <xdr:blipFill>
            <a:blip xmlns:r="http://schemas.openxmlformats.org/officeDocument/2006/relationships" r:embed="rId1"/>
            <a:srcRect/>
            <a:stretch>
              <a:fillRect/>
            </a:stretch>
          </xdr:blipFill>
          <xdr:spPr bwMode="auto">
            <a:xfrm>
              <a:off x="7523669" y="3063282"/>
              <a:ext cx="814921" cy="1191308"/>
            </a:xfrm>
            <a:prstGeom prst="rect">
              <a:avLst/>
            </a:prstGeom>
            <a:noFill/>
            <a:ln w="9525">
              <a:noFill/>
              <a:miter lim="800000"/>
              <a:headEnd/>
              <a:tailEnd/>
            </a:ln>
            <a:effectLst>
              <a:outerShdw blurRad="50800" dist="50800" dir="10800000" algn="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108287</xdr:colOff>
          <xdr:row>20</xdr:row>
          <xdr:rowOff>5084</xdr:rowOff>
        </xdr:from>
        <xdr:to>
          <xdr:col>10</xdr:col>
          <xdr:colOff>718562</xdr:colOff>
          <xdr:row>22</xdr:row>
          <xdr:rowOff>106979</xdr:rowOff>
        </xdr:to>
        <xdr:pic>
          <xdr:nvPicPr>
            <xdr:cNvPr id="23" name="Picture 6" descr="cup_fifaworld2">
              <a:extLst>
                <a:ext uri="{FF2B5EF4-FFF2-40B4-BE49-F238E27FC236}">
                  <a16:creationId xmlns:a16="http://schemas.microsoft.com/office/drawing/2014/main" id="{00000000-0008-0000-0C00-000017000000}"/>
                </a:ext>
              </a:extLst>
            </xdr:cNvPr>
            <xdr:cNvPicPr>
              <a:picLocks noChangeAspect="1" noChangeArrowheads="1"/>
              <a:extLst>
                <a:ext uri="{84589F7E-364E-4C9E-8A38-B11213B215E9}">
                  <a14:cameraTool cellRange="bandera" spid="_x0000_s247237"/>
                </a:ext>
              </a:extLst>
            </xdr:cNvPicPr>
          </xdr:nvPicPr>
          <xdr:blipFill>
            <a:blip xmlns:r="http://schemas.openxmlformats.org/officeDocument/2006/relationships" r:embed="rId2"/>
            <a:srcRect/>
            <a:stretch>
              <a:fillRect/>
            </a:stretch>
          </xdr:blipFill>
          <xdr:spPr bwMode="auto">
            <a:xfrm>
              <a:off x="6799182" y="3320452"/>
              <a:ext cx="610275" cy="396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762610</xdr:colOff>
          <xdr:row>14</xdr:row>
          <xdr:rowOff>152999</xdr:rowOff>
        </xdr:from>
        <xdr:to>
          <xdr:col>14</xdr:col>
          <xdr:colOff>72920</xdr:colOff>
          <xdr:row>17</xdr:row>
          <xdr:rowOff>73810</xdr:rowOff>
        </xdr:to>
        <xdr:pic>
          <xdr:nvPicPr>
            <xdr:cNvPr id="29" name="Picture 6" descr="cup_fifaworld2">
              <a:extLst>
                <a:ext uri="{FF2B5EF4-FFF2-40B4-BE49-F238E27FC236}">
                  <a16:creationId xmlns:a16="http://schemas.microsoft.com/office/drawing/2014/main" id="{00000000-0008-0000-0C00-00001D000000}"/>
                </a:ext>
              </a:extLst>
            </xdr:cNvPr>
            <xdr:cNvPicPr>
              <a:picLocks noChangeAspect="1" noChangeArrowheads="1"/>
              <a:extLst>
                <a:ext uri="{84589F7E-364E-4C9E-8A38-B11213B215E9}">
                  <a14:cameraTool cellRange="TITULO" spid="_x0000_s247238"/>
                </a:ext>
              </a:extLst>
            </xdr:cNvPicPr>
          </xdr:nvPicPr>
          <xdr:blipFill>
            <a:blip xmlns:r="http://schemas.openxmlformats.org/officeDocument/2006/relationships" r:embed="rId3"/>
            <a:srcRect/>
            <a:stretch>
              <a:fillRect/>
            </a:stretch>
          </xdr:blipFill>
          <xdr:spPr bwMode="auto">
            <a:xfrm>
              <a:off x="6631347" y="2545946"/>
              <a:ext cx="2552152" cy="395390"/>
            </a:xfrm>
            <a:prstGeom prst="rect">
              <a:avLst/>
            </a:prstGeom>
            <a:noFill/>
            <a:ln w="9525">
              <a:noFill/>
              <a:miter lim="800000"/>
              <a:headEnd/>
              <a:tailEnd/>
            </a:ln>
            <a:effectLst>
              <a:outerShdw blurRad="50800" dist="38100" dir="8100000" algn="t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199366</xdr:colOff>
          <xdr:row>20</xdr:row>
          <xdr:rowOff>5084</xdr:rowOff>
        </xdr:from>
        <xdr:to>
          <xdr:col>13</xdr:col>
          <xdr:colOff>297321</xdr:colOff>
          <xdr:row>22</xdr:row>
          <xdr:rowOff>106979</xdr:rowOff>
        </xdr:to>
        <xdr:pic>
          <xdr:nvPicPr>
            <xdr:cNvPr id="24" name="Picture 6" descr="cup_fifaworld2">
              <a:extLst>
                <a:ext uri="{FF2B5EF4-FFF2-40B4-BE49-F238E27FC236}">
                  <a16:creationId xmlns:a16="http://schemas.microsoft.com/office/drawing/2014/main" id="{00000000-0008-0000-0C00-000018000000}"/>
                </a:ext>
              </a:extLst>
            </xdr:cNvPr>
            <xdr:cNvPicPr>
              <a:picLocks noChangeAspect="1" noChangeArrowheads="1"/>
              <a:extLst>
                <a:ext uri="{84589F7E-364E-4C9E-8A38-B11213B215E9}">
                  <a14:cameraTool cellRange="bandera" spid="_x0000_s247239"/>
                </a:ext>
              </a:extLst>
            </xdr:cNvPicPr>
          </xdr:nvPicPr>
          <xdr:blipFill>
            <a:blip xmlns:r="http://schemas.openxmlformats.org/officeDocument/2006/relationships" r:embed="rId4"/>
            <a:srcRect/>
            <a:stretch>
              <a:fillRect/>
            </a:stretch>
          </xdr:blipFill>
          <xdr:spPr bwMode="auto">
            <a:xfrm>
              <a:off x="8387524" y="3320452"/>
              <a:ext cx="639376" cy="396000"/>
            </a:xfrm>
            <a:prstGeom prst="rect">
              <a:avLst/>
            </a:prstGeom>
            <a:noFill/>
            <a:ln w="9525">
              <a:noFill/>
              <a:miter lim="800000"/>
              <a:headEnd/>
              <a:tailEnd/>
            </a:ln>
            <a:effectLst>
              <a:outerShdw blurRad="50800" dist="38100" dir="10800000" algn="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xdr:twoCellAnchor editAs="oneCell">
    <xdr:from>
      <xdr:col>0</xdr:col>
      <xdr:colOff>100260</xdr:colOff>
      <xdr:row>2</xdr:row>
      <xdr:rowOff>0</xdr:rowOff>
    </xdr:from>
    <xdr:to>
      <xdr:col>0</xdr:col>
      <xdr:colOff>1466145</xdr:colOff>
      <xdr:row>24</xdr:row>
      <xdr:rowOff>76388</xdr:rowOff>
    </xdr:to>
    <xdr:grpSp>
      <xdr:nvGrpSpPr>
        <xdr:cNvPr id="3" name="Grupo 2">
          <a:extLst>
            <a:ext uri="{FF2B5EF4-FFF2-40B4-BE49-F238E27FC236}">
              <a16:creationId xmlns:a16="http://schemas.microsoft.com/office/drawing/2014/main" id="{6AE546E9-54C6-4212-8358-8632099D1646}"/>
            </a:ext>
          </a:extLst>
        </xdr:cNvPr>
        <xdr:cNvGrpSpPr/>
      </xdr:nvGrpSpPr>
      <xdr:grpSpPr>
        <a:xfrm>
          <a:off x="100260" y="499241"/>
          <a:ext cx="1365885" cy="3459406"/>
          <a:chOff x="100260" y="515521"/>
          <a:chExt cx="1365885" cy="3463278"/>
        </a:xfrm>
      </xdr:grpSpPr>
      <xdr:sp macro="" textlink="">
        <xdr:nvSpPr>
          <xdr:cNvPr id="4" name="26 Rectángulo redondeado">
            <a:hlinkClick xmlns:r="http://schemas.openxmlformats.org/officeDocument/2006/relationships" r:id="rId5" tooltip="Grupo F"/>
            <a:extLst>
              <a:ext uri="{FF2B5EF4-FFF2-40B4-BE49-F238E27FC236}">
                <a16:creationId xmlns:a16="http://schemas.microsoft.com/office/drawing/2014/main" id="{916ACE79-0D43-6C13-ABC2-9F0DADDB1FBC}"/>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7" name="27 Rectángulo redondeado">
            <a:hlinkClick xmlns:r="http://schemas.openxmlformats.org/officeDocument/2006/relationships" r:id="rId6" tooltip="Grupo G"/>
            <a:extLst>
              <a:ext uri="{FF2B5EF4-FFF2-40B4-BE49-F238E27FC236}">
                <a16:creationId xmlns:a16="http://schemas.microsoft.com/office/drawing/2014/main" id="{E9370249-9841-5FD7-3D99-09A210ED638B}"/>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8" name="28 Rectángulo redondeado">
            <a:hlinkClick xmlns:r="http://schemas.openxmlformats.org/officeDocument/2006/relationships" r:id="rId7" tooltip="Grupo H"/>
            <a:extLst>
              <a:ext uri="{FF2B5EF4-FFF2-40B4-BE49-F238E27FC236}">
                <a16:creationId xmlns:a16="http://schemas.microsoft.com/office/drawing/2014/main" id="{ACAA2A50-02DC-E25F-A46E-473B25B52AAF}"/>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9" name="22 Rectángulo redondeado">
            <a:hlinkClick xmlns:r="http://schemas.openxmlformats.org/officeDocument/2006/relationships" r:id="rId8" tooltip="Grupo A"/>
            <a:extLst>
              <a:ext uri="{FF2B5EF4-FFF2-40B4-BE49-F238E27FC236}">
                <a16:creationId xmlns:a16="http://schemas.microsoft.com/office/drawing/2014/main" id="{97ED594E-8C8F-6DF1-D2D9-97A1D8C214EE}"/>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0" name="23 Rectángulo redondeado">
            <a:hlinkClick xmlns:r="http://schemas.openxmlformats.org/officeDocument/2006/relationships" r:id="rId9" tooltip="Grupo B"/>
            <a:extLst>
              <a:ext uri="{FF2B5EF4-FFF2-40B4-BE49-F238E27FC236}">
                <a16:creationId xmlns:a16="http://schemas.microsoft.com/office/drawing/2014/main" id="{06AA43E0-752F-4056-E950-70CD480E22AA}"/>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1" name="24 Rectángulo redondeado">
            <a:hlinkClick xmlns:r="http://schemas.openxmlformats.org/officeDocument/2006/relationships" r:id="rId10" tooltip="Grupo D"/>
            <a:extLst>
              <a:ext uri="{FF2B5EF4-FFF2-40B4-BE49-F238E27FC236}">
                <a16:creationId xmlns:a16="http://schemas.microsoft.com/office/drawing/2014/main" id="{6FF042B5-56CE-EB84-A3F7-8E7266BC0C46}"/>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2" name="25 Rectángulo redondeado">
            <a:hlinkClick xmlns:r="http://schemas.openxmlformats.org/officeDocument/2006/relationships" r:id="rId11" tooltip="Grupo E"/>
            <a:extLst>
              <a:ext uri="{FF2B5EF4-FFF2-40B4-BE49-F238E27FC236}">
                <a16:creationId xmlns:a16="http://schemas.microsoft.com/office/drawing/2014/main" id="{75CC1BBF-C616-E198-6692-B94456387AC7}"/>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3" name="33 Rectángulo redondeado">
            <a:hlinkClick xmlns:r="http://schemas.openxmlformats.org/officeDocument/2006/relationships" r:id="rId12" tooltip="Grupo C"/>
            <a:extLst>
              <a:ext uri="{FF2B5EF4-FFF2-40B4-BE49-F238E27FC236}">
                <a16:creationId xmlns:a16="http://schemas.microsoft.com/office/drawing/2014/main" id="{2468F874-6A22-D2BA-4FCF-D2B6E359EAF2}"/>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4" name="34 Rectángulo redondeado">
            <a:hlinkClick xmlns:r="http://schemas.openxmlformats.org/officeDocument/2006/relationships" r:id="rId13" tooltip="Inicio"/>
            <a:extLst>
              <a:ext uri="{FF2B5EF4-FFF2-40B4-BE49-F238E27FC236}">
                <a16:creationId xmlns:a16="http://schemas.microsoft.com/office/drawing/2014/main" id="{BC173954-F8EC-BC0F-8135-D77A50D7EBC8}"/>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15" name="28 Rectángulo redondeado">
            <a:hlinkClick xmlns:r="http://schemas.openxmlformats.org/officeDocument/2006/relationships" r:id="rId14" tooltip="Grupo I"/>
            <a:extLst>
              <a:ext uri="{FF2B5EF4-FFF2-40B4-BE49-F238E27FC236}">
                <a16:creationId xmlns:a16="http://schemas.microsoft.com/office/drawing/2014/main" id="{7EDC7D2C-A265-84DB-A2AB-02A6C373DDF2}"/>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6" name="28 Rectángulo redondeado">
            <a:hlinkClick xmlns:r="http://schemas.openxmlformats.org/officeDocument/2006/relationships" r:id="rId15" tooltip="Grupo J"/>
            <a:extLst>
              <a:ext uri="{FF2B5EF4-FFF2-40B4-BE49-F238E27FC236}">
                <a16:creationId xmlns:a16="http://schemas.microsoft.com/office/drawing/2014/main" id="{10B51459-FA6B-4B05-F266-5FED9C7EC00C}"/>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7" name="28 Rectángulo redondeado">
            <a:hlinkClick xmlns:r="http://schemas.openxmlformats.org/officeDocument/2006/relationships" r:id="rId16" tooltip="Grupo K"/>
            <a:extLst>
              <a:ext uri="{FF2B5EF4-FFF2-40B4-BE49-F238E27FC236}">
                <a16:creationId xmlns:a16="http://schemas.microsoft.com/office/drawing/2014/main" id="{498D5A56-EE1D-BBC2-485E-44D3E8704E53}"/>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8" name="28 Rectángulo redondeado">
            <a:hlinkClick xmlns:r="http://schemas.openxmlformats.org/officeDocument/2006/relationships" r:id="rId17" tooltip="Grupo L"/>
            <a:extLst>
              <a:ext uri="{FF2B5EF4-FFF2-40B4-BE49-F238E27FC236}">
                <a16:creationId xmlns:a16="http://schemas.microsoft.com/office/drawing/2014/main" id="{A80BA65B-1A56-5355-4D8C-6A1B275C5128}"/>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19" name="28 Rectángulo redondeado">
            <a:hlinkClick xmlns:r="http://schemas.openxmlformats.org/officeDocument/2006/relationships" r:id="rId18" tooltip="Octavos de Final"/>
            <a:extLst>
              <a:ext uri="{FF2B5EF4-FFF2-40B4-BE49-F238E27FC236}">
                <a16:creationId xmlns:a16="http://schemas.microsoft.com/office/drawing/2014/main" id="{41119FBE-565F-8C64-1BAE-CD7E448C90F5}"/>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20" name="29 Rectángulo redondeado">
            <a:hlinkClick xmlns:r="http://schemas.openxmlformats.org/officeDocument/2006/relationships" r:id="rId19" tooltip="Cuartos de Final"/>
            <a:extLst>
              <a:ext uri="{FF2B5EF4-FFF2-40B4-BE49-F238E27FC236}">
                <a16:creationId xmlns:a16="http://schemas.microsoft.com/office/drawing/2014/main" id="{0F679889-D356-C869-2DBD-8239E2BCA1EC}"/>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21" name="30 Rectángulo redondeado">
            <a:hlinkClick xmlns:r="http://schemas.openxmlformats.org/officeDocument/2006/relationships" r:id="rId20" tooltip="Semi Final"/>
            <a:extLst>
              <a:ext uri="{FF2B5EF4-FFF2-40B4-BE49-F238E27FC236}">
                <a16:creationId xmlns:a16="http://schemas.microsoft.com/office/drawing/2014/main" id="{2E610728-C605-B27E-1A12-2E92327980A4}"/>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22" name="31 Rectángulo redondeado">
            <a:hlinkClick xmlns:r="http://schemas.openxmlformats.org/officeDocument/2006/relationships" r:id="rId21" tooltip="FINAL"/>
            <a:extLst>
              <a:ext uri="{FF2B5EF4-FFF2-40B4-BE49-F238E27FC236}">
                <a16:creationId xmlns:a16="http://schemas.microsoft.com/office/drawing/2014/main" id="{5BA4B054-D9D6-9052-2759-E7157FB2E888}"/>
              </a:ext>
            </a:extLst>
          </xdr:cNvPr>
          <xdr:cNvSpPr/>
        </xdr:nvSpPr>
        <xdr:spPr bwMode="auto">
          <a:xfrm>
            <a:off x="100260" y="3548057"/>
            <a:ext cx="1362075" cy="182674"/>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1">
                <a:solidFill>
                  <a:srgbClr val="FF3300"/>
                </a:solidFill>
                <a:latin typeface="Arial" panose="020B0604020202020204" pitchFamily="34" charset="0"/>
                <a:cs typeface="Arial" panose="020B0604020202020204" pitchFamily="34" charset="0"/>
              </a:rPr>
              <a:t>FINAL</a:t>
            </a:r>
          </a:p>
        </xdr:txBody>
      </xdr:sp>
      <xdr:sp macro="" textlink="">
        <xdr:nvSpPr>
          <xdr:cNvPr id="25" name="36 Rectángulo redondeado">
            <a:hlinkClick xmlns:r="http://schemas.openxmlformats.org/officeDocument/2006/relationships" r:id="rId22" tooltip="Resumen General"/>
            <a:extLst>
              <a:ext uri="{FF2B5EF4-FFF2-40B4-BE49-F238E27FC236}">
                <a16:creationId xmlns:a16="http://schemas.microsoft.com/office/drawing/2014/main" id="{27BD79AC-D99A-9ED6-78D8-E43251D4CA64}"/>
              </a:ext>
            </a:extLst>
          </xdr:cNvPr>
          <xdr:cNvSpPr/>
        </xdr:nvSpPr>
        <xdr:spPr bwMode="auto">
          <a:xfrm>
            <a:off x="100260" y="3795123"/>
            <a:ext cx="1362075" cy="183676"/>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Resumen</a:t>
            </a:r>
          </a:p>
        </xdr:txBody>
      </xdr:sp>
      <xdr:sp macro="" textlink="">
        <xdr:nvSpPr>
          <xdr:cNvPr id="26" name="28 Rectángulo redondeado">
            <a:hlinkClick xmlns:r="http://schemas.openxmlformats.org/officeDocument/2006/relationships" r:id="rId23" tooltip="16vos Final"/>
            <a:extLst>
              <a:ext uri="{FF2B5EF4-FFF2-40B4-BE49-F238E27FC236}">
                <a16:creationId xmlns:a16="http://schemas.microsoft.com/office/drawing/2014/main" id="{9705F016-7FE6-8C60-F42F-D404660C0B6F}"/>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28" name="28 Rectángulo redondeado">
            <a:hlinkClick xmlns:r="http://schemas.openxmlformats.org/officeDocument/2006/relationships" r:id="rId24" tooltip="Mejores 3ros"/>
            <a:extLst>
              <a:ext uri="{FF2B5EF4-FFF2-40B4-BE49-F238E27FC236}">
                <a16:creationId xmlns:a16="http://schemas.microsoft.com/office/drawing/2014/main" id="{77F858FA-7C28-CCA9-A350-5D6A178AF160}"/>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xdr:twoCellAnchor editAs="oneCell">
    <xdr:from>
      <xdr:col>0</xdr:col>
      <xdr:colOff>120867</xdr:colOff>
      <xdr:row>0</xdr:row>
      <xdr:rowOff>53359</xdr:rowOff>
    </xdr:from>
    <xdr:to>
      <xdr:col>0</xdr:col>
      <xdr:colOff>1512080</xdr:colOff>
      <xdr:row>1</xdr:row>
      <xdr:rowOff>193664</xdr:rowOff>
    </xdr:to>
    <xdr:pic>
      <xdr:nvPicPr>
        <xdr:cNvPr id="30" name="Imagen 29">
          <a:extLst>
            <a:ext uri="{FF2B5EF4-FFF2-40B4-BE49-F238E27FC236}">
              <a16:creationId xmlns:a16="http://schemas.microsoft.com/office/drawing/2014/main" id="{F32752D1-AC09-4F17-867B-DB0DFC5867EC}"/>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14933" t="21453" r="11980" b="7444"/>
        <a:stretch>
          <a:fillRect/>
        </a:stretch>
      </xdr:blipFill>
      <xdr:spPr>
        <a:xfrm>
          <a:off x="120867" y="53359"/>
          <a:ext cx="1410263" cy="394305"/>
        </a:xfrm>
        <a:prstGeom prst="rect">
          <a:avLst/>
        </a:prstGeom>
      </xdr:spPr>
    </xdr:pic>
    <xdr:clientData/>
  </xdr:twoCellAnchor>
  <xdr:twoCellAnchor>
    <xdr:from>
      <xdr:col>9</xdr:col>
      <xdr:colOff>0</xdr:colOff>
      <xdr:row>6</xdr:row>
      <xdr:rowOff>79041</xdr:rowOff>
    </xdr:from>
    <xdr:to>
      <xdr:col>9</xdr:col>
      <xdr:colOff>742950</xdr:colOff>
      <xdr:row>6</xdr:row>
      <xdr:rowOff>79041</xdr:rowOff>
    </xdr:to>
    <xdr:sp macro="" textlink="">
      <xdr:nvSpPr>
        <xdr:cNvPr id="2" name="Line 2">
          <a:extLst>
            <a:ext uri="{FF2B5EF4-FFF2-40B4-BE49-F238E27FC236}">
              <a16:creationId xmlns:a16="http://schemas.microsoft.com/office/drawing/2014/main" id="{A1DA3741-621B-4D9F-85DC-53028D7DFB65}"/>
            </a:ext>
          </a:extLst>
        </xdr:cNvPr>
        <xdr:cNvSpPr>
          <a:spLocks noChangeShapeType="1"/>
        </xdr:cNvSpPr>
      </xdr:nvSpPr>
      <xdr:spPr bwMode="auto">
        <a:xfrm>
          <a:off x="5873750" y="12156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9</xdr:col>
      <xdr:colOff>0</xdr:colOff>
      <xdr:row>13</xdr:row>
      <xdr:rowOff>79041</xdr:rowOff>
    </xdr:from>
    <xdr:to>
      <xdr:col>9</xdr:col>
      <xdr:colOff>742950</xdr:colOff>
      <xdr:row>13</xdr:row>
      <xdr:rowOff>79041</xdr:rowOff>
    </xdr:to>
    <xdr:sp macro="" textlink="">
      <xdr:nvSpPr>
        <xdr:cNvPr id="31" name="Line 2">
          <a:extLst>
            <a:ext uri="{FF2B5EF4-FFF2-40B4-BE49-F238E27FC236}">
              <a16:creationId xmlns:a16="http://schemas.microsoft.com/office/drawing/2014/main" id="{7D054771-57A3-4F64-ADDA-681A5F19B4CB}"/>
            </a:ext>
          </a:extLst>
        </xdr:cNvPr>
        <xdr:cNvSpPr>
          <a:spLocks noChangeShapeType="1"/>
        </xdr:cNvSpPr>
      </xdr:nvSpPr>
      <xdr:spPr bwMode="auto">
        <a:xfrm>
          <a:off x="5873750" y="1799891"/>
          <a:ext cx="742950" cy="0"/>
        </a:xfrm>
        <a:prstGeom prst="line">
          <a:avLst/>
        </a:prstGeom>
        <a:noFill/>
        <a:ln w="9525">
          <a:solidFill>
            <a:schemeClr val="tx1">
              <a:lumMod val="50000"/>
              <a:lumOff val="50000"/>
            </a:schemeClr>
          </a:solidFill>
          <a:round/>
          <a:headEnd/>
          <a:tailEnd type="triangle" w="med" len="sm"/>
        </a:ln>
        <a:extLst>
          <a:ext uri="{909E8E84-426E-40DD-AFC4-6F175D3DCCD1}">
            <a14:hiddenFill xmlns:a14="http://schemas.microsoft.com/office/drawing/2010/main">
              <a:no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100260</xdr:colOff>
      <xdr:row>5</xdr:row>
      <xdr:rowOff>7521</xdr:rowOff>
    </xdr:from>
    <xdr:to>
      <xdr:col>0</xdr:col>
      <xdr:colOff>1466145</xdr:colOff>
      <xdr:row>36</xdr:row>
      <xdr:rowOff>45475</xdr:rowOff>
    </xdr:to>
    <xdr:grpSp>
      <xdr:nvGrpSpPr>
        <xdr:cNvPr id="23" name="Grupo 22">
          <a:extLst>
            <a:ext uri="{FF2B5EF4-FFF2-40B4-BE49-F238E27FC236}">
              <a16:creationId xmlns:a16="http://schemas.microsoft.com/office/drawing/2014/main" id="{DF2FCA91-A9AE-40B3-876F-A614CDDCABE6}"/>
            </a:ext>
          </a:extLst>
        </xdr:cNvPr>
        <xdr:cNvGrpSpPr/>
      </xdr:nvGrpSpPr>
      <xdr:grpSpPr>
        <a:xfrm>
          <a:off x="100260" y="488784"/>
          <a:ext cx="1365885" cy="3356665"/>
          <a:chOff x="100260" y="515521"/>
          <a:chExt cx="1365885" cy="3463278"/>
        </a:xfrm>
      </xdr:grpSpPr>
      <xdr:sp macro="" textlink="">
        <xdr:nvSpPr>
          <xdr:cNvPr id="24" name="26 Rectángulo redondeado">
            <a:hlinkClick xmlns:r="http://schemas.openxmlformats.org/officeDocument/2006/relationships" r:id="rId1" tooltip="Grupo F"/>
            <a:extLst>
              <a:ext uri="{FF2B5EF4-FFF2-40B4-BE49-F238E27FC236}">
                <a16:creationId xmlns:a16="http://schemas.microsoft.com/office/drawing/2014/main" id="{C8A00902-5C65-BC72-93B4-E314127AEF1C}"/>
              </a:ext>
            </a:extLst>
          </xdr:cNvPr>
          <xdr:cNvSpPr/>
        </xdr:nvSpPr>
        <xdr:spPr bwMode="auto">
          <a:xfrm>
            <a:off x="818145" y="1295326"/>
            <a:ext cx="648000" cy="18167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F</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5" name="27 Rectángulo redondeado">
            <a:hlinkClick xmlns:r="http://schemas.openxmlformats.org/officeDocument/2006/relationships" r:id="rId2" tooltip="Grupo G"/>
            <a:extLst>
              <a:ext uri="{FF2B5EF4-FFF2-40B4-BE49-F238E27FC236}">
                <a16:creationId xmlns:a16="http://schemas.microsoft.com/office/drawing/2014/main" id="{1D972495-01E2-763E-EDB7-72C0776B1690}"/>
              </a:ext>
            </a:extLst>
          </xdr:cNvPr>
          <xdr:cNvSpPr/>
        </xdr:nvSpPr>
        <xdr:spPr bwMode="auto">
          <a:xfrm>
            <a:off x="109620" y="1527876"/>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G</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6" name="28 Rectángulo redondeado">
            <a:hlinkClick xmlns:r="http://schemas.openxmlformats.org/officeDocument/2006/relationships" r:id="rId3" tooltip="Grupo H"/>
            <a:extLst>
              <a:ext uri="{FF2B5EF4-FFF2-40B4-BE49-F238E27FC236}">
                <a16:creationId xmlns:a16="http://schemas.microsoft.com/office/drawing/2014/main" id="{56360029-4BE5-60B2-224C-C8F945EC8781}"/>
              </a:ext>
            </a:extLst>
          </xdr:cNvPr>
          <xdr:cNvSpPr/>
        </xdr:nvSpPr>
        <xdr:spPr bwMode="auto">
          <a:xfrm>
            <a:off x="818145" y="1531525"/>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H</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7" name="22 Rectángulo redondeado">
            <a:hlinkClick xmlns:r="http://schemas.openxmlformats.org/officeDocument/2006/relationships" r:id="rId4" tooltip="Grupo A"/>
            <a:extLst>
              <a:ext uri="{FF2B5EF4-FFF2-40B4-BE49-F238E27FC236}">
                <a16:creationId xmlns:a16="http://schemas.microsoft.com/office/drawing/2014/main" id="{C9F15565-8279-527C-3FAD-289EA926F2AB}"/>
              </a:ext>
            </a:extLst>
          </xdr:cNvPr>
          <xdr:cNvSpPr/>
        </xdr:nvSpPr>
        <xdr:spPr bwMode="auto">
          <a:xfrm>
            <a:off x="109620" y="822930"/>
            <a:ext cx="648000" cy="181671"/>
          </a:xfrm>
          <a:prstGeom prst="roundRect">
            <a:avLst/>
          </a:prstGeom>
          <a:solidFill>
            <a:schemeClr val="tx1">
              <a:lumMod val="50000"/>
              <a:lumOff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A</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8" name="23 Rectángulo redondeado">
            <a:hlinkClick xmlns:r="http://schemas.openxmlformats.org/officeDocument/2006/relationships" r:id="rId5" tooltip="Grupo B"/>
            <a:extLst>
              <a:ext uri="{FF2B5EF4-FFF2-40B4-BE49-F238E27FC236}">
                <a16:creationId xmlns:a16="http://schemas.microsoft.com/office/drawing/2014/main" id="{9449A509-CC92-F1D2-F683-C61C1E8FCD18}"/>
              </a:ext>
            </a:extLst>
          </xdr:cNvPr>
          <xdr:cNvSpPr/>
        </xdr:nvSpPr>
        <xdr:spPr bwMode="auto">
          <a:xfrm>
            <a:off x="818145" y="822930"/>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B</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29" name="24 Rectángulo redondeado">
            <a:hlinkClick xmlns:r="http://schemas.openxmlformats.org/officeDocument/2006/relationships" r:id="rId6" tooltip="Grupo D"/>
            <a:extLst>
              <a:ext uri="{FF2B5EF4-FFF2-40B4-BE49-F238E27FC236}">
                <a16:creationId xmlns:a16="http://schemas.microsoft.com/office/drawing/2014/main" id="{C4C79DFA-D6FA-8E3E-27C3-D8E7591BA711}"/>
              </a:ext>
            </a:extLst>
          </xdr:cNvPr>
          <xdr:cNvSpPr/>
        </xdr:nvSpPr>
        <xdr:spPr bwMode="auto">
          <a:xfrm>
            <a:off x="818145" y="1059128"/>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D</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0" name="25 Rectángulo redondeado">
            <a:hlinkClick xmlns:r="http://schemas.openxmlformats.org/officeDocument/2006/relationships" r:id="rId7" tooltip="Grupo E"/>
            <a:extLst>
              <a:ext uri="{FF2B5EF4-FFF2-40B4-BE49-F238E27FC236}">
                <a16:creationId xmlns:a16="http://schemas.microsoft.com/office/drawing/2014/main" id="{90F44BFB-C591-1D95-4641-AA35680D5504}"/>
              </a:ext>
            </a:extLst>
          </xdr:cNvPr>
          <xdr:cNvSpPr/>
        </xdr:nvSpPr>
        <xdr:spPr bwMode="auto">
          <a:xfrm>
            <a:off x="109620" y="1293451"/>
            <a:ext cx="648000"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E</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1" name="33 Rectángulo redondeado">
            <a:hlinkClick xmlns:r="http://schemas.openxmlformats.org/officeDocument/2006/relationships" r:id="rId8" tooltip="Grupo C"/>
            <a:extLst>
              <a:ext uri="{FF2B5EF4-FFF2-40B4-BE49-F238E27FC236}">
                <a16:creationId xmlns:a16="http://schemas.microsoft.com/office/drawing/2014/main" id="{5F4F6A3F-07E5-4B60-9480-EB1B4AF15148}"/>
              </a:ext>
            </a:extLst>
          </xdr:cNvPr>
          <xdr:cNvSpPr/>
        </xdr:nvSpPr>
        <xdr:spPr bwMode="auto">
          <a:xfrm>
            <a:off x="109620" y="1057355"/>
            <a:ext cx="648000" cy="183342"/>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C</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2" name="34 Rectángulo redondeado">
            <a:hlinkClick xmlns:r="http://schemas.openxmlformats.org/officeDocument/2006/relationships" r:id="rId9" tooltip="Inicio"/>
            <a:extLst>
              <a:ext uri="{FF2B5EF4-FFF2-40B4-BE49-F238E27FC236}">
                <a16:creationId xmlns:a16="http://schemas.microsoft.com/office/drawing/2014/main" id="{0BC038F3-ABCB-1F49-6EF4-60EBD184980D}"/>
              </a:ext>
            </a:extLst>
          </xdr:cNvPr>
          <xdr:cNvSpPr/>
        </xdr:nvSpPr>
        <xdr:spPr bwMode="auto">
          <a:xfrm>
            <a:off x="102935" y="515521"/>
            <a:ext cx="1362075" cy="181671"/>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a:outerShdw blurRad="50800" dist="38100" dir="8100000" algn="tr" rotWithShape="0">
              <a:prstClr val="black">
                <a:alpha val="40000"/>
              </a:prstClr>
            </a:outerShdw>
          </a:effectLst>
        </xdr:spPr>
        <xdr:txBody>
          <a:bodyPr vertOverflow="clip" horzOverflow="clip" wrap="square" lIns="18288" tIns="0" rIns="0" bIns="0" rtlCol="0" anchor="ctr" upright="1"/>
          <a:lstStyle/>
          <a:p>
            <a:pPr algn="ctr"/>
            <a:r>
              <a:rPr lang="es-CO" sz="1000" b="0" u="none">
                <a:solidFill>
                  <a:schemeClr val="bg1">
                    <a:lumMod val="85000"/>
                  </a:schemeClr>
                </a:solidFill>
                <a:latin typeface="Arial" panose="020B0604020202020204" pitchFamily="34" charset="0"/>
                <a:cs typeface="Arial" panose="020B0604020202020204" pitchFamily="34" charset="0"/>
              </a:rPr>
              <a:t>Inicio</a:t>
            </a:r>
          </a:p>
        </xdr:txBody>
      </xdr:sp>
      <xdr:sp macro="" textlink="">
        <xdr:nvSpPr>
          <xdr:cNvPr id="33" name="28 Rectángulo redondeado">
            <a:hlinkClick xmlns:r="http://schemas.openxmlformats.org/officeDocument/2006/relationships" r:id="rId10" tooltip="Grupo I"/>
            <a:extLst>
              <a:ext uri="{FF2B5EF4-FFF2-40B4-BE49-F238E27FC236}">
                <a16:creationId xmlns:a16="http://schemas.microsoft.com/office/drawing/2014/main" id="{0B63DEDB-54BF-860F-6EEF-DD81A5797A33}"/>
              </a:ext>
            </a:extLst>
          </xdr:cNvPr>
          <xdr:cNvSpPr/>
        </xdr:nvSpPr>
        <xdr:spPr bwMode="auto">
          <a:xfrm>
            <a:off x="109620" y="1762301"/>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I</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4" name="28 Rectángulo redondeado">
            <a:hlinkClick xmlns:r="http://schemas.openxmlformats.org/officeDocument/2006/relationships" r:id="rId11" tooltip="Grupo J"/>
            <a:extLst>
              <a:ext uri="{FF2B5EF4-FFF2-40B4-BE49-F238E27FC236}">
                <a16:creationId xmlns:a16="http://schemas.microsoft.com/office/drawing/2014/main" id="{7F29E094-8998-BFF3-7111-8E28BB865C51}"/>
              </a:ext>
            </a:extLst>
          </xdr:cNvPr>
          <xdr:cNvSpPr/>
        </xdr:nvSpPr>
        <xdr:spPr bwMode="auto">
          <a:xfrm>
            <a:off x="818145" y="1767723"/>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J</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5" name="28 Rectángulo redondeado">
            <a:hlinkClick xmlns:r="http://schemas.openxmlformats.org/officeDocument/2006/relationships" r:id="rId12" tooltip="Grupo K"/>
            <a:extLst>
              <a:ext uri="{FF2B5EF4-FFF2-40B4-BE49-F238E27FC236}">
                <a16:creationId xmlns:a16="http://schemas.microsoft.com/office/drawing/2014/main" id="{5DD98BA8-4DAC-5DEA-BC49-3F2276052797}"/>
              </a:ext>
            </a:extLst>
          </xdr:cNvPr>
          <xdr:cNvSpPr/>
        </xdr:nvSpPr>
        <xdr:spPr bwMode="auto">
          <a:xfrm>
            <a:off x="109620" y="1995056"/>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K</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6" name="28 Rectángulo redondeado">
            <a:hlinkClick xmlns:r="http://schemas.openxmlformats.org/officeDocument/2006/relationships" r:id="rId13" tooltip="Grupo L"/>
            <a:extLst>
              <a:ext uri="{FF2B5EF4-FFF2-40B4-BE49-F238E27FC236}">
                <a16:creationId xmlns:a16="http://schemas.microsoft.com/office/drawing/2014/main" id="{1CEF9333-3535-4503-F50B-13A67E3C1848}"/>
              </a:ext>
            </a:extLst>
          </xdr:cNvPr>
          <xdr:cNvSpPr/>
        </xdr:nvSpPr>
        <xdr:spPr bwMode="auto">
          <a:xfrm>
            <a:off x="818145" y="2002252"/>
            <a:ext cx="648000"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900" b="0">
                <a:solidFill>
                  <a:schemeClr val="bg1">
                    <a:lumMod val="85000"/>
                  </a:schemeClr>
                </a:solidFill>
                <a:latin typeface="Arial" panose="020B0604020202020204" pitchFamily="34" charset="0"/>
                <a:cs typeface="Arial" panose="020B0604020202020204" pitchFamily="34" charset="0"/>
              </a:rPr>
              <a:t>GRUPO</a:t>
            </a:r>
            <a:r>
              <a:rPr lang="es-CO" sz="900" b="0" baseline="0">
                <a:solidFill>
                  <a:schemeClr val="bg1">
                    <a:lumMod val="85000"/>
                  </a:schemeClr>
                </a:solidFill>
                <a:latin typeface="Arial" panose="020B0604020202020204" pitchFamily="34" charset="0"/>
                <a:cs typeface="Arial" panose="020B0604020202020204" pitchFamily="34" charset="0"/>
              </a:rPr>
              <a:t> L</a:t>
            </a:r>
            <a:endParaRPr lang="es-CO" sz="900" b="0">
              <a:solidFill>
                <a:schemeClr val="bg1">
                  <a:lumMod val="85000"/>
                </a:schemeClr>
              </a:solidFill>
              <a:latin typeface="Arial" panose="020B0604020202020204" pitchFamily="34" charset="0"/>
              <a:cs typeface="Arial" panose="020B0604020202020204" pitchFamily="34" charset="0"/>
            </a:endParaRPr>
          </a:p>
        </xdr:txBody>
      </xdr:sp>
      <xdr:sp macro="" textlink="">
        <xdr:nvSpPr>
          <xdr:cNvPr id="37" name="28 Rectángulo redondeado">
            <a:hlinkClick xmlns:r="http://schemas.openxmlformats.org/officeDocument/2006/relationships" r:id="rId14" tooltip="Octavos de Final"/>
            <a:extLst>
              <a:ext uri="{FF2B5EF4-FFF2-40B4-BE49-F238E27FC236}">
                <a16:creationId xmlns:a16="http://schemas.microsoft.com/office/drawing/2014/main" id="{F9BFFEE4-5AA4-80D1-06C5-18D0A1BA2612}"/>
              </a:ext>
            </a:extLst>
          </xdr:cNvPr>
          <xdr:cNvSpPr/>
        </xdr:nvSpPr>
        <xdr:spPr bwMode="auto">
          <a:xfrm>
            <a:off x="100260" y="2814884"/>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Octavos de Final</a:t>
            </a:r>
          </a:p>
        </xdr:txBody>
      </xdr:sp>
      <xdr:sp macro="" textlink="">
        <xdr:nvSpPr>
          <xdr:cNvPr id="38" name="29 Rectángulo redondeado">
            <a:hlinkClick xmlns:r="http://schemas.openxmlformats.org/officeDocument/2006/relationships" r:id="rId15" tooltip="Cuartos de Final"/>
            <a:extLst>
              <a:ext uri="{FF2B5EF4-FFF2-40B4-BE49-F238E27FC236}">
                <a16:creationId xmlns:a16="http://schemas.microsoft.com/office/drawing/2014/main" id="{BF8D18F9-D766-3FB9-E032-6CD47BE471C3}"/>
              </a:ext>
            </a:extLst>
          </xdr:cNvPr>
          <xdr:cNvSpPr/>
        </xdr:nvSpPr>
        <xdr:spPr bwMode="auto">
          <a:xfrm>
            <a:off x="100260" y="3059275"/>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Cuartos de Final</a:t>
            </a:r>
          </a:p>
        </xdr:txBody>
      </xdr:sp>
      <xdr:sp macro="" textlink="">
        <xdr:nvSpPr>
          <xdr:cNvPr id="39" name="30 Rectángulo redondeado">
            <a:hlinkClick xmlns:r="http://schemas.openxmlformats.org/officeDocument/2006/relationships" r:id="rId16" tooltip="Semi Final"/>
            <a:extLst>
              <a:ext uri="{FF2B5EF4-FFF2-40B4-BE49-F238E27FC236}">
                <a16:creationId xmlns:a16="http://schemas.microsoft.com/office/drawing/2014/main" id="{C9EFCAAD-CD35-C8A3-7477-0E7E5612706E}"/>
              </a:ext>
            </a:extLst>
          </xdr:cNvPr>
          <xdr:cNvSpPr/>
        </xdr:nvSpPr>
        <xdr:spPr bwMode="auto">
          <a:xfrm>
            <a:off x="100260" y="3303666"/>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Semi Final</a:t>
            </a:r>
          </a:p>
        </xdr:txBody>
      </xdr:sp>
      <xdr:sp macro="" textlink="">
        <xdr:nvSpPr>
          <xdr:cNvPr id="40" name="31 Rectángulo redondeado">
            <a:hlinkClick xmlns:r="http://schemas.openxmlformats.org/officeDocument/2006/relationships" r:id="rId17" tooltip="FINAL"/>
            <a:extLst>
              <a:ext uri="{FF2B5EF4-FFF2-40B4-BE49-F238E27FC236}">
                <a16:creationId xmlns:a16="http://schemas.microsoft.com/office/drawing/2014/main" id="{44CE5E6F-2F91-7564-B7C6-31F15665381E}"/>
              </a:ext>
            </a:extLst>
          </xdr:cNvPr>
          <xdr:cNvSpPr/>
        </xdr:nvSpPr>
        <xdr:spPr bwMode="auto">
          <a:xfrm>
            <a:off x="100260" y="3548057"/>
            <a:ext cx="1362075" cy="182674"/>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FINAL</a:t>
            </a:r>
          </a:p>
        </xdr:txBody>
      </xdr:sp>
      <xdr:sp macro="" textlink="">
        <xdr:nvSpPr>
          <xdr:cNvPr id="41" name="36 Rectángulo redondeado">
            <a:hlinkClick xmlns:r="http://schemas.openxmlformats.org/officeDocument/2006/relationships" r:id="rId18" tooltip="Resumen General"/>
            <a:extLst>
              <a:ext uri="{FF2B5EF4-FFF2-40B4-BE49-F238E27FC236}">
                <a16:creationId xmlns:a16="http://schemas.microsoft.com/office/drawing/2014/main" id="{5F9E3B94-E8B9-603C-7536-CB60A4BA5C51}"/>
              </a:ext>
            </a:extLst>
          </xdr:cNvPr>
          <xdr:cNvSpPr/>
        </xdr:nvSpPr>
        <xdr:spPr bwMode="auto">
          <a:xfrm>
            <a:off x="100260" y="3795123"/>
            <a:ext cx="1362075" cy="183676"/>
          </a:xfrm>
          <a:prstGeom prst="roundRect">
            <a:avLst/>
          </a:prstGeom>
          <a:solidFill>
            <a:schemeClr val="accent6">
              <a:lumMod val="60000"/>
              <a:lumOff val="40000"/>
            </a:schemeClr>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1">
                <a:solidFill>
                  <a:sysClr val="windowText" lastClr="000000"/>
                </a:solidFill>
                <a:latin typeface="Arial" panose="020B0604020202020204" pitchFamily="34" charset="0"/>
                <a:cs typeface="Arial" panose="020B0604020202020204" pitchFamily="34" charset="0"/>
              </a:rPr>
              <a:t>Resumen</a:t>
            </a:r>
          </a:p>
        </xdr:txBody>
      </xdr:sp>
      <xdr:sp macro="" textlink="">
        <xdr:nvSpPr>
          <xdr:cNvPr id="42" name="28 Rectángulo redondeado">
            <a:hlinkClick xmlns:r="http://schemas.openxmlformats.org/officeDocument/2006/relationships" r:id="rId19" tooltip="16vos Final"/>
            <a:extLst>
              <a:ext uri="{FF2B5EF4-FFF2-40B4-BE49-F238E27FC236}">
                <a16:creationId xmlns:a16="http://schemas.microsoft.com/office/drawing/2014/main" id="{4BF04658-D17A-3865-3FC4-24280793D557}"/>
              </a:ext>
            </a:extLst>
          </xdr:cNvPr>
          <xdr:cNvSpPr/>
        </xdr:nvSpPr>
        <xdr:spPr bwMode="auto">
          <a:xfrm>
            <a:off x="100260" y="2570493"/>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Dieciseisavos de final</a:t>
            </a:r>
          </a:p>
        </xdr:txBody>
      </xdr:sp>
      <xdr:sp macro="" textlink="">
        <xdr:nvSpPr>
          <xdr:cNvPr id="43" name="28 Rectángulo redondeado">
            <a:hlinkClick xmlns:r="http://schemas.openxmlformats.org/officeDocument/2006/relationships" r:id="rId20" tooltip="Mejores 3ros"/>
            <a:extLst>
              <a:ext uri="{FF2B5EF4-FFF2-40B4-BE49-F238E27FC236}">
                <a16:creationId xmlns:a16="http://schemas.microsoft.com/office/drawing/2014/main" id="{DD195670-CCAB-AC83-E98E-354AA9D13C12}"/>
              </a:ext>
            </a:extLst>
          </xdr:cNvPr>
          <xdr:cNvSpPr/>
        </xdr:nvSpPr>
        <xdr:spPr bwMode="auto">
          <a:xfrm>
            <a:off x="100260" y="2326102"/>
            <a:ext cx="1362075" cy="180000"/>
          </a:xfrm>
          <a:prstGeom prst="roundRect">
            <a:avLst/>
          </a:prstGeom>
          <a:solidFill>
            <a:schemeClr val="bg1">
              <a:lumMod val="50000"/>
            </a:schemeClr>
          </a:solidFill>
          <a:ln w="9525" cap="flat" cmpd="sng" algn="ctr">
            <a:solidFill>
              <a:schemeClr val="bg1">
                <a:lumMod val="65000"/>
              </a:schemeClr>
            </a:solidFill>
            <a:prstDash val="solid"/>
            <a:round/>
            <a:headEnd type="none" w="med" len="med"/>
            <a:tailEnd type="none" w="med" len="med"/>
          </a:ln>
          <a:effectLst/>
        </xdr:spPr>
        <xdr:txBody>
          <a:bodyPr vertOverflow="clip" horzOverflow="clip" wrap="square" lIns="18288" tIns="0" rIns="0" bIns="0" rtlCol="0" anchor="ctr" upright="1"/>
          <a:lstStyle/>
          <a:p>
            <a:pPr algn="ctr"/>
            <a:r>
              <a:rPr lang="es-CO" sz="1000" b="0">
                <a:solidFill>
                  <a:schemeClr val="bg1">
                    <a:lumMod val="85000"/>
                  </a:schemeClr>
                </a:solidFill>
                <a:latin typeface="Arial" panose="020B0604020202020204" pitchFamily="34" charset="0"/>
                <a:cs typeface="Arial" panose="020B0604020202020204" pitchFamily="34" charset="0"/>
              </a:rPr>
              <a:t>Mejores 3ros</a:t>
            </a:r>
          </a:p>
        </xdr:txBody>
      </xdr:sp>
    </xdr:grpSp>
    <xdr:clientData/>
  </xdr:twoCellAnchor>
  <mc:AlternateContent xmlns:mc="http://schemas.openxmlformats.org/markup-compatibility/2006">
    <mc:Choice xmlns:a14="http://schemas.microsoft.com/office/drawing/2010/main" Requires="a14">
      <xdr:twoCellAnchor editAs="oneCell">
        <xdr:from>
          <xdr:col>16</xdr:col>
          <xdr:colOff>1168</xdr:colOff>
          <xdr:row>0</xdr:row>
          <xdr:rowOff>0</xdr:rowOff>
        </xdr:from>
        <xdr:to>
          <xdr:col>23</xdr:col>
          <xdr:colOff>373146</xdr:colOff>
          <xdr:row>4</xdr:row>
          <xdr:rowOff>60158</xdr:rowOff>
        </xdr:to>
        <xdr:pic>
          <xdr:nvPicPr>
            <xdr:cNvPr id="2" name="Imagen 1">
              <a:extLst>
                <a:ext uri="{FF2B5EF4-FFF2-40B4-BE49-F238E27FC236}">
                  <a16:creationId xmlns:a16="http://schemas.microsoft.com/office/drawing/2014/main" id="{2833144C-6FEE-8656-4D77-C06343DCCCAC}"/>
                </a:ext>
              </a:extLst>
            </xdr:cNvPr>
            <xdr:cNvPicPr>
              <a:picLocks noChangeAspect="1" noChangeArrowheads="1"/>
              <a:extLst>
                <a:ext uri="{84589F7E-364E-4C9E-8A38-B11213B215E9}">
                  <a14:cameraTool cellRange="$AV$7:$AX$12" spid="_x0000_s231698"/>
                </a:ext>
              </a:extLst>
            </xdr:cNvPicPr>
          </xdr:nvPicPr>
          <xdr:blipFill rotWithShape="1">
            <a:blip xmlns:r="http://schemas.openxmlformats.org/officeDocument/2006/relationships" r:embed="rId21"/>
            <a:srcRect l="947" t="7189" r="4725" b="6086"/>
            <a:stretch>
              <a:fillRect/>
            </a:stretch>
          </xdr:blipFill>
          <xdr:spPr bwMode="auto">
            <a:xfrm>
              <a:off x="5181431" y="0"/>
              <a:ext cx="2136610" cy="50131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589400</xdr:colOff>
          <xdr:row>0</xdr:row>
          <xdr:rowOff>30098</xdr:rowOff>
        </xdr:from>
        <xdr:to>
          <xdr:col>34</xdr:col>
          <xdr:colOff>35390</xdr:colOff>
          <xdr:row>4</xdr:row>
          <xdr:rowOff>53473</xdr:rowOff>
        </xdr:to>
        <xdr:pic>
          <xdr:nvPicPr>
            <xdr:cNvPr id="3" name="Imagen 2">
              <a:extLst>
                <a:ext uri="{FF2B5EF4-FFF2-40B4-BE49-F238E27FC236}">
                  <a16:creationId xmlns:a16="http://schemas.microsoft.com/office/drawing/2014/main" id="{B6E593D0-2C34-6FB0-276E-CB92552FBEAE}"/>
                </a:ext>
              </a:extLst>
            </xdr:cNvPr>
            <xdr:cNvPicPr>
              <a:picLocks noChangeAspect="1" noChangeArrowheads="1"/>
              <a:extLst>
                <a:ext uri="{84589F7E-364E-4C9E-8A38-B11213B215E9}">
                  <a14:cameraTool cellRange="$AZ$7:$BB$12" spid="_x0000_s231699"/>
                </a:ext>
              </a:extLst>
            </xdr:cNvPicPr>
          </xdr:nvPicPr>
          <xdr:blipFill rotWithShape="1">
            <a:blip xmlns:r="http://schemas.openxmlformats.org/officeDocument/2006/relationships" r:embed="rId22"/>
            <a:srcRect l="1476" t="12402" r="4623" b="11658"/>
            <a:stretch>
              <a:fillRect/>
            </a:stretch>
          </xdr:blipFill>
          <xdr:spPr bwMode="auto">
            <a:xfrm>
              <a:off x="7534295" y="30098"/>
              <a:ext cx="2253358" cy="464533"/>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21.xml><?xml version="1.0" encoding="utf-8"?>
<xdr:wsDr xmlns:xdr="http://schemas.openxmlformats.org/drawingml/2006/spreadsheetDrawing" xmlns:a="http://schemas.openxmlformats.org/drawingml/2006/main">
  <xdr:twoCellAnchor editAs="oneCell">
    <xdr:from>
      <xdr:col>1</xdr:col>
      <xdr:colOff>171450</xdr:colOff>
      <xdr:row>1</xdr:row>
      <xdr:rowOff>15877</xdr:rowOff>
    </xdr:from>
    <xdr:to>
      <xdr:col>1</xdr:col>
      <xdr:colOff>805782</xdr:colOff>
      <xdr:row>1</xdr:row>
      <xdr:rowOff>1498601</xdr:rowOff>
    </xdr:to>
    <xdr:pic>
      <xdr:nvPicPr>
        <xdr:cNvPr id="2" name="Picture 6" descr="cup_fifaworld2">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rot="165905">
          <a:off x="1149350" y="174627"/>
          <a:ext cx="634332" cy="1482724"/>
        </a:xfrm>
        <a:prstGeom prst="rect">
          <a:avLst/>
        </a:prstGeom>
        <a:noFill/>
        <a:ln>
          <a:noFill/>
        </a:ln>
        <a:effectLst>
          <a:outerShdw blurRad="50800" dist="38100" dir="10800000" algn="r"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419100</xdr:colOff>
      <xdr:row>1</xdr:row>
      <xdr:rowOff>381000</xdr:rowOff>
    </xdr:from>
    <xdr:to>
      <xdr:col>7</xdr:col>
      <xdr:colOff>1352550</xdr:colOff>
      <xdr:row>1</xdr:row>
      <xdr:rowOff>904875</xdr:rowOff>
    </xdr:to>
    <xdr:sp macro="" textlink="">
      <xdr:nvSpPr>
        <xdr:cNvPr id="3" name="Text Box 9">
          <a:extLst>
            <a:ext uri="{FF2B5EF4-FFF2-40B4-BE49-F238E27FC236}">
              <a16:creationId xmlns:a16="http://schemas.microsoft.com/office/drawing/2014/main" id="{00000000-0008-0000-0E00-000003000000}"/>
            </a:ext>
          </a:extLst>
        </xdr:cNvPr>
        <xdr:cNvSpPr txBox="1">
          <a:spLocks noChangeArrowheads="1"/>
        </xdr:cNvSpPr>
      </xdr:nvSpPr>
      <xdr:spPr bwMode="auto">
        <a:xfrm>
          <a:off x="2114550" y="542925"/>
          <a:ext cx="4676775" cy="5238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D4" mc:Ignorable="a14" a14:legacySpreadsheetColorIndex="12"/>
          </a:solidFill>
          <a:miter lim="800000"/>
          <a:headEnd/>
          <a:tailEnd/>
        </a:ln>
      </xdr:spPr>
      <xdr:txBody>
        <a:bodyPr vertOverflow="clip" wrap="square" lIns="27432" tIns="22860" rIns="0" bIns="0" anchor="t" upright="1"/>
        <a:lstStyle/>
        <a:p>
          <a:pPr algn="l" rtl="0">
            <a:defRPr sz="1000"/>
          </a:pPr>
          <a:r>
            <a:rPr lang="es-CO" sz="1000" b="0" i="0" u="none" strike="noStrike" baseline="0">
              <a:solidFill>
                <a:srgbClr val="0000FF"/>
              </a:solidFill>
              <a:latin typeface="Arial"/>
              <a:cs typeface="Arial"/>
            </a:rPr>
            <a:t>=INDICE(Hoja1!$A$2:$B$5,COINCIDIR(FINAL!$P$17,Hoja1!$A$2:$A$5,0),2)</a:t>
          </a:r>
        </a:p>
      </xdr:txBody>
    </xdr:sp>
    <xdr:clientData/>
  </xdr:twoCellAnchor>
  <xdr:twoCellAnchor editAs="oneCell">
    <xdr:from>
      <xdr:col>7</xdr:col>
      <xdr:colOff>1941512</xdr:colOff>
      <xdr:row>4</xdr:row>
      <xdr:rowOff>1144593</xdr:rowOff>
    </xdr:from>
    <xdr:to>
      <xdr:col>12</xdr:col>
      <xdr:colOff>552450</xdr:colOff>
      <xdr:row>5</xdr:row>
      <xdr:rowOff>354018</xdr:rowOff>
    </xdr:to>
    <xdr:sp macro="" textlink="">
      <xdr:nvSpPr>
        <xdr:cNvPr id="36" name="Text Box 9">
          <a:extLst>
            <a:ext uri="{FF2B5EF4-FFF2-40B4-BE49-F238E27FC236}">
              <a16:creationId xmlns:a16="http://schemas.microsoft.com/office/drawing/2014/main" id="{00000000-0008-0000-0E00-000024000000}"/>
            </a:ext>
          </a:extLst>
        </xdr:cNvPr>
        <xdr:cNvSpPr txBox="1">
          <a:spLocks noChangeArrowheads="1"/>
        </xdr:cNvSpPr>
      </xdr:nvSpPr>
      <xdr:spPr bwMode="auto">
        <a:xfrm>
          <a:off x="7745412" y="5456243"/>
          <a:ext cx="3995738" cy="53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D4" mc:Ignorable="a14" a14:legacySpreadsheetColorIndex="12"/>
          </a:solidFill>
          <a:miter lim="800000"/>
          <a:headEnd/>
          <a:tailEnd/>
        </a:ln>
      </xdr:spPr>
      <xdr:txBody>
        <a:bodyPr vertOverflow="clip" wrap="square" lIns="27432" tIns="22860" rIns="0" bIns="0" anchor="t" upright="1"/>
        <a:lstStyle/>
        <a:p>
          <a:pPr algn="l" rtl="0">
            <a:defRPr sz="1000"/>
          </a:pPr>
          <a:r>
            <a:rPr lang="es-CO" sz="800" b="0" i="0" u="none" strike="noStrike" baseline="0">
              <a:solidFill>
                <a:srgbClr val="0000FF"/>
              </a:solidFill>
              <a:latin typeface="Arial"/>
              <a:cs typeface="Arial"/>
            </a:rPr>
            <a:t>=INDICE(Hoja1!$D$6:$E$40,COINCIDIR(FINAL!$Q$17,Hoja1!$D$6:$D$40,0),2)</a:t>
          </a:r>
        </a:p>
      </xdr:txBody>
    </xdr:sp>
    <xdr:clientData/>
  </xdr:twoCellAnchor>
  <xdr:twoCellAnchor editAs="oneCell">
    <xdr:from>
      <xdr:col>6</xdr:col>
      <xdr:colOff>528637</xdr:colOff>
      <xdr:row>61</xdr:row>
      <xdr:rowOff>12705</xdr:rowOff>
    </xdr:from>
    <xdr:to>
      <xdr:col>11</xdr:col>
      <xdr:colOff>134938</xdr:colOff>
      <xdr:row>62</xdr:row>
      <xdr:rowOff>161930</xdr:rowOff>
    </xdr:to>
    <xdr:sp macro="" textlink="">
      <xdr:nvSpPr>
        <xdr:cNvPr id="38" name="Text Box 9">
          <a:extLst>
            <a:ext uri="{FF2B5EF4-FFF2-40B4-BE49-F238E27FC236}">
              <a16:creationId xmlns:a16="http://schemas.microsoft.com/office/drawing/2014/main" id="{00000000-0008-0000-0E00-000026000000}"/>
            </a:ext>
          </a:extLst>
        </xdr:cNvPr>
        <xdr:cNvSpPr txBox="1">
          <a:spLocks noChangeArrowheads="1"/>
        </xdr:cNvSpPr>
      </xdr:nvSpPr>
      <xdr:spPr bwMode="auto">
        <a:xfrm>
          <a:off x="5330825" y="13768393"/>
          <a:ext cx="4884738" cy="5238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D4" mc:Ignorable="a14" a14:legacySpreadsheetColorIndex="12"/>
          </a:solidFill>
          <a:miter lim="800000"/>
          <a:headEnd/>
          <a:tailEnd/>
        </a:ln>
      </xdr:spPr>
      <xdr:txBody>
        <a:bodyPr vertOverflow="clip" wrap="square" lIns="27432" tIns="22860" rIns="0" bIns="0" anchor="t" upright="1"/>
        <a:lstStyle/>
        <a:p>
          <a:pPr algn="l" rtl="0">
            <a:defRPr sz="1000"/>
          </a:pPr>
          <a:r>
            <a:rPr lang="es-CO" sz="1000" b="0" i="0" u="none" strike="noStrike" baseline="0">
              <a:solidFill>
                <a:srgbClr val="0000FF"/>
              </a:solidFill>
              <a:latin typeface="Arial"/>
              <a:cs typeface="Arial"/>
            </a:rPr>
            <a:t>=INDICE(Hoja1!$G$41:$H$44,COINCIDIR(FINAL!$P$17,Hoja1!$G$41:$G$44,0),2)</a:t>
          </a:r>
        </a:p>
      </xdr:txBody>
    </xdr:sp>
    <xdr:clientData/>
  </xdr:twoCellAnchor>
  <xdr:oneCellAnchor>
    <xdr:from>
      <xdr:col>4</xdr:col>
      <xdr:colOff>93281</xdr:colOff>
      <xdr:row>5</xdr:row>
      <xdr:rowOff>47625</xdr:rowOff>
    </xdr:from>
    <xdr:ext cx="438260" cy="288000"/>
    <xdr:pic>
      <xdr:nvPicPr>
        <xdr:cNvPr id="4" name="Imagen 3">
          <a:extLst>
            <a:ext uri="{FF2B5EF4-FFF2-40B4-BE49-F238E27FC236}">
              <a16:creationId xmlns:a16="http://schemas.microsoft.com/office/drawing/2014/main" id="{52E4CBD3-3479-4F09-9453-FBFEE4E09003}"/>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106481" y="5680075"/>
          <a:ext cx="438260"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96842</xdr:colOff>
      <xdr:row>6</xdr:row>
      <xdr:rowOff>44450</xdr:rowOff>
    </xdr:from>
    <xdr:to>
      <xdr:col>4</xdr:col>
      <xdr:colOff>527980</xdr:colOff>
      <xdr:row>6</xdr:row>
      <xdr:rowOff>332450</xdr:rowOff>
    </xdr:to>
    <xdr:pic>
      <xdr:nvPicPr>
        <xdr:cNvPr id="5" name="Picture 2">
          <a:extLst>
            <a:ext uri="{FF2B5EF4-FFF2-40B4-BE49-F238E27FC236}">
              <a16:creationId xmlns:a16="http://schemas.microsoft.com/office/drawing/2014/main" id="{0E0C47C8-BDF9-5B56-427A-F4845393268D}"/>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4110042" y="6057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96842</xdr:colOff>
      <xdr:row>9</xdr:row>
      <xdr:rowOff>50800</xdr:rowOff>
    </xdr:from>
    <xdr:to>
      <xdr:col>4</xdr:col>
      <xdr:colOff>527980</xdr:colOff>
      <xdr:row>9</xdr:row>
      <xdr:rowOff>338800</xdr:rowOff>
    </xdr:to>
    <xdr:pic>
      <xdr:nvPicPr>
        <xdr:cNvPr id="8" name="Picture 2">
          <a:extLst>
            <a:ext uri="{FF2B5EF4-FFF2-40B4-BE49-F238E27FC236}">
              <a16:creationId xmlns:a16="http://schemas.microsoft.com/office/drawing/2014/main" id="{3B75965F-883A-7C98-299B-6BE99F07046B}"/>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4110042" y="72072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96842</xdr:colOff>
      <xdr:row>10</xdr:row>
      <xdr:rowOff>44450</xdr:rowOff>
    </xdr:from>
    <xdr:to>
      <xdr:col>4</xdr:col>
      <xdr:colOff>527980</xdr:colOff>
      <xdr:row>10</xdr:row>
      <xdr:rowOff>332450</xdr:rowOff>
    </xdr:to>
    <xdr:pic>
      <xdr:nvPicPr>
        <xdr:cNvPr id="9" name="Picture 4">
          <a:extLst>
            <a:ext uri="{FF2B5EF4-FFF2-40B4-BE49-F238E27FC236}">
              <a16:creationId xmlns:a16="http://schemas.microsoft.com/office/drawing/2014/main" id="{00BC5ED2-8CF8-3734-5F86-6216A22E15EE}"/>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4110042" y="7581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96842</xdr:colOff>
      <xdr:row>11</xdr:row>
      <xdr:rowOff>44450</xdr:rowOff>
    </xdr:from>
    <xdr:to>
      <xdr:col>4</xdr:col>
      <xdr:colOff>527980</xdr:colOff>
      <xdr:row>11</xdr:row>
      <xdr:rowOff>332450</xdr:rowOff>
    </xdr:to>
    <xdr:pic>
      <xdr:nvPicPr>
        <xdr:cNvPr id="41" name="Picture 6">
          <a:extLst>
            <a:ext uri="{FF2B5EF4-FFF2-40B4-BE49-F238E27FC236}">
              <a16:creationId xmlns:a16="http://schemas.microsoft.com/office/drawing/2014/main" id="{4AEEA065-8BF0-5132-F5D8-0FDB2E9AACBB}"/>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4110042" y="7962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102708</xdr:colOff>
      <xdr:row>14</xdr:row>
      <xdr:rowOff>45294</xdr:rowOff>
    </xdr:from>
    <xdr:to>
      <xdr:col>4</xdr:col>
      <xdr:colOff>533846</xdr:colOff>
      <xdr:row>14</xdr:row>
      <xdr:rowOff>333294</xdr:rowOff>
    </xdr:to>
    <xdr:pic>
      <xdr:nvPicPr>
        <xdr:cNvPr id="43" name="Picture 10">
          <a:extLst>
            <a:ext uri="{FF2B5EF4-FFF2-40B4-BE49-F238E27FC236}">
              <a16:creationId xmlns:a16="http://schemas.microsoft.com/office/drawing/2014/main" id="{2CBC721D-5A83-2C5E-F7DA-E95BF56A3A90}"/>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4115908" y="9106744"/>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15</xdr:row>
      <xdr:rowOff>44450</xdr:rowOff>
    </xdr:from>
    <xdr:to>
      <xdr:col>4</xdr:col>
      <xdr:colOff>526388</xdr:colOff>
      <xdr:row>15</xdr:row>
      <xdr:rowOff>332450</xdr:rowOff>
    </xdr:to>
    <xdr:pic>
      <xdr:nvPicPr>
        <xdr:cNvPr id="48" name="Picture 12">
          <a:extLst>
            <a:ext uri="{FF2B5EF4-FFF2-40B4-BE49-F238E27FC236}">
              <a16:creationId xmlns:a16="http://schemas.microsoft.com/office/drawing/2014/main" id="{3E1094F6-734F-AABF-E836-29EB85FD78E5}"/>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4108450" y="9486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16</xdr:row>
      <xdr:rowOff>44450</xdr:rowOff>
    </xdr:from>
    <xdr:to>
      <xdr:col>4</xdr:col>
      <xdr:colOff>522635</xdr:colOff>
      <xdr:row>16</xdr:row>
      <xdr:rowOff>332450</xdr:rowOff>
    </xdr:to>
    <xdr:pic>
      <xdr:nvPicPr>
        <xdr:cNvPr id="49" name="Picture 14">
          <a:extLst>
            <a:ext uri="{FF2B5EF4-FFF2-40B4-BE49-F238E27FC236}">
              <a16:creationId xmlns:a16="http://schemas.microsoft.com/office/drawing/2014/main" id="{95CC385B-D9B3-7FD1-6AAC-93B82759F9BA}"/>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4102100" y="9867900"/>
          <a:ext cx="433735"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18</xdr:row>
      <xdr:rowOff>50800</xdr:rowOff>
    </xdr:from>
    <xdr:to>
      <xdr:col>4</xdr:col>
      <xdr:colOff>526388</xdr:colOff>
      <xdr:row>18</xdr:row>
      <xdr:rowOff>338800</xdr:rowOff>
    </xdr:to>
    <xdr:pic>
      <xdr:nvPicPr>
        <xdr:cNvPr id="51" name="Picture 18">
          <a:extLst>
            <a:ext uri="{FF2B5EF4-FFF2-40B4-BE49-F238E27FC236}">
              <a16:creationId xmlns:a16="http://schemas.microsoft.com/office/drawing/2014/main" id="{C1F4183E-C0AD-FAE5-3893-A6BC1FE9B5FE}"/>
            </a:ext>
          </a:extLst>
        </xdr:cNvPr>
        <xdr:cNvPicPr>
          <a:picLocks noChangeAspect="1"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4108450" y="106362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19</xdr:row>
      <xdr:rowOff>50800</xdr:rowOff>
    </xdr:from>
    <xdr:to>
      <xdr:col>4</xdr:col>
      <xdr:colOff>526388</xdr:colOff>
      <xdr:row>19</xdr:row>
      <xdr:rowOff>338800</xdr:rowOff>
    </xdr:to>
    <xdr:pic>
      <xdr:nvPicPr>
        <xdr:cNvPr id="52" name="Picture 20">
          <a:extLst>
            <a:ext uri="{FF2B5EF4-FFF2-40B4-BE49-F238E27FC236}">
              <a16:creationId xmlns:a16="http://schemas.microsoft.com/office/drawing/2014/main" id="{5309430D-EDF8-3889-0E1E-222745E89738}"/>
            </a:ext>
          </a:extLst>
        </xdr:cNvPr>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4108450" y="110172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21</xdr:row>
      <xdr:rowOff>44450</xdr:rowOff>
    </xdr:from>
    <xdr:to>
      <xdr:col>4</xdr:col>
      <xdr:colOff>539088</xdr:colOff>
      <xdr:row>21</xdr:row>
      <xdr:rowOff>332450</xdr:rowOff>
    </xdr:to>
    <xdr:pic>
      <xdr:nvPicPr>
        <xdr:cNvPr id="10" name="Picture 2">
          <a:extLst>
            <a:ext uri="{FF2B5EF4-FFF2-40B4-BE49-F238E27FC236}">
              <a16:creationId xmlns:a16="http://schemas.microsoft.com/office/drawing/2014/main" id="{DBFDCD5B-82CF-97E2-3B00-FDD0AAA884DF}"/>
            </a:ext>
          </a:extLst>
        </xdr:cNvPr>
        <xdr:cNvPicPr>
          <a:picLocks noChangeAspect="1"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4121150" y="11772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22</xdr:row>
      <xdr:rowOff>44450</xdr:rowOff>
    </xdr:from>
    <xdr:to>
      <xdr:col>4</xdr:col>
      <xdr:colOff>528985</xdr:colOff>
      <xdr:row>22</xdr:row>
      <xdr:rowOff>332450</xdr:rowOff>
    </xdr:to>
    <xdr:pic>
      <xdr:nvPicPr>
        <xdr:cNvPr id="11" name="Picture 4">
          <a:extLst>
            <a:ext uri="{FF2B5EF4-FFF2-40B4-BE49-F238E27FC236}">
              <a16:creationId xmlns:a16="http://schemas.microsoft.com/office/drawing/2014/main" id="{E2E90B1B-228C-622A-E5DC-58D0CBED8FD8}"/>
            </a:ext>
          </a:extLst>
        </xdr:cNvPr>
        <xdr:cNvPicPr>
          <a:picLocks noChangeAspect="1" noChangeArrowheads="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4108450" y="12153900"/>
          <a:ext cx="433735"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23</xdr:row>
      <xdr:rowOff>44450</xdr:rowOff>
    </xdr:from>
    <xdr:to>
      <xdr:col>4</xdr:col>
      <xdr:colOff>526388</xdr:colOff>
      <xdr:row>23</xdr:row>
      <xdr:rowOff>332450</xdr:rowOff>
    </xdr:to>
    <xdr:pic>
      <xdr:nvPicPr>
        <xdr:cNvPr id="12" name="Picture 6">
          <a:extLst>
            <a:ext uri="{FF2B5EF4-FFF2-40B4-BE49-F238E27FC236}">
              <a16:creationId xmlns:a16="http://schemas.microsoft.com/office/drawing/2014/main" id="{C9E7CBE1-5823-C66D-944B-9A8A3D5F9A5A}"/>
            </a:ext>
          </a:extLst>
        </xdr:cNvPr>
        <xdr:cNvPicPr>
          <a:picLocks noChangeAspect="1"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4108450" y="12534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24</xdr:row>
      <xdr:rowOff>50800</xdr:rowOff>
    </xdr:from>
    <xdr:to>
      <xdr:col>4</xdr:col>
      <xdr:colOff>520038</xdr:colOff>
      <xdr:row>24</xdr:row>
      <xdr:rowOff>338800</xdr:rowOff>
    </xdr:to>
    <xdr:pic>
      <xdr:nvPicPr>
        <xdr:cNvPr id="13" name="Picture 8">
          <a:extLst>
            <a:ext uri="{FF2B5EF4-FFF2-40B4-BE49-F238E27FC236}">
              <a16:creationId xmlns:a16="http://schemas.microsoft.com/office/drawing/2014/main" id="{1AA451F2-9094-AC37-2038-70380515D291}"/>
            </a:ext>
          </a:extLst>
        </xdr:cNvPr>
        <xdr:cNvPicPr>
          <a:picLocks noChangeAspect="1"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4102100" y="129222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25</xdr:row>
      <xdr:rowOff>44450</xdr:rowOff>
    </xdr:from>
    <xdr:to>
      <xdr:col>4</xdr:col>
      <xdr:colOff>526388</xdr:colOff>
      <xdr:row>25</xdr:row>
      <xdr:rowOff>332450</xdr:rowOff>
    </xdr:to>
    <xdr:pic>
      <xdr:nvPicPr>
        <xdr:cNvPr id="14" name="Picture 10">
          <a:extLst>
            <a:ext uri="{FF2B5EF4-FFF2-40B4-BE49-F238E27FC236}">
              <a16:creationId xmlns:a16="http://schemas.microsoft.com/office/drawing/2014/main" id="{516DB094-9A2B-DE7B-48BD-4022BAFAA9D2}"/>
            </a:ext>
          </a:extLst>
        </xdr:cNvPr>
        <xdr:cNvPicPr>
          <a:picLocks noChangeAspect="1" noChangeArrowheads="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4108450" y="13296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27</xdr:row>
      <xdr:rowOff>44450</xdr:rowOff>
    </xdr:from>
    <xdr:to>
      <xdr:col>4</xdr:col>
      <xdr:colOff>539088</xdr:colOff>
      <xdr:row>27</xdr:row>
      <xdr:rowOff>332450</xdr:rowOff>
    </xdr:to>
    <xdr:pic>
      <xdr:nvPicPr>
        <xdr:cNvPr id="16" name="Picture 14">
          <a:extLst>
            <a:ext uri="{FF2B5EF4-FFF2-40B4-BE49-F238E27FC236}">
              <a16:creationId xmlns:a16="http://schemas.microsoft.com/office/drawing/2014/main" id="{72258055-3100-D29B-6640-091DD5EFAC79}"/>
            </a:ext>
          </a:extLst>
        </xdr:cNvPr>
        <xdr:cNvPicPr>
          <a:picLocks noChangeAspect="1" noChangeArrowheads="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bwMode="auto">
        <a:xfrm>
          <a:off x="4121150" y="14058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xdr:colOff>
      <xdr:row>29</xdr:row>
      <xdr:rowOff>44450</xdr:rowOff>
    </xdr:from>
    <xdr:to>
      <xdr:col>4</xdr:col>
      <xdr:colOff>532738</xdr:colOff>
      <xdr:row>29</xdr:row>
      <xdr:rowOff>332450</xdr:rowOff>
    </xdr:to>
    <xdr:pic>
      <xdr:nvPicPr>
        <xdr:cNvPr id="17" name="Picture 16">
          <a:extLst>
            <a:ext uri="{FF2B5EF4-FFF2-40B4-BE49-F238E27FC236}">
              <a16:creationId xmlns:a16="http://schemas.microsoft.com/office/drawing/2014/main" id="{F9B7DB79-66C2-18F2-F26F-EAD5D6C222C6}"/>
            </a:ext>
          </a:extLst>
        </xdr:cNvPr>
        <xdr:cNvPicPr>
          <a:picLocks noChangeAspect="1" noChangeArrowheads="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bwMode="auto">
        <a:xfrm>
          <a:off x="4114800" y="14820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30</xdr:row>
      <xdr:rowOff>44450</xdr:rowOff>
    </xdr:from>
    <xdr:to>
      <xdr:col>4</xdr:col>
      <xdr:colOff>539088</xdr:colOff>
      <xdr:row>30</xdr:row>
      <xdr:rowOff>332450</xdr:rowOff>
    </xdr:to>
    <xdr:pic>
      <xdr:nvPicPr>
        <xdr:cNvPr id="18" name="Picture 18">
          <a:extLst>
            <a:ext uri="{FF2B5EF4-FFF2-40B4-BE49-F238E27FC236}">
              <a16:creationId xmlns:a16="http://schemas.microsoft.com/office/drawing/2014/main" id="{72A8222B-2737-245D-A31A-0C767976A0E4}"/>
            </a:ext>
          </a:extLst>
        </xdr:cNvPr>
        <xdr:cNvPicPr>
          <a:picLocks noChangeAspect="1" noChangeArrowheads="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4121150" y="15201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31</xdr:row>
      <xdr:rowOff>44450</xdr:rowOff>
    </xdr:from>
    <xdr:to>
      <xdr:col>4</xdr:col>
      <xdr:colOff>539088</xdr:colOff>
      <xdr:row>31</xdr:row>
      <xdr:rowOff>332450</xdr:rowOff>
    </xdr:to>
    <xdr:pic>
      <xdr:nvPicPr>
        <xdr:cNvPr id="19" name="Picture 20">
          <a:extLst>
            <a:ext uri="{FF2B5EF4-FFF2-40B4-BE49-F238E27FC236}">
              <a16:creationId xmlns:a16="http://schemas.microsoft.com/office/drawing/2014/main" id="{D4BB33E5-956D-B91E-A55E-661AE0450802}"/>
            </a:ext>
          </a:extLst>
        </xdr:cNvPr>
        <xdr:cNvPicPr>
          <a:picLocks noChangeAspect="1" noChangeArrowheads="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bwMode="auto">
        <a:xfrm>
          <a:off x="4121150" y="15582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32</xdr:row>
      <xdr:rowOff>48742</xdr:rowOff>
    </xdr:from>
    <xdr:to>
      <xdr:col>4</xdr:col>
      <xdr:colOff>539088</xdr:colOff>
      <xdr:row>32</xdr:row>
      <xdr:rowOff>336742</xdr:rowOff>
    </xdr:to>
    <xdr:pic>
      <xdr:nvPicPr>
        <xdr:cNvPr id="20" name="Picture 22">
          <a:extLst>
            <a:ext uri="{FF2B5EF4-FFF2-40B4-BE49-F238E27FC236}">
              <a16:creationId xmlns:a16="http://schemas.microsoft.com/office/drawing/2014/main" id="{29C367DA-28F0-3F4C-24F4-60E8B2CBBDD7}"/>
            </a:ext>
          </a:extLst>
        </xdr:cNvPr>
        <xdr:cNvPicPr>
          <a:picLocks noChangeAspect="1" noChangeArrowheads="1"/>
        </xdr:cNvPicPr>
      </xdr:nvPicPr>
      <xdr:blipFill>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bwMode="auto">
        <a:xfrm>
          <a:off x="4121150" y="15968192"/>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33</xdr:row>
      <xdr:rowOff>44450</xdr:rowOff>
    </xdr:from>
    <xdr:to>
      <xdr:col>4</xdr:col>
      <xdr:colOff>526388</xdr:colOff>
      <xdr:row>33</xdr:row>
      <xdr:rowOff>332450</xdr:rowOff>
    </xdr:to>
    <xdr:pic>
      <xdr:nvPicPr>
        <xdr:cNvPr id="21" name="Picture 24">
          <a:extLst>
            <a:ext uri="{FF2B5EF4-FFF2-40B4-BE49-F238E27FC236}">
              <a16:creationId xmlns:a16="http://schemas.microsoft.com/office/drawing/2014/main" id="{D0930BCC-82BB-AEBF-D193-3AEDDF51EFAD}"/>
            </a:ext>
          </a:extLst>
        </xdr:cNvPr>
        <xdr:cNvPicPr>
          <a:picLocks noChangeAspect="1" noChangeArrowheads="1"/>
        </xdr:cNvPicPr>
      </xdr:nvPicPr>
      <xdr:blipFill>
        <a:blip xmlns:r="http://schemas.openxmlformats.org/officeDocument/2006/relationships" r:embed="rId22" cstate="email">
          <a:extLst>
            <a:ext uri="{28A0092B-C50C-407E-A947-70E740481C1C}">
              <a14:useLocalDpi xmlns:a14="http://schemas.microsoft.com/office/drawing/2010/main"/>
            </a:ext>
          </a:extLst>
        </a:blip>
        <a:srcRect/>
        <a:stretch>
          <a:fillRect/>
        </a:stretch>
      </xdr:blipFill>
      <xdr:spPr bwMode="auto">
        <a:xfrm>
          <a:off x="4108450" y="16344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34</xdr:row>
      <xdr:rowOff>51096</xdr:rowOff>
    </xdr:from>
    <xdr:to>
      <xdr:col>4</xdr:col>
      <xdr:colOff>526388</xdr:colOff>
      <xdr:row>34</xdr:row>
      <xdr:rowOff>339096</xdr:rowOff>
    </xdr:to>
    <xdr:pic>
      <xdr:nvPicPr>
        <xdr:cNvPr id="22" name="Picture 26">
          <a:extLst>
            <a:ext uri="{FF2B5EF4-FFF2-40B4-BE49-F238E27FC236}">
              <a16:creationId xmlns:a16="http://schemas.microsoft.com/office/drawing/2014/main" id="{A44B9E48-A772-4037-BAE6-0102B412CAA1}"/>
            </a:ext>
          </a:extLst>
        </xdr:cNvPr>
        <xdr:cNvPicPr>
          <a:picLocks noChangeAspect="1" noChangeArrowheads="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bwMode="auto">
        <a:xfrm>
          <a:off x="4108450" y="16732546"/>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35</xdr:row>
      <xdr:rowOff>45805</xdr:rowOff>
    </xdr:from>
    <xdr:to>
      <xdr:col>4</xdr:col>
      <xdr:colOff>526388</xdr:colOff>
      <xdr:row>35</xdr:row>
      <xdr:rowOff>333805</xdr:rowOff>
    </xdr:to>
    <xdr:pic>
      <xdr:nvPicPr>
        <xdr:cNvPr id="23" name="Picture 28">
          <a:extLst>
            <a:ext uri="{FF2B5EF4-FFF2-40B4-BE49-F238E27FC236}">
              <a16:creationId xmlns:a16="http://schemas.microsoft.com/office/drawing/2014/main" id="{16AD8527-7B29-99E4-507A-0E6E44EB308B}"/>
            </a:ext>
          </a:extLst>
        </xdr:cNvPr>
        <xdr:cNvPicPr>
          <a:picLocks noChangeAspect="1" noChangeArrowheads="1"/>
        </xdr:cNvPicPr>
      </xdr:nvPicPr>
      <xdr:blipFill>
        <a:blip xmlns:r="http://schemas.openxmlformats.org/officeDocument/2006/relationships" r:embed="rId24" cstate="email">
          <a:extLst>
            <a:ext uri="{28A0092B-C50C-407E-A947-70E740481C1C}">
              <a14:useLocalDpi xmlns:a14="http://schemas.microsoft.com/office/drawing/2010/main"/>
            </a:ext>
          </a:extLst>
        </a:blip>
        <a:srcRect/>
        <a:stretch>
          <a:fillRect/>
        </a:stretch>
      </xdr:blipFill>
      <xdr:spPr bwMode="auto">
        <a:xfrm>
          <a:off x="4108450" y="17108255"/>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36</xdr:row>
      <xdr:rowOff>51680</xdr:rowOff>
    </xdr:from>
    <xdr:to>
      <xdr:col>4</xdr:col>
      <xdr:colOff>526388</xdr:colOff>
      <xdr:row>36</xdr:row>
      <xdr:rowOff>339680</xdr:rowOff>
    </xdr:to>
    <xdr:pic>
      <xdr:nvPicPr>
        <xdr:cNvPr id="24" name="Picture 30">
          <a:extLst>
            <a:ext uri="{FF2B5EF4-FFF2-40B4-BE49-F238E27FC236}">
              <a16:creationId xmlns:a16="http://schemas.microsoft.com/office/drawing/2014/main" id="{929D1AF5-AE22-ACCD-94D2-3C3C25AEF1F5}"/>
            </a:ext>
          </a:extLst>
        </xdr:cNvPr>
        <xdr:cNvPicPr>
          <a:picLocks noChangeAspect="1" noChangeArrowheads="1"/>
        </xdr:cNvPicPr>
      </xdr:nvPicPr>
      <xdr:blipFill>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bwMode="auto">
        <a:xfrm>
          <a:off x="4108450" y="1749513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4</xdr:col>
      <xdr:colOff>95250</xdr:colOff>
      <xdr:row>38</xdr:row>
      <xdr:rowOff>44450</xdr:rowOff>
    </xdr:from>
    <xdr:ext cx="431138" cy="288000"/>
    <xdr:pic>
      <xdr:nvPicPr>
        <xdr:cNvPr id="26" name="Picture 2">
          <a:extLst>
            <a:ext uri="{FF2B5EF4-FFF2-40B4-BE49-F238E27FC236}">
              <a16:creationId xmlns:a16="http://schemas.microsoft.com/office/drawing/2014/main" id="{A4AA64B7-14F5-4EA5-9E90-E6A1FB6BBE05}"/>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108450" y="17868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95250</xdr:colOff>
      <xdr:row>39</xdr:row>
      <xdr:rowOff>44450</xdr:rowOff>
    </xdr:from>
    <xdr:to>
      <xdr:col>4</xdr:col>
      <xdr:colOff>526388</xdr:colOff>
      <xdr:row>39</xdr:row>
      <xdr:rowOff>332450</xdr:rowOff>
    </xdr:to>
    <xdr:pic>
      <xdr:nvPicPr>
        <xdr:cNvPr id="27" name="Picture 4">
          <a:extLst>
            <a:ext uri="{FF2B5EF4-FFF2-40B4-BE49-F238E27FC236}">
              <a16:creationId xmlns:a16="http://schemas.microsoft.com/office/drawing/2014/main" id="{256F34A2-BD05-0B4F-14DC-D3FBD54554B8}"/>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4108450" y="18630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40</xdr:row>
      <xdr:rowOff>44450</xdr:rowOff>
    </xdr:from>
    <xdr:to>
      <xdr:col>4</xdr:col>
      <xdr:colOff>526388</xdr:colOff>
      <xdr:row>40</xdr:row>
      <xdr:rowOff>332450</xdr:rowOff>
    </xdr:to>
    <xdr:pic>
      <xdr:nvPicPr>
        <xdr:cNvPr id="28" name="Picture 6">
          <a:extLst>
            <a:ext uri="{FF2B5EF4-FFF2-40B4-BE49-F238E27FC236}">
              <a16:creationId xmlns:a16="http://schemas.microsoft.com/office/drawing/2014/main" id="{8E5CA8CB-4C49-22C4-98AF-A2B71EA3693C}"/>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108450" y="19011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41</xdr:row>
      <xdr:rowOff>38100</xdr:rowOff>
    </xdr:from>
    <xdr:to>
      <xdr:col>4</xdr:col>
      <xdr:colOff>526388</xdr:colOff>
      <xdr:row>41</xdr:row>
      <xdr:rowOff>326100</xdr:rowOff>
    </xdr:to>
    <xdr:pic>
      <xdr:nvPicPr>
        <xdr:cNvPr id="29" name="Picture 8">
          <a:extLst>
            <a:ext uri="{FF2B5EF4-FFF2-40B4-BE49-F238E27FC236}">
              <a16:creationId xmlns:a16="http://schemas.microsoft.com/office/drawing/2014/main" id="{A714792F-D30A-A6B4-A968-8C23C13BB308}"/>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4108450" y="193865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xdr:colOff>
      <xdr:row>42</xdr:row>
      <xdr:rowOff>50800</xdr:rowOff>
    </xdr:from>
    <xdr:to>
      <xdr:col>4</xdr:col>
      <xdr:colOff>532738</xdr:colOff>
      <xdr:row>42</xdr:row>
      <xdr:rowOff>338800</xdr:rowOff>
    </xdr:to>
    <xdr:pic>
      <xdr:nvPicPr>
        <xdr:cNvPr id="25" name="Picture 2">
          <a:extLst>
            <a:ext uri="{FF2B5EF4-FFF2-40B4-BE49-F238E27FC236}">
              <a16:creationId xmlns:a16="http://schemas.microsoft.com/office/drawing/2014/main" id="{1E507617-5653-D338-DE8E-E169D75A535F}"/>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114800" y="197802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43</xdr:row>
      <xdr:rowOff>44450</xdr:rowOff>
    </xdr:from>
    <xdr:to>
      <xdr:col>4</xdr:col>
      <xdr:colOff>520038</xdr:colOff>
      <xdr:row>43</xdr:row>
      <xdr:rowOff>332450</xdr:rowOff>
    </xdr:to>
    <xdr:pic>
      <xdr:nvPicPr>
        <xdr:cNvPr id="30" name="Picture 4">
          <a:extLst>
            <a:ext uri="{FF2B5EF4-FFF2-40B4-BE49-F238E27FC236}">
              <a16:creationId xmlns:a16="http://schemas.microsoft.com/office/drawing/2014/main" id="{D013C57C-8364-63A3-3DD1-AB1FEB70F952}"/>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102100" y="20154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82550</xdr:colOff>
      <xdr:row>44</xdr:row>
      <xdr:rowOff>44450</xdr:rowOff>
    </xdr:from>
    <xdr:to>
      <xdr:col>4</xdr:col>
      <xdr:colOff>513688</xdr:colOff>
      <xdr:row>44</xdr:row>
      <xdr:rowOff>332450</xdr:rowOff>
    </xdr:to>
    <xdr:pic>
      <xdr:nvPicPr>
        <xdr:cNvPr id="31" name="Picture 6">
          <a:extLst>
            <a:ext uri="{FF2B5EF4-FFF2-40B4-BE49-F238E27FC236}">
              <a16:creationId xmlns:a16="http://schemas.microsoft.com/office/drawing/2014/main" id="{3BAE1B25-935F-4862-2C0B-D008E7CDF3E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095750" y="20535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46</xdr:row>
      <xdr:rowOff>44450</xdr:rowOff>
    </xdr:from>
    <xdr:to>
      <xdr:col>4</xdr:col>
      <xdr:colOff>520038</xdr:colOff>
      <xdr:row>46</xdr:row>
      <xdr:rowOff>332450</xdr:rowOff>
    </xdr:to>
    <xdr:pic>
      <xdr:nvPicPr>
        <xdr:cNvPr id="32" name="Picture 8">
          <a:extLst>
            <a:ext uri="{FF2B5EF4-FFF2-40B4-BE49-F238E27FC236}">
              <a16:creationId xmlns:a16="http://schemas.microsoft.com/office/drawing/2014/main" id="{2EB4AF10-FA39-3AE9-93B1-120F81EF8385}"/>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4102100" y="21297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47</xdr:row>
      <xdr:rowOff>44450</xdr:rowOff>
    </xdr:from>
    <xdr:to>
      <xdr:col>4</xdr:col>
      <xdr:colOff>520038</xdr:colOff>
      <xdr:row>47</xdr:row>
      <xdr:rowOff>332450</xdr:rowOff>
    </xdr:to>
    <xdr:pic>
      <xdr:nvPicPr>
        <xdr:cNvPr id="33" name="Picture 10">
          <a:extLst>
            <a:ext uri="{FF2B5EF4-FFF2-40B4-BE49-F238E27FC236}">
              <a16:creationId xmlns:a16="http://schemas.microsoft.com/office/drawing/2014/main" id="{9DADE914-A219-BB81-9C4C-7859A3E17887}"/>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4102100" y="21678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48</xdr:row>
      <xdr:rowOff>44450</xdr:rowOff>
    </xdr:from>
    <xdr:to>
      <xdr:col>4</xdr:col>
      <xdr:colOff>520038</xdr:colOff>
      <xdr:row>48</xdr:row>
      <xdr:rowOff>332450</xdr:rowOff>
    </xdr:to>
    <xdr:pic>
      <xdr:nvPicPr>
        <xdr:cNvPr id="34" name="Picture 12">
          <a:extLst>
            <a:ext uri="{FF2B5EF4-FFF2-40B4-BE49-F238E27FC236}">
              <a16:creationId xmlns:a16="http://schemas.microsoft.com/office/drawing/2014/main" id="{3DFE5905-C7EA-59CD-3BCA-FCB027008F5D}"/>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4102100" y="22059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49</xdr:row>
      <xdr:rowOff>44450</xdr:rowOff>
    </xdr:from>
    <xdr:to>
      <xdr:col>4</xdr:col>
      <xdr:colOff>526388</xdr:colOff>
      <xdr:row>49</xdr:row>
      <xdr:rowOff>332450</xdr:rowOff>
    </xdr:to>
    <xdr:pic>
      <xdr:nvPicPr>
        <xdr:cNvPr id="35" name="Picture 14">
          <a:extLst>
            <a:ext uri="{FF2B5EF4-FFF2-40B4-BE49-F238E27FC236}">
              <a16:creationId xmlns:a16="http://schemas.microsoft.com/office/drawing/2014/main" id="{A2613AEA-B487-1178-8911-BC8E44818334}"/>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4108450" y="22440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xdr:colOff>
      <xdr:row>50</xdr:row>
      <xdr:rowOff>44450</xdr:rowOff>
    </xdr:from>
    <xdr:to>
      <xdr:col>4</xdr:col>
      <xdr:colOff>532738</xdr:colOff>
      <xdr:row>50</xdr:row>
      <xdr:rowOff>332450</xdr:rowOff>
    </xdr:to>
    <xdr:pic>
      <xdr:nvPicPr>
        <xdr:cNvPr id="37" name="Picture 16">
          <a:extLst>
            <a:ext uri="{FF2B5EF4-FFF2-40B4-BE49-F238E27FC236}">
              <a16:creationId xmlns:a16="http://schemas.microsoft.com/office/drawing/2014/main" id="{3F341F33-80DF-94F2-67D3-8FD3CD03208C}"/>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4114800" y="22821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xdr:colOff>
      <xdr:row>51</xdr:row>
      <xdr:rowOff>44450</xdr:rowOff>
    </xdr:from>
    <xdr:to>
      <xdr:col>4</xdr:col>
      <xdr:colOff>532738</xdr:colOff>
      <xdr:row>51</xdr:row>
      <xdr:rowOff>332450</xdr:rowOff>
    </xdr:to>
    <xdr:pic>
      <xdr:nvPicPr>
        <xdr:cNvPr id="39" name="Picture 18">
          <a:extLst>
            <a:ext uri="{FF2B5EF4-FFF2-40B4-BE49-F238E27FC236}">
              <a16:creationId xmlns:a16="http://schemas.microsoft.com/office/drawing/2014/main" id="{668AC026-B2D3-054A-AFA4-AB31C2A530ED}"/>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4114800" y="23202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52</xdr:row>
      <xdr:rowOff>50800</xdr:rowOff>
    </xdr:from>
    <xdr:to>
      <xdr:col>4</xdr:col>
      <xdr:colOff>539088</xdr:colOff>
      <xdr:row>52</xdr:row>
      <xdr:rowOff>338800</xdr:rowOff>
    </xdr:to>
    <xdr:pic>
      <xdr:nvPicPr>
        <xdr:cNvPr id="44" name="Picture 20">
          <a:extLst>
            <a:ext uri="{FF2B5EF4-FFF2-40B4-BE49-F238E27FC236}">
              <a16:creationId xmlns:a16="http://schemas.microsoft.com/office/drawing/2014/main" id="{9D94C4CF-5A43-AEEA-8724-0D79A07217BF}"/>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121150" y="235902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7</xdr:row>
      <xdr:rowOff>50800</xdr:rowOff>
    </xdr:from>
    <xdr:to>
      <xdr:col>4</xdr:col>
      <xdr:colOff>539088</xdr:colOff>
      <xdr:row>7</xdr:row>
      <xdr:rowOff>338800</xdr:rowOff>
    </xdr:to>
    <xdr:pic>
      <xdr:nvPicPr>
        <xdr:cNvPr id="45" name="Picture 2">
          <a:extLst>
            <a:ext uri="{FF2B5EF4-FFF2-40B4-BE49-F238E27FC236}">
              <a16:creationId xmlns:a16="http://schemas.microsoft.com/office/drawing/2014/main" id="{81C40EB5-53B7-C615-09EA-A85B04469703}"/>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121150" y="644525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107950</xdr:colOff>
      <xdr:row>13</xdr:row>
      <xdr:rowOff>44450</xdr:rowOff>
    </xdr:from>
    <xdr:to>
      <xdr:col>4</xdr:col>
      <xdr:colOff>539088</xdr:colOff>
      <xdr:row>13</xdr:row>
      <xdr:rowOff>332450</xdr:rowOff>
    </xdr:to>
    <xdr:pic>
      <xdr:nvPicPr>
        <xdr:cNvPr id="46" name="Picture 8">
          <a:extLst>
            <a:ext uri="{FF2B5EF4-FFF2-40B4-BE49-F238E27FC236}">
              <a16:creationId xmlns:a16="http://schemas.microsoft.com/office/drawing/2014/main" id="{8E1B36B6-5E58-3EBD-345B-290D6B8D8BE7}"/>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121150" y="8724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17</xdr:row>
      <xdr:rowOff>44450</xdr:rowOff>
    </xdr:from>
    <xdr:to>
      <xdr:col>4</xdr:col>
      <xdr:colOff>520038</xdr:colOff>
      <xdr:row>17</xdr:row>
      <xdr:rowOff>332450</xdr:rowOff>
    </xdr:to>
    <xdr:pic>
      <xdr:nvPicPr>
        <xdr:cNvPr id="47" name="Picture 16">
          <a:extLst>
            <a:ext uri="{FF2B5EF4-FFF2-40B4-BE49-F238E27FC236}">
              <a16:creationId xmlns:a16="http://schemas.microsoft.com/office/drawing/2014/main" id="{CBE19109-6D1F-4594-2921-5567F246CE94}"/>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102100" y="10248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xdr:colOff>
      <xdr:row>26</xdr:row>
      <xdr:rowOff>44450</xdr:rowOff>
    </xdr:from>
    <xdr:to>
      <xdr:col>4</xdr:col>
      <xdr:colOff>532738</xdr:colOff>
      <xdr:row>26</xdr:row>
      <xdr:rowOff>332450</xdr:rowOff>
    </xdr:to>
    <xdr:pic>
      <xdr:nvPicPr>
        <xdr:cNvPr id="53" name="Picture 12">
          <a:extLst>
            <a:ext uri="{FF2B5EF4-FFF2-40B4-BE49-F238E27FC236}">
              <a16:creationId xmlns:a16="http://schemas.microsoft.com/office/drawing/2014/main" id="{B8F3A746-CFBA-0267-9E0E-8BF202D18BCE}"/>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114800" y="13677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xdr:colOff>
      <xdr:row>28</xdr:row>
      <xdr:rowOff>50800</xdr:rowOff>
    </xdr:from>
    <xdr:to>
      <xdr:col>4</xdr:col>
      <xdr:colOff>533600</xdr:colOff>
      <xdr:row>28</xdr:row>
      <xdr:rowOff>338800</xdr:rowOff>
    </xdr:to>
    <xdr:pic>
      <xdr:nvPicPr>
        <xdr:cNvPr id="6" name="Picture 2" descr="Bandera de Suecia | bandera horizontal | 1.35m² | 90x150cm">
          <a:extLst>
            <a:ext uri="{FF2B5EF4-FFF2-40B4-BE49-F238E27FC236}">
              <a16:creationId xmlns:a16="http://schemas.microsoft.com/office/drawing/2014/main" id="{7CFD24D9-A379-D1F3-16BF-F6FD623CDFBD}"/>
            </a:ext>
          </a:extLst>
        </xdr:cNvPr>
        <xdr:cNvPicPr>
          <a:picLocks noChangeArrowheads="1"/>
        </xdr:cNvPicPr>
      </xdr:nvPicPr>
      <xdr:blipFill rotWithShape="1">
        <a:blip xmlns:r="http://schemas.openxmlformats.org/officeDocument/2006/relationships" r:embed="rId44" cstate="print">
          <a:extLst>
            <a:ext uri="{28A0092B-C50C-407E-A947-70E740481C1C}">
              <a14:useLocalDpi xmlns:a14="http://schemas.microsoft.com/office/drawing/2010/main" val="0"/>
            </a:ext>
          </a:extLst>
        </a:blip>
        <a:srcRect t="20052" b="20118"/>
        <a:stretch>
          <a:fillRect/>
        </a:stretch>
      </xdr:blipFill>
      <xdr:spPr bwMode="auto">
        <a:xfrm>
          <a:off x="4114800" y="14446250"/>
          <a:ext cx="432000"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xdr:colOff>
      <xdr:row>20</xdr:row>
      <xdr:rowOff>38100</xdr:rowOff>
    </xdr:from>
    <xdr:to>
      <xdr:col>4</xdr:col>
      <xdr:colOff>534220</xdr:colOff>
      <xdr:row>20</xdr:row>
      <xdr:rowOff>326100</xdr:rowOff>
    </xdr:to>
    <xdr:pic>
      <xdr:nvPicPr>
        <xdr:cNvPr id="7" name="Picture 4" descr="Bandera de Turquía | bandera horizontal | 2.16m² | 120x180cm">
          <a:extLst>
            <a:ext uri="{FF2B5EF4-FFF2-40B4-BE49-F238E27FC236}">
              <a16:creationId xmlns:a16="http://schemas.microsoft.com/office/drawing/2014/main" id="{1C4DE559-6FF3-2C37-F045-6D1ABEFC5964}"/>
            </a:ext>
          </a:extLst>
        </xdr:cNvPr>
        <xdr:cNvPicPr>
          <a:picLocks noChangeAspect="1" noChangeArrowheads="1"/>
        </xdr:cNvPicPr>
      </xdr:nvPicPr>
      <xdr:blipFill rotWithShape="1">
        <a:blip xmlns:r="http://schemas.openxmlformats.org/officeDocument/2006/relationships" r:embed="rId45" cstate="print">
          <a:extLst>
            <a:ext uri="{28A0092B-C50C-407E-A947-70E740481C1C}">
              <a14:useLocalDpi xmlns:a14="http://schemas.microsoft.com/office/drawing/2010/main" val="0"/>
            </a:ext>
          </a:extLst>
        </a:blip>
        <a:srcRect t="17053" b="16376"/>
        <a:stretch>
          <a:fillRect/>
        </a:stretch>
      </xdr:blipFill>
      <xdr:spPr bwMode="auto">
        <a:xfrm>
          <a:off x="4114800" y="11385550"/>
          <a:ext cx="432620"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8</xdr:row>
      <xdr:rowOff>50800</xdr:rowOff>
    </xdr:from>
    <xdr:to>
      <xdr:col>4</xdr:col>
      <xdr:colOff>527250</xdr:colOff>
      <xdr:row>8</xdr:row>
      <xdr:rowOff>338800</xdr:rowOff>
    </xdr:to>
    <xdr:pic>
      <xdr:nvPicPr>
        <xdr:cNvPr id="15" name="Picture 10" descr="Diseño PNG Y SVG De Bandera Nacional De La República Checa Para Camisetas">
          <a:extLst>
            <a:ext uri="{FF2B5EF4-FFF2-40B4-BE49-F238E27FC236}">
              <a16:creationId xmlns:a16="http://schemas.microsoft.com/office/drawing/2014/main" id="{7D60A6AA-0A6D-C252-1EE1-6C76041F2885}"/>
            </a:ext>
          </a:extLst>
        </xdr:cNvPr>
        <xdr:cNvPicPr>
          <a:picLocks noChangeArrowheads="1"/>
        </xdr:cNvPicPr>
      </xdr:nvPicPr>
      <xdr:blipFill rotWithShape="1">
        <a:blip xmlns:r="http://schemas.openxmlformats.org/officeDocument/2006/relationships" r:embed="rId46" cstate="print">
          <a:extLst>
            <a:ext uri="{28A0092B-C50C-407E-A947-70E740481C1C}">
              <a14:useLocalDpi xmlns:a14="http://schemas.microsoft.com/office/drawing/2010/main" val="0"/>
            </a:ext>
          </a:extLst>
        </a:blip>
        <a:srcRect l="4422" t="14368" r="4111" b="31530"/>
        <a:stretch>
          <a:fillRect/>
        </a:stretch>
      </xdr:blipFill>
      <xdr:spPr bwMode="auto">
        <a:xfrm>
          <a:off x="4108450" y="6826250"/>
          <a:ext cx="432000"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12</xdr:row>
      <xdr:rowOff>44450</xdr:rowOff>
    </xdr:from>
    <xdr:to>
      <xdr:col>4</xdr:col>
      <xdr:colOff>527250</xdr:colOff>
      <xdr:row>12</xdr:row>
      <xdr:rowOff>332450</xdr:rowOff>
    </xdr:to>
    <xdr:pic>
      <xdr:nvPicPr>
        <xdr:cNvPr id="40" name="Picture 12" descr="Bandera de Bosnia y Herzegovina | bandera horizontal | 6.7m² | 200x335cm">
          <a:extLst>
            <a:ext uri="{FF2B5EF4-FFF2-40B4-BE49-F238E27FC236}">
              <a16:creationId xmlns:a16="http://schemas.microsoft.com/office/drawing/2014/main" id="{E7447152-AE87-744D-0A1D-3C28584A84D3}"/>
            </a:ext>
          </a:extLst>
        </xdr:cNvPr>
        <xdr:cNvPicPr>
          <a:picLocks noChangeArrowheads="1"/>
        </xdr:cNvPicPr>
      </xdr:nvPicPr>
      <xdr:blipFill rotWithShape="1">
        <a:blip xmlns:r="http://schemas.openxmlformats.org/officeDocument/2006/relationships" r:embed="rId47" cstate="print">
          <a:extLst>
            <a:ext uri="{28A0092B-C50C-407E-A947-70E740481C1C}">
              <a14:useLocalDpi xmlns:a14="http://schemas.microsoft.com/office/drawing/2010/main" val="0"/>
            </a:ext>
          </a:extLst>
        </a:blip>
        <a:srcRect t="19805" b="19983"/>
        <a:stretch>
          <a:fillRect/>
        </a:stretch>
      </xdr:blipFill>
      <xdr:spPr bwMode="auto">
        <a:xfrm>
          <a:off x="4108450" y="8343900"/>
          <a:ext cx="432000"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45</xdr:row>
      <xdr:rowOff>44450</xdr:rowOff>
    </xdr:from>
    <xdr:to>
      <xdr:col>4</xdr:col>
      <xdr:colOff>527250</xdr:colOff>
      <xdr:row>45</xdr:row>
      <xdr:rowOff>332450</xdr:rowOff>
    </xdr:to>
    <xdr:pic>
      <xdr:nvPicPr>
        <xdr:cNvPr id="42" name="Picture 14" descr="Index of /Imagenes/Banderas y escudos/banderas eliminatorias">
          <a:extLst>
            <a:ext uri="{FF2B5EF4-FFF2-40B4-BE49-F238E27FC236}">
              <a16:creationId xmlns:a16="http://schemas.microsoft.com/office/drawing/2014/main" id="{457FFE4C-E1E2-B1AE-1065-84E37AFC80DC}"/>
            </a:ext>
          </a:extLst>
        </xdr:cNvPr>
        <xdr:cNvPicPr>
          <a:picLocks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4108450" y="20916900"/>
          <a:ext cx="432000"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88900</xdr:colOff>
      <xdr:row>37</xdr:row>
      <xdr:rowOff>44450</xdr:rowOff>
    </xdr:from>
    <xdr:to>
      <xdr:col>4</xdr:col>
      <xdr:colOff>520038</xdr:colOff>
      <xdr:row>37</xdr:row>
      <xdr:rowOff>332450</xdr:rowOff>
    </xdr:to>
    <xdr:pic>
      <xdr:nvPicPr>
        <xdr:cNvPr id="50" name="Picture 2">
          <a:extLst>
            <a:ext uri="{FF2B5EF4-FFF2-40B4-BE49-F238E27FC236}">
              <a16:creationId xmlns:a16="http://schemas.microsoft.com/office/drawing/2014/main" id="{6034B5B8-2DA6-4AD3-9BEF-7FF0A8FFCD83}"/>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4102100" y="17868900"/>
          <a:ext cx="431138" cy="288000"/>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0000"/>
    <pageSetUpPr fitToPage="1"/>
  </sheetPr>
  <dimension ref="A1:O134"/>
  <sheetViews>
    <sheetView showGridLines="0" showRowColHeaders="0" showOutlineSymbols="0" zoomScale="130" zoomScaleNormal="130" workbookViewId="0">
      <pane xSplit="1" ySplit="2" topLeftCell="B3" activePane="bottomRight" state="frozen"/>
      <selection activeCell="F7" sqref="F7"/>
      <selection pane="topRight" activeCell="F7" sqref="F7"/>
      <selection pane="bottomLeft" activeCell="F7" sqref="F7"/>
      <selection pane="bottomRight" activeCell="D4" sqref="D4:G4"/>
    </sheetView>
  </sheetViews>
  <sheetFormatPr defaultColWidth="11.42578125" defaultRowHeight="12.75" x14ac:dyDescent="0.2"/>
  <cols>
    <col min="1" max="1" width="22.7109375" style="30" customWidth="1"/>
    <col min="2" max="2" width="2.85546875" style="13" customWidth="1"/>
    <col min="3" max="3" width="16.42578125" style="13" customWidth="1"/>
    <col min="4" max="10" width="8.85546875" style="13" customWidth="1"/>
    <col min="11" max="11" width="19.28515625" style="13" bestFit="1" customWidth="1"/>
    <col min="12" max="13" width="2.42578125" style="13" customWidth="1"/>
    <col min="14" max="14" width="3.140625" style="13" customWidth="1"/>
    <col min="15" max="16384" width="11.42578125" style="13"/>
  </cols>
  <sheetData>
    <row r="1" spans="1:15" s="30" customFormat="1" ht="20.100000000000001" customHeight="1" x14ac:dyDescent="0.2">
      <c r="A1" s="32"/>
      <c r="B1" s="418" t="s">
        <v>336</v>
      </c>
      <c r="C1" s="418"/>
      <c r="D1" s="418"/>
      <c r="E1" s="418"/>
      <c r="F1" s="418"/>
      <c r="G1" s="418"/>
      <c r="H1" s="418"/>
      <c r="I1" s="418"/>
      <c r="J1" s="418"/>
      <c r="K1" s="418"/>
      <c r="L1" s="418"/>
      <c r="M1" s="418"/>
    </row>
    <row r="2" spans="1:15" s="30" customFormat="1" ht="20.100000000000001" customHeight="1" x14ac:dyDescent="0.2">
      <c r="A2" s="32"/>
      <c r="B2" s="418"/>
      <c r="C2" s="418"/>
      <c r="D2" s="418"/>
      <c r="E2" s="418"/>
      <c r="F2" s="418"/>
      <c r="G2" s="418"/>
      <c r="H2" s="418"/>
      <c r="I2" s="418"/>
      <c r="J2" s="418"/>
      <c r="K2" s="418"/>
      <c r="L2" s="418"/>
      <c r="M2" s="418"/>
    </row>
    <row r="3" spans="1:15" ht="6.95" customHeight="1" x14ac:dyDescent="0.2">
      <c r="A3" s="32"/>
      <c r="C3" s="14"/>
    </row>
    <row r="4" spans="1:15" ht="11.1" customHeight="1" x14ac:dyDescent="0.2">
      <c r="A4" s="32"/>
      <c r="C4" s="15" t="s">
        <v>109</v>
      </c>
      <c r="D4" s="415" t="s">
        <v>350</v>
      </c>
      <c r="E4" s="416"/>
      <c r="F4" s="416"/>
      <c r="G4" s="417"/>
      <c r="I4" s="141" t="s">
        <v>110</v>
      </c>
    </row>
    <row r="5" spans="1:15" ht="3" customHeight="1" x14ac:dyDescent="0.2">
      <c r="A5" s="32"/>
      <c r="C5" s="16"/>
    </row>
    <row r="6" spans="1:15" ht="11.1" customHeight="1" x14ac:dyDescent="0.2">
      <c r="A6" s="32"/>
      <c r="B6" s="17"/>
      <c r="C6" s="15" t="s">
        <v>79</v>
      </c>
      <c r="D6" s="310" t="s">
        <v>92</v>
      </c>
      <c r="I6" s="141"/>
      <c r="O6" s="14"/>
    </row>
    <row r="7" spans="1:15" ht="3" customHeight="1" x14ac:dyDescent="0.2">
      <c r="A7" s="32"/>
      <c r="B7" s="17"/>
      <c r="C7" s="16"/>
    </row>
    <row r="8" spans="1:15" ht="11.1" customHeight="1" x14ac:dyDescent="0.2">
      <c r="A8" s="32"/>
      <c r="B8" s="17"/>
      <c r="D8" s="344"/>
      <c r="F8" s="141" t="s">
        <v>320</v>
      </c>
      <c r="I8" s="18"/>
      <c r="O8" s="14"/>
    </row>
    <row r="9" spans="1:15" ht="9.9499999999999993" customHeight="1" x14ac:dyDescent="0.2">
      <c r="A9" s="32"/>
      <c r="B9" s="17"/>
      <c r="C9" s="312" t="s">
        <v>63</v>
      </c>
    </row>
    <row r="10" spans="1:15" ht="2.1" customHeight="1" x14ac:dyDescent="0.2">
      <c r="A10" s="32"/>
      <c r="B10" s="17"/>
      <c r="C10" s="19"/>
      <c r="D10" s="20"/>
      <c r="E10" s="20"/>
      <c r="F10" s="20"/>
      <c r="G10" s="20"/>
      <c r="H10" s="20"/>
      <c r="I10" s="20"/>
      <c r="J10" s="20"/>
      <c r="K10" s="20"/>
      <c r="L10" s="20"/>
      <c r="M10" s="21"/>
    </row>
    <row r="11" spans="1:15" ht="8.1" customHeight="1" x14ac:dyDescent="0.2">
      <c r="A11" s="32"/>
      <c r="C11" s="317" t="s">
        <v>64</v>
      </c>
      <c r="D11" s="318" t="s">
        <v>284</v>
      </c>
      <c r="E11" s="319"/>
      <c r="F11" s="319"/>
      <c r="G11" s="319"/>
      <c r="H11" s="319"/>
      <c r="I11" s="319"/>
      <c r="J11" s="319"/>
      <c r="K11" s="22"/>
      <c r="L11" s="22"/>
      <c r="M11" s="23"/>
      <c r="O11" s="14"/>
    </row>
    <row r="12" spans="1:15" ht="8.1" customHeight="1" x14ac:dyDescent="0.2">
      <c r="A12" s="32"/>
      <c r="C12" s="320"/>
      <c r="D12" s="318" t="s">
        <v>285</v>
      </c>
      <c r="E12" s="319"/>
      <c r="F12" s="319"/>
      <c r="G12" s="319"/>
      <c r="H12" s="319"/>
      <c r="I12" s="319"/>
      <c r="J12" s="319"/>
      <c r="K12" s="22"/>
      <c r="L12" s="22"/>
      <c r="M12" s="23"/>
    </row>
    <row r="13" spans="1:15" ht="8.1" customHeight="1" x14ac:dyDescent="0.2">
      <c r="A13" s="32"/>
      <c r="C13" s="320"/>
      <c r="D13" s="318" t="s">
        <v>286</v>
      </c>
      <c r="E13" s="319"/>
      <c r="F13" s="319"/>
      <c r="G13" s="319"/>
      <c r="H13" s="319"/>
      <c r="I13" s="319"/>
      <c r="J13" s="319"/>
      <c r="K13" s="22"/>
      <c r="L13" s="22"/>
      <c r="M13" s="23"/>
    </row>
    <row r="14" spans="1:15" ht="8.1" customHeight="1" x14ac:dyDescent="0.2">
      <c r="A14" s="32"/>
      <c r="C14" s="320"/>
      <c r="D14" s="318" t="s">
        <v>287</v>
      </c>
      <c r="E14" s="319"/>
      <c r="F14" s="319"/>
      <c r="G14" s="319"/>
      <c r="H14" s="319"/>
      <c r="I14" s="319"/>
      <c r="J14" s="319"/>
      <c r="K14" s="22"/>
      <c r="L14" s="22"/>
      <c r="M14" s="23"/>
    </row>
    <row r="15" spans="1:15" ht="2.1" customHeight="1" x14ac:dyDescent="0.2">
      <c r="A15" s="32"/>
      <c r="C15" s="320"/>
      <c r="D15" s="319"/>
      <c r="E15" s="319"/>
      <c r="F15" s="319"/>
      <c r="G15" s="319"/>
      <c r="H15" s="319"/>
      <c r="I15" s="319"/>
      <c r="J15" s="319"/>
      <c r="K15" s="22"/>
      <c r="L15" s="22"/>
      <c r="M15" s="23"/>
    </row>
    <row r="16" spans="1:15" ht="8.1" customHeight="1" x14ac:dyDescent="0.2">
      <c r="A16" s="32"/>
      <c r="C16" s="317" t="s">
        <v>254</v>
      </c>
      <c r="D16" s="318" t="s">
        <v>288</v>
      </c>
      <c r="E16" s="319"/>
      <c r="F16" s="319"/>
      <c r="G16" s="319"/>
      <c r="H16" s="319"/>
      <c r="I16" s="319"/>
      <c r="J16" s="319"/>
      <c r="K16" s="22"/>
      <c r="L16" s="22"/>
      <c r="M16" s="23"/>
    </row>
    <row r="17" spans="1:13" ht="8.1" customHeight="1" x14ac:dyDescent="0.2">
      <c r="A17" s="32"/>
      <c r="C17" s="320"/>
      <c r="D17" s="318" t="s">
        <v>289</v>
      </c>
      <c r="E17" s="319"/>
      <c r="F17" s="319"/>
      <c r="G17" s="319"/>
      <c r="H17" s="319"/>
      <c r="I17" s="319"/>
      <c r="J17" s="319"/>
      <c r="K17" s="22"/>
      <c r="L17" s="22"/>
      <c r="M17" s="23"/>
    </row>
    <row r="18" spans="1:13" ht="8.1" customHeight="1" x14ac:dyDescent="0.2">
      <c r="A18" s="32"/>
      <c r="C18" s="320"/>
      <c r="D18" s="318" t="s">
        <v>290</v>
      </c>
      <c r="E18" s="319"/>
      <c r="F18" s="319"/>
      <c r="G18" s="319"/>
      <c r="H18" s="319"/>
      <c r="I18" s="319"/>
      <c r="J18" s="319"/>
      <c r="K18" s="22"/>
      <c r="L18" s="22"/>
      <c r="M18" s="23"/>
    </row>
    <row r="19" spans="1:13" ht="8.1" customHeight="1" x14ac:dyDescent="0.2">
      <c r="A19" s="32"/>
      <c r="C19" s="320"/>
      <c r="D19" s="318" t="s">
        <v>291</v>
      </c>
      <c r="E19" s="319"/>
      <c r="F19" s="319"/>
      <c r="G19" s="319"/>
      <c r="H19" s="319"/>
      <c r="I19" s="319"/>
      <c r="J19" s="319"/>
      <c r="K19" s="22"/>
      <c r="L19" s="22"/>
      <c r="M19" s="23"/>
    </row>
    <row r="20" spans="1:13" ht="8.1" customHeight="1" x14ac:dyDescent="0.2">
      <c r="A20" s="32"/>
      <c r="C20" s="320"/>
      <c r="D20" s="318" t="s">
        <v>292</v>
      </c>
      <c r="E20" s="319"/>
      <c r="F20" s="319"/>
      <c r="G20" s="319"/>
      <c r="H20" s="319"/>
      <c r="I20" s="319"/>
      <c r="J20" s="319"/>
      <c r="K20" s="22"/>
      <c r="L20" s="22"/>
      <c r="M20" s="23"/>
    </row>
    <row r="21" spans="1:13" ht="2.1" customHeight="1" x14ac:dyDescent="0.2">
      <c r="A21" s="32"/>
      <c r="C21" s="320"/>
      <c r="D21" s="319"/>
      <c r="E21" s="319"/>
      <c r="F21" s="319"/>
      <c r="G21" s="319"/>
      <c r="H21" s="319"/>
      <c r="I21" s="319"/>
      <c r="J21" s="319"/>
      <c r="K21" s="22"/>
      <c r="L21" s="22"/>
      <c r="M21" s="23"/>
    </row>
    <row r="22" spans="1:13" ht="8.1" customHeight="1" x14ac:dyDescent="0.2">
      <c r="A22" s="32"/>
      <c r="C22" s="317" t="s">
        <v>65</v>
      </c>
      <c r="D22" s="318" t="s">
        <v>293</v>
      </c>
      <c r="E22" s="319"/>
      <c r="F22" s="319"/>
      <c r="G22" s="319"/>
      <c r="H22" s="319"/>
      <c r="I22" s="319"/>
      <c r="J22" s="319"/>
      <c r="K22" s="22"/>
      <c r="L22" s="22"/>
      <c r="M22" s="23"/>
    </row>
    <row r="23" spans="1:13" ht="8.1" customHeight="1" x14ac:dyDescent="0.2">
      <c r="A23" s="32"/>
      <c r="C23" s="320"/>
      <c r="D23" s="318" t="s">
        <v>294</v>
      </c>
      <c r="E23" s="319"/>
      <c r="F23" s="319"/>
      <c r="G23" s="319"/>
      <c r="H23" s="319"/>
      <c r="I23" s="319"/>
      <c r="J23" s="319"/>
      <c r="K23" s="22"/>
      <c r="L23" s="22"/>
      <c r="M23" s="23"/>
    </row>
    <row r="24" spans="1:13" ht="8.1" customHeight="1" x14ac:dyDescent="0.2">
      <c r="A24" s="32"/>
      <c r="C24" s="320"/>
      <c r="D24" s="318" t="s">
        <v>295</v>
      </c>
      <c r="E24" s="319"/>
      <c r="F24" s="319"/>
      <c r="G24" s="319"/>
      <c r="H24" s="319"/>
      <c r="I24" s="319"/>
      <c r="J24" s="319"/>
      <c r="K24" s="22"/>
      <c r="L24" s="22"/>
      <c r="M24" s="23"/>
    </row>
    <row r="25" spans="1:13" ht="8.1" customHeight="1" x14ac:dyDescent="0.2">
      <c r="A25" s="32"/>
      <c r="C25" s="320"/>
      <c r="D25" s="318" t="s">
        <v>296</v>
      </c>
      <c r="E25" s="319"/>
      <c r="F25" s="319"/>
      <c r="G25" s="319"/>
      <c r="H25" s="319"/>
      <c r="I25" s="319"/>
      <c r="J25" s="319"/>
      <c r="K25" s="22"/>
      <c r="L25" s="22"/>
      <c r="M25" s="23"/>
    </row>
    <row r="26" spans="1:13" ht="8.1" customHeight="1" x14ac:dyDescent="0.2">
      <c r="A26" s="32"/>
      <c r="C26" s="320"/>
      <c r="D26" s="318" t="s">
        <v>297</v>
      </c>
      <c r="E26" s="319"/>
      <c r="F26" s="319"/>
      <c r="G26" s="319"/>
      <c r="H26" s="319"/>
      <c r="I26" s="319"/>
      <c r="J26" s="319"/>
      <c r="K26" s="22"/>
      <c r="L26" s="22"/>
      <c r="M26" s="23"/>
    </row>
    <row r="27" spans="1:13" ht="2.1" customHeight="1" x14ac:dyDescent="0.2">
      <c r="A27" s="32"/>
      <c r="C27" s="320"/>
      <c r="D27" s="319"/>
      <c r="E27" s="319"/>
      <c r="F27" s="319"/>
      <c r="G27" s="319"/>
      <c r="H27" s="319"/>
      <c r="I27" s="319"/>
      <c r="J27" s="319"/>
      <c r="K27" s="22"/>
      <c r="L27" s="22"/>
      <c r="M27" s="23"/>
    </row>
    <row r="28" spans="1:13" ht="8.1" customHeight="1" x14ac:dyDescent="0.2">
      <c r="A28" s="32"/>
      <c r="C28" s="317" t="s">
        <v>66</v>
      </c>
      <c r="D28" s="318" t="s">
        <v>298</v>
      </c>
      <c r="E28" s="319"/>
      <c r="F28" s="319"/>
      <c r="G28" s="319"/>
      <c r="H28" s="319"/>
      <c r="I28" s="319"/>
      <c r="J28" s="319"/>
      <c r="K28" s="22"/>
      <c r="L28" s="22"/>
      <c r="M28" s="23"/>
    </row>
    <row r="29" spans="1:13" ht="8.1" customHeight="1" x14ac:dyDescent="0.2">
      <c r="A29" s="32"/>
      <c r="C29" s="320"/>
      <c r="D29" s="318" t="s">
        <v>299</v>
      </c>
      <c r="E29" s="319"/>
      <c r="F29" s="319"/>
      <c r="G29" s="319"/>
      <c r="H29" s="319"/>
      <c r="I29" s="319"/>
      <c r="J29" s="319"/>
      <c r="K29" s="22"/>
      <c r="L29" s="22"/>
      <c r="M29" s="23"/>
    </row>
    <row r="30" spans="1:13" ht="8.1" customHeight="1" x14ac:dyDescent="0.2">
      <c r="A30" s="32"/>
      <c r="C30" s="320"/>
      <c r="D30" s="318" t="s">
        <v>300</v>
      </c>
      <c r="E30" s="319"/>
      <c r="F30" s="319"/>
      <c r="G30" s="319"/>
      <c r="H30" s="319"/>
      <c r="I30" s="319"/>
      <c r="J30" s="319"/>
      <c r="K30" s="22"/>
      <c r="L30" s="22"/>
      <c r="M30" s="23"/>
    </row>
    <row r="31" spans="1:13" ht="8.1" customHeight="1" x14ac:dyDescent="0.2">
      <c r="A31" s="32"/>
      <c r="C31" s="320"/>
      <c r="D31" s="318" t="s">
        <v>301</v>
      </c>
      <c r="E31" s="319"/>
      <c r="F31" s="319"/>
      <c r="G31" s="319"/>
      <c r="H31" s="319"/>
      <c r="I31" s="319"/>
      <c r="J31" s="319"/>
      <c r="K31" s="22"/>
      <c r="L31" s="22"/>
      <c r="M31" s="23"/>
    </row>
    <row r="32" spans="1:13" ht="8.1" customHeight="1" x14ac:dyDescent="0.2">
      <c r="A32" s="32"/>
      <c r="C32" s="320"/>
      <c r="D32" s="321" t="s">
        <v>302</v>
      </c>
      <c r="E32" s="319"/>
      <c r="F32" s="319"/>
      <c r="G32" s="319"/>
      <c r="H32" s="319"/>
      <c r="I32" s="319"/>
      <c r="J32" s="319"/>
      <c r="K32" s="22"/>
      <c r="L32" s="22"/>
      <c r="M32" s="23"/>
    </row>
    <row r="33" spans="1:13" ht="2.1" customHeight="1" x14ac:dyDescent="0.2">
      <c r="A33" s="32"/>
      <c r="C33" s="320"/>
      <c r="D33" s="319"/>
      <c r="E33" s="319"/>
      <c r="F33" s="319"/>
      <c r="G33" s="319"/>
      <c r="H33" s="319"/>
      <c r="I33" s="319"/>
      <c r="J33" s="319"/>
      <c r="K33" s="22"/>
      <c r="L33" s="22"/>
      <c r="M33" s="23"/>
    </row>
    <row r="34" spans="1:13" ht="8.1" customHeight="1" x14ac:dyDescent="0.2">
      <c r="A34" s="32"/>
      <c r="C34" s="317" t="s">
        <v>67</v>
      </c>
      <c r="D34" s="318" t="s">
        <v>303</v>
      </c>
      <c r="E34" s="319"/>
      <c r="F34" s="319"/>
      <c r="G34" s="319"/>
      <c r="H34" s="319"/>
      <c r="I34" s="319"/>
      <c r="J34" s="319"/>
      <c r="K34" s="22"/>
      <c r="L34" s="22"/>
      <c r="M34" s="23"/>
    </row>
    <row r="35" spans="1:13" ht="8.1" customHeight="1" x14ac:dyDescent="0.2">
      <c r="A35" s="32"/>
      <c r="C35" s="320"/>
      <c r="D35" s="318" t="s">
        <v>304</v>
      </c>
      <c r="E35" s="319"/>
      <c r="F35" s="319"/>
      <c r="G35" s="319"/>
      <c r="H35" s="319"/>
      <c r="I35" s="319"/>
      <c r="J35" s="319"/>
      <c r="K35" s="22"/>
      <c r="L35" s="22"/>
      <c r="M35" s="23"/>
    </row>
    <row r="36" spans="1:13" ht="8.1" customHeight="1" x14ac:dyDescent="0.2">
      <c r="A36" s="32"/>
      <c r="C36" s="320"/>
      <c r="D36" s="318" t="s">
        <v>305</v>
      </c>
      <c r="E36" s="319"/>
      <c r="F36" s="319"/>
      <c r="G36" s="319"/>
      <c r="H36" s="319"/>
      <c r="I36" s="319"/>
      <c r="J36" s="319"/>
      <c r="K36" s="22"/>
      <c r="L36" s="22"/>
      <c r="M36" s="23"/>
    </row>
    <row r="37" spans="1:13" ht="8.1" customHeight="1" x14ac:dyDescent="0.2">
      <c r="A37" s="32"/>
      <c r="C37" s="320"/>
      <c r="D37" s="318" t="s">
        <v>306</v>
      </c>
      <c r="E37" s="319"/>
      <c r="F37" s="319"/>
      <c r="G37" s="319"/>
      <c r="H37" s="319"/>
      <c r="I37" s="319"/>
      <c r="J37" s="319"/>
      <c r="K37" s="22"/>
      <c r="L37" s="22"/>
      <c r="M37" s="23"/>
    </row>
    <row r="38" spans="1:13" ht="8.1" customHeight="1" x14ac:dyDescent="0.2">
      <c r="A38" s="32"/>
      <c r="C38" s="320"/>
      <c r="D38" s="321" t="s">
        <v>307</v>
      </c>
      <c r="E38" s="319"/>
      <c r="F38" s="319"/>
      <c r="G38" s="319"/>
      <c r="H38" s="319"/>
      <c r="I38" s="319"/>
      <c r="J38" s="319"/>
      <c r="K38" s="22"/>
      <c r="L38" s="22"/>
      <c r="M38" s="23"/>
    </row>
    <row r="39" spans="1:13" ht="2.1" customHeight="1" x14ac:dyDescent="0.2">
      <c r="A39" s="32"/>
      <c r="C39" s="320"/>
      <c r="D39" s="319"/>
      <c r="E39" s="319"/>
      <c r="F39" s="319"/>
      <c r="G39" s="319"/>
      <c r="H39" s="319"/>
      <c r="I39" s="319"/>
      <c r="J39" s="319"/>
      <c r="K39" s="22"/>
      <c r="L39" s="22"/>
      <c r="M39" s="23"/>
    </row>
    <row r="40" spans="1:13" ht="8.1" customHeight="1" x14ac:dyDescent="0.2">
      <c r="A40" s="32"/>
      <c r="C40" s="317" t="s">
        <v>255</v>
      </c>
      <c r="D40" s="318" t="s">
        <v>308</v>
      </c>
      <c r="E40" s="319"/>
      <c r="F40" s="319"/>
      <c r="G40" s="319"/>
      <c r="H40" s="319"/>
      <c r="I40" s="319"/>
      <c r="J40" s="319"/>
      <c r="K40" s="22"/>
      <c r="L40" s="22"/>
      <c r="M40" s="23"/>
    </row>
    <row r="41" spans="1:13" ht="8.1" customHeight="1" x14ac:dyDescent="0.2">
      <c r="A41" s="32"/>
      <c r="C41" s="320"/>
      <c r="D41" s="318" t="s">
        <v>309</v>
      </c>
      <c r="E41" s="319"/>
      <c r="F41" s="319"/>
      <c r="G41" s="319"/>
      <c r="H41" s="319"/>
      <c r="I41" s="319"/>
      <c r="J41" s="319"/>
      <c r="K41" s="22"/>
      <c r="L41" s="22"/>
      <c r="M41" s="23"/>
    </row>
    <row r="42" spans="1:13" ht="8.1" customHeight="1" x14ac:dyDescent="0.2">
      <c r="A42" s="32"/>
      <c r="C42" s="320"/>
      <c r="D42" s="318" t="s">
        <v>310</v>
      </c>
      <c r="E42" s="319"/>
      <c r="F42" s="319"/>
      <c r="G42" s="319"/>
      <c r="H42" s="319"/>
      <c r="I42" s="319"/>
      <c r="J42" s="319"/>
      <c r="K42" s="22"/>
      <c r="L42" s="22"/>
      <c r="M42" s="23"/>
    </row>
    <row r="43" spans="1:13" ht="8.1" customHeight="1" x14ac:dyDescent="0.2">
      <c r="A43" s="32"/>
      <c r="C43" s="320"/>
      <c r="D43" s="318" t="s">
        <v>311</v>
      </c>
      <c r="E43" s="319"/>
      <c r="F43" s="319"/>
      <c r="G43" s="319"/>
      <c r="H43" s="319"/>
      <c r="I43" s="319"/>
      <c r="J43" s="319"/>
      <c r="K43" s="419" t="s">
        <v>318</v>
      </c>
      <c r="L43" s="22"/>
      <c r="M43" s="23"/>
    </row>
    <row r="44" spans="1:13" ht="8.1" customHeight="1" x14ac:dyDescent="0.2">
      <c r="A44" s="32"/>
      <c r="C44" s="320"/>
      <c r="D44" s="321" t="s">
        <v>312</v>
      </c>
      <c r="E44" s="319"/>
      <c r="F44" s="319"/>
      <c r="G44" s="319"/>
      <c r="H44" s="319"/>
      <c r="I44" s="319"/>
      <c r="J44" s="319"/>
      <c r="K44" s="419"/>
      <c r="L44" s="22"/>
      <c r="M44" s="23"/>
    </row>
    <row r="45" spans="1:13" ht="2.1" customHeight="1" x14ac:dyDescent="0.2">
      <c r="A45" s="32"/>
      <c r="C45" s="320"/>
      <c r="D45" s="319"/>
      <c r="E45" s="319"/>
      <c r="F45" s="319"/>
      <c r="G45" s="319"/>
      <c r="H45" s="319"/>
      <c r="I45" s="319"/>
      <c r="J45" s="319"/>
      <c r="K45" s="419"/>
      <c r="L45" s="22"/>
      <c r="M45" s="23"/>
    </row>
    <row r="46" spans="1:13" ht="8.1" customHeight="1" x14ac:dyDescent="0.2">
      <c r="A46" s="32"/>
      <c r="C46" s="317" t="s">
        <v>68</v>
      </c>
      <c r="D46" s="318" t="s">
        <v>313</v>
      </c>
      <c r="E46" s="319"/>
      <c r="F46" s="319"/>
      <c r="G46" s="319"/>
      <c r="H46" s="319"/>
      <c r="I46" s="319"/>
      <c r="J46" s="319"/>
      <c r="K46" s="22"/>
      <c r="L46" s="22"/>
      <c r="M46" s="23"/>
    </row>
    <row r="47" spans="1:13" ht="8.1" customHeight="1" x14ac:dyDescent="0.2">
      <c r="A47" s="32"/>
      <c r="C47" s="320"/>
      <c r="D47" s="318" t="s">
        <v>314</v>
      </c>
      <c r="E47" s="319"/>
      <c r="F47" s="319"/>
      <c r="G47" s="319"/>
      <c r="H47" s="319"/>
      <c r="I47" s="319"/>
      <c r="J47" s="319"/>
      <c r="K47" s="22"/>
      <c r="L47" s="22"/>
      <c r="M47" s="23"/>
    </row>
    <row r="48" spans="1:13" ht="8.1" customHeight="1" x14ac:dyDescent="0.2">
      <c r="A48" s="32"/>
      <c r="C48" s="320"/>
      <c r="D48" s="318" t="s">
        <v>310</v>
      </c>
      <c r="E48" s="319"/>
      <c r="F48" s="319"/>
      <c r="G48" s="319"/>
      <c r="H48" s="319"/>
      <c r="I48" s="319"/>
      <c r="J48" s="319"/>
      <c r="K48" s="22"/>
      <c r="L48" s="22"/>
      <c r="M48" s="23"/>
    </row>
    <row r="49" spans="1:13" ht="8.1" customHeight="1" x14ac:dyDescent="0.2">
      <c r="A49" s="32"/>
      <c r="C49" s="320"/>
      <c r="D49" s="318" t="s">
        <v>311</v>
      </c>
      <c r="E49" s="319"/>
      <c r="F49" s="319"/>
      <c r="G49" s="319"/>
      <c r="H49" s="319"/>
      <c r="I49" s="319"/>
      <c r="J49" s="319"/>
      <c r="K49" s="22"/>
      <c r="L49" s="22"/>
      <c r="M49" s="23"/>
    </row>
    <row r="50" spans="1:13" ht="8.1" customHeight="1" x14ac:dyDescent="0.2">
      <c r="A50" s="32"/>
      <c r="C50" s="320"/>
      <c r="D50" s="321" t="s">
        <v>315</v>
      </c>
      <c r="E50" s="319"/>
      <c r="F50" s="319"/>
      <c r="G50" s="319"/>
      <c r="H50" s="319"/>
      <c r="I50" s="319"/>
      <c r="J50" s="319"/>
      <c r="K50" s="22"/>
      <c r="L50" s="22"/>
      <c r="M50" s="23"/>
    </row>
    <row r="51" spans="1:13" ht="2.1" customHeight="1" x14ac:dyDescent="0.2">
      <c r="A51" s="32"/>
      <c r="C51" s="320"/>
      <c r="D51" s="319"/>
      <c r="E51" s="319"/>
      <c r="F51" s="319"/>
      <c r="G51" s="319"/>
      <c r="H51" s="319"/>
      <c r="I51" s="319"/>
      <c r="J51" s="319"/>
      <c r="K51" s="22"/>
      <c r="L51" s="22"/>
      <c r="M51" s="23"/>
    </row>
    <row r="52" spans="1:13" ht="8.1" customHeight="1" x14ac:dyDescent="0.2">
      <c r="A52" s="32"/>
      <c r="C52" s="317" t="s">
        <v>108</v>
      </c>
      <c r="D52" s="318" t="s">
        <v>316</v>
      </c>
      <c r="E52" s="319"/>
      <c r="F52" s="319"/>
      <c r="G52" s="319"/>
      <c r="H52" s="319"/>
      <c r="I52" s="319"/>
      <c r="J52" s="319"/>
      <c r="K52" s="22"/>
      <c r="L52" s="26"/>
      <c r="M52" s="23"/>
    </row>
    <row r="53" spans="1:13" ht="2.1" customHeight="1" x14ac:dyDescent="0.2">
      <c r="A53" s="32"/>
      <c r="C53" s="317"/>
      <c r="D53" s="318"/>
      <c r="E53" s="319"/>
      <c r="F53" s="319"/>
      <c r="G53" s="319"/>
      <c r="H53" s="319"/>
      <c r="I53" s="319"/>
      <c r="J53" s="319"/>
      <c r="K53" s="22"/>
      <c r="L53" s="26"/>
      <c r="M53" s="23"/>
    </row>
    <row r="54" spans="1:13" ht="8.1" customHeight="1" x14ac:dyDescent="0.2">
      <c r="A54" s="32"/>
      <c r="C54" s="317" t="s">
        <v>69</v>
      </c>
      <c r="D54" s="318" t="s">
        <v>317</v>
      </c>
      <c r="E54" s="319"/>
      <c r="F54" s="319"/>
      <c r="G54" s="319"/>
      <c r="H54" s="319"/>
      <c r="I54" s="319"/>
      <c r="J54" s="319"/>
      <c r="K54" s="22"/>
      <c r="L54" s="26"/>
      <c r="M54" s="23"/>
    </row>
    <row r="55" spans="1:13" ht="2.1" customHeight="1" x14ac:dyDescent="0.2">
      <c r="A55" s="32"/>
      <c r="C55" s="25"/>
      <c r="D55" s="24"/>
      <c r="E55" s="22"/>
      <c r="F55" s="22"/>
      <c r="G55" s="22"/>
      <c r="H55" s="22"/>
      <c r="I55" s="22"/>
      <c r="J55" s="22"/>
      <c r="K55" s="22"/>
      <c r="L55" s="26"/>
      <c r="M55" s="23"/>
    </row>
    <row r="56" spans="1:13" ht="3" customHeight="1" x14ac:dyDescent="0.2">
      <c r="A56" s="32"/>
      <c r="C56" s="27"/>
      <c r="D56" s="28"/>
      <c r="E56" s="28"/>
      <c r="F56" s="28"/>
      <c r="G56" s="28"/>
      <c r="H56" s="28"/>
      <c r="I56" s="28"/>
      <c r="J56" s="28"/>
      <c r="K56" s="28"/>
      <c r="L56" s="28"/>
      <c r="M56" s="29"/>
    </row>
    <row r="57" spans="1:13" ht="12.75" customHeight="1" x14ac:dyDescent="0.2"/>
    <row r="58" spans="1:13" ht="12.75" customHeight="1" x14ac:dyDescent="0.2"/>
    <row r="59" spans="1:13" ht="12.75" customHeight="1" x14ac:dyDescent="0.2"/>
    <row r="60" spans="1:13" ht="12.75" customHeight="1" x14ac:dyDescent="0.2"/>
    <row r="61" spans="1:13" ht="12.75" customHeight="1" x14ac:dyDescent="0.2"/>
    <row r="62" spans="1:13" ht="12.75" customHeight="1" x14ac:dyDescent="0.2"/>
    <row r="63" spans="1:13" ht="12.75" customHeight="1" x14ac:dyDescent="0.2"/>
    <row r="64" spans="1:13"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spans="4:4" ht="12.75" customHeight="1" x14ac:dyDescent="0.2"/>
    <row r="82" spans="4:4" ht="12.75" customHeight="1" x14ac:dyDescent="0.2"/>
    <row r="83" spans="4:4" ht="12.75" customHeight="1" x14ac:dyDescent="0.2"/>
    <row r="84" spans="4:4" ht="12.75" customHeight="1" x14ac:dyDescent="0.2"/>
    <row r="85" spans="4:4" ht="12.75" customHeight="1" x14ac:dyDescent="0.2"/>
    <row r="86" spans="4:4" ht="12.75" customHeight="1" x14ac:dyDescent="0.2"/>
    <row r="87" spans="4:4" ht="12.75" customHeight="1" x14ac:dyDescent="0.2"/>
    <row r="88" spans="4:4" ht="12.75" customHeight="1" x14ac:dyDescent="0.2"/>
    <row r="89" spans="4:4" ht="12.75" customHeight="1" x14ac:dyDescent="0.2">
      <c r="D89" s="311" t="s">
        <v>92</v>
      </c>
    </row>
    <row r="90" spans="4:4" ht="12.75" customHeight="1" x14ac:dyDescent="0.2">
      <c r="D90" s="311" t="s">
        <v>93</v>
      </c>
    </row>
    <row r="91" spans="4:4" ht="12.75" customHeight="1" x14ac:dyDescent="0.2">
      <c r="D91" s="311" t="s">
        <v>94</v>
      </c>
    </row>
    <row r="92" spans="4:4" ht="12.75" customHeight="1" x14ac:dyDescent="0.2">
      <c r="D92" s="311" t="s">
        <v>121</v>
      </c>
    </row>
    <row r="93" spans="4:4" ht="12.75" customHeight="1" x14ac:dyDescent="0.2">
      <c r="D93" s="311" t="s">
        <v>95</v>
      </c>
    </row>
    <row r="94" spans="4:4" ht="12.75" customHeight="1" x14ac:dyDescent="0.2">
      <c r="D94" s="311" t="s">
        <v>122</v>
      </c>
    </row>
    <row r="95" spans="4:4" ht="12.75" customHeight="1" x14ac:dyDescent="0.2">
      <c r="D95" s="311" t="s">
        <v>319</v>
      </c>
    </row>
    <row r="96" spans="4:4" ht="12.75" customHeight="1" x14ac:dyDescent="0.2">
      <c r="D96" s="311" t="s">
        <v>268</v>
      </c>
    </row>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sheetData>
  <sheetProtection algorithmName="SHA-512" hashValue="Ap/JahZz7qa7mEIh9tDmTjBvl3Kq2SMAdE4IecQghxxB4vHO9tKxOFZ8c8e1foMjMZIBJUFDw8TvFcR+hv734g==" saltValue="91BPDbd4Hwz7NIw9rxuQ+g==" spinCount="100000" sheet="1" objects="1" scenarios="1" selectLockedCells="1"/>
  <mergeCells count="3">
    <mergeCell ref="D4:G4"/>
    <mergeCell ref="B1:M2"/>
    <mergeCell ref="K43:K45"/>
  </mergeCells>
  <phoneticPr fontId="20" type="noConversion"/>
  <conditionalFormatting sqref="D8">
    <cfRule type="expression" dxfId="342" priority="1">
      <formula>$D$6="Otro"</formula>
    </cfRule>
  </conditionalFormatting>
  <conditionalFormatting sqref="F8">
    <cfRule type="expression" dxfId="341" priority="2">
      <formula>$D$6="Otro"</formula>
    </cfRule>
  </conditionalFormatting>
  <conditionalFormatting sqref="I4">
    <cfRule type="expression" dxfId="340" priority="6">
      <formula>$D4&lt;&gt;""</formula>
    </cfRule>
  </conditionalFormatting>
  <conditionalFormatting sqref="I6">
    <cfRule type="expression" dxfId="339" priority="4">
      <formula>$D6&lt;&gt;""</formula>
    </cfRule>
  </conditionalFormatting>
  <conditionalFormatting sqref="I8">
    <cfRule type="expression" dxfId="338" priority="5">
      <formula>$D8&lt;&gt;""</formula>
    </cfRule>
  </conditionalFormatting>
  <dataValidations count="1">
    <dataValidation type="list" allowBlank="1" showInputMessage="1" showErrorMessage="1" sqref="D6" xr:uid="{00000000-0002-0000-0000-000000000000}">
      <formula1>$D$89:$D$96</formula1>
    </dataValidation>
  </dataValidations>
  <pageMargins left="0.74803149606299213" right="0.74803149606299213" top="0.98425196850393704" bottom="0.98425196850393704" header="0" footer="0"/>
  <pageSetup paperSize="9" scale="61"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W29"/>
  <sheetViews>
    <sheetView showGridLines="0" showRowColHeaders="0" showOutlineSymbols="0" zoomScale="95" zoomScaleNormal="95" workbookViewId="0">
      <selection activeCell="F11" sqref="F11"/>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3"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3"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3" ht="12.75" customHeight="1" x14ac:dyDescent="0.2">
      <c r="G3" s="242"/>
      <c r="M3" s="87"/>
      <c r="N3" s="87"/>
      <c r="R3" s="130"/>
    </row>
    <row r="4" spans="2:23" ht="12.75" customHeight="1" x14ac:dyDescent="0.2">
      <c r="C4" s="424" t="s">
        <v>3</v>
      </c>
      <c r="D4" s="425"/>
      <c r="E4" s="425"/>
      <c r="F4" s="425"/>
      <c r="G4" s="425"/>
      <c r="H4" s="425"/>
      <c r="I4" s="425"/>
      <c r="J4" s="425"/>
      <c r="K4" s="425"/>
      <c r="L4" s="425"/>
      <c r="M4" s="425"/>
      <c r="N4" s="426"/>
      <c r="Q4" s="431" t="s">
        <v>256</v>
      </c>
      <c r="R4" s="432"/>
      <c r="S4" s="432"/>
      <c r="T4" s="433"/>
      <c r="W4" s="97"/>
    </row>
    <row r="5" spans="2:23" ht="12.75" customHeight="1" x14ac:dyDescent="0.2">
      <c r="C5" s="72"/>
      <c r="D5" s="72"/>
      <c r="E5" s="72"/>
      <c r="F5" s="72"/>
      <c r="G5" s="243"/>
      <c r="H5" s="77" t="s">
        <v>76</v>
      </c>
      <c r="I5" s="414" t="s">
        <v>11</v>
      </c>
      <c r="J5" s="414"/>
      <c r="K5" s="414" t="s">
        <v>36</v>
      </c>
      <c r="L5" s="414"/>
      <c r="M5" s="414" t="s">
        <v>22</v>
      </c>
      <c r="N5" s="414"/>
      <c r="Q5" s="434"/>
      <c r="R5" s="435"/>
      <c r="S5" s="435"/>
      <c r="T5" s="436"/>
      <c r="W5" s="97"/>
    </row>
    <row r="6" spans="2:23" ht="12.75" customHeight="1" x14ac:dyDescent="0.2">
      <c r="B6" s="73" t="str">
        <f t="shared" ref="B6:B11" ca="1" si="0">IF(OR(M6="finalizado",M6="en juego",M6="hoy!"),"Ø","")</f>
        <v/>
      </c>
      <c r="C6" s="88" t="str">
        <f>IF(R7&lt;&gt;"",R7,"")</f>
        <v>México</v>
      </c>
      <c r="D6" s="324">
        <v>3</v>
      </c>
      <c r="E6" s="91" t="s">
        <v>4</v>
      </c>
      <c r="F6" s="324">
        <v>0</v>
      </c>
      <c r="G6" s="94" t="str">
        <f>IF(R9&lt;&gt;"",R9,"")</f>
        <v>Sudáfrica</v>
      </c>
      <c r="H6" s="138" t="s">
        <v>167</v>
      </c>
      <c r="I6" s="427">
        <v>46184</v>
      </c>
      <c r="J6" s="427"/>
      <c r="K6" s="428">
        <v>0.58333333333333337</v>
      </c>
      <c r="L6" s="428"/>
      <c r="M6" s="429" t="str">
        <f t="shared" ref="M6:M11" ca="1" si="1">IF(OR(I6="",K6="",I6&lt;$R$24),"",IF(I6=$R$24,IF(AND(K6&lt;=$S$26,$S$26&lt;=(K6+0.08333333333)),"en juego",IF($S$26&lt;K6,"hoy!","finalizado")),IF($R$24&gt;I6,"finalizado","")))</f>
        <v/>
      </c>
      <c r="N6" s="430"/>
      <c r="O6" s="13"/>
      <c r="P6" s="13"/>
      <c r="Q6" s="13"/>
      <c r="R6" s="131"/>
      <c r="S6" s="13"/>
      <c r="T6" s="13"/>
    </row>
    <row r="7" spans="2:23" ht="12.75" customHeight="1" x14ac:dyDescent="0.35">
      <c r="B7" s="73" t="str">
        <f t="shared" ca="1" si="0"/>
        <v/>
      </c>
      <c r="C7" s="89" t="str">
        <f>IF(R11&lt;&gt;"",R11,"")</f>
        <v>Korea</v>
      </c>
      <c r="D7" s="325">
        <v>0</v>
      </c>
      <c r="E7" s="92" t="s">
        <v>4</v>
      </c>
      <c r="F7" s="325">
        <v>2</v>
      </c>
      <c r="G7" s="95" t="str">
        <f>IF(R13&lt;&gt;"",R13,"")</f>
        <v>República Checa</v>
      </c>
      <c r="H7" s="139" t="s">
        <v>168</v>
      </c>
      <c r="I7" s="420">
        <v>46184</v>
      </c>
      <c r="J7" s="420"/>
      <c r="K7" s="423">
        <v>0.875</v>
      </c>
      <c r="L7" s="423"/>
      <c r="M7" s="421" t="str">
        <f t="shared" ca="1" si="1"/>
        <v/>
      </c>
      <c r="N7" s="422"/>
      <c r="O7" s="78"/>
      <c r="P7" s="79"/>
      <c r="Q7" s="113"/>
      <c r="R7" s="438" t="s">
        <v>39</v>
      </c>
      <c r="S7" s="438"/>
      <c r="T7" s="114"/>
    </row>
    <row r="8" spans="2:23" ht="12.75" customHeight="1" x14ac:dyDescent="0.4">
      <c r="B8" s="73" t="str">
        <f t="shared" ca="1" si="0"/>
        <v/>
      </c>
      <c r="C8" s="89" t="str">
        <f>IF(R13&lt;&gt;"",R13,"")</f>
        <v>República Checa</v>
      </c>
      <c r="D8" s="325">
        <v>2</v>
      </c>
      <c r="E8" s="92" t="s">
        <v>4</v>
      </c>
      <c r="F8" s="325">
        <v>1</v>
      </c>
      <c r="G8" s="95" t="str">
        <f>IF(R9&lt;&gt;"",R9,"")</f>
        <v>Sudáfrica</v>
      </c>
      <c r="H8" s="139" t="s">
        <v>179</v>
      </c>
      <c r="I8" s="420">
        <v>46191</v>
      </c>
      <c r="J8" s="420"/>
      <c r="K8" s="423">
        <v>0.45833333333333331</v>
      </c>
      <c r="L8" s="423"/>
      <c r="M8" s="421" t="str">
        <f t="shared" ca="1" si="1"/>
        <v/>
      </c>
      <c r="N8" s="422"/>
      <c r="O8" s="80"/>
      <c r="P8" s="81"/>
      <c r="Q8" s="13"/>
      <c r="R8" s="132"/>
      <c r="S8" s="125"/>
      <c r="T8" s="13"/>
    </row>
    <row r="9" spans="2:23" ht="12.75" customHeight="1" x14ac:dyDescent="0.2">
      <c r="B9" s="73" t="str">
        <f t="shared" ca="1" si="0"/>
        <v/>
      </c>
      <c r="C9" s="89" t="str">
        <f>IF(R7&lt;&gt;"",R7,"")</f>
        <v>México</v>
      </c>
      <c r="D9" s="325">
        <v>1</v>
      </c>
      <c r="E9" s="92" t="s">
        <v>4</v>
      </c>
      <c r="F9" s="325">
        <v>1</v>
      </c>
      <c r="G9" s="95" t="str">
        <f>IF(R11&lt;&gt;"",R11,"")</f>
        <v>Korea</v>
      </c>
      <c r="H9" s="139" t="s">
        <v>168</v>
      </c>
      <c r="I9" s="420">
        <v>46191</v>
      </c>
      <c r="J9" s="420"/>
      <c r="K9" s="423">
        <v>0.83333333333333337</v>
      </c>
      <c r="L9" s="423"/>
      <c r="M9" s="421" t="str">
        <f t="shared" ca="1" si="1"/>
        <v/>
      </c>
      <c r="N9" s="422"/>
      <c r="O9" s="13"/>
      <c r="P9" s="13"/>
      <c r="Q9" s="113"/>
      <c r="R9" s="438" t="s">
        <v>140</v>
      </c>
      <c r="S9" s="438"/>
      <c r="T9" s="114"/>
    </row>
    <row r="10" spans="2:23" ht="12.75" customHeight="1" x14ac:dyDescent="0.2">
      <c r="B10" s="73" t="str">
        <f t="shared" ca="1" si="0"/>
        <v/>
      </c>
      <c r="C10" s="89" t="str">
        <f>IF(R13&lt;&gt;"",R13,"")</f>
        <v>República Checa</v>
      </c>
      <c r="D10" s="325">
        <v>1</v>
      </c>
      <c r="E10" s="92" t="s">
        <v>4</v>
      </c>
      <c r="F10" s="325">
        <v>2</v>
      </c>
      <c r="G10" s="95" t="str">
        <f>IF(R7&lt;&gt;"",R7,"")</f>
        <v>México</v>
      </c>
      <c r="H10" s="139" t="s">
        <v>167</v>
      </c>
      <c r="I10" s="420">
        <v>46197</v>
      </c>
      <c r="J10" s="420"/>
      <c r="K10" s="423">
        <v>0.83333333333333337</v>
      </c>
      <c r="L10" s="423"/>
      <c r="M10" s="421" t="str">
        <f t="shared" ca="1" si="1"/>
        <v/>
      </c>
      <c r="N10" s="422"/>
      <c r="O10" s="13"/>
      <c r="P10" s="13"/>
      <c r="Q10" s="13"/>
      <c r="R10" s="132"/>
      <c r="S10" s="125"/>
      <c r="T10" s="13"/>
    </row>
    <row r="11" spans="2:23" ht="12.75" customHeight="1" x14ac:dyDescent="0.2">
      <c r="B11" s="73" t="str">
        <f t="shared" ca="1" si="0"/>
        <v/>
      </c>
      <c r="C11" s="90" t="str">
        <f>IF(R9&lt;&gt;"",R9,"")</f>
        <v>Sudáfrica</v>
      </c>
      <c r="D11" s="326">
        <v>0</v>
      </c>
      <c r="E11" s="93" t="s">
        <v>4</v>
      </c>
      <c r="F11" s="326">
        <v>2</v>
      </c>
      <c r="G11" s="96" t="str">
        <f>IF(R11&lt;&gt;"",R11,"")</f>
        <v>Korea</v>
      </c>
      <c r="H11" s="140" t="s">
        <v>178</v>
      </c>
      <c r="I11" s="420">
        <v>46197</v>
      </c>
      <c r="J11" s="420"/>
      <c r="K11" s="423">
        <v>0.83333333333333337</v>
      </c>
      <c r="L11" s="423"/>
      <c r="M11" s="421" t="str">
        <f t="shared" ca="1" si="1"/>
        <v/>
      </c>
      <c r="N11" s="422"/>
      <c r="O11" s="13"/>
      <c r="P11" s="13"/>
      <c r="Q11" s="113"/>
      <c r="R11" s="438" t="s">
        <v>120</v>
      </c>
      <c r="S11" s="438"/>
      <c r="T11" s="114"/>
    </row>
    <row r="12" spans="2:23" ht="12.75" customHeight="1" x14ac:dyDescent="0.2">
      <c r="C12" s="74"/>
      <c r="D12" s="86"/>
      <c r="E12" s="76"/>
      <c r="F12" s="86"/>
      <c r="G12" s="13"/>
      <c r="H12" s="82"/>
      <c r="I12" s="76"/>
      <c r="J12" s="83"/>
      <c r="K12" s="245"/>
      <c r="L12" s="244"/>
      <c r="M12" s="85"/>
      <c r="N12" s="85"/>
      <c r="O12" s="13"/>
      <c r="P12" s="13"/>
      <c r="Q12" s="13"/>
      <c r="R12" s="132"/>
      <c r="S12" s="125"/>
      <c r="T12" s="13"/>
    </row>
    <row r="13" spans="2:23" ht="12.6"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346</v>
      </c>
      <c r="S13" s="438"/>
      <c r="T13" s="114"/>
    </row>
    <row r="14" spans="2:23" ht="12.75" customHeight="1" x14ac:dyDescent="0.2">
      <c r="C14" s="74"/>
      <c r="D14" s="86"/>
      <c r="E14" s="76"/>
      <c r="F14" s="86"/>
      <c r="G14" s="13"/>
      <c r="H14" s="82"/>
      <c r="I14" s="76"/>
      <c r="J14" s="76"/>
      <c r="K14" s="246"/>
      <c r="L14" s="84"/>
      <c r="M14" s="85"/>
      <c r="N14" s="85"/>
      <c r="O14" s="13"/>
      <c r="P14" s="13"/>
      <c r="Q14" s="13"/>
      <c r="R14" s="133"/>
      <c r="S14" s="126"/>
      <c r="T14" s="13"/>
    </row>
    <row r="15" spans="2:23" ht="12.6" customHeight="1" x14ac:dyDescent="0.2">
      <c r="C15" s="13"/>
      <c r="D15" s="13"/>
      <c r="E15" s="13"/>
      <c r="F15" s="13"/>
      <c r="G15" s="13"/>
      <c r="H15" s="439" t="s">
        <v>12</v>
      </c>
      <c r="I15" s="440"/>
      <c r="J15" s="440"/>
      <c r="K15" s="441"/>
      <c r="L15" s="440"/>
      <c r="M15" s="440"/>
      <c r="N15" s="440"/>
      <c r="O15" s="440"/>
      <c r="P15" s="442"/>
      <c r="Q15" s="13"/>
      <c r="R15" s="131"/>
      <c r="S15" s="13"/>
      <c r="T15" s="13"/>
    </row>
    <row r="16" spans="2:23"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0" t="str">
        <f>calculoA!F37</f>
        <v>México</v>
      </c>
      <c r="I17" s="116">
        <f>calculoA!G37</f>
        <v>3</v>
      </c>
      <c r="J17" s="116">
        <f>calculoA!H37</f>
        <v>2</v>
      </c>
      <c r="K17" s="116">
        <f>calculoA!I37</f>
        <v>1</v>
      </c>
      <c r="L17" s="116">
        <f>calculoA!J37</f>
        <v>0</v>
      </c>
      <c r="M17" s="116">
        <f>calculoA!K37</f>
        <v>6</v>
      </c>
      <c r="N17" s="116">
        <f>calculoA!L37</f>
        <v>2</v>
      </c>
      <c r="O17" s="116">
        <f>M17-N17</f>
        <v>4</v>
      </c>
      <c r="P17" s="117">
        <f>calculoA!M37</f>
        <v>7</v>
      </c>
      <c r="Q17" s="104"/>
      <c r="R17" s="134"/>
      <c r="S17" s="99"/>
      <c r="T17" s="99"/>
    </row>
    <row r="18" spans="2:22" ht="12.75" customHeight="1" x14ac:dyDescent="0.2">
      <c r="C18" s="13"/>
      <c r="D18" s="13"/>
      <c r="E18" s="13"/>
      <c r="F18" s="13"/>
      <c r="G18" s="112" t="s">
        <v>228</v>
      </c>
      <c r="H18" s="121" t="str">
        <f>calculoA!F38</f>
        <v>República Checa</v>
      </c>
      <c r="I18" s="119">
        <f>calculoA!G38</f>
        <v>3</v>
      </c>
      <c r="J18" s="119">
        <f>calculoA!H38</f>
        <v>2</v>
      </c>
      <c r="K18" s="119">
        <f>calculoA!I38</f>
        <v>0</v>
      </c>
      <c r="L18" s="119">
        <f>calculoA!J38</f>
        <v>1</v>
      </c>
      <c r="M18" s="119">
        <f>calculoA!K38</f>
        <v>5</v>
      </c>
      <c r="N18" s="119">
        <f>calculoA!L38</f>
        <v>3</v>
      </c>
      <c r="O18" s="119">
        <f>M18-N18</f>
        <v>2</v>
      </c>
      <c r="P18" s="120">
        <f>calculoA!M38</f>
        <v>6</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calculoA!F39</f>
        <v>Korea</v>
      </c>
      <c r="I19" s="119">
        <f>calculoA!G39</f>
        <v>3</v>
      </c>
      <c r="J19" s="119">
        <f>calculoA!H39</f>
        <v>1</v>
      </c>
      <c r="K19" s="119">
        <f>calculoA!I39</f>
        <v>1</v>
      </c>
      <c r="L19" s="119">
        <f>calculoA!J39</f>
        <v>1</v>
      </c>
      <c r="M19" s="119">
        <f>calculoA!K39</f>
        <v>3</v>
      </c>
      <c r="N19" s="119">
        <f>calculoA!L39</f>
        <v>3</v>
      </c>
      <c r="O19" s="119">
        <f>M19-N19</f>
        <v>0</v>
      </c>
      <c r="P19" s="120">
        <f>calculoA!M39</f>
        <v>4</v>
      </c>
      <c r="Q19" s="105"/>
      <c r="R19" s="134"/>
      <c r="S19" s="99"/>
      <c r="T19" s="99"/>
    </row>
    <row r="20" spans="2:22" ht="12.75" customHeight="1" x14ac:dyDescent="0.2">
      <c r="C20" s="13"/>
      <c r="D20" s="13"/>
      <c r="E20" s="13"/>
      <c r="F20" s="13"/>
      <c r="G20" s="99"/>
      <c r="H20" s="122" t="str">
        <f>calculoA!F40</f>
        <v>Sudáfrica</v>
      </c>
      <c r="I20" s="123">
        <f>calculoA!G40</f>
        <v>3</v>
      </c>
      <c r="J20" s="123">
        <f>calculoA!H40</f>
        <v>0</v>
      </c>
      <c r="K20" s="123">
        <f>calculoA!I40</f>
        <v>0</v>
      </c>
      <c r="L20" s="123">
        <f>calculoA!J40</f>
        <v>3</v>
      </c>
      <c r="M20" s="123">
        <f>calculoA!K40</f>
        <v>1</v>
      </c>
      <c r="N20" s="123">
        <f>calculoA!L40</f>
        <v>7</v>
      </c>
      <c r="O20" s="123">
        <f>M20-N20</f>
        <v>-6</v>
      </c>
      <c r="P20" s="124">
        <f>calculoA!M40</f>
        <v>0</v>
      </c>
      <c r="Q20" s="105"/>
      <c r="R20" s="135"/>
      <c r="S20" s="105"/>
      <c r="T20" s="105"/>
    </row>
    <row r="21" spans="2:22" ht="12.75" customHeight="1" x14ac:dyDescent="0.2">
      <c r="C21" s="13"/>
      <c r="D21" s="13"/>
      <c r="E21" s="13"/>
      <c r="F21" s="13"/>
      <c r="G21" s="355"/>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02"/>
      <c r="H22" s="13"/>
      <c r="I22" s="13"/>
      <c r="J22" s="13"/>
      <c r="K22" s="13"/>
      <c r="L22" s="13"/>
      <c r="M22" s="13"/>
      <c r="N22" s="13"/>
      <c r="O22" s="106"/>
      <c r="P22" s="106"/>
      <c r="Q22" s="106"/>
      <c r="R22" s="136"/>
      <c r="S22" s="106"/>
      <c r="T22" s="106"/>
    </row>
    <row r="23" spans="2:22" ht="12.75" customHeight="1" x14ac:dyDescent="0.2">
      <c r="C23" s="13"/>
      <c r="D23" s="13"/>
      <c r="E23" s="13"/>
      <c r="F23" s="13"/>
      <c r="G23" s="102"/>
      <c r="H23" s="13"/>
      <c r="I23" s="13"/>
      <c r="J23" s="13"/>
      <c r="K23" s="13"/>
      <c r="L23" s="13"/>
      <c r="M23" s="13"/>
      <c r="N23" s="13"/>
      <c r="O23" s="106"/>
      <c r="P23" s="106"/>
      <c r="Q23" s="106"/>
      <c r="R23" s="137"/>
      <c r="S23" s="129"/>
      <c r="T23" s="106"/>
    </row>
    <row r="24" spans="2:22" ht="12.75" customHeight="1" x14ac:dyDescent="0.25">
      <c r="C24" s="100"/>
      <c r="D24" s="101"/>
      <c r="E24" s="13"/>
      <c r="F24" s="13"/>
      <c r="G24" s="102"/>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OUxZxvOMhh3+IHIKQcpZ4/+vCKh6m0ecDtFHZzVVr79k+atooPnSR0A3KjlHyAQ5VzUSEDghOVZrHI2KI+Qh4g==" saltValue="4foBORfeJbYRqWCXPi9piA==" spinCount="100000" sheet="1" objects="1" scenarios="1" selectLockedCells="1"/>
  <dataConsolidate/>
  <mergeCells count="30">
    <mergeCell ref="H15:P15"/>
    <mergeCell ref="M9:N9"/>
    <mergeCell ref="M10:N10"/>
    <mergeCell ref="M11:N11"/>
    <mergeCell ref="I9:J9"/>
    <mergeCell ref="I10:J10"/>
    <mergeCell ref="I11:J11"/>
    <mergeCell ref="K11:L11"/>
    <mergeCell ref="K9:L9"/>
    <mergeCell ref="K10:L10"/>
    <mergeCell ref="R28:S28"/>
    <mergeCell ref="R7:S7"/>
    <mergeCell ref="R9:S9"/>
    <mergeCell ref="R11:S11"/>
    <mergeCell ref="R13:S13"/>
    <mergeCell ref="B1:T2"/>
    <mergeCell ref="C4:N4"/>
    <mergeCell ref="I6:J6"/>
    <mergeCell ref="K6:L6"/>
    <mergeCell ref="M5:N5"/>
    <mergeCell ref="M6:N6"/>
    <mergeCell ref="Q4:T5"/>
    <mergeCell ref="I5:J5"/>
    <mergeCell ref="K5:L5"/>
    <mergeCell ref="I8:J8"/>
    <mergeCell ref="M7:N7"/>
    <mergeCell ref="M8:N8"/>
    <mergeCell ref="K7:L7"/>
    <mergeCell ref="K8:L8"/>
    <mergeCell ref="I7:J7"/>
  </mergeCells>
  <phoneticPr fontId="20" type="noConversion"/>
  <conditionalFormatting sqref="C6:D6">
    <cfRule type="expression" dxfId="337" priority="6" stopIfTrue="1">
      <formula>IF(OR($M$6="en juego",$M$6="hoy!"),1,0)</formula>
    </cfRule>
  </conditionalFormatting>
  <conditionalFormatting sqref="C7:D7">
    <cfRule type="expression" dxfId="336" priority="5" stopIfTrue="1">
      <formula>IF(OR($M$7="en juego",$M$7="hoy!"),1,0)</formula>
    </cfRule>
  </conditionalFormatting>
  <conditionalFormatting sqref="C8:D8">
    <cfRule type="expression" dxfId="335" priority="7" stopIfTrue="1">
      <formula>IF(OR($M$8="en juego",$M$8="hoy!"),1,0)</formula>
    </cfRule>
  </conditionalFormatting>
  <conditionalFormatting sqref="C9:D9">
    <cfRule type="expression" dxfId="334" priority="8" stopIfTrue="1">
      <formula>IF(OR($M$9="en juego",$M$9="hoy!"),1,0)</formula>
    </cfRule>
  </conditionalFormatting>
  <conditionalFormatting sqref="C10:D10">
    <cfRule type="expression" dxfId="333" priority="9" stopIfTrue="1">
      <formula>IF(OR($M$10="en juego",$M$10="hoy!"),1,0)</formula>
    </cfRule>
  </conditionalFormatting>
  <conditionalFormatting sqref="C11:D11">
    <cfRule type="expression" dxfId="332" priority="10" stopIfTrue="1">
      <formula>IF(OR($M$11="en juego",$M$11="hoy!"),1,0)</formula>
    </cfRule>
  </conditionalFormatting>
  <conditionalFormatting sqref="D6:D11">
    <cfRule type="colorScale" priority="4">
      <colorScale>
        <cfvo type="num" val="0"/>
        <cfvo type="num" val="10"/>
        <color theme="9" tint="0.59999389629810485"/>
        <color theme="9" tint="0.59999389629810485"/>
      </colorScale>
    </cfRule>
  </conditionalFormatting>
  <conditionalFormatting sqref="E9:H9">
    <cfRule type="expression" dxfId="331" priority="21" stopIfTrue="1">
      <formula>IF(OR($M$9="en juego",$M$9="hoy!"),1,0)</formula>
    </cfRule>
  </conditionalFormatting>
  <conditionalFormatting sqref="E6:N6">
    <cfRule type="expression" dxfId="330" priority="19" stopIfTrue="1">
      <formula>IF(OR($M$6="en juego",$M$6="hoy!"),1,0)</formula>
    </cfRule>
  </conditionalFormatting>
  <conditionalFormatting sqref="E7:N7">
    <cfRule type="expression" dxfId="329" priority="18" stopIfTrue="1">
      <formula>IF(OR($M$7="en juego",$M$7="hoy!"),1,0)</formula>
    </cfRule>
  </conditionalFormatting>
  <conditionalFormatting sqref="E8:N8">
    <cfRule type="expression" dxfId="328" priority="20" stopIfTrue="1">
      <formula>IF(OR($M$8="en juego",$M$8="hoy!"),1,0)</formula>
    </cfRule>
  </conditionalFormatting>
  <conditionalFormatting sqref="E10:N10">
    <cfRule type="expression" dxfId="327" priority="22" stopIfTrue="1">
      <formula>IF(OR($M$10="en juego",$M$10="hoy!"),1,0)</formula>
    </cfRule>
  </conditionalFormatting>
  <conditionalFormatting sqref="E11:N11">
    <cfRule type="expression" dxfId="326" priority="23" stopIfTrue="1">
      <formula>IF(OR($M$11="en juego",$M$11="hoy!"),1,0)</formula>
    </cfRule>
  </conditionalFormatting>
  <conditionalFormatting sqref="F6:F11">
    <cfRule type="colorScale" priority="17">
      <colorScale>
        <cfvo type="num" val="0"/>
        <cfvo type="num" val="10"/>
        <color theme="9" tint="0.59999389629810485"/>
        <color theme="9" tint="0.59999389629810485"/>
      </colorScale>
    </cfRule>
  </conditionalFormatting>
  <conditionalFormatting sqref="G17:G18">
    <cfRule type="expression" dxfId="325" priority="28" stopIfTrue="1">
      <formula>IF(AND($I$17=3,$I$18=3,$I$19=3,$I$20=3),1,0)</formula>
    </cfRule>
  </conditionalFormatting>
  <conditionalFormatting sqref="H17:P18">
    <cfRule type="expression" dxfId="323" priority="29" stopIfTrue="1">
      <formula>IF(AND($I$17=3,$I$18=3,$I$19=3,$I$20=3),1,0)</formula>
    </cfRule>
  </conditionalFormatting>
  <conditionalFormatting sqref="H19:P19">
    <cfRule type="expression" dxfId="322" priority="2">
      <formula>$G$19="Avanza como Mejor tercero: --&gt; "</formula>
    </cfRule>
  </conditionalFormatting>
  <conditionalFormatting sqref="I9:J9">
    <cfRule type="expression" dxfId="321" priority="15" stopIfTrue="1">
      <formula>IF(OR($M$8="en juego",$M$8="hoy!"),1,0)</formula>
    </cfRule>
  </conditionalFormatting>
  <conditionalFormatting sqref="K9:N9">
    <cfRule type="expression" dxfId="320" priority="12" stopIfTrue="1">
      <formula>IF(OR($M$9="en juego",$M$9="hoy!"),1,0)</formula>
    </cfRule>
  </conditionalFormatting>
  <dataValidations count="1">
    <dataValidation type="whole" allowBlank="1" showErrorMessage="1" errorTitle="Dato no válido" error="Ingrese sólo un número entero_x000a_entre 0 y 99." sqref="D6:D11 F6:F11" xr:uid="{00000000-0002-0000-0100-000000000000}">
      <formula1>0</formula1>
      <formula2>99</formula2>
    </dataValidation>
  </dataValidations>
  <pageMargins left="0.75" right="0.75" top="1" bottom="1" header="0" footer="0"/>
  <pageSetup paperSize="9" scale="57" orientation="portrait" horizontalDpi="300" verticalDpi="300" r:id="rId1"/>
  <headerFooter alignWithMargins="0"/>
  <ignoredErrors>
    <ignoredError sqref="G7" 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44DEF670-56BD-4806-9FEA-67D5484BE163}">
            <xm:f>'- 3ros -'!$H$16=144</xm:f>
            <x14:dxf>
              <font>
                <color rgb="FF993300"/>
              </font>
            </x14:dxf>
          </x14:cfRule>
          <xm:sqref>G19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V29"/>
  <sheetViews>
    <sheetView showGridLines="0" showRowColHeaders="0" showOutlineSymbols="0" topLeftCell="A2" zoomScale="95" zoomScaleNormal="95" workbookViewId="0">
      <selection activeCell="F9" sqref="F9"/>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1"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1"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1" ht="12.75" customHeight="1" x14ac:dyDescent="0.2">
      <c r="G3" s="242"/>
      <c r="M3" s="87"/>
      <c r="N3" s="87"/>
      <c r="R3" s="130"/>
    </row>
    <row r="4" spans="2:21" ht="12.75" customHeight="1" x14ac:dyDescent="0.2">
      <c r="C4" s="424" t="s">
        <v>3</v>
      </c>
      <c r="D4" s="425"/>
      <c r="E4" s="425"/>
      <c r="F4" s="425"/>
      <c r="G4" s="425"/>
      <c r="H4" s="425"/>
      <c r="I4" s="425"/>
      <c r="J4" s="425"/>
      <c r="K4" s="425"/>
      <c r="L4" s="425"/>
      <c r="M4" s="425"/>
      <c r="N4" s="426"/>
      <c r="Q4" s="431" t="s">
        <v>257</v>
      </c>
      <c r="R4" s="432"/>
      <c r="S4" s="432"/>
      <c r="T4" s="433"/>
    </row>
    <row r="5" spans="2:21" ht="12.75" customHeight="1" x14ac:dyDescent="0.2">
      <c r="C5" s="72"/>
      <c r="D5" s="72"/>
      <c r="E5" s="72"/>
      <c r="F5" s="72"/>
      <c r="G5" s="243"/>
      <c r="H5" s="77" t="s">
        <v>76</v>
      </c>
      <c r="I5" s="414" t="s">
        <v>11</v>
      </c>
      <c r="J5" s="414"/>
      <c r="K5" s="414" t="s">
        <v>36</v>
      </c>
      <c r="L5" s="414"/>
      <c r="M5" s="414" t="s">
        <v>22</v>
      </c>
      <c r="N5" s="414"/>
      <c r="Q5" s="434"/>
      <c r="R5" s="435"/>
      <c r="S5" s="435"/>
      <c r="T5" s="436"/>
    </row>
    <row r="6" spans="2:21" ht="12.75" customHeight="1" x14ac:dyDescent="0.2">
      <c r="B6" s="73" t="str">
        <f t="shared" ref="B6:B11" ca="1" si="0">IF(OR(M6="finalizado",M6="en juego",M6="hoy!"),"Ø","")</f>
        <v/>
      </c>
      <c r="C6" s="88" t="str">
        <f>IF(R7&lt;&gt;"",R7,"")</f>
        <v>Canadá</v>
      </c>
      <c r="D6" s="324">
        <v>2</v>
      </c>
      <c r="E6" s="91" t="s">
        <v>4</v>
      </c>
      <c r="F6" s="324">
        <v>0</v>
      </c>
      <c r="G6" s="94" t="str">
        <f>IF(R9&lt;&gt;"",R9,"")</f>
        <v>Bosnia</v>
      </c>
      <c r="H6" s="138" t="s">
        <v>169</v>
      </c>
      <c r="I6" s="427">
        <v>46185</v>
      </c>
      <c r="J6" s="427"/>
      <c r="K6" s="428">
        <v>0.58333333333333337</v>
      </c>
      <c r="L6" s="428"/>
      <c r="M6" s="429" t="str">
        <f t="shared" ref="M6:M11" ca="1" si="1">IF(OR(I6="",K6="",I6&lt;$R$24),"",IF(I6=$R$24,IF(AND(K6&lt;=$S$26,$S$26&lt;=(K6+0.08333333333)),"en juego",IF($S$26&lt;K6,"hoy!","finalizado")),IF($R$24&gt;I6,"finalizado","")))</f>
        <v/>
      </c>
      <c r="N6" s="430"/>
      <c r="O6" s="13"/>
      <c r="P6" s="13"/>
      <c r="Q6" s="13"/>
      <c r="R6" s="131"/>
      <c r="S6" s="13"/>
      <c r="T6" s="13"/>
    </row>
    <row r="7" spans="2:21" ht="12.75" customHeight="1" x14ac:dyDescent="0.35">
      <c r="B7" s="73" t="str">
        <f t="shared" ca="1" si="0"/>
        <v/>
      </c>
      <c r="C7" s="89" t="str">
        <f>IF(R13&lt;&gt;"",R13,"")</f>
        <v>Catar</v>
      </c>
      <c r="D7" s="325">
        <v>0</v>
      </c>
      <c r="E7" s="92" t="s">
        <v>4</v>
      </c>
      <c r="F7" s="325">
        <v>3</v>
      </c>
      <c r="G7" s="95" t="str">
        <f>IF(R11&lt;&gt;"",R11,"")</f>
        <v>Suiza</v>
      </c>
      <c r="H7" s="139" t="s">
        <v>171</v>
      </c>
      <c r="I7" s="420">
        <v>46186</v>
      </c>
      <c r="J7" s="420"/>
      <c r="K7" s="423">
        <v>0.58333333333333337</v>
      </c>
      <c r="L7" s="423"/>
      <c r="M7" s="421" t="str">
        <f t="shared" ca="1" si="1"/>
        <v/>
      </c>
      <c r="N7" s="422"/>
      <c r="O7" s="78"/>
      <c r="P7" s="79"/>
      <c r="Q7" s="113"/>
      <c r="R7" s="438" t="s">
        <v>115</v>
      </c>
      <c r="S7" s="438"/>
      <c r="T7" s="114"/>
    </row>
    <row r="8" spans="2:21" ht="12.75" customHeight="1" x14ac:dyDescent="0.4">
      <c r="B8" s="73" t="str">
        <f t="shared" ca="1" si="0"/>
        <v/>
      </c>
      <c r="C8" s="89" t="str">
        <f>IF(R11&lt;&gt;"",R11,"")</f>
        <v>Suiza</v>
      </c>
      <c r="D8" s="325">
        <v>1</v>
      </c>
      <c r="E8" s="92" t="s">
        <v>4</v>
      </c>
      <c r="F8" s="325">
        <v>0</v>
      </c>
      <c r="G8" s="95" t="str">
        <f>IF(R9&lt;&gt;"",R9,"")</f>
        <v>Bosnia</v>
      </c>
      <c r="H8" s="139" t="s">
        <v>170</v>
      </c>
      <c r="I8" s="420">
        <v>46191</v>
      </c>
      <c r="J8" s="420"/>
      <c r="K8" s="423">
        <v>0.58333333333333337</v>
      </c>
      <c r="L8" s="423"/>
      <c r="M8" s="421" t="str">
        <f t="shared" ca="1" si="1"/>
        <v/>
      </c>
      <c r="N8" s="422"/>
      <c r="O8" s="80"/>
      <c r="P8" s="81"/>
      <c r="Q8" s="13"/>
      <c r="R8" s="132"/>
      <c r="S8" s="125"/>
      <c r="T8" s="13"/>
    </row>
    <row r="9" spans="2:21" ht="12.75" customHeight="1" x14ac:dyDescent="0.2">
      <c r="B9" s="73" t="str">
        <f t="shared" ca="1" si="0"/>
        <v/>
      </c>
      <c r="C9" s="89" t="str">
        <f>IF(R7&lt;&gt;"",R7,"")</f>
        <v>Canadá</v>
      </c>
      <c r="D9" s="325">
        <v>1</v>
      </c>
      <c r="E9" s="92" t="s">
        <v>4</v>
      </c>
      <c r="F9" s="325">
        <v>1</v>
      </c>
      <c r="G9" s="95" t="str">
        <f>IF(R13&lt;&gt;"",R13,"")</f>
        <v>Catar</v>
      </c>
      <c r="H9" s="139" t="s">
        <v>174</v>
      </c>
      <c r="I9" s="420">
        <v>46191</v>
      </c>
      <c r="J9" s="420"/>
      <c r="K9" s="423">
        <v>0.70833333333333337</v>
      </c>
      <c r="L9" s="423"/>
      <c r="M9" s="421" t="str">
        <f t="shared" ca="1" si="1"/>
        <v/>
      </c>
      <c r="N9" s="422"/>
      <c r="O9" s="13"/>
      <c r="P9" s="13"/>
      <c r="Q9" s="113"/>
      <c r="R9" s="438" t="s">
        <v>347</v>
      </c>
      <c r="S9" s="438"/>
      <c r="T9" s="114"/>
    </row>
    <row r="10" spans="2:21" ht="12.75" customHeight="1" x14ac:dyDescent="0.2">
      <c r="B10" s="73" t="str">
        <f t="shared" ca="1" si="0"/>
        <v/>
      </c>
      <c r="C10" s="89" t="str">
        <f>IF(R11&lt;&gt;"",R11,"")</f>
        <v>Suiza</v>
      </c>
      <c r="D10" s="325">
        <v>1</v>
      </c>
      <c r="E10" s="92" t="s">
        <v>4</v>
      </c>
      <c r="F10" s="325">
        <v>1</v>
      </c>
      <c r="G10" s="95" t="str">
        <f>IF(R7&lt;&gt;"",R7,"")</f>
        <v>Canadá</v>
      </c>
      <c r="H10" s="139" t="s">
        <v>174</v>
      </c>
      <c r="I10" s="420">
        <v>46197</v>
      </c>
      <c r="J10" s="420"/>
      <c r="K10" s="423">
        <v>0.58333333333333337</v>
      </c>
      <c r="L10" s="423"/>
      <c r="M10" s="421" t="str">
        <f t="shared" ca="1" si="1"/>
        <v/>
      </c>
      <c r="N10" s="422"/>
      <c r="O10" s="13"/>
      <c r="P10" s="13"/>
      <c r="Q10" s="13"/>
      <c r="R10" s="132"/>
      <c r="S10" s="125"/>
      <c r="T10" s="13"/>
    </row>
    <row r="11" spans="2:21" ht="12.75" customHeight="1" x14ac:dyDescent="0.2">
      <c r="B11" s="73" t="str">
        <f t="shared" ca="1" si="0"/>
        <v/>
      </c>
      <c r="C11" s="90" t="str">
        <f>IF(R9&lt;&gt;"",R9,"")</f>
        <v>Bosnia</v>
      </c>
      <c r="D11" s="326">
        <v>3</v>
      </c>
      <c r="E11" s="93" t="s">
        <v>4</v>
      </c>
      <c r="F11" s="326">
        <v>1</v>
      </c>
      <c r="G11" s="96" t="str">
        <f>IF(R13&lt;&gt;"",R13,"")</f>
        <v>Catar</v>
      </c>
      <c r="H11" s="140" t="s">
        <v>180</v>
      </c>
      <c r="I11" s="420">
        <v>46197</v>
      </c>
      <c r="J11" s="420"/>
      <c r="K11" s="423">
        <v>0.58333333333333337</v>
      </c>
      <c r="L11" s="423"/>
      <c r="M11" s="421" t="str">
        <f t="shared" ca="1" si="1"/>
        <v/>
      </c>
      <c r="N11" s="422"/>
      <c r="O11" s="13"/>
      <c r="P11" s="13"/>
      <c r="Q11" s="113"/>
      <c r="R11" s="438" t="s">
        <v>118</v>
      </c>
      <c r="S11" s="438"/>
      <c r="T11" s="114"/>
    </row>
    <row r="12" spans="2:21" ht="12.75" customHeight="1" x14ac:dyDescent="0.2">
      <c r="C12" s="74"/>
      <c r="D12" s="86"/>
      <c r="E12" s="76"/>
      <c r="F12" s="86"/>
      <c r="G12" s="13"/>
      <c r="H12" s="82"/>
      <c r="I12" s="76"/>
      <c r="J12" s="83"/>
      <c r="K12" s="245"/>
      <c r="L12" s="244"/>
      <c r="M12" s="85"/>
      <c r="N12" s="85"/>
      <c r="O12" s="13"/>
      <c r="P12" s="13"/>
      <c r="Q12" s="13"/>
      <c r="R12" s="132"/>
      <c r="S12" s="125"/>
      <c r="T12" s="13"/>
    </row>
    <row r="13" spans="2:21"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141</v>
      </c>
      <c r="S13" s="438"/>
      <c r="T13" s="114"/>
    </row>
    <row r="14" spans="2:21" ht="12.75" customHeight="1" x14ac:dyDescent="0.2">
      <c r="C14" s="74"/>
      <c r="D14" s="86"/>
      <c r="E14" s="76"/>
      <c r="F14" s="86"/>
      <c r="G14" s="13"/>
      <c r="H14" s="82"/>
      <c r="I14" s="76"/>
      <c r="J14" s="76"/>
      <c r="K14" s="246"/>
      <c r="L14" s="84"/>
      <c r="M14" s="85"/>
      <c r="N14" s="85"/>
      <c r="O14" s="13"/>
      <c r="P14" s="13"/>
    </row>
    <row r="15" spans="2:21" ht="12.75" customHeight="1" x14ac:dyDescent="0.2">
      <c r="C15" s="13"/>
      <c r="D15" s="13"/>
      <c r="E15" s="13"/>
      <c r="F15" s="13"/>
      <c r="G15" s="13"/>
      <c r="H15" s="439" t="s">
        <v>12</v>
      </c>
      <c r="I15" s="440"/>
      <c r="J15" s="440"/>
      <c r="K15" s="441"/>
      <c r="L15" s="440"/>
      <c r="M15" s="440"/>
      <c r="N15" s="440"/>
      <c r="O15" s="440"/>
      <c r="P15" s="442"/>
      <c r="Q15" s="13"/>
      <c r="R15" s="131"/>
      <c r="S15" s="13"/>
      <c r="T15" s="13"/>
    </row>
    <row r="16" spans="2:21"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calculoB!F37</f>
        <v>Suiza</v>
      </c>
      <c r="I17" s="116">
        <f>calculoB!G37</f>
        <v>3</v>
      </c>
      <c r="J17" s="116">
        <f>calculoB!H37</f>
        <v>2</v>
      </c>
      <c r="K17" s="116">
        <f>calculoB!I37</f>
        <v>1</v>
      </c>
      <c r="L17" s="116">
        <f>calculoB!J37</f>
        <v>0</v>
      </c>
      <c r="M17" s="116">
        <f>calculoB!K37</f>
        <v>5</v>
      </c>
      <c r="N17" s="116">
        <f>calculoB!L37</f>
        <v>1</v>
      </c>
      <c r="O17" s="116">
        <f>M17-N17</f>
        <v>4</v>
      </c>
      <c r="P17" s="117">
        <f>calculoB!M37</f>
        <v>7</v>
      </c>
      <c r="Q17" s="104"/>
      <c r="R17" s="134"/>
      <c r="S17" s="99"/>
      <c r="T17" s="99"/>
    </row>
    <row r="18" spans="2:22" ht="12.75" customHeight="1" x14ac:dyDescent="0.2">
      <c r="C18" s="13"/>
      <c r="D18" s="13"/>
      <c r="E18" s="13"/>
      <c r="F18" s="13"/>
      <c r="G18" s="112" t="s">
        <v>228</v>
      </c>
      <c r="H18" s="352" t="str">
        <f>calculoB!F38</f>
        <v>Canadá</v>
      </c>
      <c r="I18" s="119">
        <f>calculoB!G38</f>
        <v>3</v>
      </c>
      <c r="J18" s="119">
        <f>calculoB!H38</f>
        <v>1</v>
      </c>
      <c r="K18" s="119">
        <f>calculoB!I38</f>
        <v>2</v>
      </c>
      <c r="L18" s="119">
        <f>calculoB!J38</f>
        <v>0</v>
      </c>
      <c r="M18" s="119">
        <f>calculoB!K38</f>
        <v>4</v>
      </c>
      <c r="N18" s="119">
        <f>calculoB!L38</f>
        <v>2</v>
      </c>
      <c r="O18" s="119">
        <f>M18-N18</f>
        <v>2</v>
      </c>
      <c r="P18" s="120">
        <f>calculoB!M38</f>
        <v>5</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calculoB!F39</f>
        <v>Bosnia</v>
      </c>
      <c r="I19" s="119">
        <f>calculoB!G39</f>
        <v>3</v>
      </c>
      <c r="J19" s="119">
        <f>calculoB!H39</f>
        <v>1</v>
      </c>
      <c r="K19" s="119">
        <f>calculoB!I39</f>
        <v>0</v>
      </c>
      <c r="L19" s="119">
        <f>calculoB!J39</f>
        <v>2</v>
      </c>
      <c r="M19" s="119">
        <f>calculoB!K39</f>
        <v>3</v>
      </c>
      <c r="N19" s="119">
        <f>calculoB!L39</f>
        <v>4</v>
      </c>
      <c r="O19" s="119">
        <f>M19-N19</f>
        <v>-1</v>
      </c>
      <c r="P19" s="120">
        <f>calculoB!M39</f>
        <v>3</v>
      </c>
      <c r="Q19" s="105"/>
      <c r="R19" s="134"/>
      <c r="S19" s="99"/>
      <c r="T19" s="99"/>
    </row>
    <row r="20" spans="2:22" ht="12.75" customHeight="1" x14ac:dyDescent="0.2">
      <c r="C20" s="13"/>
      <c r="D20" s="13"/>
      <c r="E20" s="13"/>
      <c r="F20" s="13"/>
      <c r="G20" s="99"/>
      <c r="H20" s="122" t="str">
        <f>calculoB!F40</f>
        <v>Catar</v>
      </c>
      <c r="I20" s="123">
        <f>calculoB!G40</f>
        <v>3</v>
      </c>
      <c r="J20" s="123">
        <f>calculoB!H40</f>
        <v>0</v>
      </c>
      <c r="K20" s="123">
        <f>calculoB!I40</f>
        <v>1</v>
      </c>
      <c r="L20" s="123">
        <f>calculoB!J40</f>
        <v>2</v>
      </c>
      <c r="M20" s="123">
        <f>calculoB!K40</f>
        <v>2</v>
      </c>
      <c r="N20" s="123">
        <f>calculoB!L40</f>
        <v>7</v>
      </c>
      <c r="O20" s="123">
        <f>M20-N20</f>
        <v>-5</v>
      </c>
      <c r="P20" s="124">
        <f>calculoB!M40</f>
        <v>1</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wAF3SPYy6LJ8aOGtJ2uzSG29CeVgFepLFzUY8lCMLnhGxPYdC62pZlhIjFuDX26nUrdtm9IlVJJ8XbPkMJ+aOw==" saltValue="IMbkNJC0GcJtu3VxXx714w==" spinCount="100000" sheet="1" objects="1" scenarios="1" selectLockedCells="1"/>
  <dataConsolidate/>
  <mergeCells count="30">
    <mergeCell ref="R28:S28"/>
    <mergeCell ref="C4:N4"/>
    <mergeCell ref="I6:J6"/>
    <mergeCell ref="K6:L6"/>
    <mergeCell ref="M5:N5"/>
    <mergeCell ref="M6:N6"/>
    <mergeCell ref="M8:N8"/>
    <mergeCell ref="K7:L7"/>
    <mergeCell ref="K8:L8"/>
    <mergeCell ref="K9:L9"/>
    <mergeCell ref="R9:S9"/>
    <mergeCell ref="H15:P15"/>
    <mergeCell ref="M9:N9"/>
    <mergeCell ref="M10:N10"/>
    <mergeCell ref="M11:N11"/>
    <mergeCell ref="I9:J9"/>
    <mergeCell ref="B1:T2"/>
    <mergeCell ref="R7:S7"/>
    <mergeCell ref="R13:S13"/>
    <mergeCell ref="I5:J5"/>
    <mergeCell ref="K5:L5"/>
    <mergeCell ref="Q4:T5"/>
    <mergeCell ref="I7:J7"/>
    <mergeCell ref="I8:J8"/>
    <mergeCell ref="M7:N7"/>
    <mergeCell ref="I10:J10"/>
    <mergeCell ref="I11:J11"/>
    <mergeCell ref="K11:L11"/>
    <mergeCell ref="K10:L10"/>
    <mergeCell ref="R11:S11"/>
  </mergeCells>
  <phoneticPr fontId="20" type="noConversion"/>
  <conditionalFormatting sqref="C9:H9">
    <cfRule type="expression" dxfId="319" priority="14" stopIfTrue="1">
      <formula>IF(OR($M$9="en juego",$M$9="hoy!"),1,0)</formula>
    </cfRule>
  </conditionalFormatting>
  <conditionalFormatting sqref="C6:N6">
    <cfRule type="expression" dxfId="318" priority="12" stopIfTrue="1">
      <formula>IF(OR($M$6="en juego",$M$6="hoy!"),1,0)</formula>
    </cfRule>
  </conditionalFormatting>
  <conditionalFormatting sqref="C7:N7">
    <cfRule type="expression" dxfId="317" priority="11" stopIfTrue="1">
      <formula>IF(OR($M$7="en juego",$M$7="hoy!"),1,0)</formula>
    </cfRule>
  </conditionalFormatting>
  <conditionalFormatting sqref="C8:N8">
    <cfRule type="expression" dxfId="316" priority="13" stopIfTrue="1">
      <formula>IF(OR($M$8="en juego",$M$8="hoy!"),1,0)</formula>
    </cfRule>
  </conditionalFormatting>
  <conditionalFormatting sqref="C10:N10">
    <cfRule type="expression" dxfId="315" priority="15" stopIfTrue="1">
      <formula>IF(OR($M$10="en juego",$M$10="hoy!"),1,0)</formula>
    </cfRule>
  </conditionalFormatting>
  <conditionalFormatting sqref="C11:N11">
    <cfRule type="expression" dxfId="314" priority="16" stopIfTrue="1">
      <formula>IF(OR($M$11="en juego",$M$11="hoy!"),1,0)</formula>
    </cfRule>
  </conditionalFormatting>
  <conditionalFormatting sqref="D6:D11 F6:F11">
    <cfRule type="colorScale" priority="10">
      <colorScale>
        <cfvo type="num" val="0"/>
        <cfvo type="num" val="10"/>
        <color theme="9" tint="0.59999389629810485"/>
        <color theme="9" tint="0.59999389629810485"/>
      </colorScale>
    </cfRule>
  </conditionalFormatting>
  <conditionalFormatting sqref="G17:G18">
    <cfRule type="expression" dxfId="313" priority="6" stopIfTrue="1">
      <formula>IF(AND($I$17=3,$I$18=3,$I$19=3,$I$20=3),1,0)</formula>
    </cfRule>
  </conditionalFormatting>
  <conditionalFormatting sqref="H17:P18">
    <cfRule type="expression" dxfId="311" priority="18" stopIfTrue="1">
      <formula>IF(AND($I$17=3,$I$18=3,$I$19=3,$I$20=3),1,0)</formula>
    </cfRule>
  </conditionalFormatting>
  <conditionalFormatting sqref="H19:P19">
    <cfRule type="expression" dxfId="310" priority="3">
      <formula>$G$19="Avanza como Mejor tercero: --&gt; "</formula>
    </cfRule>
  </conditionalFormatting>
  <conditionalFormatting sqref="I9:J9">
    <cfRule type="expression" dxfId="309" priority="9" stopIfTrue="1">
      <formula>IF(OR($M$8="en juego",$M$8="hoy!"),1,0)</formula>
    </cfRule>
  </conditionalFormatting>
  <conditionalFormatting sqref="K9:N9">
    <cfRule type="expression" dxfId="308" priority="8" stopIfTrue="1">
      <formula>IF(OR($M$9="en juego",$M$9="hoy!"),1,0)</formula>
    </cfRule>
  </conditionalFormatting>
  <dataValidations count="1">
    <dataValidation type="whole" allowBlank="1" showErrorMessage="1" errorTitle="Dato no válido" error="Ingrese sólo un número entero_x000a_entre 0 y 99." sqref="D6:D11 F6:F11" xr:uid="{00000000-0002-0000-0200-000000000000}">
      <formula1>0</formula1>
      <formula2>99</formula2>
    </dataValidation>
  </dataValidations>
  <pageMargins left="0.75" right="0.75" top="1" bottom="1" header="0" footer="0"/>
  <pageSetup paperSize="9" scale="73"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C0F4C0E1-0ABA-4B50-8081-0B1D7AE01051}">
            <xm:f>'- 3ros -'!$H$16=144</xm:f>
            <x14:dxf>
              <font>
                <color rgb="FF993300"/>
              </font>
            </x14:dxf>
          </x14:cfRule>
          <xm:sqref>G19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V29"/>
  <sheetViews>
    <sheetView showGridLines="0" showRowColHeaders="0" showOutlineSymbols="0" zoomScale="95" zoomScaleNormal="95" workbookViewId="0">
      <selection activeCell="F11" sqref="F11"/>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1"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1"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1" ht="12.75" customHeight="1" x14ac:dyDescent="0.2">
      <c r="G3" s="242"/>
      <c r="M3" s="87"/>
      <c r="N3" s="87"/>
      <c r="R3" s="130"/>
    </row>
    <row r="4" spans="2:21" ht="12.75" customHeight="1" x14ac:dyDescent="0.2">
      <c r="C4" s="424" t="s">
        <v>3</v>
      </c>
      <c r="D4" s="425"/>
      <c r="E4" s="425"/>
      <c r="F4" s="425"/>
      <c r="G4" s="425"/>
      <c r="H4" s="425"/>
      <c r="I4" s="425"/>
      <c r="J4" s="425"/>
      <c r="K4" s="425"/>
      <c r="L4" s="425"/>
      <c r="M4" s="425"/>
      <c r="N4" s="426"/>
      <c r="Q4" s="431" t="s">
        <v>258</v>
      </c>
      <c r="R4" s="432"/>
      <c r="S4" s="432"/>
      <c r="T4" s="433"/>
    </row>
    <row r="5" spans="2:21" ht="12.75" customHeight="1" x14ac:dyDescent="0.2">
      <c r="C5" s="72"/>
      <c r="D5" s="72"/>
      <c r="E5" s="72"/>
      <c r="F5" s="72"/>
      <c r="G5" s="243"/>
      <c r="H5" s="77" t="s">
        <v>76</v>
      </c>
      <c r="I5" s="414" t="s">
        <v>11</v>
      </c>
      <c r="J5" s="414"/>
      <c r="K5" s="414" t="s">
        <v>36</v>
      </c>
      <c r="L5" s="414"/>
      <c r="M5" s="414" t="s">
        <v>22</v>
      </c>
      <c r="N5" s="414"/>
      <c r="Q5" s="434"/>
      <c r="R5" s="435"/>
      <c r="S5" s="435"/>
      <c r="T5" s="436"/>
    </row>
    <row r="6" spans="2:21" ht="12.75" customHeight="1" x14ac:dyDescent="0.2">
      <c r="B6" s="73" t="str">
        <f t="shared" ref="B6:B11" ca="1" si="0">IF(OR(M6="finalizado",M6="en juego",M6="hoy!"),"Ø","")</f>
        <v/>
      </c>
      <c r="C6" s="88" t="str">
        <f>IF(R7&lt;&gt;"",R7,"")</f>
        <v>Brasil</v>
      </c>
      <c r="D6" s="324">
        <v>2</v>
      </c>
      <c r="E6" s="91" t="s">
        <v>4</v>
      </c>
      <c r="F6" s="324">
        <v>1</v>
      </c>
      <c r="G6" s="94" t="str">
        <f>IF(R9&lt;&gt;"",R9,"")</f>
        <v>Marruecos</v>
      </c>
      <c r="H6" s="138" t="s">
        <v>172</v>
      </c>
      <c r="I6" s="427">
        <v>46186</v>
      </c>
      <c r="J6" s="427"/>
      <c r="K6" s="428">
        <v>0.70833333333333337</v>
      </c>
      <c r="L6" s="428"/>
      <c r="M6" s="429" t="str">
        <f t="shared" ref="M6:M11" ca="1" si="1">IF(OR(I6="",K6="",I6&lt;$R$24),"",IF(I6=$R$24,IF(AND(K6&lt;=$S$26,$S$26&lt;=(K6+0.08333333333)),"en juego",IF($S$26&lt;K6,"hoy!","finalizado")),IF($R$24&gt;I6,"finalizado","")))</f>
        <v/>
      </c>
      <c r="N6" s="430"/>
      <c r="O6" s="13"/>
      <c r="P6" s="13"/>
      <c r="Q6" s="13"/>
      <c r="R6" s="131"/>
      <c r="S6" s="13"/>
      <c r="T6" s="13"/>
    </row>
    <row r="7" spans="2:21" ht="12.75" customHeight="1" x14ac:dyDescent="0.35">
      <c r="B7" s="73" t="str">
        <f t="shared" ca="1" si="0"/>
        <v/>
      </c>
      <c r="C7" s="89" t="str">
        <f>IF(R11&lt;&gt;"",R11,"")</f>
        <v>Haití</v>
      </c>
      <c r="D7" s="325">
        <v>0</v>
      </c>
      <c r="E7" s="92" t="s">
        <v>4</v>
      </c>
      <c r="F7" s="325">
        <v>3</v>
      </c>
      <c r="G7" s="95" t="str">
        <f>IF(R13&lt;&gt;"",R13,"")</f>
        <v>Escocia</v>
      </c>
      <c r="H7" s="139" t="s">
        <v>173</v>
      </c>
      <c r="I7" s="420">
        <v>46186</v>
      </c>
      <c r="J7" s="420"/>
      <c r="K7" s="423">
        <v>0.83333333333333337</v>
      </c>
      <c r="L7" s="423"/>
      <c r="M7" s="421" t="str">
        <f t="shared" ca="1" si="1"/>
        <v/>
      </c>
      <c r="N7" s="422"/>
      <c r="O7" s="78"/>
      <c r="P7" s="79"/>
      <c r="Q7" s="113"/>
      <c r="R7" s="438" t="s">
        <v>117</v>
      </c>
      <c r="S7" s="438"/>
      <c r="T7" s="114"/>
    </row>
    <row r="8" spans="2:21" ht="12.75" customHeight="1" x14ac:dyDescent="0.4">
      <c r="B8" s="73" t="str">
        <f t="shared" ca="1" si="0"/>
        <v/>
      </c>
      <c r="C8" s="89" t="str">
        <f>IF(R13&lt;&gt;"",R13,"")</f>
        <v>Escocia</v>
      </c>
      <c r="D8" s="325">
        <v>0</v>
      </c>
      <c r="E8" s="92" t="s">
        <v>4</v>
      </c>
      <c r="F8" s="325">
        <v>0</v>
      </c>
      <c r="G8" s="95" t="str">
        <f>IF(R9&lt;&gt;"",R9,"")</f>
        <v>Marruecos</v>
      </c>
      <c r="H8" s="139" t="s">
        <v>173</v>
      </c>
      <c r="I8" s="420">
        <v>46192</v>
      </c>
      <c r="J8" s="420"/>
      <c r="K8" s="423">
        <v>0.70833333333333337</v>
      </c>
      <c r="L8" s="423"/>
      <c r="M8" s="421" t="str">
        <f t="shared" ca="1" si="1"/>
        <v/>
      </c>
      <c r="N8" s="422"/>
      <c r="O8" s="80"/>
      <c r="P8" s="81"/>
      <c r="Q8" s="13"/>
      <c r="R8" s="132"/>
      <c r="S8" s="125"/>
      <c r="T8" s="13"/>
    </row>
    <row r="9" spans="2:21" ht="12.75" customHeight="1" x14ac:dyDescent="0.2">
      <c r="B9" s="73" t="str">
        <f t="shared" ca="1" si="0"/>
        <v/>
      </c>
      <c r="C9" s="89" t="str">
        <f>IF(R7&lt;&gt;"",R7,"")</f>
        <v>Brasil</v>
      </c>
      <c r="D9" s="325">
        <v>3</v>
      </c>
      <c r="E9" s="92" t="s">
        <v>4</v>
      </c>
      <c r="F9" s="325">
        <v>0</v>
      </c>
      <c r="G9" s="95" t="str">
        <f>IF(R11&lt;&gt;"",R11,"")</f>
        <v>Haití</v>
      </c>
      <c r="H9" s="139" t="s">
        <v>177</v>
      </c>
      <c r="I9" s="420">
        <v>46192</v>
      </c>
      <c r="J9" s="420"/>
      <c r="K9" s="423">
        <v>0.8125</v>
      </c>
      <c r="L9" s="423"/>
      <c r="M9" s="421" t="str">
        <f t="shared" ca="1" si="1"/>
        <v/>
      </c>
      <c r="N9" s="422"/>
      <c r="O9" s="13"/>
      <c r="P9" s="13"/>
      <c r="Q9" s="113"/>
      <c r="R9" s="438" t="s">
        <v>116</v>
      </c>
      <c r="S9" s="438"/>
      <c r="T9" s="114"/>
    </row>
    <row r="10" spans="2:21" ht="12.75" customHeight="1" x14ac:dyDescent="0.2">
      <c r="B10" s="73" t="str">
        <f t="shared" ca="1" si="0"/>
        <v/>
      </c>
      <c r="C10" s="89" t="str">
        <f>IF(R13&lt;&gt;"",R13,"")</f>
        <v>Escocia</v>
      </c>
      <c r="D10" s="325">
        <v>2</v>
      </c>
      <c r="E10" s="92" t="s">
        <v>4</v>
      </c>
      <c r="F10" s="325">
        <v>2</v>
      </c>
      <c r="G10" s="95" t="str">
        <f>IF(R7&lt;&gt;"",R7,"")</f>
        <v>Brasil</v>
      </c>
      <c r="H10" s="139" t="s">
        <v>181</v>
      </c>
      <c r="I10" s="420">
        <v>46197</v>
      </c>
      <c r="J10" s="420"/>
      <c r="K10" s="423">
        <v>0.70833333333333337</v>
      </c>
      <c r="L10" s="423"/>
      <c r="M10" s="421" t="str">
        <f t="shared" ca="1" si="1"/>
        <v/>
      </c>
      <c r="N10" s="422"/>
      <c r="O10" s="13"/>
      <c r="P10" s="13"/>
      <c r="Q10" s="13"/>
      <c r="R10" s="132"/>
      <c r="S10" s="125"/>
      <c r="T10" s="13"/>
    </row>
    <row r="11" spans="2:21" ht="12.75" customHeight="1" x14ac:dyDescent="0.2">
      <c r="B11" s="73" t="str">
        <f t="shared" ca="1" si="0"/>
        <v/>
      </c>
      <c r="C11" s="90" t="str">
        <f>IF(R9&lt;&gt;"",R9,"")</f>
        <v>Marruecos</v>
      </c>
      <c r="D11" s="326">
        <v>1</v>
      </c>
      <c r="E11" s="93" t="s">
        <v>4</v>
      </c>
      <c r="F11" s="326">
        <v>0</v>
      </c>
      <c r="G11" s="96" t="str">
        <f>IF(R11&lt;&gt;"",R11,"")</f>
        <v>Haití</v>
      </c>
      <c r="H11" s="140" t="s">
        <v>179</v>
      </c>
      <c r="I11" s="420">
        <v>46197</v>
      </c>
      <c r="J11" s="420"/>
      <c r="K11" s="423">
        <v>0.70833333333333337</v>
      </c>
      <c r="L11" s="423"/>
      <c r="M11" s="421" t="str">
        <f t="shared" ca="1" si="1"/>
        <v/>
      </c>
      <c r="N11" s="422"/>
      <c r="O11" s="13"/>
      <c r="P11" s="13"/>
      <c r="Q11" s="113"/>
      <c r="R11" s="438" t="s">
        <v>142</v>
      </c>
      <c r="S11" s="438"/>
      <c r="T11" s="114"/>
    </row>
    <row r="12" spans="2:21" ht="12.75" customHeight="1" x14ac:dyDescent="0.2">
      <c r="C12" s="74"/>
      <c r="D12" s="86"/>
      <c r="E12" s="76"/>
      <c r="F12" s="86"/>
      <c r="G12" s="13"/>
      <c r="H12" s="82"/>
      <c r="I12" s="76"/>
      <c r="J12" s="83"/>
      <c r="K12" s="245"/>
      <c r="L12" s="244"/>
      <c r="M12" s="85"/>
      <c r="N12" s="85"/>
      <c r="O12" s="13"/>
      <c r="P12" s="13"/>
      <c r="Q12" s="13"/>
      <c r="R12" s="132"/>
      <c r="S12" s="125"/>
      <c r="T12" s="13"/>
    </row>
    <row r="13" spans="2:21"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143</v>
      </c>
      <c r="S13" s="438"/>
      <c r="T13" s="114"/>
    </row>
    <row r="14" spans="2:21" ht="12.75" customHeight="1" x14ac:dyDescent="0.2">
      <c r="C14" s="74"/>
      <c r="D14" s="86"/>
      <c r="E14" s="76"/>
      <c r="F14" s="86"/>
      <c r="G14" s="13"/>
      <c r="H14" s="82"/>
      <c r="I14" s="76"/>
      <c r="J14" s="76"/>
      <c r="K14" s="246"/>
      <c r="L14" s="84"/>
      <c r="M14" s="85"/>
      <c r="N14" s="85"/>
      <c r="O14" s="13"/>
      <c r="P14" s="13"/>
      <c r="Q14" s="13"/>
      <c r="R14" s="133"/>
      <c r="S14" s="126"/>
      <c r="T14" s="13"/>
    </row>
    <row r="15" spans="2:21" ht="12.75" customHeight="1" x14ac:dyDescent="0.2">
      <c r="C15" s="13"/>
      <c r="D15" s="13"/>
      <c r="E15" s="13"/>
      <c r="F15" s="13"/>
      <c r="G15" s="13"/>
      <c r="H15" s="439" t="s">
        <v>12</v>
      </c>
      <c r="I15" s="440"/>
      <c r="J15" s="440"/>
      <c r="K15" s="441"/>
      <c r="L15" s="440"/>
      <c r="M15" s="440"/>
      <c r="N15" s="440"/>
      <c r="O15" s="440"/>
      <c r="P15" s="442"/>
      <c r="Q15" s="13"/>
      <c r="R15" s="131"/>
      <c r="S15" s="13"/>
      <c r="T15" s="13"/>
    </row>
    <row r="16" spans="2:21"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calculoC!F37</f>
        <v>Brasil</v>
      </c>
      <c r="I17" s="116">
        <f>calculoC!G37</f>
        <v>3</v>
      </c>
      <c r="J17" s="116">
        <f>calculoC!H37</f>
        <v>2</v>
      </c>
      <c r="K17" s="116">
        <f>calculoC!I37</f>
        <v>1</v>
      </c>
      <c r="L17" s="116">
        <f>calculoC!J37</f>
        <v>0</v>
      </c>
      <c r="M17" s="116">
        <f>calculoC!K37</f>
        <v>7</v>
      </c>
      <c r="N17" s="116">
        <f>calculoC!L37</f>
        <v>3</v>
      </c>
      <c r="O17" s="116">
        <f>M17-N17</f>
        <v>4</v>
      </c>
      <c r="P17" s="117">
        <f>calculoC!M37</f>
        <v>7</v>
      </c>
      <c r="Q17" s="104"/>
      <c r="R17" s="134"/>
      <c r="S17" s="99"/>
      <c r="T17" s="99"/>
    </row>
    <row r="18" spans="2:22" ht="12.75" customHeight="1" x14ac:dyDescent="0.2">
      <c r="C18" s="13"/>
      <c r="D18" s="13"/>
      <c r="E18" s="13"/>
      <c r="F18" s="13"/>
      <c r="G18" s="112" t="s">
        <v>228</v>
      </c>
      <c r="H18" s="352" t="str">
        <f>calculoC!F38</f>
        <v>Escocia</v>
      </c>
      <c r="I18" s="119">
        <f>calculoC!G38</f>
        <v>3</v>
      </c>
      <c r="J18" s="119">
        <f>calculoC!H38</f>
        <v>1</v>
      </c>
      <c r="K18" s="119">
        <f>calculoC!I38</f>
        <v>2</v>
      </c>
      <c r="L18" s="119">
        <f>calculoC!J38</f>
        <v>0</v>
      </c>
      <c r="M18" s="119">
        <f>calculoC!K38</f>
        <v>5</v>
      </c>
      <c r="N18" s="119">
        <f>calculoC!L38</f>
        <v>2</v>
      </c>
      <c r="O18" s="119">
        <f>M18-N18</f>
        <v>3</v>
      </c>
      <c r="P18" s="120">
        <f>calculoC!M38</f>
        <v>5</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calculoC!F39</f>
        <v>Marruecos</v>
      </c>
      <c r="I19" s="119">
        <f>calculoC!G39</f>
        <v>3</v>
      </c>
      <c r="J19" s="119">
        <f>calculoC!H39</f>
        <v>1</v>
      </c>
      <c r="K19" s="119">
        <f>calculoC!I39</f>
        <v>1</v>
      </c>
      <c r="L19" s="119">
        <f>calculoC!J39</f>
        <v>1</v>
      </c>
      <c r="M19" s="119">
        <f>calculoC!K39</f>
        <v>2</v>
      </c>
      <c r="N19" s="119">
        <f>calculoC!L39</f>
        <v>2</v>
      </c>
      <c r="O19" s="119">
        <f>M19-N19</f>
        <v>0</v>
      </c>
      <c r="P19" s="120">
        <f>calculoC!M39</f>
        <v>4</v>
      </c>
      <c r="Q19" s="105"/>
      <c r="R19" s="134"/>
      <c r="S19" s="99"/>
      <c r="T19" s="99"/>
    </row>
    <row r="20" spans="2:22" ht="12.75" customHeight="1" x14ac:dyDescent="0.2">
      <c r="C20" s="13"/>
      <c r="D20" s="13"/>
      <c r="E20" s="13"/>
      <c r="F20" s="13"/>
      <c r="G20" s="99"/>
      <c r="H20" s="122" t="str">
        <f>calculoC!F40</f>
        <v>Haití</v>
      </c>
      <c r="I20" s="123">
        <f>calculoC!G40</f>
        <v>3</v>
      </c>
      <c r="J20" s="123">
        <f>calculoC!H40</f>
        <v>0</v>
      </c>
      <c r="K20" s="123">
        <f>calculoC!I40</f>
        <v>0</v>
      </c>
      <c r="L20" s="123">
        <f>calculoC!J40</f>
        <v>3</v>
      </c>
      <c r="M20" s="123">
        <f>calculoC!K40</f>
        <v>0</v>
      </c>
      <c r="N20" s="123">
        <f>calculoC!L40</f>
        <v>7</v>
      </c>
      <c r="O20" s="123">
        <f>M20-N20</f>
        <v>-7</v>
      </c>
      <c r="P20" s="124">
        <f>calculoC!M40</f>
        <v>0</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349"/>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zfQmx+R7FZB90K7RyOEz+LUxBaHqs8WNTO2M4mi9iKfxAO3FM8kwBqFplC2xTKaQNCmTjQMtlzY1trYLml7Svw==" saltValue="N7R7AGq9ox+6xxTAhDhp1A==" spinCount="100000" sheet="1" objects="1" scenarios="1" selectLockedCells="1"/>
  <dataConsolidate/>
  <mergeCells count="30">
    <mergeCell ref="R28:S28"/>
    <mergeCell ref="C4:N4"/>
    <mergeCell ref="I6:J6"/>
    <mergeCell ref="K6:L6"/>
    <mergeCell ref="M5:N5"/>
    <mergeCell ref="M6:N6"/>
    <mergeCell ref="M8:N8"/>
    <mergeCell ref="K7:L7"/>
    <mergeCell ref="K8:L8"/>
    <mergeCell ref="K9:L9"/>
    <mergeCell ref="R13:S13"/>
    <mergeCell ref="H15:P15"/>
    <mergeCell ref="M9:N9"/>
    <mergeCell ref="M10:N10"/>
    <mergeCell ref="M11:N11"/>
    <mergeCell ref="I9:J9"/>
    <mergeCell ref="I10:J10"/>
    <mergeCell ref="I11:J11"/>
    <mergeCell ref="K11:L11"/>
    <mergeCell ref="K10:L10"/>
    <mergeCell ref="B1:T2"/>
    <mergeCell ref="R7:S7"/>
    <mergeCell ref="R9:S9"/>
    <mergeCell ref="R11:S11"/>
    <mergeCell ref="I5:J5"/>
    <mergeCell ref="K5:L5"/>
    <mergeCell ref="Q4:T5"/>
    <mergeCell ref="I7:J7"/>
    <mergeCell ref="I8:J8"/>
    <mergeCell ref="M7:N7"/>
  </mergeCells>
  <phoneticPr fontId="20" type="noConversion"/>
  <conditionalFormatting sqref="C9:H9">
    <cfRule type="expression" dxfId="307" priority="14" stopIfTrue="1">
      <formula>IF(OR($M$9="en juego",$M$9="hoy!"),1,0)</formula>
    </cfRule>
  </conditionalFormatting>
  <conditionalFormatting sqref="C6:N6">
    <cfRule type="expression" dxfId="306" priority="12" stopIfTrue="1">
      <formula>IF(OR($M$6="en juego",$M$6="hoy!"),1,0)</formula>
    </cfRule>
  </conditionalFormatting>
  <conditionalFormatting sqref="C7:N7">
    <cfRule type="expression" dxfId="305" priority="11" stopIfTrue="1">
      <formula>IF(OR($M$7="en juego",$M$7="hoy!"),1,0)</formula>
    </cfRule>
  </conditionalFormatting>
  <conditionalFormatting sqref="C8:N8">
    <cfRule type="expression" dxfId="304" priority="13" stopIfTrue="1">
      <formula>IF(OR($M$8="en juego",$M$8="hoy!"),1,0)</formula>
    </cfRule>
  </conditionalFormatting>
  <conditionalFormatting sqref="C10:N10">
    <cfRule type="expression" dxfId="303" priority="15" stopIfTrue="1">
      <formula>IF(OR($M$10="en juego",$M$10="hoy!"),1,0)</formula>
    </cfRule>
  </conditionalFormatting>
  <conditionalFormatting sqref="C11:N11">
    <cfRule type="expression" dxfId="302" priority="16" stopIfTrue="1">
      <formula>IF(OR($M$11="en juego",$M$11="hoy!"),1,0)</formula>
    </cfRule>
  </conditionalFormatting>
  <conditionalFormatting sqref="D6:D11 F6:F11">
    <cfRule type="colorScale" priority="10">
      <colorScale>
        <cfvo type="num" val="0"/>
        <cfvo type="num" val="10"/>
        <color theme="9" tint="0.59999389629810485"/>
        <color theme="9" tint="0.59999389629810485"/>
      </colorScale>
    </cfRule>
  </conditionalFormatting>
  <conditionalFormatting sqref="G17:G18">
    <cfRule type="expression" dxfId="301" priority="6" stopIfTrue="1">
      <formula>IF(AND($I$17=3,$I$18=3,$I$19=3,$I$20=3),1,0)</formula>
    </cfRule>
  </conditionalFormatting>
  <conditionalFormatting sqref="H17:P18">
    <cfRule type="expression" dxfId="299" priority="17" stopIfTrue="1">
      <formula>IF(AND($I$17=3,$I$18=3,$I$19=3,$I$20=3),1,0)</formula>
    </cfRule>
  </conditionalFormatting>
  <conditionalFormatting sqref="H19:P19">
    <cfRule type="expression" dxfId="298" priority="3">
      <formula>$G$19="Avanza como Mejor tercero: --&gt; "</formula>
    </cfRule>
  </conditionalFormatting>
  <conditionalFormatting sqref="I9:J9">
    <cfRule type="expression" dxfId="297" priority="9" stopIfTrue="1">
      <formula>IF(OR($M$8="en juego",$M$8="hoy!"),1,0)</formula>
    </cfRule>
  </conditionalFormatting>
  <conditionalFormatting sqref="K9:N9">
    <cfRule type="expression" dxfId="296" priority="8" stopIfTrue="1">
      <formula>IF(OR($M$9="en juego",$M$9="hoy!"),1,0)</formula>
    </cfRule>
  </conditionalFormatting>
  <dataValidations count="1">
    <dataValidation type="whole" allowBlank="1" showErrorMessage="1" errorTitle="Dato no válido" error="Ingrese sólo un número entero_x000a_entre 0 y 99." sqref="D6:D11 F6:F11" xr:uid="{00000000-0002-0000-0300-000000000000}">
      <formula1>0</formula1>
      <formula2>99</formula2>
    </dataValidation>
  </dataValidations>
  <pageMargins left="0.75" right="0.75" top="1" bottom="1" header="0" footer="0"/>
  <pageSetup paperSize="9" scale="73"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FD748518-9849-4EF3-9733-15233EAAFEFA}">
            <xm:f>'- 3ros -'!$H$16=144</xm:f>
            <x14:dxf>
              <font>
                <color rgb="FF993300"/>
              </font>
            </x14:dxf>
          </x14:cfRule>
          <xm:sqref>G19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V29"/>
  <sheetViews>
    <sheetView showGridLines="0" showRowColHeaders="0" showOutlineSymbols="0" zoomScale="95" zoomScaleNormal="95" workbookViewId="0">
      <selection activeCell="D11" sqref="D11"/>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1"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1"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1" ht="12.75" customHeight="1" x14ac:dyDescent="0.2">
      <c r="G3" s="242"/>
      <c r="M3" s="87"/>
      <c r="N3" s="87"/>
      <c r="R3" s="130"/>
    </row>
    <row r="4" spans="2:21" ht="12.75" customHeight="1" x14ac:dyDescent="0.2">
      <c r="C4" s="424" t="s">
        <v>3</v>
      </c>
      <c r="D4" s="425"/>
      <c r="E4" s="425"/>
      <c r="F4" s="425"/>
      <c r="G4" s="425"/>
      <c r="H4" s="425"/>
      <c r="I4" s="425"/>
      <c r="J4" s="425"/>
      <c r="K4" s="425"/>
      <c r="L4" s="425"/>
      <c r="M4" s="425"/>
      <c r="N4" s="426"/>
      <c r="Q4" s="431" t="s">
        <v>259</v>
      </c>
      <c r="R4" s="432"/>
      <c r="S4" s="432"/>
      <c r="T4" s="433"/>
    </row>
    <row r="5" spans="2:21" ht="12.75" customHeight="1" x14ac:dyDescent="0.2">
      <c r="C5" s="72"/>
      <c r="D5" s="72"/>
      <c r="E5" s="72"/>
      <c r="F5" s="72"/>
      <c r="G5" s="243"/>
      <c r="H5" s="77" t="s">
        <v>76</v>
      </c>
      <c r="I5" s="414" t="s">
        <v>11</v>
      </c>
      <c r="J5" s="414"/>
      <c r="K5" s="414" t="s">
        <v>36</v>
      </c>
      <c r="L5" s="414"/>
      <c r="M5" s="414" t="s">
        <v>22</v>
      </c>
      <c r="N5" s="414"/>
      <c r="Q5" s="434"/>
      <c r="R5" s="435"/>
      <c r="S5" s="435"/>
      <c r="T5" s="436"/>
    </row>
    <row r="6" spans="2:21" ht="12.75" customHeight="1" x14ac:dyDescent="0.2">
      <c r="B6" s="73" t="str">
        <f t="shared" ref="B6:B11" ca="1" si="0">IF(OR(M6="finalizado",M6="en juego",M6="hoy!"),"Ø","")</f>
        <v/>
      </c>
      <c r="C6" s="88" t="str">
        <f>IF(R7&lt;&gt;"",R7,"")</f>
        <v>EE. UU.</v>
      </c>
      <c r="D6" s="324">
        <v>1</v>
      </c>
      <c r="E6" s="91" t="s">
        <v>4</v>
      </c>
      <c r="F6" s="324">
        <v>0</v>
      </c>
      <c r="G6" s="94" t="str">
        <f>IF(R9&lt;&gt;"",R9,"")</f>
        <v>Paraguay</v>
      </c>
      <c r="H6" s="138" t="s">
        <v>170</v>
      </c>
      <c r="I6" s="427">
        <v>46185</v>
      </c>
      <c r="J6" s="427"/>
      <c r="K6" s="428">
        <v>0.83333333333333337</v>
      </c>
      <c r="L6" s="428"/>
      <c r="M6" s="429" t="str">
        <f t="shared" ref="M6:M11" ca="1" si="1">IF(OR(I6="",K6="",I6&lt;$R$24),"",IF(I6=$R$24,IF(AND(K6&lt;=$S$26,$S$26&lt;=(K6+0.08333333333)),"en juego",IF($S$26&lt;K6,"hoy!","finalizado")),IF($R$24&gt;I6,"finalizado","")))</f>
        <v/>
      </c>
      <c r="N6" s="430"/>
      <c r="O6" s="13"/>
      <c r="P6" s="13"/>
      <c r="Q6" s="13"/>
      <c r="R6" s="131"/>
      <c r="S6" s="13"/>
      <c r="T6" s="13"/>
    </row>
    <row r="7" spans="2:21" ht="12.75" customHeight="1" x14ac:dyDescent="0.35">
      <c r="B7" s="73" t="str">
        <f t="shared" ca="1" si="0"/>
        <v/>
      </c>
      <c r="C7" s="89" t="str">
        <f>IF(R11&lt;&gt;"",R11,"")</f>
        <v>Australia</v>
      </c>
      <c r="D7" s="325">
        <v>1</v>
      </c>
      <c r="E7" s="92" t="s">
        <v>4</v>
      </c>
      <c r="F7" s="325">
        <v>2</v>
      </c>
      <c r="G7" s="95" t="str">
        <f>IF(R13&lt;&gt;"",R13,"")</f>
        <v>Turquía</v>
      </c>
      <c r="H7" s="139" t="s">
        <v>174</v>
      </c>
      <c r="I7" s="420">
        <v>46186</v>
      </c>
      <c r="J7" s="420"/>
      <c r="K7" s="423">
        <v>0.95833333333333337</v>
      </c>
      <c r="L7" s="423"/>
      <c r="M7" s="421" t="str">
        <f t="shared" ca="1" si="1"/>
        <v/>
      </c>
      <c r="N7" s="422"/>
      <c r="O7" s="78"/>
      <c r="P7" s="79"/>
      <c r="Q7" s="113"/>
      <c r="R7" s="438" t="s">
        <v>144</v>
      </c>
      <c r="S7" s="438"/>
      <c r="T7" s="114"/>
    </row>
    <row r="8" spans="2:21" ht="12.75" customHeight="1" x14ac:dyDescent="0.4">
      <c r="B8" s="73" t="str">
        <f t="shared" ca="1" si="0"/>
        <v/>
      </c>
      <c r="C8" s="89" t="str">
        <f>IF(R7&lt;&gt;"",R7,"")</f>
        <v>EE. UU.</v>
      </c>
      <c r="D8" s="325">
        <v>2</v>
      </c>
      <c r="E8" s="92" t="s">
        <v>4</v>
      </c>
      <c r="F8" s="325">
        <v>1</v>
      </c>
      <c r="G8" s="95" t="str">
        <f>IF(R11&lt;&gt;"",R11,"")</f>
        <v>Australia</v>
      </c>
      <c r="H8" s="139" t="s">
        <v>180</v>
      </c>
      <c r="I8" s="420">
        <v>46192</v>
      </c>
      <c r="J8" s="420"/>
      <c r="K8" s="423">
        <v>0.58333333333333337</v>
      </c>
      <c r="L8" s="423"/>
      <c r="M8" s="421" t="str">
        <f t="shared" ca="1" si="1"/>
        <v/>
      </c>
      <c r="N8" s="422"/>
      <c r="O8" s="80"/>
      <c r="P8" s="81"/>
      <c r="Q8" s="13"/>
      <c r="R8" s="132"/>
      <c r="S8" s="125"/>
      <c r="T8" s="13"/>
    </row>
    <row r="9" spans="2:21" ht="12.75" customHeight="1" x14ac:dyDescent="0.2">
      <c r="B9" s="73" t="str">
        <f t="shared" ca="1" si="0"/>
        <v/>
      </c>
      <c r="C9" s="89" t="str">
        <f>IF(R13&lt;&gt;"",R13,"")</f>
        <v>Turquía</v>
      </c>
      <c r="D9" s="325">
        <v>1</v>
      </c>
      <c r="E9" s="92" t="s">
        <v>4</v>
      </c>
      <c r="F9" s="325">
        <v>0</v>
      </c>
      <c r="G9" s="95" t="str">
        <f>IF(R9&lt;&gt;"",R9,"")</f>
        <v>Paraguay</v>
      </c>
      <c r="H9" s="139" t="s">
        <v>171</v>
      </c>
      <c r="I9" s="420">
        <v>46192</v>
      </c>
      <c r="J9" s="420"/>
      <c r="K9" s="423">
        <v>0.91666666666666663</v>
      </c>
      <c r="L9" s="423"/>
      <c r="M9" s="421" t="str">
        <f t="shared" ca="1" si="1"/>
        <v/>
      </c>
      <c r="N9" s="422"/>
      <c r="O9" s="13"/>
      <c r="P9" s="13"/>
      <c r="Q9" s="113"/>
      <c r="R9" s="438" t="s">
        <v>145</v>
      </c>
      <c r="S9" s="438"/>
      <c r="T9" s="114"/>
    </row>
    <row r="10" spans="2:21" ht="12.75" customHeight="1" x14ac:dyDescent="0.2">
      <c r="B10" s="73" t="str">
        <f t="shared" ca="1" si="0"/>
        <v/>
      </c>
      <c r="C10" s="89" t="str">
        <f>IF(R13&lt;&gt;"",R13,"")</f>
        <v>Turquía</v>
      </c>
      <c r="D10" s="325">
        <v>0</v>
      </c>
      <c r="E10" s="92" t="s">
        <v>4</v>
      </c>
      <c r="F10" s="325">
        <v>0</v>
      </c>
      <c r="G10" s="95" t="str">
        <f>IF(R7&lt;&gt;"",R7,"")</f>
        <v>EE. UU.</v>
      </c>
      <c r="H10" s="139" t="s">
        <v>170</v>
      </c>
      <c r="I10" s="420">
        <v>46198</v>
      </c>
      <c r="J10" s="420"/>
      <c r="K10" s="423">
        <v>0.875</v>
      </c>
      <c r="L10" s="423"/>
      <c r="M10" s="421" t="str">
        <f t="shared" ca="1" si="1"/>
        <v/>
      </c>
      <c r="N10" s="422"/>
      <c r="O10" s="13"/>
      <c r="P10" s="13"/>
      <c r="Q10" s="13"/>
      <c r="R10" s="132"/>
      <c r="S10" s="125"/>
      <c r="T10" s="13"/>
    </row>
    <row r="11" spans="2:21" ht="12.75" customHeight="1" x14ac:dyDescent="0.2">
      <c r="B11" s="73" t="str">
        <f t="shared" ca="1" si="0"/>
        <v/>
      </c>
      <c r="C11" s="90" t="str">
        <f>IF(R9&lt;&gt;"",R9,"")</f>
        <v>Paraguay</v>
      </c>
      <c r="D11" s="326">
        <v>2</v>
      </c>
      <c r="E11" s="93" t="s">
        <v>4</v>
      </c>
      <c r="F11" s="326">
        <v>0</v>
      </c>
      <c r="G11" s="96" t="str">
        <f>IF(R11&lt;&gt;"",R11,"")</f>
        <v>Australia</v>
      </c>
      <c r="H11" s="140" t="s">
        <v>171</v>
      </c>
      <c r="I11" s="420">
        <v>46198</v>
      </c>
      <c r="J11" s="420"/>
      <c r="K11" s="423">
        <v>0.875</v>
      </c>
      <c r="L11" s="423"/>
      <c r="M11" s="421" t="str">
        <f t="shared" ca="1" si="1"/>
        <v/>
      </c>
      <c r="N11" s="422"/>
      <c r="O11" s="13"/>
      <c r="P11" s="13"/>
      <c r="Q11" s="113"/>
      <c r="R11" s="438" t="s">
        <v>113</v>
      </c>
      <c r="S11" s="438"/>
      <c r="T11" s="114"/>
    </row>
    <row r="12" spans="2:21" ht="12.75" customHeight="1" x14ac:dyDescent="0.2">
      <c r="C12" s="74"/>
      <c r="D12" s="86"/>
      <c r="E12" s="76"/>
      <c r="F12" s="86"/>
      <c r="G12" s="13"/>
      <c r="H12" s="82"/>
      <c r="I12" s="76"/>
      <c r="J12" s="83"/>
      <c r="K12" s="245"/>
      <c r="L12" s="244"/>
      <c r="M12" s="85"/>
      <c r="N12" s="85"/>
      <c r="O12" s="13"/>
      <c r="P12" s="13"/>
      <c r="Q12" s="13"/>
      <c r="R12" s="132"/>
      <c r="S12" s="125"/>
      <c r="T12" s="13"/>
    </row>
    <row r="13" spans="2:21"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344</v>
      </c>
      <c r="S13" s="438"/>
      <c r="T13" s="114"/>
    </row>
    <row r="14" spans="2:21" ht="12.75" customHeight="1" x14ac:dyDescent="0.2">
      <c r="C14" s="74"/>
      <c r="D14" s="86"/>
      <c r="E14" s="76"/>
      <c r="F14" s="86"/>
      <c r="G14" s="13"/>
      <c r="H14" s="82"/>
      <c r="I14" s="76"/>
      <c r="J14" s="76"/>
      <c r="K14" s="246"/>
      <c r="L14" s="84"/>
      <c r="M14" s="85"/>
      <c r="N14" s="85"/>
      <c r="O14" s="13"/>
      <c r="P14" s="13"/>
      <c r="Q14" s="13"/>
      <c r="R14" s="133"/>
      <c r="S14" s="126"/>
      <c r="T14" s="13"/>
    </row>
    <row r="15" spans="2:21" ht="12.75" customHeight="1" x14ac:dyDescent="0.2">
      <c r="C15" s="13"/>
      <c r="D15" s="13"/>
      <c r="E15" s="13"/>
      <c r="F15" s="13"/>
      <c r="G15" s="13"/>
      <c r="H15" s="439" t="s">
        <v>12</v>
      </c>
      <c r="I15" s="440"/>
      <c r="J15" s="440"/>
      <c r="K15" s="441"/>
      <c r="L15" s="440"/>
      <c r="M15" s="440"/>
      <c r="N15" s="440"/>
      <c r="O15" s="440"/>
      <c r="P15" s="442"/>
      <c r="Q15" s="13"/>
      <c r="R15" s="131"/>
      <c r="S15" s="13"/>
      <c r="T15" s="13"/>
    </row>
    <row r="16" spans="2:21"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334</v>
      </c>
      <c r="H17" s="351" t="str">
        <f>calculoD!F37</f>
        <v>EE. UU.</v>
      </c>
      <c r="I17" s="116">
        <f>calculoD!G37</f>
        <v>3</v>
      </c>
      <c r="J17" s="116">
        <f>calculoD!H37</f>
        <v>2</v>
      </c>
      <c r="K17" s="116">
        <f>calculoD!I37</f>
        <v>1</v>
      </c>
      <c r="L17" s="116">
        <f>calculoD!J37</f>
        <v>0</v>
      </c>
      <c r="M17" s="116">
        <f>calculoD!K37</f>
        <v>3</v>
      </c>
      <c r="N17" s="116">
        <f>calculoD!L37</f>
        <v>1</v>
      </c>
      <c r="O17" s="116">
        <f>M17-N17</f>
        <v>2</v>
      </c>
      <c r="P17" s="117">
        <f>calculoD!M37</f>
        <v>7</v>
      </c>
      <c r="Q17" s="104"/>
      <c r="R17" s="134"/>
      <c r="S17" s="99"/>
      <c r="T17" s="99"/>
    </row>
    <row r="18" spans="2:22" ht="12.75" customHeight="1" x14ac:dyDescent="0.2">
      <c r="C18" s="13"/>
      <c r="D18" s="13"/>
      <c r="E18" s="13"/>
      <c r="F18" s="13"/>
      <c r="G18" s="112" t="s">
        <v>334</v>
      </c>
      <c r="H18" s="352" t="str">
        <f>calculoD!F38</f>
        <v>Turquía</v>
      </c>
      <c r="I18" s="119">
        <f>calculoD!G38</f>
        <v>3</v>
      </c>
      <c r="J18" s="119">
        <f>calculoD!H38</f>
        <v>2</v>
      </c>
      <c r="K18" s="119">
        <f>calculoD!I38</f>
        <v>1</v>
      </c>
      <c r="L18" s="119">
        <f>calculoD!J38</f>
        <v>0</v>
      </c>
      <c r="M18" s="119">
        <f>calculoD!K38</f>
        <v>3</v>
      </c>
      <c r="N18" s="119">
        <f>calculoD!L38</f>
        <v>1</v>
      </c>
      <c r="O18" s="119">
        <f>M18-N18</f>
        <v>2</v>
      </c>
      <c r="P18" s="120">
        <f>calculoD!M38</f>
        <v>7</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calculoD!F39</f>
        <v>Paraguay</v>
      </c>
      <c r="I19" s="119">
        <f>calculoD!G39</f>
        <v>3</v>
      </c>
      <c r="J19" s="119">
        <f>calculoD!H39</f>
        <v>1</v>
      </c>
      <c r="K19" s="119">
        <f>calculoD!I39</f>
        <v>0</v>
      </c>
      <c r="L19" s="119">
        <f>calculoD!J39</f>
        <v>2</v>
      </c>
      <c r="M19" s="119">
        <f>calculoD!K39</f>
        <v>2</v>
      </c>
      <c r="N19" s="119">
        <f>calculoD!L39</f>
        <v>2</v>
      </c>
      <c r="O19" s="119">
        <f>M19-N19</f>
        <v>0</v>
      </c>
      <c r="P19" s="120">
        <f>calculoD!M39</f>
        <v>3</v>
      </c>
      <c r="Q19" s="105"/>
      <c r="R19" s="134"/>
      <c r="S19" s="99"/>
      <c r="T19" s="99"/>
    </row>
    <row r="20" spans="2:22" ht="12.75" customHeight="1" x14ac:dyDescent="0.2">
      <c r="C20" s="13"/>
      <c r="D20" s="13"/>
      <c r="E20" s="13"/>
      <c r="F20" s="13"/>
      <c r="G20" s="99"/>
      <c r="H20" s="122" t="str">
        <f>calculoD!F40</f>
        <v>Australia</v>
      </c>
      <c r="I20" s="123">
        <f>calculoD!G40</f>
        <v>3</v>
      </c>
      <c r="J20" s="123">
        <f>calculoD!H40</f>
        <v>0</v>
      </c>
      <c r="K20" s="123">
        <f>calculoD!I40</f>
        <v>0</v>
      </c>
      <c r="L20" s="123">
        <f>calculoD!J40</f>
        <v>3</v>
      </c>
      <c r="M20" s="123">
        <f>calculoD!K40</f>
        <v>2</v>
      </c>
      <c r="N20" s="123">
        <f>calculoD!L40</f>
        <v>6</v>
      </c>
      <c r="O20" s="123">
        <f>M20-N20</f>
        <v>-4</v>
      </c>
      <c r="P20" s="124">
        <f>calculoD!M40</f>
        <v>0</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LPEviqSpt3kVdz7B0qfqmmZ22KghaV+ZhUmLy0kdeLd4PBlaeGZrVFMm5GWYrwj0rWxf0sqvxUGdujfyAMKWKQ==" saltValue="g8w0coUGIgE8KHOz74HBwA==" spinCount="100000" sheet="1" objects="1" scenarios="1" selectLockedCells="1"/>
  <dataConsolidate/>
  <mergeCells count="30">
    <mergeCell ref="R28:S28"/>
    <mergeCell ref="C4:N4"/>
    <mergeCell ref="I6:J6"/>
    <mergeCell ref="K6:L6"/>
    <mergeCell ref="M5:N5"/>
    <mergeCell ref="M6:N6"/>
    <mergeCell ref="M8:N8"/>
    <mergeCell ref="K7:L7"/>
    <mergeCell ref="K8:L8"/>
    <mergeCell ref="K9:L9"/>
    <mergeCell ref="R13:S13"/>
    <mergeCell ref="H15:P15"/>
    <mergeCell ref="M9:N9"/>
    <mergeCell ref="M10:N10"/>
    <mergeCell ref="M11:N11"/>
    <mergeCell ref="I9:J9"/>
    <mergeCell ref="I10:J10"/>
    <mergeCell ref="I11:J11"/>
    <mergeCell ref="K11:L11"/>
    <mergeCell ref="K10:L10"/>
    <mergeCell ref="B1:T2"/>
    <mergeCell ref="R7:S7"/>
    <mergeCell ref="R9:S9"/>
    <mergeCell ref="R11:S11"/>
    <mergeCell ref="I5:J5"/>
    <mergeCell ref="K5:L5"/>
    <mergeCell ref="Q4:T5"/>
    <mergeCell ref="I7:J7"/>
    <mergeCell ref="I8:J8"/>
    <mergeCell ref="M7:N7"/>
  </mergeCells>
  <phoneticPr fontId="20" type="noConversion"/>
  <conditionalFormatting sqref="C9:H9">
    <cfRule type="expression" dxfId="295" priority="13" stopIfTrue="1">
      <formula>IF(OR($M$9="en juego",$M$9="hoy!"),1,0)</formula>
    </cfRule>
  </conditionalFormatting>
  <conditionalFormatting sqref="C6:N6">
    <cfRule type="expression" dxfId="294" priority="11" stopIfTrue="1">
      <formula>IF(OR($M$6="en juego",$M$6="hoy!"),1,0)</formula>
    </cfRule>
  </conditionalFormatting>
  <conditionalFormatting sqref="C7:N7">
    <cfRule type="expression" dxfId="293" priority="10" stopIfTrue="1">
      <formula>IF(OR($M$7="en juego",$M$7="hoy!"),1,0)</formula>
    </cfRule>
  </conditionalFormatting>
  <conditionalFormatting sqref="C8:N8">
    <cfRule type="expression" dxfId="292" priority="12" stopIfTrue="1">
      <formula>IF(OR($M$8="en juego",$M$8="hoy!"),1,0)</formula>
    </cfRule>
  </conditionalFormatting>
  <conditionalFormatting sqref="C10:N10">
    <cfRule type="expression" dxfId="291" priority="14" stopIfTrue="1">
      <formula>IF(OR($M$10="en juego",$M$10="hoy!"),1,0)</formula>
    </cfRule>
  </conditionalFormatting>
  <conditionalFormatting sqref="C11:N11">
    <cfRule type="expression" dxfId="290"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89" priority="5" stopIfTrue="1">
      <formula>IF(AND($I$17=3,$I$18=3,$I$19=3,$I$20=3),1,0)</formula>
    </cfRule>
  </conditionalFormatting>
  <conditionalFormatting sqref="H17:P18">
    <cfRule type="expression" dxfId="287" priority="16" stopIfTrue="1">
      <formula>IF(AND($I$17=3,$I$18=3,$I$19=3,$I$20=3),1,0)</formula>
    </cfRule>
  </conditionalFormatting>
  <conditionalFormatting sqref="H19:P19">
    <cfRule type="expression" dxfId="286" priority="3">
      <formula>$G$19="Avanza como Mejor tercero: --&gt; "</formula>
    </cfRule>
  </conditionalFormatting>
  <conditionalFormatting sqref="I9:J9">
    <cfRule type="expression" dxfId="285" priority="8" stopIfTrue="1">
      <formula>IF(OR($M$8="en juego",$M$8="hoy!"),1,0)</formula>
    </cfRule>
  </conditionalFormatting>
  <conditionalFormatting sqref="K9:N9">
    <cfRule type="expression" dxfId="284" priority="7" stopIfTrue="1">
      <formula>IF(OR($M$9="en juego",$M$9="hoy!"),1,0)</formula>
    </cfRule>
  </conditionalFormatting>
  <dataValidations count="1">
    <dataValidation type="whole" allowBlank="1" showErrorMessage="1" errorTitle="Dato no válido" error="Ingrese sólo un número entero_x000a_entre 0 y 99." sqref="D6:D11 F6:F11" xr:uid="{00000000-0002-0000-0400-000000000000}">
      <formula1>0</formula1>
      <formula2>99</formula2>
    </dataValidation>
  </dataValidations>
  <pageMargins left="0.75" right="0.75" top="1" bottom="1" header="0" footer="0"/>
  <pageSetup paperSize="9" scale="73"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8CC33AB8-E544-443E-92C4-E625072260C8}">
            <xm:f>'- 3ros -'!$H$16=144</xm:f>
            <x14:dxf>
              <font>
                <color rgb="FF993300"/>
              </font>
            </x14:dxf>
          </x14:cfRule>
          <xm:sqref>G19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V29"/>
  <sheetViews>
    <sheetView showGridLines="0" showRowColHeaders="0" showOutlineSymbols="0" zoomScale="95" zoomScaleNormal="95" workbookViewId="0">
      <selection activeCell="F11" sqref="F11"/>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1"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1"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1" ht="12.75" customHeight="1" x14ac:dyDescent="0.2">
      <c r="G3" s="242"/>
      <c r="M3" s="87"/>
      <c r="N3" s="87"/>
      <c r="R3" s="130"/>
    </row>
    <row r="4" spans="2:21" ht="12.75" customHeight="1" x14ac:dyDescent="0.2">
      <c r="C4" s="424" t="s">
        <v>3</v>
      </c>
      <c r="D4" s="425"/>
      <c r="E4" s="425"/>
      <c r="F4" s="425"/>
      <c r="G4" s="425"/>
      <c r="H4" s="425"/>
      <c r="I4" s="425"/>
      <c r="J4" s="425"/>
      <c r="K4" s="425"/>
      <c r="L4" s="425"/>
      <c r="M4" s="425"/>
      <c r="N4" s="426"/>
      <c r="Q4" s="431" t="s">
        <v>260</v>
      </c>
      <c r="R4" s="432"/>
      <c r="S4" s="432"/>
      <c r="T4" s="433"/>
    </row>
    <row r="5" spans="2:21" ht="12.75" customHeight="1" x14ac:dyDescent="0.2">
      <c r="C5" s="72"/>
      <c r="D5" s="72"/>
      <c r="E5" s="72"/>
      <c r="F5" s="72"/>
      <c r="G5" s="243"/>
      <c r="H5" s="77" t="s">
        <v>76</v>
      </c>
      <c r="I5" s="414" t="s">
        <v>11</v>
      </c>
      <c r="J5" s="414"/>
      <c r="K5" s="414" t="s">
        <v>36</v>
      </c>
      <c r="L5" s="414"/>
      <c r="M5" s="414" t="s">
        <v>22</v>
      </c>
      <c r="N5" s="414"/>
      <c r="Q5" s="434"/>
      <c r="R5" s="435"/>
      <c r="S5" s="435"/>
      <c r="T5" s="436"/>
    </row>
    <row r="6" spans="2:21" ht="12.75" customHeight="1" x14ac:dyDescent="0.2">
      <c r="B6" s="73" t="str">
        <f t="shared" ref="B6:B11" ca="1" si="0">IF(OR(M6="finalizado",M6="en juego",M6="hoy!"),"Ø","")</f>
        <v/>
      </c>
      <c r="C6" s="88" t="str">
        <f>IF(R7&lt;&gt;"",R7,"")</f>
        <v>Alemania</v>
      </c>
      <c r="D6" s="324">
        <v>4</v>
      </c>
      <c r="E6" s="91" t="s">
        <v>4</v>
      </c>
      <c r="F6" s="324">
        <v>0</v>
      </c>
      <c r="G6" s="94" t="str">
        <f>IF(R9&lt;&gt;"",R9,"")</f>
        <v>Curazao</v>
      </c>
      <c r="H6" s="138" t="s">
        <v>175</v>
      </c>
      <c r="I6" s="427">
        <v>46187</v>
      </c>
      <c r="J6" s="427"/>
      <c r="K6" s="428">
        <v>0.5</v>
      </c>
      <c r="L6" s="428"/>
      <c r="M6" s="429" t="str">
        <f t="shared" ref="M6:M11" ca="1" si="1">IF(OR(I6="",K6="",I6&lt;$R$24),"",IF(I6=$R$24,IF(AND(K6&lt;=$S$26,$S$26&lt;=(K6+0.08333333333)),"en juego",IF($S$26&lt;K6,"hoy!","finalizado")),IF($R$24&gt;I6,"finalizado","")))</f>
        <v/>
      </c>
      <c r="N6" s="430"/>
      <c r="O6" s="13"/>
      <c r="P6" s="13"/>
      <c r="Q6" s="13"/>
      <c r="R6" s="131"/>
      <c r="S6" s="13"/>
      <c r="T6" s="13"/>
    </row>
    <row r="7" spans="2:21" ht="12.75" customHeight="1" x14ac:dyDescent="0.35">
      <c r="B7" s="73" t="str">
        <f t="shared" ca="1" si="0"/>
        <v/>
      </c>
      <c r="C7" s="89" t="str">
        <f>IF(R11&lt;&gt;"",R11,"")</f>
        <v>Costa de Marfil</v>
      </c>
      <c r="D7" s="325">
        <v>1</v>
      </c>
      <c r="E7" s="92" t="s">
        <v>4</v>
      </c>
      <c r="F7" s="325">
        <v>1</v>
      </c>
      <c r="G7" s="95" t="str">
        <f>IF(R13&lt;&gt;"",R13,"")</f>
        <v>Ecuador</v>
      </c>
      <c r="H7" s="139" t="s">
        <v>177</v>
      </c>
      <c r="I7" s="420">
        <v>46187</v>
      </c>
      <c r="J7" s="420"/>
      <c r="K7" s="423">
        <v>0.75</v>
      </c>
      <c r="L7" s="423"/>
      <c r="M7" s="421" t="str">
        <f t="shared" ca="1" si="1"/>
        <v/>
      </c>
      <c r="N7" s="422"/>
      <c r="O7" s="78"/>
      <c r="P7" s="79"/>
      <c r="Q7" s="113"/>
      <c r="R7" s="438" t="s">
        <v>33</v>
      </c>
      <c r="S7" s="438"/>
      <c r="T7" s="114"/>
    </row>
    <row r="8" spans="2:21" ht="12.75" customHeight="1" x14ac:dyDescent="0.4">
      <c r="B8" s="73" t="str">
        <f t="shared" ca="1" si="0"/>
        <v/>
      </c>
      <c r="C8" s="89" t="str">
        <f>IF(R7&lt;&gt;"",R7,"")</f>
        <v>Alemania</v>
      </c>
      <c r="D8" s="325">
        <v>3</v>
      </c>
      <c r="E8" s="92" t="s">
        <v>4</v>
      </c>
      <c r="F8" s="325">
        <v>0</v>
      </c>
      <c r="G8" s="95" t="str">
        <f>IF(R11&lt;&gt;"",R11,"")</f>
        <v>Costa de Marfil</v>
      </c>
      <c r="H8" s="139" t="s">
        <v>169</v>
      </c>
      <c r="I8" s="420">
        <v>46193</v>
      </c>
      <c r="J8" s="420"/>
      <c r="K8" s="423">
        <v>0.625</v>
      </c>
      <c r="L8" s="423"/>
      <c r="M8" s="421" t="str">
        <f t="shared" ca="1" si="1"/>
        <v/>
      </c>
      <c r="N8" s="422"/>
      <c r="O8" s="80"/>
      <c r="P8" s="81"/>
      <c r="Q8" s="13"/>
      <c r="R8" s="132"/>
      <c r="S8" s="125"/>
      <c r="T8" s="13"/>
    </row>
    <row r="9" spans="2:21" ht="12.75" customHeight="1" x14ac:dyDescent="0.2">
      <c r="B9" s="73" t="str">
        <f t="shared" ca="1" si="0"/>
        <v/>
      </c>
      <c r="C9" s="89" t="str">
        <f>IF(R13&lt;&gt;"",R13,"")</f>
        <v>Ecuador</v>
      </c>
      <c r="D9" s="325">
        <v>2</v>
      </c>
      <c r="E9" s="92" t="s">
        <v>4</v>
      </c>
      <c r="F9" s="325">
        <v>0</v>
      </c>
      <c r="G9" s="95" t="str">
        <f>IF(R9&lt;&gt;"",R9,"")</f>
        <v>Curazao</v>
      </c>
      <c r="H9" s="139" t="s">
        <v>182</v>
      </c>
      <c r="I9" s="420">
        <v>46193</v>
      </c>
      <c r="J9" s="420"/>
      <c r="K9" s="423">
        <v>0.79166666666666663</v>
      </c>
      <c r="L9" s="423"/>
      <c r="M9" s="421" t="str">
        <f t="shared" ca="1" si="1"/>
        <v/>
      </c>
      <c r="N9" s="422"/>
      <c r="O9" s="13"/>
      <c r="P9" s="13"/>
      <c r="Q9" s="113"/>
      <c r="R9" s="438" t="s">
        <v>146</v>
      </c>
      <c r="S9" s="438"/>
      <c r="T9" s="114"/>
    </row>
    <row r="10" spans="2:21" ht="12.75" customHeight="1" x14ac:dyDescent="0.2">
      <c r="B10" s="73" t="str">
        <f t="shared" ca="1" si="0"/>
        <v/>
      </c>
      <c r="C10" s="89" t="str">
        <f>IF(R9&lt;&gt;"",R9,"")</f>
        <v>Curazao</v>
      </c>
      <c r="D10" s="325">
        <v>1</v>
      </c>
      <c r="E10" s="92" t="s">
        <v>4</v>
      </c>
      <c r="F10" s="325">
        <v>2</v>
      </c>
      <c r="G10" s="95" t="str">
        <f>IF(R11&lt;&gt;"",R11,"")</f>
        <v>Costa de Marfil</v>
      </c>
      <c r="H10" s="139" t="s">
        <v>177</v>
      </c>
      <c r="I10" s="420">
        <v>46198</v>
      </c>
      <c r="J10" s="420"/>
      <c r="K10" s="423">
        <v>0.625</v>
      </c>
      <c r="L10" s="423"/>
      <c r="M10" s="421" t="str">
        <f t="shared" ca="1" si="1"/>
        <v/>
      </c>
      <c r="N10" s="422"/>
      <c r="O10" s="13"/>
      <c r="P10" s="13"/>
      <c r="Q10" s="13"/>
      <c r="R10" s="132"/>
      <c r="S10" s="125"/>
      <c r="T10" s="13"/>
    </row>
    <row r="11" spans="2:21" ht="12.75" customHeight="1" x14ac:dyDescent="0.2">
      <c r="B11" s="73" t="str">
        <f t="shared" ca="1" si="0"/>
        <v/>
      </c>
      <c r="C11" s="90" t="str">
        <f>IF(R13&lt;&gt;"",R13,"")</f>
        <v>Ecuador</v>
      </c>
      <c r="D11" s="326">
        <v>0</v>
      </c>
      <c r="E11" s="93" t="s">
        <v>4</v>
      </c>
      <c r="F11" s="326">
        <v>2</v>
      </c>
      <c r="G11" s="96" t="str">
        <f>IF(R7&lt;&gt;"",R7,"")</f>
        <v>Alemania</v>
      </c>
      <c r="H11" s="140" t="s">
        <v>172</v>
      </c>
      <c r="I11" s="420">
        <v>46198</v>
      </c>
      <c r="J11" s="420"/>
      <c r="K11" s="423">
        <v>0.625</v>
      </c>
      <c r="L11" s="423"/>
      <c r="M11" s="421" t="str">
        <f t="shared" ca="1" si="1"/>
        <v/>
      </c>
      <c r="N11" s="422"/>
      <c r="O11" s="13"/>
      <c r="P11" s="13"/>
      <c r="Q11" s="113"/>
      <c r="R11" s="438" t="s">
        <v>147</v>
      </c>
      <c r="S11" s="438"/>
      <c r="T11" s="114"/>
    </row>
    <row r="12" spans="2:21" ht="12.75" customHeight="1" x14ac:dyDescent="0.2">
      <c r="C12" s="74"/>
      <c r="D12" s="86"/>
      <c r="E12" s="76"/>
      <c r="F12" s="86"/>
      <c r="G12" s="13"/>
      <c r="H12" s="82"/>
      <c r="I12" s="76"/>
      <c r="J12" s="83"/>
      <c r="K12" s="245"/>
      <c r="L12" s="244"/>
      <c r="M12" s="85"/>
      <c r="N12" s="85"/>
      <c r="O12" s="13"/>
      <c r="P12" s="13"/>
      <c r="Q12" s="13"/>
      <c r="R12" s="132"/>
      <c r="S12" s="125"/>
      <c r="T12" s="13"/>
    </row>
    <row r="13" spans="2:21"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111</v>
      </c>
      <c r="S13" s="438"/>
      <c r="T13" s="114"/>
    </row>
    <row r="14" spans="2:21" ht="12.75" customHeight="1" x14ac:dyDescent="0.2">
      <c r="C14" s="74"/>
      <c r="D14" s="86"/>
      <c r="E14" s="76"/>
      <c r="F14" s="86"/>
      <c r="G14" s="13"/>
      <c r="H14" s="82"/>
      <c r="I14" s="76"/>
      <c r="J14" s="76"/>
      <c r="K14" s="246"/>
      <c r="L14" s="84"/>
      <c r="M14" s="85"/>
      <c r="N14" s="85"/>
      <c r="O14" s="13"/>
      <c r="P14" s="13"/>
      <c r="Q14" s="13"/>
      <c r="R14" s="133"/>
      <c r="S14" s="126"/>
      <c r="T14" s="13"/>
    </row>
    <row r="15" spans="2:21" ht="12.75" customHeight="1" x14ac:dyDescent="0.2">
      <c r="C15" s="13"/>
      <c r="D15" s="13"/>
      <c r="E15" s="13"/>
      <c r="F15" s="13"/>
      <c r="G15" s="13"/>
      <c r="H15" s="439" t="s">
        <v>12</v>
      </c>
      <c r="I15" s="440"/>
      <c r="J15" s="440"/>
      <c r="K15" s="441"/>
      <c r="L15" s="440"/>
      <c r="M15" s="440"/>
      <c r="N15" s="440"/>
      <c r="O15" s="440"/>
      <c r="P15" s="442"/>
      <c r="Q15" s="13"/>
      <c r="R15" s="131"/>
      <c r="S15" s="13"/>
      <c r="T15" s="13"/>
    </row>
    <row r="16" spans="2:21"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calculoE!F37</f>
        <v>Alemania</v>
      </c>
      <c r="I17" s="116">
        <f>calculoE!G37</f>
        <v>3</v>
      </c>
      <c r="J17" s="116">
        <f>calculoE!H37</f>
        <v>3</v>
      </c>
      <c r="K17" s="116">
        <f>calculoE!I37</f>
        <v>0</v>
      </c>
      <c r="L17" s="116">
        <f>calculoE!J37</f>
        <v>0</v>
      </c>
      <c r="M17" s="116">
        <f>calculoE!K37</f>
        <v>9</v>
      </c>
      <c r="N17" s="116">
        <f>calculoE!L37</f>
        <v>0</v>
      </c>
      <c r="O17" s="116">
        <f>M17-N17</f>
        <v>9</v>
      </c>
      <c r="P17" s="117">
        <f>calculoE!M37</f>
        <v>9</v>
      </c>
      <c r="Q17" s="104"/>
      <c r="R17" s="134"/>
      <c r="S17" s="99"/>
      <c r="T17" s="99"/>
    </row>
    <row r="18" spans="2:22" ht="12.75" customHeight="1" x14ac:dyDescent="0.2">
      <c r="C18" s="13"/>
      <c r="D18" s="13"/>
      <c r="E18" s="13"/>
      <c r="F18" s="13"/>
      <c r="G18" s="112" t="s">
        <v>228</v>
      </c>
      <c r="H18" s="352" t="str">
        <f>calculoE!F38</f>
        <v>Ecuador</v>
      </c>
      <c r="I18" s="119">
        <f>calculoE!G38</f>
        <v>3</v>
      </c>
      <c r="J18" s="119">
        <f>calculoE!H38</f>
        <v>1</v>
      </c>
      <c r="K18" s="119">
        <f>calculoE!I38</f>
        <v>1</v>
      </c>
      <c r="L18" s="119">
        <f>calculoE!J38</f>
        <v>1</v>
      </c>
      <c r="M18" s="119">
        <f>calculoE!K38</f>
        <v>3</v>
      </c>
      <c r="N18" s="119">
        <f>calculoE!L38</f>
        <v>3</v>
      </c>
      <c r="O18" s="119">
        <f>M18-N18</f>
        <v>0</v>
      </c>
      <c r="P18" s="120">
        <f>calculoE!M38</f>
        <v>4</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calculoE!F39</f>
        <v>Costa de Marfil</v>
      </c>
      <c r="I19" s="119">
        <f>calculoE!G39</f>
        <v>3</v>
      </c>
      <c r="J19" s="119">
        <f>calculoE!H39</f>
        <v>1</v>
      </c>
      <c r="K19" s="119">
        <f>calculoE!I39</f>
        <v>1</v>
      </c>
      <c r="L19" s="119">
        <f>calculoE!J39</f>
        <v>1</v>
      </c>
      <c r="M19" s="119">
        <f>calculoE!K39</f>
        <v>3</v>
      </c>
      <c r="N19" s="119">
        <f>calculoE!L39</f>
        <v>5</v>
      </c>
      <c r="O19" s="119">
        <f>M19-N19</f>
        <v>-2</v>
      </c>
      <c r="P19" s="120">
        <f>calculoE!M39</f>
        <v>4</v>
      </c>
      <c r="Q19" s="105"/>
      <c r="R19" s="134"/>
      <c r="S19" s="99"/>
      <c r="T19" s="99"/>
    </row>
    <row r="20" spans="2:22" ht="12.75" customHeight="1" x14ac:dyDescent="0.2">
      <c r="C20" s="13"/>
      <c r="D20" s="13"/>
      <c r="E20" s="13"/>
      <c r="F20" s="13"/>
      <c r="G20" s="99"/>
      <c r="H20" s="122" t="str">
        <f>calculoE!F40</f>
        <v>Curazao</v>
      </c>
      <c r="I20" s="123">
        <f>calculoE!G40</f>
        <v>3</v>
      </c>
      <c r="J20" s="123">
        <f>calculoE!H40</f>
        <v>0</v>
      </c>
      <c r="K20" s="123">
        <f>calculoE!I40</f>
        <v>0</v>
      </c>
      <c r="L20" s="123">
        <f>calculoE!J40</f>
        <v>3</v>
      </c>
      <c r="M20" s="123">
        <f>calculoE!K40</f>
        <v>1</v>
      </c>
      <c r="N20" s="123">
        <f>calculoE!L40</f>
        <v>8</v>
      </c>
      <c r="O20" s="123">
        <f>M20-N20</f>
        <v>-7</v>
      </c>
      <c r="P20" s="124">
        <f>calculoE!M40</f>
        <v>0</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jfJvKXzCVfniAvPIs2c0D2fBhsJQrop7drVARosfPyX/+FZhxNxj6UhbM1Sa0IhJPGzMffnwk9DlCYJCC4+5tA==" saltValue="awJ9xNL1BoIOAvZXf6KfwQ==" spinCount="100000" sheet="1" objects="1" scenarios="1" selectLockedCells="1"/>
  <dataConsolidate/>
  <mergeCells count="30">
    <mergeCell ref="R28:S28"/>
    <mergeCell ref="C4:N4"/>
    <mergeCell ref="I6:J6"/>
    <mergeCell ref="K6:L6"/>
    <mergeCell ref="M5:N5"/>
    <mergeCell ref="M6:N6"/>
    <mergeCell ref="M8:N8"/>
    <mergeCell ref="K7:L7"/>
    <mergeCell ref="K8:L8"/>
    <mergeCell ref="K9:L9"/>
    <mergeCell ref="R13:S13"/>
    <mergeCell ref="H15:P15"/>
    <mergeCell ref="M9:N9"/>
    <mergeCell ref="M10:N10"/>
    <mergeCell ref="M11:N11"/>
    <mergeCell ref="I9:J9"/>
    <mergeCell ref="I10:J10"/>
    <mergeCell ref="I11:J11"/>
    <mergeCell ref="K11:L11"/>
    <mergeCell ref="K10:L10"/>
    <mergeCell ref="B1:T2"/>
    <mergeCell ref="R7:S7"/>
    <mergeCell ref="R9:S9"/>
    <mergeCell ref="R11:S11"/>
    <mergeCell ref="I5:J5"/>
    <mergeCell ref="K5:L5"/>
    <mergeCell ref="Q4:T5"/>
    <mergeCell ref="I7:J7"/>
    <mergeCell ref="I8:J8"/>
    <mergeCell ref="M7:N7"/>
  </mergeCells>
  <phoneticPr fontId="20" type="noConversion"/>
  <conditionalFormatting sqref="C9:H9">
    <cfRule type="expression" dxfId="283" priority="13" stopIfTrue="1">
      <formula>IF(OR($M$9="en juego",$M$9="hoy!"),1,0)</formula>
    </cfRule>
  </conditionalFormatting>
  <conditionalFormatting sqref="C6:N6">
    <cfRule type="expression" dxfId="282" priority="11" stopIfTrue="1">
      <formula>IF(OR($M$6="en juego",$M$6="hoy!"),1,0)</formula>
    </cfRule>
  </conditionalFormatting>
  <conditionalFormatting sqref="C7:N7">
    <cfRule type="expression" dxfId="281" priority="10" stopIfTrue="1">
      <formula>IF(OR($M$7="en juego",$M$7="hoy!"),1,0)</formula>
    </cfRule>
  </conditionalFormatting>
  <conditionalFormatting sqref="C8:N8">
    <cfRule type="expression" dxfId="280" priority="12" stopIfTrue="1">
      <formula>IF(OR($M$8="en juego",$M$8="hoy!"),1,0)</formula>
    </cfRule>
  </conditionalFormatting>
  <conditionalFormatting sqref="C10:N10">
    <cfRule type="expression" dxfId="279" priority="14" stopIfTrue="1">
      <formula>IF(OR($M$10="en juego",$M$10="hoy!"),1,0)</formula>
    </cfRule>
  </conditionalFormatting>
  <conditionalFormatting sqref="C11:N11">
    <cfRule type="expression" dxfId="278"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77" priority="5" stopIfTrue="1">
      <formula>IF(AND($I$17=3,$I$18=3,$I$19=3,$I$20=3),1,0)</formula>
    </cfRule>
  </conditionalFormatting>
  <conditionalFormatting sqref="H17:P18">
    <cfRule type="expression" dxfId="275" priority="16" stopIfTrue="1">
      <formula>IF(AND($I$17=3,$I$18=3,$I$19=3,$I$20=3),1,0)</formula>
    </cfRule>
  </conditionalFormatting>
  <conditionalFormatting sqref="H19:P19">
    <cfRule type="expression" dxfId="274" priority="3">
      <formula>$G$19="Avanza como Mejor tercero: --&gt; "</formula>
    </cfRule>
  </conditionalFormatting>
  <conditionalFormatting sqref="I9:J9">
    <cfRule type="expression" dxfId="273" priority="8" stopIfTrue="1">
      <formula>IF(OR($M$8="en juego",$M$8="hoy!"),1,0)</formula>
    </cfRule>
  </conditionalFormatting>
  <conditionalFormatting sqref="K9:N9">
    <cfRule type="expression" dxfId="272" priority="7" stopIfTrue="1">
      <formula>IF(OR($M$9="en juego",$M$9="hoy!"),1,0)</formula>
    </cfRule>
  </conditionalFormatting>
  <dataValidations count="1">
    <dataValidation type="whole" allowBlank="1" showErrorMessage="1" errorTitle="Dato no válido" error="Ingrese sólo un número entero_x000a_entre 0 y 99." sqref="D6:D11 F6:F11" xr:uid="{00000000-0002-0000-0500-000000000000}">
      <formula1>0</formula1>
      <formula2>99</formula2>
    </dataValidation>
  </dataValidations>
  <pageMargins left="0.75" right="0.75" top="1" bottom="1" header="0" footer="0"/>
  <pageSetup paperSize="9" scale="73"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6764E151-2A9B-41C3-AB18-D8CE85B43054}">
            <xm:f>'- 3ros -'!$H$16=144</xm:f>
            <x14:dxf>
              <font>
                <color rgb="FF993300"/>
              </font>
            </x14:dxf>
          </x14:cfRule>
          <xm:sqref>G19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V29"/>
  <sheetViews>
    <sheetView showGridLines="0" showRowColHeaders="0" showOutlineSymbols="0" zoomScale="95" zoomScaleNormal="95" workbookViewId="0">
      <selection activeCell="F10" sqref="F10"/>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1"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1"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1" ht="12.75" customHeight="1" x14ac:dyDescent="0.2">
      <c r="G3" s="242"/>
      <c r="M3" s="87"/>
      <c r="N3" s="87"/>
      <c r="R3" s="130"/>
    </row>
    <row r="4" spans="2:21" ht="12.75" customHeight="1" x14ac:dyDescent="0.2">
      <c r="C4" s="424" t="s">
        <v>3</v>
      </c>
      <c r="D4" s="425"/>
      <c r="E4" s="425"/>
      <c r="F4" s="425"/>
      <c r="G4" s="425"/>
      <c r="H4" s="425"/>
      <c r="I4" s="425"/>
      <c r="J4" s="425"/>
      <c r="K4" s="425"/>
      <c r="L4" s="425"/>
      <c r="M4" s="425"/>
      <c r="N4" s="426"/>
      <c r="Q4" s="431" t="s">
        <v>261</v>
      </c>
      <c r="R4" s="432"/>
      <c r="S4" s="432"/>
      <c r="T4" s="433"/>
    </row>
    <row r="5" spans="2:21" ht="12.75" customHeight="1" x14ac:dyDescent="0.2">
      <c r="C5" s="72"/>
      <c r="D5" s="72"/>
      <c r="E5" s="72"/>
      <c r="F5" s="72"/>
      <c r="G5" s="243"/>
      <c r="H5" s="77" t="s">
        <v>76</v>
      </c>
      <c r="I5" s="414" t="s">
        <v>11</v>
      </c>
      <c r="J5" s="414"/>
      <c r="K5" s="414" t="s">
        <v>36</v>
      </c>
      <c r="L5" s="414"/>
      <c r="M5" s="414" t="s">
        <v>22</v>
      </c>
      <c r="N5" s="414"/>
      <c r="Q5" s="434"/>
      <c r="R5" s="435"/>
      <c r="S5" s="435"/>
      <c r="T5" s="436"/>
    </row>
    <row r="6" spans="2:21" ht="12.75" customHeight="1" x14ac:dyDescent="0.2">
      <c r="B6" s="73" t="str">
        <f t="shared" ref="B6:B11" ca="1" si="0">IF(OR(M6="finalizado",M6="en juego",M6="hoy!"),"Ø","")</f>
        <v/>
      </c>
      <c r="C6" s="88" t="str">
        <f>IF(R7&lt;&gt;"",R7,"")</f>
        <v>Países Bajos</v>
      </c>
      <c r="D6" s="324">
        <v>1</v>
      </c>
      <c r="E6" s="91" t="s">
        <v>4</v>
      </c>
      <c r="F6" s="324">
        <v>1</v>
      </c>
      <c r="G6" s="94" t="str">
        <f>IF(R9&lt;&gt;"",R9,"")</f>
        <v>Japón</v>
      </c>
      <c r="H6" s="138" t="s">
        <v>176</v>
      </c>
      <c r="I6" s="427">
        <v>46187</v>
      </c>
      <c r="J6" s="427"/>
      <c r="K6" s="428">
        <v>0.625</v>
      </c>
      <c r="L6" s="428"/>
      <c r="M6" s="429" t="str">
        <f t="shared" ref="M6:M11" ca="1" si="1">IF(OR(I6="",K6="",I6&lt;$R$24),"",IF(I6=$R$24,IF(AND(K6&lt;=$S$26,$S$26&lt;=(K6+0.08333333333)),"en juego",IF($S$26&lt;K6,"hoy!","finalizado")),IF($R$24&gt;I6,"finalizado","")))</f>
        <v/>
      </c>
      <c r="N6" s="430"/>
      <c r="O6" s="13"/>
      <c r="P6" s="13"/>
      <c r="Q6" s="13"/>
      <c r="R6" s="131"/>
      <c r="S6" s="13"/>
      <c r="T6" s="13"/>
    </row>
    <row r="7" spans="2:21" ht="12.75" customHeight="1" x14ac:dyDescent="0.35">
      <c r="B7" s="73" t="str">
        <f t="shared" ca="1" si="0"/>
        <v/>
      </c>
      <c r="C7" s="89" t="str">
        <f>IF(R11&lt;&gt;"",R11,"")</f>
        <v>Suecia</v>
      </c>
      <c r="D7" s="325">
        <v>2</v>
      </c>
      <c r="E7" s="92" t="s">
        <v>4</v>
      </c>
      <c r="F7" s="325">
        <v>0</v>
      </c>
      <c r="G7" s="95" t="str">
        <f>IF(R13&lt;&gt;"",R13,"")</f>
        <v>Túnez</v>
      </c>
      <c r="H7" s="139" t="s">
        <v>178</v>
      </c>
      <c r="I7" s="420">
        <v>46187</v>
      </c>
      <c r="J7" s="420"/>
      <c r="K7" s="423">
        <v>0.875</v>
      </c>
      <c r="L7" s="423"/>
      <c r="M7" s="421" t="str">
        <f t="shared" ca="1" si="1"/>
        <v/>
      </c>
      <c r="N7" s="422"/>
      <c r="O7" s="78"/>
      <c r="P7" s="79"/>
      <c r="Q7" s="113"/>
      <c r="R7" s="438" t="s">
        <v>112</v>
      </c>
      <c r="S7" s="438"/>
      <c r="T7" s="114"/>
    </row>
    <row r="8" spans="2:21" ht="12.75" customHeight="1" x14ac:dyDescent="0.4">
      <c r="B8" s="73" t="str">
        <f t="shared" ca="1" si="0"/>
        <v/>
      </c>
      <c r="C8" s="89" t="str">
        <f>IF(R7&lt;&gt;"",R7,"")</f>
        <v>Países Bajos</v>
      </c>
      <c r="D8" s="325">
        <v>2</v>
      </c>
      <c r="E8" s="92" t="s">
        <v>4</v>
      </c>
      <c r="F8" s="325">
        <v>1</v>
      </c>
      <c r="G8" s="95" t="str">
        <f>IF(R11&lt;&gt;"",R11,"")</f>
        <v>Suecia</v>
      </c>
      <c r="H8" s="139" t="s">
        <v>175</v>
      </c>
      <c r="I8" s="420">
        <v>46193</v>
      </c>
      <c r="J8" s="420"/>
      <c r="K8" s="423">
        <v>0.5</v>
      </c>
      <c r="L8" s="423"/>
      <c r="M8" s="421" t="str">
        <f t="shared" ca="1" si="1"/>
        <v/>
      </c>
      <c r="N8" s="422"/>
      <c r="O8" s="80"/>
      <c r="P8" s="81"/>
      <c r="Q8" s="13"/>
      <c r="R8" s="132"/>
      <c r="S8" s="125"/>
      <c r="T8" s="13"/>
    </row>
    <row r="9" spans="2:21" ht="12.75" customHeight="1" x14ac:dyDescent="0.2">
      <c r="B9" s="73" t="str">
        <f t="shared" ca="1" si="0"/>
        <v/>
      </c>
      <c r="C9" s="89" t="str">
        <f>IF(R13&lt;&gt;"",R13,"")</f>
        <v>Túnez</v>
      </c>
      <c r="D9" s="325">
        <v>0</v>
      </c>
      <c r="E9" s="92" t="s">
        <v>4</v>
      </c>
      <c r="F9" s="325">
        <v>0</v>
      </c>
      <c r="G9" s="95" t="str">
        <f>IF(R9&lt;&gt;"",R9,"")</f>
        <v>Japón</v>
      </c>
      <c r="H9" s="139" t="s">
        <v>178</v>
      </c>
      <c r="I9" s="420">
        <v>46193</v>
      </c>
      <c r="J9" s="420"/>
      <c r="K9" s="423">
        <v>0.95833333333333337</v>
      </c>
      <c r="L9" s="423"/>
      <c r="M9" s="421" t="str">
        <f t="shared" ca="1" si="1"/>
        <v/>
      </c>
      <c r="N9" s="422"/>
      <c r="O9" s="13"/>
      <c r="P9" s="13"/>
      <c r="Q9" s="113"/>
      <c r="R9" s="438" t="s">
        <v>40</v>
      </c>
      <c r="S9" s="438"/>
      <c r="T9" s="114"/>
    </row>
    <row r="10" spans="2:21" ht="12.75" customHeight="1" x14ac:dyDescent="0.2">
      <c r="B10" s="73" t="str">
        <f t="shared" ca="1" si="0"/>
        <v/>
      </c>
      <c r="C10" s="89" t="str">
        <f>IF(R9&lt;&gt;"",R9,"")</f>
        <v>Japón</v>
      </c>
      <c r="D10" s="325">
        <v>2</v>
      </c>
      <c r="E10" s="92" t="s">
        <v>4</v>
      </c>
      <c r="F10" s="325">
        <v>0</v>
      </c>
      <c r="G10" s="95" t="str">
        <f>IF(R11&lt;&gt;"",R11,"")</f>
        <v>Suecia</v>
      </c>
      <c r="H10" s="139" t="s">
        <v>176</v>
      </c>
      <c r="I10" s="420">
        <v>46198</v>
      </c>
      <c r="J10" s="420"/>
      <c r="K10" s="423">
        <v>0.75</v>
      </c>
      <c r="L10" s="423"/>
      <c r="M10" s="421" t="str">
        <f t="shared" ca="1" si="1"/>
        <v/>
      </c>
      <c r="N10" s="422"/>
      <c r="O10" s="13"/>
      <c r="P10" s="13"/>
      <c r="Q10" s="13"/>
      <c r="R10" s="132"/>
      <c r="S10" s="125"/>
      <c r="T10" s="13"/>
    </row>
    <row r="11" spans="2:21" ht="12.75" customHeight="1" x14ac:dyDescent="0.2">
      <c r="B11" s="73" t="str">
        <f t="shared" ca="1" si="0"/>
        <v/>
      </c>
      <c r="C11" s="90" t="str">
        <f>IF(R13&lt;&gt;"",R13,"")</f>
        <v>Túnez</v>
      </c>
      <c r="D11" s="326">
        <v>0</v>
      </c>
      <c r="E11" s="93" t="s">
        <v>4</v>
      </c>
      <c r="F11" s="326">
        <v>3</v>
      </c>
      <c r="G11" s="96" t="str">
        <f>IF(R7&lt;&gt;"",R7,"")</f>
        <v>Países Bajos</v>
      </c>
      <c r="H11" s="140" t="s">
        <v>182</v>
      </c>
      <c r="I11" s="420">
        <v>46198</v>
      </c>
      <c r="J11" s="420"/>
      <c r="K11" s="423">
        <v>0.75</v>
      </c>
      <c r="L11" s="423"/>
      <c r="M11" s="421" t="str">
        <f t="shared" ca="1" si="1"/>
        <v/>
      </c>
      <c r="N11" s="422"/>
      <c r="O11" s="13"/>
      <c r="P11" s="13"/>
      <c r="Q11" s="113"/>
      <c r="R11" s="438" t="s">
        <v>343</v>
      </c>
      <c r="S11" s="438"/>
      <c r="T11" s="114"/>
    </row>
    <row r="12" spans="2:21" ht="12.75" customHeight="1" x14ac:dyDescent="0.2">
      <c r="C12" s="74"/>
      <c r="D12" s="86"/>
      <c r="E12" s="76"/>
      <c r="F12" s="86"/>
      <c r="G12" s="13"/>
      <c r="H12" s="82"/>
      <c r="I12" s="76"/>
      <c r="J12" s="83"/>
      <c r="K12" s="245"/>
      <c r="L12" s="244"/>
      <c r="M12" s="85"/>
      <c r="N12" s="85"/>
      <c r="O12" s="13"/>
      <c r="P12" s="13"/>
      <c r="Q12" s="13"/>
      <c r="R12" s="132"/>
      <c r="S12" s="125"/>
      <c r="T12" s="13"/>
    </row>
    <row r="13" spans="2:21"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75</v>
      </c>
      <c r="S13" s="438"/>
      <c r="T13" s="114"/>
    </row>
    <row r="14" spans="2:21" ht="12.75" customHeight="1" x14ac:dyDescent="0.2">
      <c r="C14" s="74"/>
      <c r="D14" s="86"/>
      <c r="E14" s="76"/>
      <c r="F14" s="86"/>
      <c r="G14" s="13"/>
      <c r="H14" s="82"/>
      <c r="I14" s="76"/>
      <c r="J14" s="76"/>
      <c r="K14" s="246"/>
      <c r="L14" s="84"/>
      <c r="M14" s="85"/>
      <c r="N14" s="85"/>
      <c r="O14" s="13"/>
      <c r="P14" s="13"/>
    </row>
    <row r="15" spans="2:21" ht="12.75" customHeight="1" x14ac:dyDescent="0.2">
      <c r="C15" s="13"/>
      <c r="D15" s="13"/>
      <c r="E15" s="13"/>
      <c r="F15" s="13"/>
      <c r="G15" s="13"/>
      <c r="H15" s="439" t="s">
        <v>12</v>
      </c>
      <c r="I15" s="440"/>
      <c r="J15" s="440"/>
      <c r="K15" s="441"/>
      <c r="L15" s="440"/>
      <c r="M15" s="440"/>
      <c r="N15" s="440"/>
      <c r="O15" s="440"/>
      <c r="P15" s="442"/>
      <c r="Q15" s="13"/>
      <c r="R15" s="131"/>
      <c r="S15" s="13"/>
      <c r="T15" s="13"/>
    </row>
    <row r="16" spans="2:21"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calculoF!F37</f>
        <v>Países Bajos</v>
      </c>
      <c r="I17" s="116">
        <f>calculoF!G37</f>
        <v>3</v>
      </c>
      <c r="J17" s="116">
        <f>calculoF!H37</f>
        <v>2</v>
      </c>
      <c r="K17" s="116">
        <f>calculoF!I37</f>
        <v>1</v>
      </c>
      <c r="L17" s="116">
        <f>calculoF!J37</f>
        <v>0</v>
      </c>
      <c r="M17" s="116">
        <f>calculoF!K37</f>
        <v>6</v>
      </c>
      <c r="N17" s="116">
        <f>calculoF!L37</f>
        <v>2</v>
      </c>
      <c r="O17" s="116">
        <f>M17-N17</f>
        <v>4</v>
      </c>
      <c r="P17" s="117">
        <f>calculoF!M37</f>
        <v>7</v>
      </c>
      <c r="Q17" s="104"/>
      <c r="R17" s="134"/>
      <c r="S17" s="99"/>
      <c r="T17" s="99"/>
    </row>
    <row r="18" spans="2:22" ht="12.75" customHeight="1" x14ac:dyDescent="0.2">
      <c r="C18" s="13"/>
      <c r="D18" s="13"/>
      <c r="E18" s="13"/>
      <c r="F18" s="13"/>
      <c r="G18" s="112" t="s">
        <v>228</v>
      </c>
      <c r="H18" s="352" t="str">
        <f>calculoF!F38</f>
        <v>Japón</v>
      </c>
      <c r="I18" s="119">
        <f>calculoF!G38</f>
        <v>3</v>
      </c>
      <c r="J18" s="119">
        <f>calculoF!H38</f>
        <v>1</v>
      </c>
      <c r="K18" s="119">
        <f>calculoF!I38</f>
        <v>2</v>
      </c>
      <c r="L18" s="119">
        <f>calculoF!J38</f>
        <v>0</v>
      </c>
      <c r="M18" s="119">
        <f>calculoF!K38</f>
        <v>3</v>
      </c>
      <c r="N18" s="119">
        <f>calculoF!L38</f>
        <v>1</v>
      </c>
      <c r="O18" s="119">
        <f>M18-N18</f>
        <v>2</v>
      </c>
      <c r="P18" s="120">
        <f>calculoF!M38</f>
        <v>5</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calculoF!F39</f>
        <v>Suecia</v>
      </c>
      <c r="I19" s="119">
        <f>calculoF!G39</f>
        <v>3</v>
      </c>
      <c r="J19" s="119">
        <f>calculoF!H39</f>
        <v>1</v>
      </c>
      <c r="K19" s="119">
        <f>calculoF!I39</f>
        <v>0</v>
      </c>
      <c r="L19" s="119">
        <f>calculoF!J39</f>
        <v>2</v>
      </c>
      <c r="M19" s="119">
        <f>calculoF!K39</f>
        <v>3</v>
      </c>
      <c r="N19" s="119">
        <f>calculoF!L39</f>
        <v>4</v>
      </c>
      <c r="O19" s="119">
        <f>M19-N19</f>
        <v>-1</v>
      </c>
      <c r="P19" s="120">
        <f>calculoF!M39</f>
        <v>3</v>
      </c>
      <c r="Q19" s="105"/>
      <c r="R19" s="134"/>
      <c r="S19" s="99"/>
      <c r="T19" s="99"/>
    </row>
    <row r="20" spans="2:22" ht="12.75" customHeight="1" x14ac:dyDescent="0.2">
      <c r="C20" s="13"/>
      <c r="D20" s="13"/>
      <c r="E20" s="13"/>
      <c r="F20" s="13"/>
      <c r="G20" s="99"/>
      <c r="H20" s="122" t="str">
        <f>calculoF!F40</f>
        <v>Túnez</v>
      </c>
      <c r="I20" s="123">
        <f>calculoF!G40</f>
        <v>3</v>
      </c>
      <c r="J20" s="123">
        <f>calculoF!H40</f>
        <v>0</v>
      </c>
      <c r="K20" s="123">
        <f>calculoF!I40</f>
        <v>1</v>
      </c>
      <c r="L20" s="123">
        <f>calculoF!J40</f>
        <v>2</v>
      </c>
      <c r="M20" s="123">
        <f>calculoF!K40</f>
        <v>0</v>
      </c>
      <c r="N20" s="123">
        <f>calculoF!L40</f>
        <v>5</v>
      </c>
      <c r="O20" s="123">
        <f>M20-N20</f>
        <v>-5</v>
      </c>
      <c r="P20" s="124">
        <f>calculoF!M40</f>
        <v>1</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liYroS6NluQuj/URg75uQ9cgCgGF9pd8sRoM3Yr7BahhtQbQqZ32XlN6IYKNqzzg8OMEL8DSlA2Zmam+Tke1iA==" saltValue="u5Z+gwqF3SU3oI9F7rcXpA==" spinCount="100000" sheet="1" objects="1" scenarios="1" selectLockedCells="1"/>
  <dataConsolidate/>
  <mergeCells count="30">
    <mergeCell ref="R28:S28"/>
    <mergeCell ref="C4:N4"/>
    <mergeCell ref="I6:J6"/>
    <mergeCell ref="K6:L6"/>
    <mergeCell ref="M5:N5"/>
    <mergeCell ref="M6:N6"/>
    <mergeCell ref="M8:N8"/>
    <mergeCell ref="K7:L7"/>
    <mergeCell ref="K8:L8"/>
    <mergeCell ref="K9:L9"/>
    <mergeCell ref="R11:S11"/>
    <mergeCell ref="H15:P15"/>
    <mergeCell ref="M9:N9"/>
    <mergeCell ref="M10:N10"/>
    <mergeCell ref="M11:N11"/>
    <mergeCell ref="I9:J9"/>
    <mergeCell ref="B1:T2"/>
    <mergeCell ref="R7:S7"/>
    <mergeCell ref="R9:S9"/>
    <mergeCell ref="R13:S13"/>
    <mergeCell ref="I5:J5"/>
    <mergeCell ref="K5:L5"/>
    <mergeCell ref="Q4:T5"/>
    <mergeCell ref="I7:J7"/>
    <mergeCell ref="I8:J8"/>
    <mergeCell ref="M7:N7"/>
    <mergeCell ref="I10:J10"/>
    <mergeCell ref="I11:J11"/>
    <mergeCell ref="K11:L11"/>
    <mergeCell ref="K10:L10"/>
  </mergeCells>
  <phoneticPr fontId="20" type="noConversion"/>
  <conditionalFormatting sqref="C9:H9">
    <cfRule type="expression" dxfId="271" priority="13" stopIfTrue="1">
      <formula>IF(OR($M$9="en juego",$M$9="hoy!"),1,0)</formula>
    </cfRule>
  </conditionalFormatting>
  <conditionalFormatting sqref="C6:N6">
    <cfRule type="expression" dxfId="270" priority="11" stopIfTrue="1">
      <formula>IF(OR($M$6="en juego",$M$6="hoy!"),1,0)</formula>
    </cfRule>
  </conditionalFormatting>
  <conditionalFormatting sqref="C7:N7">
    <cfRule type="expression" dxfId="269" priority="10" stopIfTrue="1">
      <formula>IF(OR($M$7="en juego",$M$7="hoy!"),1,0)</formula>
    </cfRule>
  </conditionalFormatting>
  <conditionalFormatting sqref="C8:N8">
    <cfRule type="expression" dxfId="268" priority="12" stopIfTrue="1">
      <formula>IF(OR($M$8="en juego",$M$8="hoy!"),1,0)</formula>
    </cfRule>
  </conditionalFormatting>
  <conditionalFormatting sqref="C10:N10">
    <cfRule type="expression" dxfId="267" priority="14" stopIfTrue="1">
      <formula>IF(OR($M$10="en juego",$M$10="hoy!"),1,0)</formula>
    </cfRule>
  </conditionalFormatting>
  <conditionalFormatting sqref="C11:N11">
    <cfRule type="expression" dxfId="266"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65" priority="5" stopIfTrue="1">
      <formula>IF(AND($I$17=3,$I$18=3,$I$19=3,$I$20=3),1,0)</formula>
    </cfRule>
  </conditionalFormatting>
  <conditionalFormatting sqref="H17:P18">
    <cfRule type="expression" dxfId="263" priority="16" stopIfTrue="1">
      <formula>IF(AND($I$17=3,$I$18=3,$I$19=3,$I$20=3),1,0)</formula>
    </cfRule>
  </conditionalFormatting>
  <conditionalFormatting sqref="H19:P19">
    <cfRule type="expression" dxfId="262" priority="3">
      <formula>$G$19="Avanza como Mejor tercero: --&gt; "</formula>
    </cfRule>
  </conditionalFormatting>
  <conditionalFormatting sqref="I9:J9">
    <cfRule type="expression" dxfId="261" priority="8" stopIfTrue="1">
      <formula>IF(OR($M$8="en juego",$M$8="hoy!"),1,0)</formula>
    </cfRule>
  </conditionalFormatting>
  <conditionalFormatting sqref="K9:N9">
    <cfRule type="expression" dxfId="260" priority="7" stopIfTrue="1">
      <formula>IF(OR($M$9="en juego",$M$9="hoy!"),1,0)</formula>
    </cfRule>
  </conditionalFormatting>
  <dataValidations count="1">
    <dataValidation type="whole" allowBlank="1" showErrorMessage="1" errorTitle="Dato no válido" error="Ingrese sólo un número entero_x000a_entre 0 y 99." sqref="D6:D11 F6:F11" xr:uid="{00000000-0002-0000-0600-000000000000}">
      <formula1>0</formula1>
      <formula2>99</formula2>
    </dataValidation>
  </dataValidations>
  <pageMargins left="0.75" right="0.75" top="1" bottom="1" header="0" footer="0"/>
  <pageSetup paperSize="9" scale="49"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8BD49321-5532-4B99-B965-33E9118F1B5B}">
            <xm:f>'- 3ros -'!$H$16=144</xm:f>
            <x14:dxf>
              <font>
                <color rgb="FF993300"/>
              </font>
            </x14:dxf>
          </x14:cfRule>
          <xm:sqref>G19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V29"/>
  <sheetViews>
    <sheetView showGridLines="0" showRowColHeaders="0" showOutlineSymbols="0" zoomScale="95" zoomScaleNormal="95" workbookViewId="0">
      <selection activeCell="D11" sqref="D11"/>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1"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1"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1" ht="12.75" customHeight="1" x14ac:dyDescent="0.2">
      <c r="G3" s="242"/>
      <c r="M3" s="87"/>
      <c r="N3" s="87"/>
      <c r="R3" s="130"/>
    </row>
    <row r="4" spans="2:21" ht="12.75" customHeight="1" x14ac:dyDescent="0.2">
      <c r="C4" s="424" t="s">
        <v>3</v>
      </c>
      <c r="D4" s="425"/>
      <c r="E4" s="425"/>
      <c r="F4" s="425"/>
      <c r="G4" s="425"/>
      <c r="H4" s="425"/>
      <c r="I4" s="425"/>
      <c r="J4" s="425"/>
      <c r="K4" s="425"/>
      <c r="L4" s="425"/>
      <c r="M4" s="425"/>
      <c r="N4" s="426"/>
      <c r="Q4" s="431" t="s">
        <v>262</v>
      </c>
      <c r="R4" s="432"/>
      <c r="S4" s="432"/>
      <c r="T4" s="433"/>
    </row>
    <row r="5" spans="2:21" ht="12.75" customHeight="1" x14ac:dyDescent="0.2">
      <c r="C5" s="72"/>
      <c r="D5" s="72"/>
      <c r="E5" s="72"/>
      <c r="F5" s="72"/>
      <c r="G5" s="243"/>
      <c r="H5" s="77" t="s">
        <v>76</v>
      </c>
      <c r="I5" s="414" t="s">
        <v>11</v>
      </c>
      <c r="J5" s="414"/>
      <c r="K5" s="414" t="s">
        <v>36</v>
      </c>
      <c r="L5" s="414"/>
      <c r="M5" s="414" t="s">
        <v>22</v>
      </c>
      <c r="N5" s="414"/>
      <c r="Q5" s="434"/>
      <c r="R5" s="435"/>
      <c r="S5" s="435"/>
      <c r="T5" s="436"/>
    </row>
    <row r="6" spans="2:21" ht="12.75" customHeight="1" x14ac:dyDescent="0.2">
      <c r="B6" s="73" t="str">
        <f t="shared" ref="B6:B11" ca="1" si="0">IF(OR(M6="finalizado",M6="en juego",M6="hoy!"),"Ø","")</f>
        <v/>
      </c>
      <c r="C6" s="88" t="str">
        <f>IF(R7&lt;&gt;"",R7,"")</f>
        <v>Bélgica</v>
      </c>
      <c r="D6" s="324">
        <v>2</v>
      </c>
      <c r="E6" s="91" t="s">
        <v>4</v>
      </c>
      <c r="F6" s="324">
        <v>0</v>
      </c>
      <c r="G6" s="94" t="str">
        <f>IF(R9&lt;&gt;"",R9,"")</f>
        <v>Egipto</v>
      </c>
      <c r="H6" s="138" t="s">
        <v>180</v>
      </c>
      <c r="I6" s="427">
        <v>46188</v>
      </c>
      <c r="J6" s="427"/>
      <c r="K6" s="428">
        <v>0.58333333333333337</v>
      </c>
      <c r="L6" s="428"/>
      <c r="M6" s="429" t="str">
        <f t="shared" ref="M6:M11" ca="1" si="1">IF(OR(I6="",K6="",I6&lt;$R$24),"",IF(I6=$R$24,IF(AND(K6&lt;=$S$26,$S$26&lt;=(K6+0.08333333333)),"en juego",IF($S$26&lt;K6,"hoy!","finalizado")),IF($R$24&gt;I6,"finalizado","")))</f>
        <v/>
      </c>
      <c r="N6" s="430"/>
      <c r="O6" s="13"/>
      <c r="P6" s="13"/>
      <c r="Q6" s="13"/>
      <c r="R6" s="131"/>
      <c r="S6" s="13"/>
      <c r="T6" s="13"/>
    </row>
    <row r="7" spans="2:21" ht="12.75" customHeight="1" x14ac:dyDescent="0.35">
      <c r="B7" s="73" t="str">
        <f t="shared" ca="1" si="0"/>
        <v/>
      </c>
      <c r="C7" s="89" t="str">
        <f>IF(R11&lt;&gt;"",R11,"")</f>
        <v>Irán</v>
      </c>
      <c r="D7" s="325">
        <v>1</v>
      </c>
      <c r="E7" s="92" t="s">
        <v>4</v>
      </c>
      <c r="F7" s="325">
        <v>0</v>
      </c>
      <c r="G7" s="95" t="str">
        <f>IF(R13&lt;&gt;"",R13,"")</f>
        <v>Nueva Zelanda</v>
      </c>
      <c r="H7" s="139" t="s">
        <v>170</v>
      </c>
      <c r="I7" s="420">
        <v>46188</v>
      </c>
      <c r="J7" s="420"/>
      <c r="K7" s="423">
        <v>0.83333333333333337</v>
      </c>
      <c r="L7" s="423"/>
      <c r="M7" s="421" t="str">
        <f t="shared" ca="1" si="1"/>
        <v/>
      </c>
      <c r="N7" s="422"/>
      <c r="O7" s="78"/>
      <c r="P7" s="79"/>
      <c r="Q7" s="113"/>
      <c r="R7" s="438" t="s">
        <v>57</v>
      </c>
      <c r="S7" s="438"/>
      <c r="T7" s="114"/>
    </row>
    <row r="8" spans="2:21" ht="12.75" customHeight="1" x14ac:dyDescent="0.4">
      <c r="B8" s="73" t="str">
        <f t="shared" ca="1" si="0"/>
        <v/>
      </c>
      <c r="C8" s="89" t="str">
        <f>IF(R7&lt;&gt;"",R7,"")</f>
        <v>Bélgica</v>
      </c>
      <c r="D8" s="325">
        <v>1</v>
      </c>
      <c r="E8" s="92" t="s">
        <v>4</v>
      </c>
      <c r="F8" s="325">
        <v>0</v>
      </c>
      <c r="G8" s="95" t="str">
        <f>IF(R11&lt;&gt;"",R11,"")</f>
        <v>Irán</v>
      </c>
      <c r="H8" s="139" t="s">
        <v>170</v>
      </c>
      <c r="I8" s="420">
        <v>46194</v>
      </c>
      <c r="J8" s="420"/>
      <c r="K8" s="423">
        <v>0.58333333333333337</v>
      </c>
      <c r="L8" s="423"/>
      <c r="M8" s="421" t="str">
        <f t="shared" ca="1" si="1"/>
        <v/>
      </c>
      <c r="N8" s="422"/>
      <c r="O8" s="80"/>
      <c r="P8" s="81"/>
      <c r="Q8" s="13"/>
      <c r="R8" s="132"/>
      <c r="S8" s="125"/>
      <c r="T8" s="13"/>
    </row>
    <row r="9" spans="2:21" ht="12.75" customHeight="1" x14ac:dyDescent="0.2">
      <c r="B9" s="73" t="str">
        <f t="shared" ca="1" si="0"/>
        <v/>
      </c>
      <c r="C9" s="89" t="str">
        <f>IF(R13&lt;&gt;"",R13,"")</f>
        <v>Nueva Zelanda</v>
      </c>
      <c r="D9" s="325">
        <v>0</v>
      </c>
      <c r="E9" s="92" t="s">
        <v>4</v>
      </c>
      <c r="F9" s="325">
        <v>3</v>
      </c>
      <c r="G9" s="95" t="str">
        <f>IF(R9&lt;&gt;"",R9,"")</f>
        <v>Egipto</v>
      </c>
      <c r="H9" s="139" t="s">
        <v>174</v>
      </c>
      <c r="I9" s="420">
        <v>46194</v>
      </c>
      <c r="J9" s="420"/>
      <c r="K9" s="423">
        <v>0.83333333333333337</v>
      </c>
      <c r="L9" s="423"/>
      <c r="M9" s="421" t="str">
        <f t="shared" ca="1" si="1"/>
        <v/>
      </c>
      <c r="N9" s="422"/>
      <c r="O9" s="13"/>
      <c r="P9" s="13"/>
      <c r="Q9" s="113"/>
      <c r="R9" s="438" t="s">
        <v>148</v>
      </c>
      <c r="S9" s="438"/>
      <c r="T9" s="114"/>
    </row>
    <row r="10" spans="2:21" ht="12.75" customHeight="1" x14ac:dyDescent="0.2">
      <c r="B10" s="73" t="str">
        <f t="shared" ca="1" si="0"/>
        <v/>
      </c>
      <c r="C10" s="89" t="str">
        <f>IF(R9&lt;&gt;"",R9,"")</f>
        <v>Egipto</v>
      </c>
      <c r="D10" s="325">
        <v>1</v>
      </c>
      <c r="E10" s="92" t="s">
        <v>4</v>
      </c>
      <c r="F10" s="325">
        <v>1</v>
      </c>
      <c r="G10" s="95" t="str">
        <f>IF(R11&lt;&gt;"",R11,"")</f>
        <v>Irán</v>
      </c>
      <c r="H10" s="139" t="s">
        <v>180</v>
      </c>
      <c r="I10" s="420">
        <v>46199</v>
      </c>
      <c r="J10" s="420"/>
      <c r="K10" s="423">
        <v>0.91666666666666663</v>
      </c>
      <c r="L10" s="423"/>
      <c r="M10" s="421" t="str">
        <f t="shared" ca="1" si="1"/>
        <v/>
      </c>
      <c r="N10" s="422"/>
      <c r="O10" s="13"/>
      <c r="P10" s="13"/>
      <c r="Q10" s="13"/>
      <c r="R10" s="132"/>
      <c r="S10" s="125"/>
      <c r="T10" s="13"/>
    </row>
    <row r="11" spans="2:21" ht="12.75" customHeight="1" x14ac:dyDescent="0.2">
      <c r="B11" s="73" t="str">
        <f t="shared" ca="1" si="0"/>
        <v/>
      </c>
      <c r="C11" s="90" t="str">
        <f>IF(R13&lt;&gt;"",R13,"")</f>
        <v>Nueva Zelanda</v>
      </c>
      <c r="D11" s="326">
        <v>1</v>
      </c>
      <c r="E11" s="93" t="s">
        <v>4</v>
      </c>
      <c r="F11" s="326">
        <v>1</v>
      </c>
      <c r="G11" s="96" t="str">
        <f>IF(R7&lt;&gt;"",R7,"")</f>
        <v>Bélgica</v>
      </c>
      <c r="H11" s="140" t="s">
        <v>174</v>
      </c>
      <c r="I11" s="420">
        <v>46199</v>
      </c>
      <c r="J11" s="420"/>
      <c r="K11" s="423">
        <v>0.91666666666666663</v>
      </c>
      <c r="L11" s="423"/>
      <c r="M11" s="421" t="str">
        <f t="shared" ca="1" si="1"/>
        <v/>
      </c>
      <c r="N11" s="422"/>
      <c r="O11" s="13"/>
      <c r="P11" s="13"/>
      <c r="Q11" s="113"/>
      <c r="R11" s="438" t="s">
        <v>56</v>
      </c>
      <c r="S11" s="438"/>
      <c r="T11" s="114"/>
    </row>
    <row r="12" spans="2:21" ht="12.75" customHeight="1" x14ac:dyDescent="0.2">
      <c r="C12" s="74"/>
      <c r="D12" s="86"/>
      <c r="E12" s="76"/>
      <c r="F12" s="86"/>
      <c r="G12" s="13"/>
      <c r="H12" s="82"/>
      <c r="I12" s="76"/>
      <c r="J12" s="83"/>
      <c r="K12" s="245"/>
      <c r="L12" s="244"/>
      <c r="M12" s="85"/>
      <c r="N12" s="85"/>
      <c r="O12" s="13"/>
      <c r="P12" s="13"/>
      <c r="Q12" s="13"/>
      <c r="R12" s="132"/>
      <c r="S12" s="125"/>
      <c r="T12" s="13"/>
    </row>
    <row r="13" spans="2:21"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149</v>
      </c>
      <c r="S13" s="438"/>
      <c r="T13" s="114"/>
    </row>
    <row r="14" spans="2:21" ht="12.75" customHeight="1" x14ac:dyDescent="0.2">
      <c r="C14" s="74"/>
      <c r="D14" s="86"/>
      <c r="E14" s="76"/>
      <c r="F14" s="86"/>
      <c r="G14" s="13"/>
      <c r="H14" s="82"/>
      <c r="I14" s="76"/>
      <c r="J14" s="76"/>
      <c r="K14" s="246"/>
      <c r="L14" s="84"/>
      <c r="M14" s="85"/>
      <c r="N14" s="85"/>
      <c r="O14" s="13"/>
      <c r="P14" s="13"/>
      <c r="Q14" s="13"/>
      <c r="R14" s="133"/>
      <c r="S14" s="126"/>
      <c r="T14" s="13"/>
    </row>
    <row r="15" spans="2:21" ht="12.75" customHeight="1" x14ac:dyDescent="0.2">
      <c r="C15" s="13"/>
      <c r="D15" s="13"/>
      <c r="E15" s="13"/>
      <c r="F15" s="13"/>
      <c r="G15" s="13"/>
      <c r="H15" s="439" t="s">
        <v>12</v>
      </c>
      <c r="I15" s="440"/>
      <c r="J15" s="440"/>
      <c r="K15" s="441"/>
      <c r="L15" s="440"/>
      <c r="M15" s="440"/>
      <c r="N15" s="440"/>
      <c r="O15" s="440"/>
      <c r="P15" s="442"/>
      <c r="Q15" s="13"/>
      <c r="R15" s="131"/>
      <c r="S15" s="13"/>
      <c r="T15" s="13"/>
    </row>
    <row r="16" spans="2:21"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calculoG!F37</f>
        <v>Bélgica</v>
      </c>
      <c r="I17" s="116">
        <f>calculoG!G37</f>
        <v>3</v>
      </c>
      <c r="J17" s="116">
        <f>calculoG!H37</f>
        <v>2</v>
      </c>
      <c r="K17" s="116">
        <f>calculoG!I37</f>
        <v>1</v>
      </c>
      <c r="L17" s="116">
        <f>calculoG!J37</f>
        <v>0</v>
      </c>
      <c r="M17" s="116">
        <f>calculoG!K37</f>
        <v>4</v>
      </c>
      <c r="N17" s="116">
        <f>calculoG!L37</f>
        <v>1</v>
      </c>
      <c r="O17" s="116">
        <f>M17-N17</f>
        <v>3</v>
      </c>
      <c r="P17" s="117">
        <f>calculoG!M37</f>
        <v>7</v>
      </c>
      <c r="Q17" s="104"/>
      <c r="R17" s="134"/>
      <c r="S17" s="99"/>
      <c r="T17" s="99"/>
    </row>
    <row r="18" spans="2:22" ht="12.75" customHeight="1" x14ac:dyDescent="0.2">
      <c r="C18" s="13"/>
      <c r="D18" s="13"/>
      <c r="E18" s="13"/>
      <c r="F18" s="13"/>
      <c r="G18" s="112" t="s">
        <v>228</v>
      </c>
      <c r="H18" s="352" t="str">
        <f>calculoG!F38</f>
        <v>Egipto</v>
      </c>
      <c r="I18" s="119">
        <f>calculoG!G38</f>
        <v>3</v>
      </c>
      <c r="J18" s="119">
        <f>calculoG!H38</f>
        <v>1</v>
      </c>
      <c r="K18" s="119">
        <f>calculoG!I38</f>
        <v>1</v>
      </c>
      <c r="L18" s="119">
        <f>calculoG!J38</f>
        <v>1</v>
      </c>
      <c r="M18" s="119">
        <f>calculoG!K38</f>
        <v>4</v>
      </c>
      <c r="N18" s="119">
        <f>calculoG!L38</f>
        <v>3</v>
      </c>
      <c r="O18" s="119">
        <f>M18-N18</f>
        <v>1</v>
      </c>
      <c r="P18" s="120">
        <f>calculoG!M38</f>
        <v>4</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calculoG!F39</f>
        <v>Irán</v>
      </c>
      <c r="I19" s="119">
        <f>calculoG!G39</f>
        <v>3</v>
      </c>
      <c r="J19" s="119">
        <f>calculoG!H39</f>
        <v>1</v>
      </c>
      <c r="K19" s="119">
        <f>calculoG!I39</f>
        <v>1</v>
      </c>
      <c r="L19" s="119">
        <f>calculoG!J39</f>
        <v>1</v>
      </c>
      <c r="M19" s="119">
        <f>calculoG!K39</f>
        <v>2</v>
      </c>
      <c r="N19" s="119">
        <f>calculoG!L39</f>
        <v>2</v>
      </c>
      <c r="O19" s="119">
        <f>M19-N19</f>
        <v>0</v>
      </c>
      <c r="P19" s="120">
        <f>calculoG!M39</f>
        <v>4</v>
      </c>
      <c r="Q19" s="105"/>
      <c r="R19" s="134"/>
      <c r="S19" s="99"/>
      <c r="T19" s="99"/>
    </row>
    <row r="20" spans="2:22" ht="12.75" customHeight="1" x14ac:dyDescent="0.2">
      <c r="C20" s="13"/>
      <c r="D20" s="13"/>
      <c r="E20" s="13"/>
      <c r="F20" s="13"/>
      <c r="G20" s="99"/>
      <c r="H20" s="122" t="str">
        <f>calculoG!F40</f>
        <v>Nueva Zelanda</v>
      </c>
      <c r="I20" s="123">
        <f>calculoG!G40</f>
        <v>3</v>
      </c>
      <c r="J20" s="123">
        <f>calculoG!H40</f>
        <v>0</v>
      </c>
      <c r="K20" s="123">
        <f>calculoG!I40</f>
        <v>1</v>
      </c>
      <c r="L20" s="123">
        <f>calculoG!J40</f>
        <v>2</v>
      </c>
      <c r="M20" s="123">
        <f>calculoG!K40</f>
        <v>1</v>
      </c>
      <c r="N20" s="123">
        <f>calculoG!L40</f>
        <v>5</v>
      </c>
      <c r="O20" s="123">
        <f>M20-N20</f>
        <v>-4</v>
      </c>
      <c r="P20" s="124">
        <f>calculoG!M40</f>
        <v>1</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oHZsNreLSQQ2Nu9AZlpzj/JtARgScxp3NbX5kddqkK9ts3L7lnBXeA5byXheT56WLyUBn9TdpF3dM6dIIFBNGQ==" saltValue="3vdTgYwzHdjov3GLNbEl8A==" spinCount="100000" sheet="1" objects="1" scenarios="1" selectLockedCells="1"/>
  <dataConsolidate/>
  <mergeCells count="30">
    <mergeCell ref="R28:S28"/>
    <mergeCell ref="C4:N4"/>
    <mergeCell ref="I6:J6"/>
    <mergeCell ref="K6:L6"/>
    <mergeCell ref="M5:N5"/>
    <mergeCell ref="M6:N6"/>
    <mergeCell ref="M8:N8"/>
    <mergeCell ref="K7:L7"/>
    <mergeCell ref="K8:L8"/>
    <mergeCell ref="K9:L9"/>
    <mergeCell ref="R13:S13"/>
    <mergeCell ref="H15:P15"/>
    <mergeCell ref="M9:N9"/>
    <mergeCell ref="M10:N10"/>
    <mergeCell ref="M11:N11"/>
    <mergeCell ref="I9:J9"/>
    <mergeCell ref="I10:J10"/>
    <mergeCell ref="I11:J11"/>
    <mergeCell ref="K11:L11"/>
    <mergeCell ref="K10:L10"/>
    <mergeCell ref="B1:T2"/>
    <mergeCell ref="R7:S7"/>
    <mergeCell ref="R9:S9"/>
    <mergeCell ref="R11:S11"/>
    <mergeCell ref="I5:J5"/>
    <mergeCell ref="K5:L5"/>
    <mergeCell ref="Q4:T5"/>
    <mergeCell ref="I7:J7"/>
    <mergeCell ref="I8:J8"/>
    <mergeCell ref="M7:N7"/>
  </mergeCells>
  <phoneticPr fontId="20" type="noConversion"/>
  <conditionalFormatting sqref="C9:H9">
    <cfRule type="expression" dxfId="259" priority="13" stopIfTrue="1">
      <formula>IF(OR($M$9="en juego",$M$9="hoy!"),1,0)</formula>
    </cfRule>
  </conditionalFormatting>
  <conditionalFormatting sqref="C6:N6">
    <cfRule type="expression" dxfId="258" priority="11" stopIfTrue="1">
      <formula>IF(OR($M$6="en juego",$M$6="hoy!"),1,0)</formula>
    </cfRule>
  </conditionalFormatting>
  <conditionalFormatting sqref="C7:N7">
    <cfRule type="expression" dxfId="257" priority="10" stopIfTrue="1">
      <formula>IF(OR($M$7="en juego",$M$7="hoy!"),1,0)</formula>
    </cfRule>
  </conditionalFormatting>
  <conditionalFormatting sqref="C8:N8">
    <cfRule type="expression" dxfId="256" priority="12" stopIfTrue="1">
      <formula>IF(OR($M$8="en juego",$M$8="hoy!"),1,0)</formula>
    </cfRule>
  </conditionalFormatting>
  <conditionalFormatting sqref="C10:N10">
    <cfRule type="expression" dxfId="255" priority="14" stopIfTrue="1">
      <formula>IF(OR($M$10="en juego",$M$10="hoy!"),1,0)</formula>
    </cfRule>
  </conditionalFormatting>
  <conditionalFormatting sqref="C11:N11">
    <cfRule type="expression" dxfId="254"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53" priority="5" stopIfTrue="1">
      <formula>IF(AND($I$17=3,$I$18=3,$I$19=3,$I$20=3),1,0)</formula>
    </cfRule>
  </conditionalFormatting>
  <conditionalFormatting sqref="H17:P18">
    <cfRule type="expression" dxfId="251" priority="16" stopIfTrue="1">
      <formula>IF(AND($I$17=3,$I$18=3,$I$19=3,$I$20=3),1,0)</formula>
    </cfRule>
  </conditionalFormatting>
  <conditionalFormatting sqref="H19:P19">
    <cfRule type="expression" dxfId="250" priority="3">
      <formula>$G$19="Avanza como Mejor tercero: --&gt; "</formula>
    </cfRule>
  </conditionalFormatting>
  <conditionalFormatting sqref="I9:J9">
    <cfRule type="expression" dxfId="249" priority="8" stopIfTrue="1">
      <formula>IF(OR($M$8="en juego",$M$8="hoy!"),1,0)</formula>
    </cfRule>
  </conditionalFormatting>
  <conditionalFormatting sqref="K9:N9">
    <cfRule type="expression" dxfId="248" priority="7" stopIfTrue="1">
      <formula>IF(OR($M$9="en juego",$M$9="hoy!"),1,0)</formula>
    </cfRule>
  </conditionalFormatting>
  <dataValidations count="1">
    <dataValidation type="whole" allowBlank="1" showErrorMessage="1" errorTitle="Dato no válido" error="Ingrese sólo un número entero_x000a_entre 0 y 99." sqref="D6:D11 F6:F11" xr:uid="{00000000-0002-0000-0700-000000000000}">
      <formula1>0</formula1>
      <formula2>99</formula2>
    </dataValidation>
  </dataValidations>
  <pageMargins left="0.75" right="0.75" top="1" bottom="1" header="0" footer="0"/>
  <pageSetup paperSize="9" scale="57"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6681CCBB-42F2-4318-AB37-8EA807E4B869}">
            <xm:f>'- 3ros -'!$H$16=144</xm:f>
            <x14:dxf>
              <font>
                <color rgb="FF993300"/>
              </font>
            </x14:dxf>
          </x14:cfRule>
          <xm:sqref>G19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pageSetUpPr fitToPage="1"/>
  </sheetPr>
  <dimension ref="A1:AC29"/>
  <sheetViews>
    <sheetView showGridLines="0" showRowColHeaders="0" showOutlineSymbols="0" zoomScale="95" zoomScaleNormal="95" workbookViewId="0">
      <selection activeCell="F10" sqref="F10"/>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9"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9"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9" ht="12.75" customHeight="1" x14ac:dyDescent="0.2">
      <c r="G3" s="242"/>
      <c r="M3" s="87"/>
      <c r="N3" s="87"/>
      <c r="R3" s="130"/>
    </row>
    <row r="4" spans="2:29" ht="12.75" customHeight="1" x14ac:dyDescent="0.2">
      <c r="C4" s="424" t="s">
        <v>3</v>
      </c>
      <c r="D4" s="425"/>
      <c r="E4" s="425"/>
      <c r="F4" s="425"/>
      <c r="G4" s="425"/>
      <c r="H4" s="425"/>
      <c r="I4" s="425"/>
      <c r="J4" s="425"/>
      <c r="K4" s="425"/>
      <c r="L4" s="425"/>
      <c r="M4" s="425"/>
      <c r="N4" s="426"/>
      <c r="Q4" s="431" t="s">
        <v>263</v>
      </c>
      <c r="R4" s="432"/>
      <c r="S4" s="432"/>
      <c r="T4" s="433"/>
    </row>
    <row r="5" spans="2:29" ht="12.75" customHeight="1" x14ac:dyDescent="0.2">
      <c r="C5" s="72"/>
      <c r="D5" s="72"/>
      <c r="E5" s="72"/>
      <c r="F5" s="72"/>
      <c r="G5" s="243"/>
      <c r="H5" s="77" t="s">
        <v>76</v>
      </c>
      <c r="I5" s="414" t="s">
        <v>11</v>
      </c>
      <c r="J5" s="414"/>
      <c r="K5" s="414" t="s">
        <v>36</v>
      </c>
      <c r="L5" s="414"/>
      <c r="M5" s="414" t="s">
        <v>22</v>
      </c>
      <c r="N5" s="414"/>
      <c r="Q5" s="434"/>
      <c r="R5" s="435"/>
      <c r="S5" s="435"/>
      <c r="T5" s="436"/>
    </row>
    <row r="6" spans="2:29" ht="12.75" customHeight="1" x14ac:dyDescent="0.2">
      <c r="B6" s="73" t="str">
        <f t="shared" ref="B6:B11" ca="1" si="0">IF(OR(M6="finalizado",M6="en juego",M6="hoy!"),"Ø","")</f>
        <v/>
      </c>
      <c r="C6" s="88" t="str">
        <f>IF(R7&lt;&gt;"",R7,"")</f>
        <v>España</v>
      </c>
      <c r="D6" s="324">
        <v>4</v>
      </c>
      <c r="E6" s="91" t="s">
        <v>4</v>
      </c>
      <c r="F6" s="324">
        <v>0</v>
      </c>
      <c r="G6" s="94" t="str">
        <f>IF(R9&lt;&gt;"",R9,"")</f>
        <v>Cabo Verde</v>
      </c>
      <c r="H6" s="138" t="s">
        <v>179</v>
      </c>
      <c r="I6" s="427">
        <v>46188</v>
      </c>
      <c r="J6" s="427"/>
      <c r="K6" s="428">
        <v>0.45833333333333331</v>
      </c>
      <c r="L6" s="428"/>
      <c r="M6" s="429" t="str">
        <f t="shared" ref="M6:M11" ca="1" si="1">IF(OR(I6="",K6="",I6&lt;$R$24),"",IF(I6=$R$24,IF(AND(K6&lt;=$S$26,$S$26&lt;=(K6+0.08333333333)),"en juego",IF($S$26&lt;K6,"hoy!","finalizado")),IF($R$24&gt;I6,"finalizado","")))</f>
        <v/>
      </c>
      <c r="N6" s="430"/>
      <c r="O6" s="13"/>
      <c r="P6" s="13"/>
      <c r="Q6" s="13"/>
      <c r="R6" s="131"/>
      <c r="S6" s="13"/>
      <c r="T6" s="13"/>
    </row>
    <row r="7" spans="2:29" ht="12.75" customHeight="1" x14ac:dyDescent="0.35">
      <c r="B7" s="73" t="str">
        <f t="shared" ca="1" si="0"/>
        <v/>
      </c>
      <c r="C7" s="89" t="str">
        <f>IF(R11&lt;&gt;"",R11,"")</f>
        <v>Arabia Saudí</v>
      </c>
      <c r="D7" s="325">
        <v>0</v>
      </c>
      <c r="E7" s="92" t="s">
        <v>4</v>
      </c>
      <c r="F7" s="325">
        <v>1</v>
      </c>
      <c r="G7" s="95" t="str">
        <f>IF(R13&lt;&gt;"",R13,"")</f>
        <v>Uruguay</v>
      </c>
      <c r="H7" s="139" t="s">
        <v>181</v>
      </c>
      <c r="I7" s="420">
        <v>46188</v>
      </c>
      <c r="J7" s="420"/>
      <c r="K7" s="423">
        <v>0.70833333333333337</v>
      </c>
      <c r="L7" s="423"/>
      <c r="M7" s="421" t="str">
        <f t="shared" ca="1" si="1"/>
        <v/>
      </c>
      <c r="N7" s="422"/>
      <c r="O7" s="78"/>
      <c r="P7" s="79"/>
      <c r="Q7" s="113"/>
      <c r="R7" s="438" t="s">
        <v>114</v>
      </c>
      <c r="S7" s="438"/>
      <c r="T7" s="114"/>
    </row>
    <row r="8" spans="2:29" ht="12.75" customHeight="1" x14ac:dyDescent="0.4">
      <c r="B8" s="73" t="str">
        <f t="shared" ca="1" si="0"/>
        <v/>
      </c>
      <c r="C8" s="89" t="str">
        <f>IF(R7&lt;&gt;"",R7,"")</f>
        <v>España</v>
      </c>
      <c r="D8" s="325">
        <v>2</v>
      </c>
      <c r="E8" s="92" t="s">
        <v>4</v>
      </c>
      <c r="F8" s="325">
        <v>0</v>
      </c>
      <c r="G8" s="95" t="str">
        <f>IF(R11&lt;&gt;"",R11,"")</f>
        <v>Arabia Saudí</v>
      </c>
      <c r="H8" s="139" t="s">
        <v>179</v>
      </c>
      <c r="I8" s="420">
        <v>46194</v>
      </c>
      <c r="J8" s="420"/>
      <c r="K8" s="423">
        <v>0.45833333333333331</v>
      </c>
      <c r="L8" s="423"/>
      <c r="M8" s="421" t="str">
        <f t="shared" ca="1" si="1"/>
        <v/>
      </c>
      <c r="N8" s="422"/>
      <c r="O8" s="80"/>
      <c r="P8" s="81"/>
      <c r="Q8" s="13"/>
      <c r="R8" s="132"/>
      <c r="S8" s="125"/>
      <c r="T8" s="13"/>
    </row>
    <row r="9" spans="2:29" ht="12.75" customHeight="1" x14ac:dyDescent="0.2">
      <c r="B9" s="73" t="str">
        <f t="shared" ca="1" si="0"/>
        <v/>
      </c>
      <c r="C9" s="89" t="str">
        <f>IF(R13&lt;&gt;"",R13,"")</f>
        <v>Uruguay</v>
      </c>
      <c r="D9" s="325">
        <v>3</v>
      </c>
      <c r="E9" s="92" t="s">
        <v>4</v>
      </c>
      <c r="F9" s="325">
        <v>0</v>
      </c>
      <c r="G9" s="95" t="str">
        <f>IF(R9&lt;&gt;"",R9,"")</f>
        <v>Cabo Verde</v>
      </c>
      <c r="H9" s="139" t="s">
        <v>181</v>
      </c>
      <c r="I9" s="420">
        <v>46194</v>
      </c>
      <c r="J9" s="420"/>
      <c r="K9" s="423">
        <v>0.70833333333333337</v>
      </c>
      <c r="L9" s="423"/>
      <c r="M9" s="421" t="str">
        <f t="shared" ca="1" si="1"/>
        <v/>
      </c>
      <c r="N9" s="422"/>
      <c r="O9" s="13"/>
      <c r="P9" s="13"/>
      <c r="Q9" s="113"/>
      <c r="R9" s="438" t="s">
        <v>150</v>
      </c>
      <c r="S9" s="438"/>
      <c r="T9" s="114"/>
    </row>
    <row r="10" spans="2:29" ht="12.75" customHeight="1" x14ac:dyDescent="0.2">
      <c r="B10" s="73" t="str">
        <f t="shared" ca="1" si="0"/>
        <v/>
      </c>
      <c r="C10" s="89" t="str">
        <f>IF(R9&lt;&gt;"",R9,"")</f>
        <v>Cabo Verde</v>
      </c>
      <c r="D10" s="325">
        <v>2</v>
      </c>
      <c r="E10" s="92" t="s">
        <v>4</v>
      </c>
      <c r="F10" s="325">
        <v>1</v>
      </c>
      <c r="G10" s="95" t="str">
        <f>IF(R11&lt;&gt;"",R11,"")</f>
        <v>Arabia Saudí</v>
      </c>
      <c r="H10" s="139" t="s">
        <v>175</v>
      </c>
      <c r="I10" s="420">
        <v>46199</v>
      </c>
      <c r="J10" s="420"/>
      <c r="K10" s="423">
        <v>0.79166666666666663</v>
      </c>
      <c r="L10" s="423"/>
      <c r="M10" s="421" t="str">
        <f t="shared" ca="1" si="1"/>
        <v/>
      </c>
      <c r="N10" s="422"/>
      <c r="O10" s="13"/>
      <c r="P10" s="13"/>
      <c r="Q10" s="13"/>
      <c r="R10" s="132"/>
      <c r="S10" s="125"/>
      <c r="T10" s="13"/>
    </row>
    <row r="11" spans="2:29" ht="12.75" customHeight="1" x14ac:dyDescent="0.2">
      <c r="B11" s="73" t="str">
        <f t="shared" ca="1" si="0"/>
        <v/>
      </c>
      <c r="C11" s="90" t="str">
        <f>IF(R13&lt;&gt;"",R13,"")</f>
        <v>Uruguay</v>
      </c>
      <c r="D11" s="326">
        <v>0</v>
      </c>
      <c r="E11" s="93" t="s">
        <v>4</v>
      </c>
      <c r="F11" s="326">
        <v>1</v>
      </c>
      <c r="G11" s="96" t="str">
        <f>IF(R7&lt;&gt;"",R7,"")</f>
        <v>España</v>
      </c>
      <c r="H11" s="140" t="s">
        <v>168</v>
      </c>
      <c r="I11" s="420">
        <v>46199</v>
      </c>
      <c r="J11" s="420"/>
      <c r="K11" s="423">
        <v>0.79166666666666663</v>
      </c>
      <c r="L11" s="423"/>
      <c r="M11" s="421" t="str">
        <f t="shared" ca="1" si="1"/>
        <v/>
      </c>
      <c r="N11" s="422"/>
      <c r="O11" s="13"/>
      <c r="P11" s="13"/>
      <c r="Q11" s="113"/>
      <c r="R11" s="438" t="s">
        <v>151</v>
      </c>
      <c r="S11" s="438"/>
      <c r="T11" s="114"/>
    </row>
    <row r="12" spans="2:29" ht="12.75" customHeight="1" x14ac:dyDescent="0.2">
      <c r="C12" s="74"/>
      <c r="D12" s="86"/>
      <c r="E12" s="76"/>
      <c r="F12" s="86"/>
      <c r="G12" s="13"/>
      <c r="H12" s="82"/>
      <c r="I12" s="76"/>
      <c r="J12" s="83"/>
      <c r="K12" s="245"/>
      <c r="L12" s="244"/>
      <c r="M12" s="85"/>
      <c r="N12" s="85"/>
      <c r="O12" s="13"/>
      <c r="P12" s="13"/>
      <c r="Q12" s="13"/>
      <c r="R12" s="132"/>
      <c r="S12" s="125"/>
      <c r="T12" s="13"/>
    </row>
    <row r="13" spans="2:29"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119</v>
      </c>
      <c r="S13" s="438"/>
      <c r="T13" s="114"/>
      <c r="AC13" s="142"/>
    </row>
    <row r="14" spans="2:29" ht="12.75" customHeight="1" x14ac:dyDescent="0.2">
      <c r="C14" s="74"/>
      <c r="D14" s="86"/>
      <c r="E14" s="76"/>
      <c r="F14" s="86"/>
      <c r="G14" s="13"/>
      <c r="H14" s="82"/>
      <c r="I14" s="76"/>
      <c r="J14" s="76"/>
      <c r="K14" s="246"/>
      <c r="L14" s="84"/>
      <c r="M14" s="85"/>
      <c r="N14" s="85"/>
      <c r="O14" s="13"/>
      <c r="P14" s="13"/>
      <c r="Q14" s="13"/>
      <c r="R14" s="133"/>
      <c r="S14" s="126"/>
      <c r="T14" s="13"/>
    </row>
    <row r="15" spans="2:29" ht="12.75" customHeight="1" x14ac:dyDescent="0.2">
      <c r="C15" s="13"/>
      <c r="D15" s="13"/>
      <c r="E15" s="13"/>
      <c r="F15" s="13"/>
      <c r="G15" s="13"/>
      <c r="H15" s="439" t="s">
        <v>12</v>
      </c>
      <c r="I15" s="440"/>
      <c r="J15" s="440"/>
      <c r="K15" s="441"/>
      <c r="L15" s="440"/>
      <c r="M15" s="440"/>
      <c r="N15" s="440"/>
      <c r="O15" s="440"/>
      <c r="P15" s="442"/>
      <c r="Q15" s="13"/>
      <c r="R15" s="131"/>
      <c r="S15" s="13"/>
      <c r="T15" s="13"/>
    </row>
    <row r="16" spans="2:29"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calculoH!F37</f>
        <v>España</v>
      </c>
      <c r="I17" s="116">
        <f>calculoH!G37</f>
        <v>3</v>
      </c>
      <c r="J17" s="116">
        <f>calculoH!H37</f>
        <v>3</v>
      </c>
      <c r="K17" s="116">
        <f>calculoH!I37</f>
        <v>0</v>
      </c>
      <c r="L17" s="116">
        <f>calculoH!J37</f>
        <v>0</v>
      </c>
      <c r="M17" s="116">
        <f>calculoH!K37</f>
        <v>7</v>
      </c>
      <c r="N17" s="116">
        <f>calculoH!L37</f>
        <v>0</v>
      </c>
      <c r="O17" s="116">
        <f>M17-N17</f>
        <v>7</v>
      </c>
      <c r="P17" s="117">
        <f>calculoH!M37</f>
        <v>9</v>
      </c>
      <c r="Q17" s="104"/>
      <c r="R17" s="134"/>
      <c r="S17" s="99"/>
      <c r="T17" s="99"/>
    </row>
    <row r="18" spans="2:22" ht="12.75" customHeight="1" x14ac:dyDescent="0.2">
      <c r="C18" s="13"/>
      <c r="D18" s="13"/>
      <c r="E18" s="13"/>
      <c r="F18" s="13"/>
      <c r="G18" s="112" t="s">
        <v>228</v>
      </c>
      <c r="H18" s="352" t="str">
        <f>calculoH!F38</f>
        <v>Uruguay</v>
      </c>
      <c r="I18" s="119">
        <f>calculoH!G38</f>
        <v>3</v>
      </c>
      <c r="J18" s="119">
        <f>calculoH!H38</f>
        <v>2</v>
      </c>
      <c r="K18" s="119">
        <f>calculoH!I38</f>
        <v>0</v>
      </c>
      <c r="L18" s="119">
        <f>calculoH!J38</f>
        <v>1</v>
      </c>
      <c r="M18" s="119">
        <f>calculoH!K38</f>
        <v>4</v>
      </c>
      <c r="N18" s="119">
        <f>calculoH!L38</f>
        <v>1</v>
      </c>
      <c r="O18" s="119">
        <f>M18-N18</f>
        <v>3</v>
      </c>
      <c r="P18" s="120">
        <f>calculoH!M38</f>
        <v>6</v>
      </c>
      <c r="Q18" s="104"/>
      <c r="R18" s="134"/>
      <c r="S18" s="99"/>
      <c r="T18" s="99"/>
    </row>
    <row r="19" spans="2:22" ht="12.75" customHeight="1" x14ac:dyDescent="0.2">
      <c r="C19" s="13"/>
      <c r="D19" s="13"/>
      <c r="E19" s="13"/>
      <c r="F19" s="13"/>
      <c r="G19" s="112" t="str">
        <f>IF('- 3ros -'!$H$16=144,IF(VLOOKUP(H19,mejores3!$C$21:$T$32,18,0)=1,"Avanza como Mejor tercero: --&gt; ",""),"")</f>
        <v/>
      </c>
      <c r="H19" s="121" t="str">
        <f>calculoH!F39</f>
        <v>Cabo Verde</v>
      </c>
      <c r="I19" s="119">
        <f>calculoH!G39</f>
        <v>3</v>
      </c>
      <c r="J19" s="119">
        <f>calculoH!H39</f>
        <v>1</v>
      </c>
      <c r="K19" s="119">
        <f>calculoH!I39</f>
        <v>0</v>
      </c>
      <c r="L19" s="119">
        <f>calculoH!J39</f>
        <v>2</v>
      </c>
      <c r="M19" s="119">
        <f>calculoH!K39</f>
        <v>2</v>
      </c>
      <c r="N19" s="119">
        <f>calculoH!L39</f>
        <v>8</v>
      </c>
      <c r="O19" s="119">
        <f>M19-N19</f>
        <v>-6</v>
      </c>
      <c r="P19" s="120">
        <f>calculoH!M39</f>
        <v>3</v>
      </c>
      <c r="Q19" s="105"/>
      <c r="R19" s="134"/>
      <c r="S19" s="99"/>
      <c r="T19" s="99"/>
    </row>
    <row r="20" spans="2:22" ht="12.75" customHeight="1" x14ac:dyDescent="0.2">
      <c r="C20" s="13"/>
      <c r="D20" s="13"/>
      <c r="E20" s="13"/>
      <c r="F20" s="13"/>
      <c r="G20" s="99"/>
      <c r="H20" s="122" t="str">
        <f>calculoH!F40</f>
        <v>Arabia Saudí</v>
      </c>
      <c r="I20" s="123">
        <f>calculoH!G40</f>
        <v>3</v>
      </c>
      <c r="J20" s="123">
        <f>calculoH!H40</f>
        <v>0</v>
      </c>
      <c r="K20" s="123">
        <f>calculoH!I40</f>
        <v>0</v>
      </c>
      <c r="L20" s="123">
        <f>calculoH!J40</f>
        <v>3</v>
      </c>
      <c r="M20" s="123">
        <f>calculoH!K40</f>
        <v>1</v>
      </c>
      <c r="N20" s="123">
        <f>calculoH!L40</f>
        <v>5</v>
      </c>
      <c r="O20" s="123">
        <f>M20-N20</f>
        <v>-4</v>
      </c>
      <c r="P20" s="124">
        <f>calculoH!M40</f>
        <v>0</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DZr3DEtwoQgWsp5f8nt0EyO/AGcu9qWTrWzSJOyycA2vR7F+xbdDgVUsDOUkM6/OxaH7ltdjuem4RToj9QFwlA==" saltValue="mOKwTM7kOef0mzn9HDFZrg==" spinCount="100000" sheet="1" objects="1" scenarios="1" selectLockedCells="1"/>
  <dataConsolidate/>
  <mergeCells count="30">
    <mergeCell ref="R28:S28"/>
    <mergeCell ref="C4:N4"/>
    <mergeCell ref="I6:J6"/>
    <mergeCell ref="K6:L6"/>
    <mergeCell ref="M5:N5"/>
    <mergeCell ref="M6:N6"/>
    <mergeCell ref="M8:N8"/>
    <mergeCell ref="K7:L7"/>
    <mergeCell ref="K8:L8"/>
    <mergeCell ref="K9:L9"/>
    <mergeCell ref="R13:S13"/>
    <mergeCell ref="H15:P15"/>
    <mergeCell ref="M9:N9"/>
    <mergeCell ref="M10:N10"/>
    <mergeCell ref="M11:N11"/>
    <mergeCell ref="I9:J9"/>
    <mergeCell ref="I10:J10"/>
    <mergeCell ref="I11:J11"/>
    <mergeCell ref="K11:L11"/>
    <mergeCell ref="K10:L10"/>
    <mergeCell ref="B1:T2"/>
    <mergeCell ref="R7:S7"/>
    <mergeCell ref="R9:S9"/>
    <mergeCell ref="R11:S11"/>
    <mergeCell ref="I5:J5"/>
    <mergeCell ref="K5:L5"/>
    <mergeCell ref="Q4:T5"/>
    <mergeCell ref="I7:J7"/>
    <mergeCell ref="I8:J8"/>
    <mergeCell ref="M7:N7"/>
  </mergeCells>
  <phoneticPr fontId="20" type="noConversion"/>
  <conditionalFormatting sqref="C9:H9">
    <cfRule type="expression" dxfId="247" priority="13" stopIfTrue="1">
      <formula>IF(OR($M$9="en juego",$M$9="hoy!"),1,0)</formula>
    </cfRule>
  </conditionalFormatting>
  <conditionalFormatting sqref="C6:N6">
    <cfRule type="expression" dxfId="246" priority="11" stopIfTrue="1">
      <formula>IF(OR($M$6="en juego",$M$6="hoy!"),1,0)</formula>
    </cfRule>
  </conditionalFormatting>
  <conditionalFormatting sqref="C7:N7">
    <cfRule type="expression" dxfId="245" priority="10" stopIfTrue="1">
      <formula>IF(OR($M$7="en juego",$M$7="hoy!"),1,0)</formula>
    </cfRule>
  </conditionalFormatting>
  <conditionalFormatting sqref="C8:N8">
    <cfRule type="expression" dxfId="244" priority="12" stopIfTrue="1">
      <formula>IF(OR($M$8="en juego",$M$8="hoy!"),1,0)</formula>
    </cfRule>
  </conditionalFormatting>
  <conditionalFormatting sqref="C10:N10">
    <cfRule type="expression" dxfId="243" priority="14" stopIfTrue="1">
      <formula>IF(OR($M$10="en juego",$M$10="hoy!"),1,0)</formula>
    </cfRule>
  </conditionalFormatting>
  <conditionalFormatting sqref="C11:N11">
    <cfRule type="expression" dxfId="242"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41" priority="5" stopIfTrue="1">
      <formula>IF(AND($I$17=3,$I$18=3,$I$19=3,$I$20=3),1,0)</formula>
    </cfRule>
  </conditionalFormatting>
  <conditionalFormatting sqref="H17:P18">
    <cfRule type="expression" dxfId="239" priority="16" stopIfTrue="1">
      <formula>IF(AND($I$17=3,$I$18=3,$I$19=3,$I$20=3),1,0)</formula>
    </cfRule>
  </conditionalFormatting>
  <conditionalFormatting sqref="H19:P19">
    <cfRule type="expression" dxfId="238" priority="3">
      <formula>$G$19="Avanza como Mejor tercero: --&gt; "</formula>
    </cfRule>
  </conditionalFormatting>
  <conditionalFormatting sqref="I9:J9">
    <cfRule type="expression" dxfId="237" priority="8" stopIfTrue="1">
      <formula>IF(OR($M$8="en juego",$M$8="hoy!"),1,0)</formula>
    </cfRule>
  </conditionalFormatting>
  <conditionalFormatting sqref="K9:N9">
    <cfRule type="expression" dxfId="236" priority="7" stopIfTrue="1">
      <formula>IF(OR($M$9="en juego",$M$9="hoy!"),1,0)</formula>
    </cfRule>
  </conditionalFormatting>
  <dataValidations count="1">
    <dataValidation type="whole" allowBlank="1" showErrorMessage="1" errorTitle="Dato no válido" error="Ingrese sólo un número entero_x000a_entre 0 y 99." sqref="D6:D11 F6:F11" xr:uid="{00000000-0002-0000-0800-000000000000}">
      <formula1>0</formula1>
      <formula2>99</formula2>
    </dataValidation>
  </dataValidations>
  <pageMargins left="0.75" right="0.75" top="1" bottom="1" header="0" footer="0"/>
  <pageSetup paperSize="9" scale="57"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4DF7300B-39E2-458F-B1BB-28A35204FD97}">
            <xm:f>'- 3ros -'!$H$16=144</xm:f>
            <x14:dxf>
              <font>
                <color rgb="FF993300"/>
              </font>
            </x14:dxf>
          </x14:cfRule>
          <xm:sqref>G19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D4556-AC05-49EB-889D-4C988EC31989}">
  <sheetPr codeName="Hoja24">
    <pageSetUpPr fitToPage="1"/>
  </sheetPr>
  <dimension ref="A1:AC29"/>
  <sheetViews>
    <sheetView showGridLines="0" showRowColHeaders="0" showOutlineSymbols="0" zoomScale="95" zoomScaleNormal="95" workbookViewId="0">
      <selection activeCell="D11" sqref="D11"/>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9"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9"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9" ht="12.75" customHeight="1" x14ac:dyDescent="0.2">
      <c r="G3" s="242"/>
      <c r="M3" s="87"/>
      <c r="N3" s="87"/>
      <c r="R3" s="130"/>
    </row>
    <row r="4" spans="2:29" ht="12.75" customHeight="1" x14ac:dyDescent="0.2">
      <c r="C4" s="424" t="s">
        <v>3</v>
      </c>
      <c r="D4" s="425"/>
      <c r="E4" s="425"/>
      <c r="F4" s="425"/>
      <c r="G4" s="425"/>
      <c r="H4" s="425"/>
      <c r="I4" s="425"/>
      <c r="J4" s="425"/>
      <c r="K4" s="425"/>
      <c r="L4" s="425"/>
      <c r="M4" s="425"/>
      <c r="N4" s="426"/>
      <c r="Q4" s="431" t="s">
        <v>264</v>
      </c>
      <c r="R4" s="432"/>
      <c r="S4" s="432"/>
      <c r="T4" s="433"/>
    </row>
    <row r="5" spans="2:29" ht="12.75" customHeight="1" x14ac:dyDescent="0.2">
      <c r="C5" s="72"/>
      <c r="D5" s="72"/>
      <c r="E5" s="72"/>
      <c r="F5" s="72"/>
      <c r="G5" s="243"/>
      <c r="H5" s="77" t="s">
        <v>76</v>
      </c>
      <c r="I5" s="414" t="s">
        <v>11</v>
      </c>
      <c r="J5" s="414"/>
      <c r="K5" s="414" t="s">
        <v>36</v>
      </c>
      <c r="L5" s="414"/>
      <c r="M5" s="414" t="s">
        <v>22</v>
      </c>
      <c r="N5" s="414"/>
      <c r="Q5" s="434"/>
      <c r="R5" s="435"/>
      <c r="S5" s="435"/>
      <c r="T5" s="436"/>
    </row>
    <row r="6" spans="2:29" ht="12.75" customHeight="1" x14ac:dyDescent="0.2">
      <c r="B6" s="73" t="str">
        <f t="shared" ref="B6:B11" ca="1" si="0">IF(OR(M6="finalizado",M6="en juego",M6="hoy!"),"Ø","")</f>
        <v/>
      </c>
      <c r="C6" s="88" t="str">
        <f>IF(R7&lt;&gt;"",R7,"")</f>
        <v>Francia</v>
      </c>
      <c r="D6" s="324">
        <v>2</v>
      </c>
      <c r="E6" s="91" t="s">
        <v>4</v>
      </c>
      <c r="F6" s="324">
        <v>0</v>
      </c>
      <c r="G6" s="94" t="str">
        <f>IF(R9&lt;&gt;"",R9,"")</f>
        <v>Senegal</v>
      </c>
      <c r="H6" s="138" t="s">
        <v>172</v>
      </c>
      <c r="I6" s="427">
        <v>46189</v>
      </c>
      <c r="J6" s="427"/>
      <c r="K6" s="428">
        <v>0.58333333333333337</v>
      </c>
      <c r="L6" s="428"/>
      <c r="M6" s="429" t="str">
        <f t="shared" ref="M6:M11" ca="1" si="1">IF(OR(I6="",K6="",I6&lt;$R$24),"",IF(I6=$R$24,IF(AND(K6&lt;=$S$26,$S$26&lt;=(K6+0.08333333333)),"en juego",IF($S$26&lt;K6,"hoy!","finalizado")),IF($R$24&gt;I6,"finalizado","")))</f>
        <v/>
      </c>
      <c r="N6" s="430"/>
      <c r="O6" s="13"/>
      <c r="P6" s="13"/>
      <c r="Q6" s="13"/>
      <c r="R6" s="131"/>
      <c r="S6" s="13"/>
      <c r="T6" s="13"/>
    </row>
    <row r="7" spans="2:29" ht="12.75" customHeight="1" x14ac:dyDescent="0.35">
      <c r="B7" s="73" t="str">
        <f t="shared" ca="1" si="0"/>
        <v/>
      </c>
      <c r="C7" s="89" t="str">
        <f>IF(R11&lt;&gt;"",R11,"")</f>
        <v>Irak</v>
      </c>
      <c r="D7" s="325">
        <v>0</v>
      </c>
      <c r="E7" s="92" t="s">
        <v>4</v>
      </c>
      <c r="F7" s="325">
        <v>2</v>
      </c>
      <c r="G7" s="95" t="str">
        <f>IF(R13&lt;&gt;"",R13,"")</f>
        <v>Noruega</v>
      </c>
      <c r="H7" s="139" t="s">
        <v>173</v>
      </c>
      <c r="I7" s="420">
        <v>46189</v>
      </c>
      <c r="J7" s="420"/>
      <c r="K7" s="423">
        <v>0.70833333333333337</v>
      </c>
      <c r="L7" s="423"/>
      <c r="M7" s="421" t="str">
        <f t="shared" ca="1" si="1"/>
        <v/>
      </c>
      <c r="N7" s="422"/>
      <c r="O7" s="78"/>
      <c r="P7" s="79"/>
      <c r="Q7" s="113"/>
      <c r="R7" s="438" t="s">
        <v>153</v>
      </c>
      <c r="S7" s="438"/>
      <c r="T7" s="114"/>
    </row>
    <row r="8" spans="2:29" ht="12.75" customHeight="1" x14ac:dyDescent="0.4">
      <c r="B8" s="73" t="str">
        <f t="shared" ca="1" si="0"/>
        <v/>
      </c>
      <c r="C8" s="89" t="str">
        <f>IF(R7&lt;&gt;"",R7,"")</f>
        <v>Francia</v>
      </c>
      <c r="D8" s="325">
        <v>4</v>
      </c>
      <c r="E8" s="92" t="s">
        <v>4</v>
      </c>
      <c r="F8" s="325">
        <v>0</v>
      </c>
      <c r="G8" s="95" t="str">
        <f>IF(R11&lt;&gt;"",R11,"")</f>
        <v>Irak</v>
      </c>
      <c r="H8" s="139" t="s">
        <v>177</v>
      </c>
      <c r="I8" s="420">
        <v>46195</v>
      </c>
      <c r="J8" s="420"/>
      <c r="K8" s="423">
        <v>0.66666666666666663</v>
      </c>
      <c r="L8" s="423"/>
      <c r="M8" s="421" t="str">
        <f t="shared" ca="1" si="1"/>
        <v/>
      </c>
      <c r="N8" s="422"/>
      <c r="O8" s="80"/>
      <c r="P8" s="81"/>
      <c r="Q8" s="13"/>
      <c r="R8" s="132"/>
      <c r="S8" s="125"/>
      <c r="T8" s="13"/>
    </row>
    <row r="9" spans="2:29" ht="12.75" customHeight="1" x14ac:dyDescent="0.2">
      <c r="B9" s="73" t="str">
        <f t="shared" ca="1" si="0"/>
        <v/>
      </c>
      <c r="C9" s="89" t="str">
        <f>IF(R13&lt;&gt;"",R13,"")</f>
        <v>Noruega</v>
      </c>
      <c r="D9" s="325">
        <v>1</v>
      </c>
      <c r="E9" s="92" t="s">
        <v>4</v>
      </c>
      <c r="F9" s="325">
        <v>1</v>
      </c>
      <c r="G9" s="95" t="str">
        <f>IF(R9&lt;&gt;"",R9,"")</f>
        <v>Senegal</v>
      </c>
      <c r="H9" s="139" t="s">
        <v>172</v>
      </c>
      <c r="I9" s="420">
        <v>46195</v>
      </c>
      <c r="J9" s="420"/>
      <c r="K9" s="423">
        <v>0.79166666666666663</v>
      </c>
      <c r="L9" s="423"/>
      <c r="M9" s="421" t="str">
        <f t="shared" ca="1" si="1"/>
        <v/>
      </c>
      <c r="N9" s="422"/>
      <c r="O9" s="13"/>
      <c r="P9" s="13"/>
      <c r="Q9" s="113"/>
      <c r="R9" s="438" t="s">
        <v>154</v>
      </c>
      <c r="S9" s="438"/>
      <c r="T9" s="114"/>
    </row>
    <row r="10" spans="2:29" ht="12.75" customHeight="1" x14ac:dyDescent="0.2">
      <c r="B10" s="73" t="str">
        <f t="shared" ca="1" si="0"/>
        <v/>
      </c>
      <c r="C10" s="89" t="str">
        <f>IF(R13&lt;&gt;"",R13,"")</f>
        <v>Noruega</v>
      </c>
      <c r="D10" s="325">
        <v>1</v>
      </c>
      <c r="E10" s="92" t="s">
        <v>4</v>
      </c>
      <c r="F10" s="325">
        <v>3</v>
      </c>
      <c r="G10" s="95" t="str">
        <f>IF(R7&lt;&gt;"",R7,"")</f>
        <v>Francia</v>
      </c>
      <c r="H10" s="139" t="s">
        <v>173</v>
      </c>
      <c r="I10" s="420">
        <v>46199</v>
      </c>
      <c r="J10" s="420"/>
      <c r="K10" s="423">
        <v>0.58333333333333337</v>
      </c>
      <c r="L10" s="423"/>
      <c r="M10" s="421" t="str">
        <f t="shared" ca="1" si="1"/>
        <v/>
      </c>
      <c r="N10" s="422"/>
      <c r="O10" s="13"/>
      <c r="P10" s="13"/>
      <c r="Q10" s="13"/>
      <c r="R10" s="132"/>
      <c r="S10" s="125"/>
      <c r="T10" s="13"/>
    </row>
    <row r="11" spans="2:29" ht="12.75" customHeight="1" x14ac:dyDescent="0.2">
      <c r="B11" s="73" t="str">
        <f t="shared" ca="1" si="0"/>
        <v/>
      </c>
      <c r="C11" s="90" t="str">
        <f>IF(R9&lt;&gt;"",R9,"")</f>
        <v>Senegal</v>
      </c>
      <c r="D11" s="326">
        <v>2</v>
      </c>
      <c r="E11" s="93" t="s">
        <v>4</v>
      </c>
      <c r="F11" s="326">
        <v>1</v>
      </c>
      <c r="G11" s="96" t="str">
        <f>IF(R11&lt;&gt;"",R11,"")</f>
        <v>Irak</v>
      </c>
      <c r="H11" s="140" t="s">
        <v>169</v>
      </c>
      <c r="I11" s="420">
        <v>46199</v>
      </c>
      <c r="J11" s="420"/>
      <c r="K11" s="423">
        <v>0.58333333333333337</v>
      </c>
      <c r="L11" s="423"/>
      <c r="M11" s="421" t="str">
        <f t="shared" ca="1" si="1"/>
        <v/>
      </c>
      <c r="N11" s="422"/>
      <c r="O11" s="13"/>
      <c r="P11" s="13"/>
      <c r="Q11" s="113"/>
      <c r="R11" s="438" t="s">
        <v>349</v>
      </c>
      <c r="S11" s="438"/>
      <c r="T11" s="114"/>
    </row>
    <row r="12" spans="2:29" ht="12.75" customHeight="1" x14ac:dyDescent="0.2">
      <c r="C12" s="74"/>
      <c r="D12" s="86"/>
      <c r="E12" s="76"/>
      <c r="F12" s="86"/>
      <c r="G12" s="13"/>
      <c r="H12" s="82"/>
      <c r="I12" s="76"/>
      <c r="J12" s="83"/>
      <c r="K12" s="245"/>
      <c r="L12" s="244"/>
      <c r="M12" s="85"/>
      <c r="N12" s="85"/>
      <c r="O12" s="13"/>
      <c r="P12" s="13"/>
      <c r="Q12" s="13"/>
      <c r="R12" s="132"/>
      <c r="S12" s="125"/>
      <c r="T12" s="13"/>
    </row>
    <row r="13" spans="2:29"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155</v>
      </c>
      <c r="S13" s="438"/>
      <c r="T13" s="114"/>
      <c r="AC13" s="142"/>
    </row>
    <row r="14" spans="2:29" ht="12.75" customHeight="1" x14ac:dyDescent="0.2">
      <c r="C14" s="74"/>
      <c r="D14" s="86"/>
      <c r="E14" s="76"/>
      <c r="F14" s="86"/>
      <c r="G14" s="13"/>
      <c r="H14" s="82"/>
      <c r="I14" s="76"/>
      <c r="J14" s="76"/>
      <c r="K14" s="246"/>
      <c r="L14" s="84"/>
      <c r="M14" s="85"/>
      <c r="N14" s="85"/>
      <c r="O14" s="13"/>
      <c r="P14" s="13"/>
    </row>
    <row r="15" spans="2:29" ht="12.75" customHeight="1" x14ac:dyDescent="0.2">
      <c r="C15" s="13"/>
      <c r="D15" s="13"/>
      <c r="E15" s="13"/>
      <c r="F15" s="13"/>
      <c r="G15" s="13"/>
      <c r="H15" s="439" t="s">
        <v>12</v>
      </c>
      <c r="I15" s="440"/>
      <c r="J15" s="440"/>
      <c r="K15" s="441"/>
      <c r="L15" s="440"/>
      <c r="M15" s="440"/>
      <c r="N15" s="440"/>
      <c r="O15" s="440"/>
      <c r="P15" s="442"/>
      <c r="Q15" s="13"/>
      <c r="R15" s="131"/>
      <c r="S15" s="13"/>
      <c r="T15" s="13"/>
    </row>
    <row r="16" spans="2:29"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calculoI!F37</f>
        <v>Francia</v>
      </c>
      <c r="I17" s="116">
        <f>calculoI!G37</f>
        <v>3</v>
      </c>
      <c r="J17" s="116">
        <f>calculoI!H37</f>
        <v>3</v>
      </c>
      <c r="K17" s="116">
        <f>calculoI!I37</f>
        <v>0</v>
      </c>
      <c r="L17" s="116">
        <f>calculoI!J37</f>
        <v>0</v>
      </c>
      <c r="M17" s="116">
        <f>calculoI!K37</f>
        <v>9</v>
      </c>
      <c r="N17" s="116">
        <f>calculoI!L37</f>
        <v>1</v>
      </c>
      <c r="O17" s="116">
        <f>M17-N17</f>
        <v>8</v>
      </c>
      <c r="P17" s="117">
        <f>calculoI!M37</f>
        <v>9</v>
      </c>
      <c r="Q17" s="104"/>
      <c r="R17" s="134"/>
      <c r="S17" s="99"/>
      <c r="T17" s="99"/>
    </row>
    <row r="18" spans="2:22" ht="12.75" customHeight="1" x14ac:dyDescent="0.2">
      <c r="C18" s="13"/>
      <c r="D18" s="13"/>
      <c r="E18" s="13"/>
      <c r="F18" s="13"/>
      <c r="G18" s="112" t="s">
        <v>228</v>
      </c>
      <c r="H18" s="352" t="str">
        <f>calculoI!F38</f>
        <v>Noruega</v>
      </c>
      <c r="I18" s="119">
        <f>calculoI!G38</f>
        <v>3</v>
      </c>
      <c r="J18" s="119">
        <f>calculoI!H38</f>
        <v>1</v>
      </c>
      <c r="K18" s="119">
        <f>calculoI!I38</f>
        <v>1</v>
      </c>
      <c r="L18" s="119">
        <f>calculoI!J38</f>
        <v>1</v>
      </c>
      <c r="M18" s="119">
        <f>calculoI!K38</f>
        <v>4</v>
      </c>
      <c r="N18" s="119">
        <f>calculoI!L38</f>
        <v>4</v>
      </c>
      <c r="O18" s="119">
        <f>M18-N18</f>
        <v>0</v>
      </c>
      <c r="P18" s="120">
        <f>calculoI!M38</f>
        <v>4</v>
      </c>
      <c r="Q18" s="104"/>
      <c r="R18" s="134"/>
      <c r="S18" s="99"/>
      <c r="T18" s="99"/>
    </row>
    <row r="19" spans="2:22" ht="12.75" customHeight="1" x14ac:dyDescent="0.2">
      <c r="C19" s="13"/>
      <c r="D19" s="13"/>
      <c r="E19" s="13"/>
      <c r="F19" s="13"/>
      <c r="G19" s="112" t="str">
        <f>IF('- 3ros -'!$H$16=144,IF(VLOOKUP(H19,mejores3!$C$21:$T$32,18,0)=1,"Avanza como Mejor tercero: --&gt; ",""),"")</f>
        <v xml:space="preserve">Avanza como Mejor tercero: --&gt; </v>
      </c>
      <c r="H19" s="121" t="str">
        <f>calculoI!F39</f>
        <v>Senegal</v>
      </c>
      <c r="I19" s="119">
        <f>calculoI!G39</f>
        <v>3</v>
      </c>
      <c r="J19" s="119">
        <f>calculoI!H39</f>
        <v>1</v>
      </c>
      <c r="K19" s="119">
        <f>calculoI!I39</f>
        <v>1</v>
      </c>
      <c r="L19" s="119">
        <f>calculoI!J39</f>
        <v>1</v>
      </c>
      <c r="M19" s="119">
        <f>calculoI!K39</f>
        <v>3</v>
      </c>
      <c r="N19" s="119">
        <f>calculoI!L39</f>
        <v>4</v>
      </c>
      <c r="O19" s="119">
        <f>M19-N19</f>
        <v>-1</v>
      </c>
      <c r="P19" s="120">
        <f>calculoI!M39</f>
        <v>4</v>
      </c>
      <c r="Q19" s="105"/>
      <c r="R19" s="134"/>
      <c r="S19" s="99"/>
      <c r="T19" s="99"/>
    </row>
    <row r="20" spans="2:22" ht="12.75" customHeight="1" x14ac:dyDescent="0.2">
      <c r="C20" s="13"/>
      <c r="D20" s="13"/>
      <c r="E20" s="13"/>
      <c r="F20" s="13"/>
      <c r="G20" s="99"/>
      <c r="H20" s="122" t="str">
        <f>calculoI!F40</f>
        <v>Irak</v>
      </c>
      <c r="I20" s="123">
        <f>calculoI!G40</f>
        <v>3</v>
      </c>
      <c r="J20" s="123">
        <f>calculoI!H40</f>
        <v>0</v>
      </c>
      <c r="K20" s="123">
        <f>calculoI!I40</f>
        <v>0</v>
      </c>
      <c r="L20" s="123">
        <f>calculoI!J40</f>
        <v>3</v>
      </c>
      <c r="M20" s="123">
        <f>calculoI!K40</f>
        <v>1</v>
      </c>
      <c r="N20" s="123">
        <f>calculoI!L40</f>
        <v>8</v>
      </c>
      <c r="O20" s="123">
        <f>M20-N20</f>
        <v>-7</v>
      </c>
      <c r="P20" s="124">
        <f>calculoI!M40</f>
        <v>0</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s+mPEyEulhILJY2P7pe2mSkWbdJFqEcGz2xp2t9iXxyh+PoG3xaDMpAPPmCoSG9VpolMpJvMTjNxkGVgKJK7vQ==" saltValue="Uelhe+8zP49bwKk7VraqGw==" spinCount="100000" sheet="1" objects="1" scenarios="1" selectLockedCells="1"/>
  <dataConsolidate/>
  <mergeCells count="30">
    <mergeCell ref="B1:T2"/>
    <mergeCell ref="C4:N4"/>
    <mergeCell ref="Q4:T5"/>
    <mergeCell ref="I5:J5"/>
    <mergeCell ref="K5:L5"/>
    <mergeCell ref="M5:N5"/>
    <mergeCell ref="R7:S7"/>
    <mergeCell ref="I6:J6"/>
    <mergeCell ref="K6:L6"/>
    <mergeCell ref="M6:N6"/>
    <mergeCell ref="I7:J7"/>
    <mergeCell ref="K7:L7"/>
    <mergeCell ref="M7:N7"/>
    <mergeCell ref="I8:J8"/>
    <mergeCell ref="K8:L8"/>
    <mergeCell ref="M8:N8"/>
    <mergeCell ref="I9:J9"/>
    <mergeCell ref="K9:L9"/>
    <mergeCell ref="M9:N9"/>
    <mergeCell ref="R9:S9"/>
    <mergeCell ref="R13:S13"/>
    <mergeCell ref="H15:P15"/>
    <mergeCell ref="R28:S28"/>
    <mergeCell ref="I10:J10"/>
    <mergeCell ref="K10:L10"/>
    <mergeCell ref="M10:N10"/>
    <mergeCell ref="I11:J11"/>
    <mergeCell ref="K11:L11"/>
    <mergeCell ref="M11:N11"/>
    <mergeCell ref="R11:S11"/>
  </mergeCells>
  <conditionalFormatting sqref="C9:H9">
    <cfRule type="expression" dxfId="235" priority="13" stopIfTrue="1">
      <formula>IF(OR($M$9="en juego",$M$9="hoy!"),1,0)</formula>
    </cfRule>
  </conditionalFormatting>
  <conditionalFormatting sqref="C6:N6">
    <cfRule type="expression" dxfId="234" priority="11" stopIfTrue="1">
      <formula>IF(OR($M$6="en juego",$M$6="hoy!"),1,0)</formula>
    </cfRule>
  </conditionalFormatting>
  <conditionalFormatting sqref="C7:N7">
    <cfRule type="expression" dxfId="233" priority="10" stopIfTrue="1">
      <formula>IF(OR($M$7="en juego",$M$7="hoy!"),1,0)</formula>
    </cfRule>
  </conditionalFormatting>
  <conditionalFormatting sqref="C8:N8">
    <cfRule type="expression" dxfId="232" priority="12" stopIfTrue="1">
      <formula>IF(OR($M$8="en juego",$M$8="hoy!"),1,0)</formula>
    </cfRule>
  </conditionalFormatting>
  <conditionalFormatting sqref="C10:N10">
    <cfRule type="expression" dxfId="231" priority="14" stopIfTrue="1">
      <formula>IF(OR($M$10="en juego",$M$10="hoy!"),1,0)</formula>
    </cfRule>
  </conditionalFormatting>
  <conditionalFormatting sqref="C11:N11">
    <cfRule type="expression" dxfId="230"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29" priority="5" stopIfTrue="1">
      <formula>IF(AND($I$17=3,$I$18=3,$I$19=3,$I$20=3),1,0)</formula>
    </cfRule>
  </conditionalFormatting>
  <conditionalFormatting sqref="H17:P18">
    <cfRule type="expression" dxfId="227" priority="16" stopIfTrue="1">
      <formula>IF(AND($I$17=3,$I$18=3,$I$19=3,$I$20=3),1,0)</formula>
    </cfRule>
  </conditionalFormatting>
  <conditionalFormatting sqref="H19:P19">
    <cfRule type="expression" dxfId="226" priority="3">
      <formula>$G$19="Avanza como Mejor tercero: --&gt; "</formula>
    </cfRule>
  </conditionalFormatting>
  <conditionalFormatting sqref="I9:J9">
    <cfRule type="expression" dxfId="225" priority="8" stopIfTrue="1">
      <formula>IF(OR($M$8="en juego",$M$8="hoy!"),1,0)</formula>
    </cfRule>
  </conditionalFormatting>
  <conditionalFormatting sqref="K9:N9">
    <cfRule type="expression" dxfId="224" priority="7" stopIfTrue="1">
      <formula>IF(OR($M$9="en juego",$M$9="hoy!"),1,0)</formula>
    </cfRule>
  </conditionalFormatting>
  <dataValidations count="1">
    <dataValidation type="whole" allowBlank="1" showErrorMessage="1" errorTitle="Dato no válido" error="Ingrese sólo un número entero_x000a_entre 0 y 99." sqref="D6:D11 F6:F11" xr:uid="{0D339BD4-03FE-4BAA-86F4-0740F59AFA70}">
      <formula1>0</formula1>
      <formula2>99</formula2>
    </dataValidation>
  </dataValidations>
  <pageMargins left="0.75" right="0.75" top="1" bottom="1" header="0" footer="0"/>
  <pageSetup paperSize="9" scale="57"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F5794424-5BD3-4A3B-8506-2BA1569CE0FA}">
            <xm:f>'- 3ros -'!$H$16=144</xm:f>
            <x14:dxf>
              <font>
                <color rgb="FF993300"/>
              </font>
            </x14:dxf>
          </x14:cfRule>
          <xm:sqref>G19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1F82-D565-4528-8D18-9F115A12FB19}">
  <sheetPr codeName="Hoja25">
    <pageSetUpPr fitToPage="1"/>
  </sheetPr>
  <dimension ref="A1:AC29"/>
  <sheetViews>
    <sheetView showGridLines="0" showRowColHeaders="0" showOutlineSymbols="0" zoomScale="95" zoomScaleNormal="95" workbookViewId="0">
      <selection activeCell="F11" sqref="F11"/>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9"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9"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9" ht="12.75" customHeight="1" x14ac:dyDescent="0.2">
      <c r="G3" s="242"/>
      <c r="M3" s="87"/>
      <c r="N3" s="87"/>
      <c r="R3" s="130"/>
    </row>
    <row r="4" spans="2:29" ht="12.75" customHeight="1" x14ac:dyDescent="0.2">
      <c r="C4" s="424" t="s">
        <v>3</v>
      </c>
      <c r="D4" s="425"/>
      <c r="E4" s="425"/>
      <c r="F4" s="425"/>
      <c r="G4" s="425"/>
      <c r="H4" s="425"/>
      <c r="I4" s="425"/>
      <c r="J4" s="425"/>
      <c r="K4" s="425"/>
      <c r="L4" s="425"/>
      <c r="M4" s="425"/>
      <c r="N4" s="426"/>
      <c r="Q4" s="431" t="s">
        <v>265</v>
      </c>
      <c r="R4" s="432"/>
      <c r="S4" s="432"/>
      <c r="T4" s="433"/>
    </row>
    <row r="5" spans="2:29" ht="12.75" customHeight="1" x14ac:dyDescent="0.2">
      <c r="C5" s="72"/>
      <c r="D5" s="72"/>
      <c r="E5" s="72"/>
      <c r="F5" s="72"/>
      <c r="G5" s="243"/>
      <c r="H5" s="77" t="s">
        <v>76</v>
      </c>
      <c r="I5" s="414" t="s">
        <v>11</v>
      </c>
      <c r="J5" s="414"/>
      <c r="K5" s="414" t="s">
        <v>36</v>
      </c>
      <c r="L5" s="414"/>
      <c r="M5" s="414" t="s">
        <v>22</v>
      </c>
      <c r="N5" s="414"/>
      <c r="Q5" s="434"/>
      <c r="R5" s="435"/>
      <c r="S5" s="435"/>
      <c r="T5" s="436"/>
    </row>
    <row r="6" spans="2:29" ht="12.75" customHeight="1" x14ac:dyDescent="0.2">
      <c r="B6" s="73" t="str">
        <f t="shared" ref="B6:B11" ca="1" si="0">IF(OR(M6="finalizado",M6="en juego",M6="hoy!"),"Ø","")</f>
        <v/>
      </c>
      <c r="C6" s="88" t="str">
        <f>IF(R7&lt;&gt;"",R7,"")</f>
        <v>Argentina</v>
      </c>
      <c r="D6" s="324">
        <v>2</v>
      </c>
      <c r="E6" s="91" t="s">
        <v>4</v>
      </c>
      <c r="F6" s="324">
        <v>0</v>
      </c>
      <c r="G6" s="94" t="str">
        <f>IF(R9&lt;&gt;"",R9,"")</f>
        <v>Argelia</v>
      </c>
      <c r="H6" s="138" t="s">
        <v>182</v>
      </c>
      <c r="I6" s="427">
        <v>46189</v>
      </c>
      <c r="J6" s="427"/>
      <c r="K6" s="428">
        <v>0.83333333333333337</v>
      </c>
      <c r="L6" s="428"/>
      <c r="M6" s="429" t="str">
        <f t="shared" ref="M6:M11" ca="1" si="1">IF(OR(I6="",K6="",I6&lt;$R$24),"",IF(I6=$R$24,IF(AND(K6&lt;=$S$26,$S$26&lt;=(K6+0.08333333333)),"en juego",IF($S$26&lt;K6,"hoy!","finalizado")),IF($R$24&gt;I6,"finalizado","")))</f>
        <v/>
      </c>
      <c r="N6" s="430"/>
      <c r="O6" s="13"/>
      <c r="P6" s="13"/>
      <c r="Q6" s="13"/>
      <c r="R6" s="131"/>
      <c r="S6" s="13"/>
      <c r="T6" s="13"/>
    </row>
    <row r="7" spans="2:29" ht="12.75" customHeight="1" x14ac:dyDescent="0.35">
      <c r="B7" s="73" t="str">
        <f t="shared" ca="1" si="0"/>
        <v/>
      </c>
      <c r="C7" s="89" t="str">
        <f>IF(R11&lt;&gt;"",R11,"")</f>
        <v>Austria</v>
      </c>
      <c r="D7" s="325">
        <v>2</v>
      </c>
      <c r="E7" s="92" t="s">
        <v>4</v>
      </c>
      <c r="F7" s="325">
        <v>1</v>
      </c>
      <c r="G7" s="95" t="str">
        <f>IF(R13&lt;&gt;"",R13,"")</f>
        <v>Jordania</v>
      </c>
      <c r="H7" s="139" t="s">
        <v>171</v>
      </c>
      <c r="I7" s="420">
        <v>46189</v>
      </c>
      <c r="J7" s="420"/>
      <c r="K7" s="423">
        <v>0.95833333333333337</v>
      </c>
      <c r="L7" s="423"/>
      <c r="M7" s="421" t="str">
        <f t="shared" ca="1" si="1"/>
        <v/>
      </c>
      <c r="N7" s="422"/>
      <c r="O7" s="78"/>
      <c r="P7" s="79"/>
      <c r="Q7" s="113"/>
      <c r="R7" s="438" t="s">
        <v>156</v>
      </c>
      <c r="S7" s="438"/>
      <c r="T7" s="114"/>
    </row>
    <row r="8" spans="2:29" ht="12.75" customHeight="1" x14ac:dyDescent="0.4">
      <c r="B8" s="73" t="str">
        <f t="shared" ca="1" si="0"/>
        <v/>
      </c>
      <c r="C8" s="89" t="str">
        <f>IF(R7&lt;&gt;"",R7,"")</f>
        <v>Argentina</v>
      </c>
      <c r="D8" s="325">
        <v>1</v>
      </c>
      <c r="E8" s="92" t="s">
        <v>4</v>
      </c>
      <c r="F8" s="325">
        <v>0</v>
      </c>
      <c r="G8" s="95" t="str">
        <f>IF(R11&lt;&gt;"",R11,"")</f>
        <v>Austria</v>
      </c>
      <c r="H8" s="139" t="s">
        <v>176</v>
      </c>
      <c r="I8" s="420">
        <v>46195</v>
      </c>
      <c r="J8" s="420"/>
      <c r="K8" s="423">
        <v>0.5</v>
      </c>
      <c r="L8" s="423"/>
      <c r="M8" s="421" t="str">
        <f t="shared" ca="1" si="1"/>
        <v/>
      </c>
      <c r="N8" s="422"/>
      <c r="O8" s="80"/>
      <c r="P8" s="81"/>
      <c r="Q8" s="13"/>
      <c r="R8" s="132"/>
      <c r="S8" s="125"/>
      <c r="T8" s="13"/>
    </row>
    <row r="9" spans="2:29" ht="12.75" customHeight="1" x14ac:dyDescent="0.2">
      <c r="B9" s="73" t="str">
        <f t="shared" ca="1" si="0"/>
        <v/>
      </c>
      <c r="C9" s="89" t="str">
        <f>IF(R13&lt;&gt;"",R13,"")</f>
        <v>Jordania</v>
      </c>
      <c r="D9" s="325">
        <v>1</v>
      </c>
      <c r="E9" s="92" t="s">
        <v>4</v>
      </c>
      <c r="F9" s="325">
        <v>1</v>
      </c>
      <c r="G9" s="95" t="str">
        <f>IF(R9&lt;&gt;"",R9,"")</f>
        <v>Argelia</v>
      </c>
      <c r="H9" s="139" t="s">
        <v>171</v>
      </c>
      <c r="I9" s="420">
        <v>46195</v>
      </c>
      <c r="J9" s="420"/>
      <c r="K9" s="423">
        <v>0.91666666666666663</v>
      </c>
      <c r="L9" s="423"/>
      <c r="M9" s="421" t="str">
        <f t="shared" ca="1" si="1"/>
        <v/>
      </c>
      <c r="N9" s="422"/>
      <c r="O9" s="13"/>
      <c r="P9" s="13"/>
      <c r="Q9" s="113"/>
      <c r="R9" s="438" t="s">
        <v>157</v>
      </c>
      <c r="S9" s="438"/>
      <c r="T9" s="114"/>
    </row>
    <row r="10" spans="2:29" ht="12.75" customHeight="1" x14ac:dyDescent="0.2">
      <c r="B10" s="73" t="str">
        <f t="shared" ca="1" si="0"/>
        <v/>
      </c>
      <c r="C10" s="89" t="str">
        <f>IF(R9&lt;&gt;"",R9,"")</f>
        <v>Argelia</v>
      </c>
      <c r="D10" s="325">
        <v>0</v>
      </c>
      <c r="E10" s="92" t="s">
        <v>4</v>
      </c>
      <c r="F10" s="325">
        <v>2</v>
      </c>
      <c r="G10" s="95" t="str">
        <f>IF(R11&lt;&gt;"",R11,"")</f>
        <v>Austria</v>
      </c>
      <c r="H10" s="139" t="s">
        <v>182</v>
      </c>
      <c r="I10" s="420">
        <v>46200</v>
      </c>
      <c r="J10" s="420"/>
      <c r="K10" s="423">
        <v>0.875</v>
      </c>
      <c r="L10" s="423"/>
      <c r="M10" s="421" t="str">
        <f t="shared" ca="1" si="1"/>
        <v/>
      </c>
      <c r="N10" s="422"/>
      <c r="O10" s="13"/>
      <c r="P10" s="13"/>
      <c r="Q10" s="13"/>
      <c r="R10" s="132"/>
      <c r="S10" s="125"/>
      <c r="T10" s="13"/>
    </row>
    <row r="11" spans="2:29" ht="12.75" customHeight="1" x14ac:dyDescent="0.2">
      <c r="B11" s="73" t="str">
        <f t="shared" ca="1" si="0"/>
        <v/>
      </c>
      <c r="C11" s="90" t="str">
        <f>IF(R13&lt;&gt;"",R13,"")</f>
        <v>Jordania</v>
      </c>
      <c r="D11" s="326">
        <v>1</v>
      </c>
      <c r="E11" s="93" t="s">
        <v>4</v>
      </c>
      <c r="F11" s="326">
        <v>3</v>
      </c>
      <c r="G11" s="96" t="str">
        <f>IF(R7&lt;&gt;"",R7,"")</f>
        <v>Argentina</v>
      </c>
      <c r="H11" s="140" t="s">
        <v>176</v>
      </c>
      <c r="I11" s="420">
        <v>46200</v>
      </c>
      <c r="J11" s="420"/>
      <c r="K11" s="423">
        <v>0.875</v>
      </c>
      <c r="L11" s="423"/>
      <c r="M11" s="421" t="str">
        <f t="shared" ca="1" si="1"/>
        <v/>
      </c>
      <c r="N11" s="422"/>
      <c r="O11" s="13"/>
      <c r="P11" s="13"/>
      <c r="Q11" s="113"/>
      <c r="R11" s="438" t="s">
        <v>158</v>
      </c>
      <c r="S11" s="438"/>
      <c r="T11" s="114"/>
    </row>
    <row r="12" spans="2:29" ht="12.75" customHeight="1" x14ac:dyDescent="0.2">
      <c r="C12" s="74"/>
      <c r="D12" s="86"/>
      <c r="E12" s="76"/>
      <c r="F12" s="86"/>
      <c r="G12" s="13"/>
      <c r="H12" s="82"/>
      <c r="I12" s="76"/>
      <c r="J12" s="83"/>
      <c r="K12" s="245"/>
      <c r="L12" s="244"/>
      <c r="M12" s="85"/>
      <c r="N12" s="85"/>
      <c r="O12" s="13"/>
      <c r="P12" s="13"/>
      <c r="Q12" s="13"/>
      <c r="R12" s="132"/>
      <c r="S12" s="125"/>
      <c r="T12" s="13"/>
    </row>
    <row r="13" spans="2:29"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159</v>
      </c>
      <c r="S13" s="438"/>
      <c r="T13" s="114"/>
      <c r="AC13" s="142"/>
    </row>
    <row r="14" spans="2:29" ht="12.75" customHeight="1" x14ac:dyDescent="0.2">
      <c r="C14" s="74"/>
      <c r="D14" s="86"/>
      <c r="E14" s="76"/>
      <c r="F14" s="86"/>
      <c r="G14" s="13"/>
      <c r="H14" s="82"/>
      <c r="I14" s="76"/>
      <c r="J14" s="76"/>
      <c r="K14" s="246"/>
      <c r="L14" s="84"/>
      <c r="M14" s="85"/>
      <c r="N14" s="85"/>
      <c r="O14" s="13"/>
      <c r="P14" s="13"/>
      <c r="Q14" s="13"/>
      <c r="R14" s="133"/>
      <c r="S14" s="126"/>
      <c r="T14" s="13"/>
    </row>
    <row r="15" spans="2:29" ht="12.75" customHeight="1" x14ac:dyDescent="0.2">
      <c r="C15" s="13"/>
      <c r="D15" s="13"/>
      <c r="E15" s="13"/>
      <c r="F15" s="13"/>
      <c r="G15" s="13"/>
      <c r="H15" s="439" t="s">
        <v>12</v>
      </c>
      <c r="I15" s="440"/>
      <c r="J15" s="440"/>
      <c r="K15" s="441"/>
      <c r="L15" s="440"/>
      <c r="M15" s="440"/>
      <c r="N15" s="440"/>
      <c r="O15" s="440"/>
      <c r="P15" s="442"/>
      <c r="Q15" s="13"/>
      <c r="R15" s="131"/>
      <c r="S15" s="13"/>
      <c r="T15" s="13"/>
    </row>
    <row r="16" spans="2:29"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calculoJ!F37</f>
        <v>Argentina</v>
      </c>
      <c r="I17" s="116">
        <f>calculoJ!G37</f>
        <v>3</v>
      </c>
      <c r="J17" s="116">
        <f>calculoJ!H37</f>
        <v>3</v>
      </c>
      <c r="K17" s="116">
        <f>calculoJ!I37</f>
        <v>0</v>
      </c>
      <c r="L17" s="116">
        <f>calculoJ!J37</f>
        <v>0</v>
      </c>
      <c r="M17" s="116">
        <f>calculoJ!K37</f>
        <v>6</v>
      </c>
      <c r="N17" s="116">
        <f>calculoJ!L37</f>
        <v>1</v>
      </c>
      <c r="O17" s="116">
        <f>M17-N17</f>
        <v>5</v>
      </c>
      <c r="P17" s="117">
        <f>calculoJ!M37</f>
        <v>9</v>
      </c>
      <c r="Q17" s="104"/>
      <c r="R17" s="134"/>
      <c r="S17" s="99"/>
      <c r="T17" s="99"/>
    </row>
    <row r="18" spans="2:22" ht="12.75" customHeight="1" x14ac:dyDescent="0.2">
      <c r="C18" s="13"/>
      <c r="D18" s="13"/>
      <c r="E18" s="13"/>
      <c r="F18" s="13"/>
      <c r="G18" s="112" t="s">
        <v>228</v>
      </c>
      <c r="H18" s="352" t="str">
        <f>calculoJ!F38</f>
        <v>Austria</v>
      </c>
      <c r="I18" s="119">
        <f>calculoJ!G38</f>
        <v>3</v>
      </c>
      <c r="J18" s="119">
        <f>calculoJ!H38</f>
        <v>2</v>
      </c>
      <c r="K18" s="119">
        <f>calculoJ!I38</f>
        <v>0</v>
      </c>
      <c r="L18" s="119">
        <f>calculoJ!J38</f>
        <v>1</v>
      </c>
      <c r="M18" s="119">
        <f>calculoJ!K38</f>
        <v>4</v>
      </c>
      <c r="N18" s="119">
        <f>calculoJ!L38</f>
        <v>2</v>
      </c>
      <c r="O18" s="119">
        <f>M18-N18</f>
        <v>2</v>
      </c>
      <c r="P18" s="120">
        <f>calculoJ!M38</f>
        <v>6</v>
      </c>
      <c r="Q18" s="104"/>
      <c r="R18" s="134"/>
      <c r="S18" s="99"/>
      <c r="T18" s="99"/>
    </row>
    <row r="19" spans="2:22" ht="12.75" customHeight="1" x14ac:dyDescent="0.2">
      <c r="C19" s="13"/>
      <c r="D19" s="13"/>
      <c r="E19" s="13"/>
      <c r="F19" s="13"/>
      <c r="G19" s="112" t="str">
        <f>IF('- 3ros -'!$H$16=144,IF(VLOOKUP(H19,mejores3!$C$21:$T$32,18,0)=1,"Avanza como Mejor tercero: --&gt; ",""),"")</f>
        <v/>
      </c>
      <c r="H19" s="121" t="str">
        <f>calculoJ!F39</f>
        <v>Jordania</v>
      </c>
      <c r="I19" s="119">
        <f>calculoJ!G39</f>
        <v>3</v>
      </c>
      <c r="J19" s="119">
        <f>calculoJ!H39</f>
        <v>0</v>
      </c>
      <c r="K19" s="119">
        <f>calculoJ!I39</f>
        <v>1</v>
      </c>
      <c r="L19" s="119">
        <f>calculoJ!J39</f>
        <v>2</v>
      </c>
      <c r="M19" s="119">
        <f>calculoJ!K39</f>
        <v>3</v>
      </c>
      <c r="N19" s="119">
        <f>calculoJ!L39</f>
        <v>6</v>
      </c>
      <c r="O19" s="119">
        <f>M19-N19</f>
        <v>-3</v>
      </c>
      <c r="P19" s="120">
        <f>calculoJ!M39</f>
        <v>1</v>
      </c>
      <c r="Q19" s="105"/>
      <c r="R19" s="134"/>
      <c r="S19" s="99"/>
      <c r="T19" s="99"/>
    </row>
    <row r="20" spans="2:22" ht="12.75" customHeight="1" x14ac:dyDescent="0.2">
      <c r="C20" s="13"/>
      <c r="D20" s="13"/>
      <c r="E20" s="13"/>
      <c r="F20" s="13"/>
      <c r="G20" s="99"/>
      <c r="H20" s="122" t="str">
        <f>calculoJ!F40</f>
        <v>Argelia</v>
      </c>
      <c r="I20" s="123">
        <f>calculoJ!G40</f>
        <v>3</v>
      </c>
      <c r="J20" s="123">
        <f>calculoJ!H40</f>
        <v>0</v>
      </c>
      <c r="K20" s="123">
        <f>calculoJ!I40</f>
        <v>1</v>
      </c>
      <c r="L20" s="123">
        <f>calculoJ!J40</f>
        <v>2</v>
      </c>
      <c r="M20" s="123">
        <f>calculoJ!K40</f>
        <v>1</v>
      </c>
      <c r="N20" s="123">
        <f>calculoJ!L40</f>
        <v>5</v>
      </c>
      <c r="O20" s="123">
        <f>M20-N20</f>
        <v>-4</v>
      </c>
      <c r="P20" s="124">
        <f>calculoJ!M40</f>
        <v>1</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EACkaV3Jk+Bj7X5lvb4ePYnIc+6zeE8s0E1s+/hg8jgVXmrjj3d+kqJ/E0z81YOe8Nyj4TySM2kgBQ24nNVe2Q==" saltValue="3vH9e1+lVqwT4u1S4oYBnw==" spinCount="100000" sheet="1" objects="1" scenarios="1" selectLockedCells="1"/>
  <dataConsolidate/>
  <mergeCells count="30">
    <mergeCell ref="B1:T2"/>
    <mergeCell ref="C4:N4"/>
    <mergeCell ref="Q4:T5"/>
    <mergeCell ref="I5:J5"/>
    <mergeCell ref="K5:L5"/>
    <mergeCell ref="M5:N5"/>
    <mergeCell ref="I6:J6"/>
    <mergeCell ref="K6:L6"/>
    <mergeCell ref="M6:N6"/>
    <mergeCell ref="I7:J7"/>
    <mergeCell ref="K7:L7"/>
    <mergeCell ref="M7:N7"/>
    <mergeCell ref="R7:S7"/>
    <mergeCell ref="I8:J8"/>
    <mergeCell ref="K8:L8"/>
    <mergeCell ref="M8:N8"/>
    <mergeCell ref="I9:J9"/>
    <mergeCell ref="K9:L9"/>
    <mergeCell ref="M9:N9"/>
    <mergeCell ref="R9:S9"/>
    <mergeCell ref="R11:S11"/>
    <mergeCell ref="R13:S13"/>
    <mergeCell ref="H15:P15"/>
    <mergeCell ref="R28:S28"/>
    <mergeCell ref="I10:J10"/>
    <mergeCell ref="K10:L10"/>
    <mergeCell ref="M10:N10"/>
    <mergeCell ref="I11:J11"/>
    <mergeCell ref="K11:L11"/>
    <mergeCell ref="M11:N11"/>
  </mergeCells>
  <conditionalFormatting sqref="C9:H9">
    <cfRule type="expression" dxfId="223" priority="13" stopIfTrue="1">
      <formula>IF(OR($M$9="en juego",$M$9="hoy!"),1,0)</formula>
    </cfRule>
  </conditionalFormatting>
  <conditionalFormatting sqref="C6:N6">
    <cfRule type="expression" dxfId="222" priority="11" stopIfTrue="1">
      <formula>IF(OR($M$6="en juego",$M$6="hoy!"),1,0)</formula>
    </cfRule>
  </conditionalFormatting>
  <conditionalFormatting sqref="C7:N7">
    <cfRule type="expression" dxfId="221" priority="10" stopIfTrue="1">
      <formula>IF(OR($M$7="en juego",$M$7="hoy!"),1,0)</formula>
    </cfRule>
  </conditionalFormatting>
  <conditionalFormatting sqref="C8:N8">
    <cfRule type="expression" dxfId="220" priority="12" stopIfTrue="1">
      <formula>IF(OR($M$8="en juego",$M$8="hoy!"),1,0)</formula>
    </cfRule>
  </conditionalFormatting>
  <conditionalFormatting sqref="C10:N10">
    <cfRule type="expression" dxfId="219" priority="14" stopIfTrue="1">
      <formula>IF(OR($M$10="en juego",$M$10="hoy!"),1,0)</formula>
    </cfRule>
  </conditionalFormatting>
  <conditionalFormatting sqref="C11:N11">
    <cfRule type="expression" dxfId="218"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17" priority="5" stopIfTrue="1">
      <formula>IF(AND($I$17=3,$I$18=3,$I$19=3,$I$20=3),1,0)</formula>
    </cfRule>
  </conditionalFormatting>
  <conditionalFormatting sqref="H17:P18">
    <cfRule type="expression" dxfId="215" priority="16" stopIfTrue="1">
      <formula>IF(AND($I$17=3,$I$18=3,$I$19=3,$I$20=3),1,0)</formula>
    </cfRule>
  </conditionalFormatting>
  <conditionalFormatting sqref="H19:P19">
    <cfRule type="expression" dxfId="214" priority="3">
      <formula>$G$19="Avanza como Mejor tercero: --&gt; "</formula>
    </cfRule>
  </conditionalFormatting>
  <conditionalFormatting sqref="I9:J9">
    <cfRule type="expression" dxfId="213" priority="8" stopIfTrue="1">
      <formula>IF(OR($M$8="en juego",$M$8="hoy!"),1,0)</formula>
    </cfRule>
  </conditionalFormatting>
  <conditionalFormatting sqref="K9:N9">
    <cfRule type="expression" dxfId="212" priority="7" stopIfTrue="1">
      <formula>IF(OR($M$9="en juego",$M$9="hoy!"),1,0)</formula>
    </cfRule>
  </conditionalFormatting>
  <dataValidations count="1">
    <dataValidation type="whole" allowBlank="1" showErrorMessage="1" errorTitle="Dato no válido" error="Ingrese sólo un número entero_x000a_entre 0 y 99." sqref="D6:D11 F6:F11" xr:uid="{80F1E545-82AC-4893-B601-49A32FDBB8D1}">
      <formula1>0</formula1>
      <formula2>99</formula2>
    </dataValidation>
  </dataValidations>
  <pageMargins left="0.75" right="0.75" top="1" bottom="1" header="0" footer="0"/>
  <pageSetup paperSize="9" scale="57"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88500033-3219-4CDE-8563-082513BFEA01}">
            <xm:f>'- 3ros -'!$H$16=144</xm:f>
            <x14:dxf>
              <font>
                <color rgb="FF993300"/>
              </font>
            </x14:dxf>
          </x14:cfRule>
          <xm:sqref>G19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2753-C937-491A-9DCD-9CA3455CD803}">
  <sheetPr codeName="Hoja26">
    <pageSetUpPr fitToPage="1"/>
  </sheetPr>
  <dimension ref="A1:AC29"/>
  <sheetViews>
    <sheetView showGridLines="0" showRowColHeaders="0" showOutlineSymbols="0" zoomScale="95" zoomScaleNormal="95" workbookViewId="0">
      <selection activeCell="F10" sqref="F10"/>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9"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9"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9" ht="12.75" customHeight="1" x14ac:dyDescent="0.2">
      <c r="G3" s="242"/>
      <c r="M3" s="87"/>
      <c r="N3" s="87"/>
      <c r="R3" s="130"/>
    </row>
    <row r="4" spans="2:29" ht="12.75" customHeight="1" x14ac:dyDescent="0.2">
      <c r="C4" s="424" t="s">
        <v>3</v>
      </c>
      <c r="D4" s="425"/>
      <c r="E4" s="425"/>
      <c r="F4" s="425"/>
      <c r="G4" s="425"/>
      <c r="H4" s="425"/>
      <c r="I4" s="425"/>
      <c r="J4" s="425"/>
      <c r="K4" s="425"/>
      <c r="L4" s="425"/>
      <c r="M4" s="425"/>
      <c r="N4" s="426"/>
      <c r="Q4" s="431" t="s">
        <v>266</v>
      </c>
      <c r="R4" s="432"/>
      <c r="S4" s="432"/>
      <c r="T4" s="433"/>
    </row>
    <row r="5" spans="2:29" ht="12.75" customHeight="1" x14ac:dyDescent="0.2">
      <c r="C5" s="72"/>
      <c r="D5" s="72"/>
      <c r="E5" s="72"/>
      <c r="F5" s="72"/>
      <c r="G5" s="243"/>
      <c r="H5" s="77" t="s">
        <v>76</v>
      </c>
      <c r="I5" s="414" t="s">
        <v>11</v>
      </c>
      <c r="J5" s="414"/>
      <c r="K5" s="414" t="s">
        <v>36</v>
      </c>
      <c r="L5" s="414"/>
      <c r="M5" s="414" t="s">
        <v>22</v>
      </c>
      <c r="N5" s="414"/>
      <c r="Q5" s="434"/>
      <c r="R5" s="435"/>
      <c r="S5" s="435"/>
      <c r="T5" s="436"/>
    </row>
    <row r="6" spans="2:29" ht="12.75" customHeight="1" x14ac:dyDescent="0.2">
      <c r="B6" s="73" t="str">
        <f t="shared" ref="B6:B11" ca="1" si="0">IF(OR(M6="finalizado",M6="en juego",M6="hoy!"),"Ø","")</f>
        <v/>
      </c>
      <c r="C6" s="88" t="str">
        <f>IF(R7&lt;&gt;"",R7,"")</f>
        <v>Portugal</v>
      </c>
      <c r="D6" s="324">
        <v>4</v>
      </c>
      <c r="E6" s="91" t="s">
        <v>4</v>
      </c>
      <c r="F6" s="324">
        <v>0</v>
      </c>
      <c r="G6" s="94" t="str">
        <f>IF(R9&lt;&gt;"",R9,"")</f>
        <v>RD Congo</v>
      </c>
      <c r="H6" s="138" t="s">
        <v>175</v>
      </c>
      <c r="I6" s="427">
        <v>46190</v>
      </c>
      <c r="J6" s="427"/>
      <c r="K6" s="428">
        <v>0.5</v>
      </c>
      <c r="L6" s="428"/>
      <c r="M6" s="429" t="str">
        <f t="shared" ref="M6:M11" ca="1" si="1">IF(OR(I6="",K6="",I6&lt;$R$24),"",IF(I6=$R$24,IF(AND(K6&lt;=$S$26,$S$26&lt;=(K6+0.08333333333)),"en juego",IF($S$26&lt;K6,"hoy!","finalizado")),IF($R$24&gt;I6,"finalizado","")))</f>
        <v/>
      </c>
      <c r="N6" s="430"/>
      <c r="O6" s="13"/>
      <c r="P6" s="13"/>
      <c r="Q6" s="13"/>
      <c r="R6" s="131"/>
      <c r="S6" s="13"/>
      <c r="T6" s="13"/>
    </row>
    <row r="7" spans="2:29" ht="12.75" customHeight="1" x14ac:dyDescent="0.35">
      <c r="B7" s="73" t="str">
        <f t="shared" ca="1" si="0"/>
        <v/>
      </c>
      <c r="C7" s="89" t="str">
        <f>IF(R11&lt;&gt;"",R11,"")</f>
        <v>Uzbekistán</v>
      </c>
      <c r="D7" s="325">
        <v>0</v>
      </c>
      <c r="E7" s="92" t="s">
        <v>4</v>
      </c>
      <c r="F7" s="325">
        <v>3</v>
      </c>
      <c r="G7" s="95" t="str">
        <f>IF(R13&lt;&gt;"",R13,"")</f>
        <v>Colombia</v>
      </c>
      <c r="H7" s="139" t="s">
        <v>167</v>
      </c>
      <c r="I7" s="420">
        <v>46190</v>
      </c>
      <c r="J7" s="420"/>
      <c r="K7" s="423">
        <v>0.875</v>
      </c>
      <c r="L7" s="423"/>
      <c r="M7" s="421" t="str">
        <f t="shared" ca="1" si="1"/>
        <v/>
      </c>
      <c r="N7" s="422"/>
      <c r="O7" s="78"/>
      <c r="P7" s="79"/>
      <c r="Q7" s="113"/>
      <c r="R7" s="438" t="s">
        <v>160</v>
      </c>
      <c r="S7" s="438"/>
      <c r="T7" s="114"/>
    </row>
    <row r="8" spans="2:29" ht="12.75" customHeight="1" x14ac:dyDescent="0.4">
      <c r="B8" s="73" t="str">
        <f t="shared" ca="1" si="0"/>
        <v/>
      </c>
      <c r="C8" s="89" t="str">
        <f>IF(R7&lt;&gt;"",R7,"")</f>
        <v>Portugal</v>
      </c>
      <c r="D8" s="325">
        <v>3</v>
      </c>
      <c r="E8" s="92" t="s">
        <v>4</v>
      </c>
      <c r="F8" s="325">
        <v>0</v>
      </c>
      <c r="G8" s="95" t="str">
        <f>IF(R11&lt;&gt;"",R11,"")</f>
        <v>Uzbekistán</v>
      </c>
      <c r="H8" s="139" t="s">
        <v>175</v>
      </c>
      <c r="I8" s="420">
        <v>46196</v>
      </c>
      <c r="J8" s="420"/>
      <c r="K8" s="423">
        <v>0.5</v>
      </c>
      <c r="L8" s="423"/>
      <c r="M8" s="421" t="str">
        <f t="shared" ca="1" si="1"/>
        <v/>
      </c>
      <c r="N8" s="422"/>
      <c r="O8" s="80"/>
      <c r="P8" s="81"/>
      <c r="Q8" s="13"/>
      <c r="R8" s="132"/>
      <c r="S8" s="125"/>
      <c r="T8" s="13"/>
    </row>
    <row r="9" spans="2:29" ht="12.75" customHeight="1" x14ac:dyDescent="0.2">
      <c r="B9" s="73" t="str">
        <f t="shared" ca="1" si="0"/>
        <v/>
      </c>
      <c r="C9" s="89" t="str">
        <f>IF(R13&lt;&gt;"",R13,"")</f>
        <v>Colombia</v>
      </c>
      <c r="D9" s="325">
        <v>2</v>
      </c>
      <c r="E9" s="92" t="s">
        <v>4</v>
      </c>
      <c r="F9" s="325">
        <v>0</v>
      </c>
      <c r="G9" s="95" t="str">
        <f>IF(R9&lt;&gt;"",R9,"")</f>
        <v>RD Congo</v>
      </c>
      <c r="H9" s="139" t="s">
        <v>168</v>
      </c>
      <c r="I9" s="420">
        <v>46196</v>
      </c>
      <c r="J9" s="420"/>
      <c r="K9" s="423">
        <v>0.875</v>
      </c>
      <c r="L9" s="423"/>
      <c r="M9" s="421" t="str">
        <f t="shared" ca="1" si="1"/>
        <v/>
      </c>
      <c r="N9" s="422"/>
      <c r="O9" s="13"/>
      <c r="P9" s="13"/>
      <c r="Q9" s="113"/>
      <c r="R9" s="438" t="s">
        <v>348</v>
      </c>
      <c r="S9" s="438"/>
      <c r="T9" s="114"/>
    </row>
    <row r="10" spans="2:29" ht="12.75" customHeight="1" x14ac:dyDescent="0.2">
      <c r="B10" s="73" t="str">
        <f t="shared" ca="1" si="0"/>
        <v/>
      </c>
      <c r="C10" s="89" t="str">
        <f>IF(R13&lt;&gt;"",R13,"")</f>
        <v>Colombia</v>
      </c>
      <c r="D10" s="325">
        <v>1</v>
      </c>
      <c r="E10" s="92" t="s">
        <v>4</v>
      </c>
      <c r="F10" s="325">
        <v>2</v>
      </c>
      <c r="G10" s="95" t="str">
        <f>IF(R7&lt;&gt;"",R7,"")</f>
        <v>Portugal</v>
      </c>
      <c r="H10" s="139" t="s">
        <v>181</v>
      </c>
      <c r="I10" s="420">
        <v>46200</v>
      </c>
      <c r="J10" s="420"/>
      <c r="K10" s="423">
        <v>0.77083333333333337</v>
      </c>
      <c r="L10" s="423"/>
      <c r="M10" s="421" t="str">
        <f t="shared" ca="1" si="1"/>
        <v/>
      </c>
      <c r="N10" s="422"/>
      <c r="O10" s="13"/>
      <c r="P10" s="13"/>
      <c r="Q10" s="13"/>
      <c r="R10" s="132"/>
      <c r="S10" s="125"/>
      <c r="T10" s="13"/>
    </row>
    <row r="11" spans="2:29" ht="12.75" customHeight="1" x14ac:dyDescent="0.2">
      <c r="B11" s="73" t="str">
        <f t="shared" ca="1" si="0"/>
        <v/>
      </c>
      <c r="C11" s="90" t="str">
        <f>IF(R9&lt;&gt;"",R9,"")</f>
        <v>RD Congo</v>
      </c>
      <c r="D11" s="326">
        <v>1</v>
      </c>
      <c r="E11" s="93" t="s">
        <v>4</v>
      </c>
      <c r="F11" s="326">
        <v>0</v>
      </c>
      <c r="G11" s="96" t="str">
        <f>IF(R11&lt;&gt;"",R11,"")</f>
        <v>Uzbekistán</v>
      </c>
      <c r="H11" s="140" t="s">
        <v>179</v>
      </c>
      <c r="I11" s="420">
        <v>46200</v>
      </c>
      <c r="J11" s="420"/>
      <c r="K11" s="423">
        <v>0.77083333333333337</v>
      </c>
      <c r="L11" s="423"/>
      <c r="M11" s="421" t="str">
        <f t="shared" ca="1" si="1"/>
        <v/>
      </c>
      <c r="N11" s="422"/>
      <c r="O11" s="13"/>
      <c r="P11" s="13"/>
      <c r="Q11" s="113"/>
      <c r="R11" s="438" t="s">
        <v>161</v>
      </c>
      <c r="S11" s="438"/>
      <c r="T11" s="114"/>
    </row>
    <row r="12" spans="2:29" ht="12.75" customHeight="1" x14ac:dyDescent="0.2">
      <c r="C12" s="74"/>
      <c r="D12" s="86"/>
      <c r="E12" s="76"/>
      <c r="F12" s="86"/>
      <c r="G12" s="13"/>
      <c r="H12" s="82"/>
      <c r="I12" s="76"/>
      <c r="J12" s="83"/>
      <c r="K12" s="245"/>
      <c r="L12" s="244"/>
      <c r="M12" s="85"/>
      <c r="N12" s="85"/>
      <c r="O12" s="13"/>
      <c r="P12" s="13"/>
      <c r="Q12" s="13"/>
      <c r="R12" s="132"/>
      <c r="S12" s="125"/>
      <c r="T12" s="13"/>
    </row>
    <row r="13" spans="2:29"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162</v>
      </c>
      <c r="S13" s="438"/>
      <c r="T13" s="114"/>
      <c r="AC13" s="142"/>
    </row>
    <row r="14" spans="2:29" ht="12.75" customHeight="1" x14ac:dyDescent="0.2">
      <c r="C14" s="74"/>
      <c r="D14" s="86"/>
      <c r="E14" s="76"/>
      <c r="F14" s="86"/>
      <c r="G14" s="13"/>
      <c r="H14" s="82"/>
      <c r="I14" s="76"/>
      <c r="J14" s="76"/>
      <c r="K14" s="246"/>
      <c r="L14" s="84"/>
      <c r="M14" s="85"/>
      <c r="N14" s="85"/>
      <c r="O14" s="13"/>
      <c r="P14" s="13"/>
    </row>
    <row r="15" spans="2:29" ht="12.75" customHeight="1" x14ac:dyDescent="0.2">
      <c r="C15" s="13"/>
      <c r="D15" s="13"/>
      <c r="E15" s="13"/>
      <c r="F15" s="13"/>
      <c r="G15" s="13"/>
      <c r="H15" s="439" t="s">
        <v>12</v>
      </c>
      <c r="I15" s="440"/>
      <c r="J15" s="440"/>
      <c r="K15" s="441"/>
      <c r="L15" s="440"/>
      <c r="M15" s="440"/>
      <c r="N15" s="440"/>
      <c r="O15" s="440"/>
      <c r="P15" s="442"/>
      <c r="Q15" s="13"/>
      <c r="R15" s="131"/>
      <c r="S15" s="13"/>
      <c r="T15" s="13"/>
    </row>
    <row r="16" spans="2:29"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calculoK!F37</f>
        <v>Portugal</v>
      </c>
      <c r="I17" s="116">
        <f>calculoK!G37</f>
        <v>3</v>
      </c>
      <c r="J17" s="116">
        <f>calculoK!H37</f>
        <v>3</v>
      </c>
      <c r="K17" s="116">
        <f>calculoK!I37</f>
        <v>0</v>
      </c>
      <c r="L17" s="116">
        <f>calculoK!J37</f>
        <v>0</v>
      </c>
      <c r="M17" s="116">
        <f>calculoK!K37</f>
        <v>9</v>
      </c>
      <c r="N17" s="116">
        <f>calculoK!L37</f>
        <v>1</v>
      </c>
      <c r="O17" s="116">
        <f>M17-N17</f>
        <v>8</v>
      </c>
      <c r="P17" s="117">
        <f>calculoK!M37</f>
        <v>9</v>
      </c>
      <c r="Q17" s="104"/>
      <c r="R17" s="134"/>
      <c r="S17" s="99"/>
      <c r="T17" s="99"/>
    </row>
    <row r="18" spans="2:22" ht="12.75" customHeight="1" x14ac:dyDescent="0.2">
      <c r="C18" s="13"/>
      <c r="D18" s="13"/>
      <c r="E18" s="13"/>
      <c r="F18" s="13"/>
      <c r="G18" s="112" t="s">
        <v>228</v>
      </c>
      <c r="H18" s="352" t="str">
        <f>calculoK!F38</f>
        <v>Colombia</v>
      </c>
      <c r="I18" s="119">
        <f>calculoK!G38</f>
        <v>3</v>
      </c>
      <c r="J18" s="119">
        <f>calculoK!H38</f>
        <v>2</v>
      </c>
      <c r="K18" s="119">
        <f>calculoK!I38</f>
        <v>0</v>
      </c>
      <c r="L18" s="119">
        <f>calculoK!J38</f>
        <v>1</v>
      </c>
      <c r="M18" s="119">
        <f>calculoK!K38</f>
        <v>6</v>
      </c>
      <c r="N18" s="119">
        <f>calculoK!L38</f>
        <v>2</v>
      </c>
      <c r="O18" s="119">
        <f>M18-N18</f>
        <v>4</v>
      </c>
      <c r="P18" s="120">
        <f>calculoK!M38</f>
        <v>6</v>
      </c>
      <c r="Q18" s="104"/>
      <c r="R18" s="134"/>
      <c r="S18" s="99"/>
      <c r="T18" s="99"/>
    </row>
    <row r="19" spans="2:22" ht="12.75" customHeight="1" x14ac:dyDescent="0.2">
      <c r="C19" s="13"/>
      <c r="D19" s="13"/>
      <c r="E19" s="13"/>
      <c r="F19" s="13"/>
      <c r="G19" s="112" t="str">
        <f>IF('- 3ros -'!$H$16=144,IF(VLOOKUP(H19,mejores3!$C$21:$T$32,18,0)=1,"Avanza como Mejor tercero: --&gt; ",""),"")</f>
        <v/>
      </c>
      <c r="H19" s="121" t="str">
        <f>calculoK!F39</f>
        <v>RD Congo</v>
      </c>
      <c r="I19" s="119">
        <f>calculoK!G39</f>
        <v>3</v>
      </c>
      <c r="J19" s="119">
        <f>calculoK!H39</f>
        <v>1</v>
      </c>
      <c r="K19" s="119">
        <f>calculoK!I39</f>
        <v>0</v>
      </c>
      <c r="L19" s="119">
        <f>calculoK!J39</f>
        <v>2</v>
      </c>
      <c r="M19" s="119">
        <f>calculoK!K39</f>
        <v>1</v>
      </c>
      <c r="N19" s="119">
        <f>calculoK!L39</f>
        <v>6</v>
      </c>
      <c r="O19" s="119">
        <f>M19-N19</f>
        <v>-5</v>
      </c>
      <c r="P19" s="120">
        <f>calculoK!M39</f>
        <v>3</v>
      </c>
      <c r="Q19" s="105"/>
      <c r="R19" s="134"/>
      <c r="S19" s="99"/>
      <c r="T19" s="99"/>
    </row>
    <row r="20" spans="2:22" ht="12.75" customHeight="1" x14ac:dyDescent="0.2">
      <c r="C20" s="13"/>
      <c r="D20" s="13"/>
      <c r="E20" s="13"/>
      <c r="F20" s="13"/>
      <c r="G20" s="99"/>
      <c r="H20" s="122" t="str">
        <f>calculoK!F40</f>
        <v>Uzbekistán</v>
      </c>
      <c r="I20" s="123">
        <f>calculoK!G40</f>
        <v>3</v>
      </c>
      <c r="J20" s="123">
        <f>calculoK!H40</f>
        <v>0</v>
      </c>
      <c r="K20" s="123">
        <f>calculoK!I40</f>
        <v>0</v>
      </c>
      <c r="L20" s="123">
        <f>calculoK!J40</f>
        <v>3</v>
      </c>
      <c r="M20" s="123">
        <f>calculoK!K40</f>
        <v>0</v>
      </c>
      <c r="N20" s="123">
        <f>calculoK!L40</f>
        <v>7</v>
      </c>
      <c r="O20" s="123">
        <f>M20-N20</f>
        <v>-7</v>
      </c>
      <c r="P20" s="124">
        <f>calculoK!M40</f>
        <v>0</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6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63"/>
      <c r="U26" s="354"/>
      <c r="V26" s="354"/>
    </row>
    <row r="27" spans="2:22" x14ac:dyDescent="0.2">
      <c r="C27" s="13"/>
      <c r="D27" s="13"/>
      <c r="E27" s="13"/>
      <c r="F27" s="13"/>
      <c r="G27" s="13"/>
      <c r="H27" s="13"/>
      <c r="I27" s="13"/>
      <c r="J27" s="13"/>
      <c r="K27" s="13"/>
      <c r="L27" s="13"/>
      <c r="M27" s="13"/>
      <c r="N27" s="13"/>
      <c r="O27" s="106"/>
      <c r="P27" s="106"/>
      <c r="Q27" s="106"/>
      <c r="R27" s="363"/>
      <c r="S27" s="363"/>
      <c r="T27" s="363"/>
      <c r="U27" s="354"/>
      <c r="V27" s="354"/>
    </row>
    <row r="28" spans="2:22" x14ac:dyDescent="0.2">
      <c r="C28" s="13"/>
      <c r="D28" s="13"/>
      <c r="E28" s="13"/>
      <c r="F28" s="13"/>
      <c r="G28" s="13"/>
      <c r="H28" s="13"/>
      <c r="I28" s="13"/>
      <c r="J28" s="13"/>
      <c r="K28" s="13"/>
      <c r="L28" s="13"/>
      <c r="M28" s="13"/>
      <c r="N28" s="13"/>
      <c r="O28" s="106"/>
      <c r="P28" s="106"/>
      <c r="Q28" s="106"/>
      <c r="R28" s="437"/>
      <c r="S28" s="437"/>
      <c r="T28" s="363"/>
      <c r="U28" s="354"/>
      <c r="V28" s="354"/>
    </row>
    <row r="29" spans="2:22" x14ac:dyDescent="0.2">
      <c r="O29" s="108"/>
      <c r="P29" s="108"/>
      <c r="Q29" s="108"/>
      <c r="R29" s="109"/>
      <c r="S29" s="109"/>
      <c r="T29" s="109"/>
    </row>
  </sheetData>
  <sheetProtection algorithmName="SHA-512" hashValue="vdV/3nkSNSzve3Ztv3iJPy095ge9YqqZVZAom0XzAnL/lMnzL96a16aBzkBOBA3dkCYDhslD1s4gFT7nhnoNDw==" saltValue="78AVmbAz6wHxyOwKA3/iag==" spinCount="100000" sheet="1" objects="1" scenarios="1" selectLockedCells="1"/>
  <dataConsolidate/>
  <mergeCells count="30">
    <mergeCell ref="B1:T2"/>
    <mergeCell ref="C4:N4"/>
    <mergeCell ref="Q4:T5"/>
    <mergeCell ref="I5:J5"/>
    <mergeCell ref="K5:L5"/>
    <mergeCell ref="M5:N5"/>
    <mergeCell ref="R7:S7"/>
    <mergeCell ref="I6:J6"/>
    <mergeCell ref="K6:L6"/>
    <mergeCell ref="M6:N6"/>
    <mergeCell ref="I7:J7"/>
    <mergeCell ref="K7:L7"/>
    <mergeCell ref="M7:N7"/>
    <mergeCell ref="R9:S9"/>
    <mergeCell ref="I8:J8"/>
    <mergeCell ref="K8:L8"/>
    <mergeCell ref="M8:N8"/>
    <mergeCell ref="I9:J9"/>
    <mergeCell ref="K9:L9"/>
    <mergeCell ref="M9:N9"/>
    <mergeCell ref="R11:S11"/>
    <mergeCell ref="R13:S13"/>
    <mergeCell ref="H15:P15"/>
    <mergeCell ref="R28:S28"/>
    <mergeCell ref="I10:J10"/>
    <mergeCell ref="K10:L10"/>
    <mergeCell ref="M10:N10"/>
    <mergeCell ref="I11:J11"/>
    <mergeCell ref="K11:L11"/>
    <mergeCell ref="M11:N11"/>
  </mergeCells>
  <conditionalFormatting sqref="C9:H9">
    <cfRule type="expression" dxfId="211" priority="13" stopIfTrue="1">
      <formula>IF(OR($M$9="en juego",$M$9="hoy!"),1,0)</formula>
    </cfRule>
  </conditionalFormatting>
  <conditionalFormatting sqref="C6:N6">
    <cfRule type="expression" dxfId="210" priority="11" stopIfTrue="1">
      <formula>IF(OR($M$6="en juego",$M$6="hoy!"),1,0)</formula>
    </cfRule>
  </conditionalFormatting>
  <conditionalFormatting sqref="C7:N7">
    <cfRule type="expression" dxfId="209" priority="10" stopIfTrue="1">
      <formula>IF(OR($M$7="en juego",$M$7="hoy!"),1,0)</formula>
    </cfRule>
  </conditionalFormatting>
  <conditionalFormatting sqref="C8:N8">
    <cfRule type="expression" dxfId="208" priority="12" stopIfTrue="1">
      <formula>IF(OR($M$8="en juego",$M$8="hoy!"),1,0)</formula>
    </cfRule>
  </conditionalFormatting>
  <conditionalFormatting sqref="C10:N10">
    <cfRule type="expression" dxfId="207" priority="14" stopIfTrue="1">
      <formula>IF(OR($M$10="en juego",$M$10="hoy!"),1,0)</formula>
    </cfRule>
  </conditionalFormatting>
  <conditionalFormatting sqref="C11:N11">
    <cfRule type="expression" dxfId="206" priority="15" stopIfTrue="1">
      <formula>IF(OR($M$11="en juego",$M$11="hoy!"),1,0)</formula>
    </cfRule>
  </conditionalFormatting>
  <conditionalFormatting sqref="D6:D11 F6:F11">
    <cfRule type="colorScale" priority="9">
      <colorScale>
        <cfvo type="num" val="0"/>
        <cfvo type="num" val="10"/>
        <color theme="9" tint="0.59999389629810485"/>
        <color theme="9" tint="0.59999389629810485"/>
      </colorScale>
    </cfRule>
  </conditionalFormatting>
  <conditionalFormatting sqref="G17:G18">
    <cfRule type="expression" dxfId="205" priority="5" stopIfTrue="1">
      <formula>IF(AND($I$17=3,$I$18=3,$I$19=3,$I$20=3),1,0)</formula>
    </cfRule>
  </conditionalFormatting>
  <conditionalFormatting sqref="H17:P18">
    <cfRule type="expression" dxfId="203" priority="16" stopIfTrue="1">
      <formula>IF(AND($I$17=3,$I$18=3,$I$19=3,$I$20=3),1,0)</formula>
    </cfRule>
  </conditionalFormatting>
  <conditionalFormatting sqref="H19:P19">
    <cfRule type="expression" dxfId="202" priority="3">
      <formula>$G$19="Avanza como Mejor tercero: --&gt; "</formula>
    </cfRule>
  </conditionalFormatting>
  <conditionalFormatting sqref="I9:J9">
    <cfRule type="expression" dxfId="201" priority="8" stopIfTrue="1">
      <formula>IF(OR($M$8="en juego",$M$8="hoy!"),1,0)</formula>
    </cfRule>
  </conditionalFormatting>
  <conditionalFormatting sqref="K9:N9">
    <cfRule type="expression" dxfId="200" priority="7" stopIfTrue="1">
      <formula>IF(OR($M$9="en juego",$M$9="hoy!"),1,0)</formula>
    </cfRule>
  </conditionalFormatting>
  <dataValidations count="1">
    <dataValidation type="whole" allowBlank="1" showErrorMessage="1" errorTitle="Dato no válido" error="Ingrese sólo un número entero_x000a_entre 0 y 99." sqref="D6:D11 F6:F11" xr:uid="{FA151699-52B9-4872-A12D-1251ED200200}">
      <formula1>0</formula1>
      <formula2>99</formula2>
    </dataValidation>
  </dataValidations>
  <pageMargins left="0.75" right="0.75" top="1" bottom="1" header="0" footer="0"/>
  <pageSetup paperSize="9" scale="56"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30CF7B8C-C7C9-446E-81E1-2EE7713CBC1A}">
            <xm:f>'- 3ros -'!$H$16=144</xm:f>
            <x14:dxf>
              <font>
                <color rgb="FF993300"/>
              </font>
            </x14:dxf>
          </x14:cfRule>
          <xm:sqref>G19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BADA-298F-4684-9234-D6E8EB293DCD}">
  <sheetPr codeName="Hoja27">
    <pageSetUpPr fitToPage="1"/>
  </sheetPr>
  <dimension ref="A1:AC29"/>
  <sheetViews>
    <sheetView showGridLines="0" showRowColHeaders="0" showOutlineSymbols="0" zoomScale="95" zoomScaleNormal="95" workbookViewId="0">
      <selection activeCell="D7" sqref="D7"/>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9" s="32" customFormat="1" ht="20.100000000000001" customHeight="1" x14ac:dyDescent="0.2">
      <c r="B1" s="404" t="s">
        <v>152</v>
      </c>
      <c r="C1" s="404"/>
      <c r="D1" s="404"/>
      <c r="E1" s="404"/>
      <c r="F1" s="404"/>
      <c r="G1" s="404"/>
      <c r="H1" s="404"/>
      <c r="I1" s="404"/>
      <c r="J1" s="404"/>
      <c r="K1" s="404"/>
      <c r="L1" s="404"/>
      <c r="M1" s="404"/>
      <c r="N1" s="404"/>
      <c r="O1" s="404"/>
      <c r="P1" s="404"/>
      <c r="Q1" s="404"/>
      <c r="R1" s="404"/>
      <c r="S1" s="404"/>
      <c r="T1" s="404"/>
      <c r="U1" s="31"/>
    </row>
    <row r="2" spans="2:29"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9" ht="12.75" customHeight="1" x14ac:dyDescent="0.2">
      <c r="G3" s="242"/>
      <c r="M3" s="87"/>
      <c r="N3" s="87"/>
      <c r="R3" s="130"/>
    </row>
    <row r="4" spans="2:29" ht="12.75" customHeight="1" x14ac:dyDescent="0.2">
      <c r="C4" s="424" t="s">
        <v>3</v>
      </c>
      <c r="D4" s="425"/>
      <c r="E4" s="425"/>
      <c r="F4" s="425"/>
      <c r="G4" s="425"/>
      <c r="H4" s="425"/>
      <c r="I4" s="425"/>
      <c r="J4" s="425"/>
      <c r="K4" s="425"/>
      <c r="L4" s="425"/>
      <c r="M4" s="425"/>
      <c r="N4" s="426"/>
      <c r="Q4" s="431" t="s">
        <v>267</v>
      </c>
      <c r="R4" s="432"/>
      <c r="S4" s="432"/>
      <c r="T4" s="433"/>
    </row>
    <row r="5" spans="2:29" ht="12.75" customHeight="1" x14ac:dyDescent="0.2">
      <c r="C5" s="72"/>
      <c r="D5" s="72"/>
      <c r="E5" s="72"/>
      <c r="F5" s="72"/>
      <c r="G5" s="243"/>
      <c r="H5" s="77" t="s">
        <v>76</v>
      </c>
      <c r="I5" s="414" t="s">
        <v>11</v>
      </c>
      <c r="J5" s="414"/>
      <c r="K5" s="414" t="s">
        <v>36</v>
      </c>
      <c r="L5" s="414"/>
      <c r="M5" s="414" t="s">
        <v>22</v>
      </c>
      <c r="N5" s="414"/>
      <c r="Q5" s="434"/>
      <c r="R5" s="435"/>
      <c r="S5" s="435"/>
      <c r="T5" s="436"/>
    </row>
    <row r="6" spans="2:29" ht="12.75" customHeight="1" x14ac:dyDescent="0.2">
      <c r="B6" s="73" t="str">
        <f t="shared" ref="B6:B11" ca="1" si="0">IF(OR(M6="finalizado",M6="en juego",M6="hoy!"),"Ø","")</f>
        <v/>
      </c>
      <c r="C6" s="88" t="str">
        <f>IF(R7&lt;&gt;"",R7,"")</f>
        <v>Inglaterra</v>
      </c>
      <c r="D6" s="324">
        <v>1</v>
      </c>
      <c r="E6" s="91" t="s">
        <v>4</v>
      </c>
      <c r="F6" s="324">
        <v>0</v>
      </c>
      <c r="G6" s="94" t="str">
        <f>IF(R9&lt;&gt;"",R9,"")</f>
        <v>Croacia</v>
      </c>
      <c r="H6" s="138" t="s">
        <v>176</v>
      </c>
      <c r="I6" s="427">
        <v>46190</v>
      </c>
      <c r="J6" s="427"/>
      <c r="K6" s="428">
        <v>0.625</v>
      </c>
      <c r="L6" s="428"/>
      <c r="M6" s="429" t="str">
        <f t="shared" ref="M6:M11" ca="1" si="1">IF(OR(I6="",K6="",I6&lt;$R$24),"",IF(I6=$R$24,IF(AND(K6&lt;=$S$26,$S$26&lt;=(K6+0.08333333333)),"en juego",IF($S$26&lt;K6,"hoy!","finalizado")),IF($R$24&gt;I6,"finalizado","")))</f>
        <v/>
      </c>
      <c r="N6" s="430"/>
      <c r="O6" s="13"/>
      <c r="P6" s="13"/>
      <c r="Q6" s="13"/>
      <c r="R6" s="131"/>
      <c r="S6" s="13"/>
      <c r="T6" s="13"/>
    </row>
    <row r="7" spans="2:29" ht="12.75" customHeight="1" x14ac:dyDescent="0.35">
      <c r="B7" s="73" t="str">
        <f t="shared" ca="1" si="0"/>
        <v/>
      </c>
      <c r="C7" s="89" t="str">
        <f>IF(R11&lt;&gt;"",R11,"")</f>
        <v>Ghana</v>
      </c>
      <c r="D7" s="325">
        <v>1</v>
      </c>
      <c r="E7" s="92" t="s">
        <v>4</v>
      </c>
      <c r="F7" s="325">
        <v>0</v>
      </c>
      <c r="G7" s="95" t="str">
        <f>IF(R13&lt;&gt;"",R13,"")</f>
        <v>Panamá</v>
      </c>
      <c r="H7" s="139" t="s">
        <v>169</v>
      </c>
      <c r="I7" s="420">
        <v>46190</v>
      </c>
      <c r="J7" s="420"/>
      <c r="K7" s="423">
        <v>0.75</v>
      </c>
      <c r="L7" s="423"/>
      <c r="M7" s="421" t="str">
        <f t="shared" ca="1" si="1"/>
        <v/>
      </c>
      <c r="N7" s="422"/>
      <c r="O7" s="78"/>
      <c r="P7" s="79"/>
      <c r="Q7" s="113"/>
      <c r="R7" s="438" t="s">
        <v>163</v>
      </c>
      <c r="S7" s="438"/>
      <c r="T7" s="114"/>
    </row>
    <row r="8" spans="2:29" ht="12.75" customHeight="1" x14ac:dyDescent="0.4">
      <c r="B8" s="73" t="str">
        <f t="shared" ca="1" si="0"/>
        <v/>
      </c>
      <c r="C8" s="89" t="str">
        <f>IF(R7&lt;&gt;"",R7,"")</f>
        <v>Inglaterra</v>
      </c>
      <c r="D8" s="325">
        <v>2</v>
      </c>
      <c r="E8" s="92" t="s">
        <v>4</v>
      </c>
      <c r="F8" s="325">
        <v>0</v>
      </c>
      <c r="G8" s="95" t="str">
        <f>IF(R11&lt;&gt;"",R11,"")</f>
        <v>Ghana</v>
      </c>
      <c r="H8" s="139" t="s">
        <v>173</v>
      </c>
      <c r="I8" s="420">
        <v>46196</v>
      </c>
      <c r="J8" s="420"/>
      <c r="K8" s="423">
        <v>0.625</v>
      </c>
      <c r="L8" s="423"/>
      <c r="M8" s="421" t="str">
        <f t="shared" ca="1" si="1"/>
        <v/>
      </c>
      <c r="N8" s="422"/>
      <c r="O8" s="80"/>
      <c r="P8" s="81"/>
      <c r="Q8" s="13"/>
      <c r="R8" s="132"/>
      <c r="S8" s="125"/>
      <c r="T8" s="13"/>
    </row>
    <row r="9" spans="2:29" ht="12.75" customHeight="1" x14ac:dyDescent="0.2">
      <c r="B9" s="73" t="str">
        <f t="shared" ca="1" si="0"/>
        <v/>
      </c>
      <c r="C9" s="89" t="str">
        <f>IF(R13&lt;&gt;"",R13,"")</f>
        <v>Panamá</v>
      </c>
      <c r="D9" s="325">
        <v>1</v>
      </c>
      <c r="E9" s="92" t="s">
        <v>4</v>
      </c>
      <c r="F9" s="325">
        <v>3</v>
      </c>
      <c r="G9" s="95" t="str">
        <f>IF(R9&lt;&gt;"",R9,"")</f>
        <v>Croacia</v>
      </c>
      <c r="H9" s="139" t="s">
        <v>169</v>
      </c>
      <c r="I9" s="420">
        <v>46196</v>
      </c>
      <c r="J9" s="420"/>
      <c r="K9" s="423">
        <v>0.75</v>
      </c>
      <c r="L9" s="423"/>
      <c r="M9" s="421" t="str">
        <f t="shared" ca="1" si="1"/>
        <v/>
      </c>
      <c r="N9" s="422"/>
      <c r="O9" s="13"/>
      <c r="P9" s="13"/>
      <c r="Q9" s="113"/>
      <c r="R9" s="438" t="s">
        <v>164</v>
      </c>
      <c r="S9" s="438"/>
      <c r="T9" s="114"/>
    </row>
    <row r="10" spans="2:29" ht="12.75" customHeight="1" x14ac:dyDescent="0.2">
      <c r="B10" s="73" t="str">
        <f t="shared" ca="1" si="0"/>
        <v/>
      </c>
      <c r="C10" s="89" t="str">
        <f>IF(R13&lt;&gt;"",R13,"")</f>
        <v>Panamá</v>
      </c>
      <c r="D10" s="325">
        <v>0</v>
      </c>
      <c r="E10" s="92" t="s">
        <v>4</v>
      </c>
      <c r="F10" s="325">
        <v>3</v>
      </c>
      <c r="G10" s="95" t="str">
        <f>IF(R7&lt;&gt;"",R7,"")</f>
        <v>Inglaterra</v>
      </c>
      <c r="H10" s="139" t="s">
        <v>172</v>
      </c>
      <c r="I10" s="420">
        <v>46200</v>
      </c>
      <c r="J10" s="420"/>
      <c r="K10" s="423">
        <v>0.66666666666666663</v>
      </c>
      <c r="L10" s="423"/>
      <c r="M10" s="421" t="str">
        <f t="shared" ca="1" si="1"/>
        <v/>
      </c>
      <c r="N10" s="422"/>
      <c r="O10" s="13"/>
      <c r="P10" s="13"/>
      <c r="Q10" s="13"/>
      <c r="R10" s="132"/>
      <c r="S10" s="125"/>
      <c r="T10" s="13"/>
    </row>
    <row r="11" spans="2:29" ht="12.75" customHeight="1" x14ac:dyDescent="0.2">
      <c r="B11" s="73" t="str">
        <f t="shared" ca="1" si="0"/>
        <v/>
      </c>
      <c r="C11" s="90" t="str">
        <f>IF(R9&lt;&gt;"",R9,"")</f>
        <v>Croacia</v>
      </c>
      <c r="D11" s="326">
        <v>2</v>
      </c>
      <c r="E11" s="93" t="s">
        <v>4</v>
      </c>
      <c r="F11" s="326">
        <v>1</v>
      </c>
      <c r="G11" s="96" t="str">
        <f>IF(R11&lt;&gt;"",R11,"")</f>
        <v>Ghana</v>
      </c>
      <c r="H11" s="140" t="s">
        <v>177</v>
      </c>
      <c r="I11" s="420">
        <v>46200</v>
      </c>
      <c r="J11" s="420"/>
      <c r="K11" s="423">
        <v>0.66666666666666663</v>
      </c>
      <c r="L11" s="423"/>
      <c r="M11" s="421" t="str">
        <f t="shared" ca="1" si="1"/>
        <v/>
      </c>
      <c r="N11" s="422"/>
      <c r="O11" s="13"/>
      <c r="P11" s="13"/>
      <c r="Q11" s="113"/>
      <c r="R11" s="438" t="s">
        <v>165</v>
      </c>
      <c r="S11" s="438"/>
      <c r="T11" s="114"/>
    </row>
    <row r="12" spans="2:29" ht="12.75" customHeight="1" x14ac:dyDescent="0.2">
      <c r="C12" s="74"/>
      <c r="D12" s="86"/>
      <c r="E12" s="76"/>
      <c r="F12" s="86"/>
      <c r="G12" s="13"/>
      <c r="H12" s="82"/>
      <c r="I12" s="76"/>
      <c r="J12" s="83"/>
      <c r="K12" s="245"/>
      <c r="L12" s="244"/>
      <c r="M12" s="85"/>
      <c r="N12" s="85"/>
      <c r="O12" s="13"/>
      <c r="P12" s="13"/>
      <c r="Q12" s="13"/>
      <c r="R12" s="132"/>
      <c r="S12" s="125"/>
      <c r="T12" s="13"/>
    </row>
    <row r="13" spans="2:29" ht="12.75" customHeight="1" x14ac:dyDescent="0.2">
      <c r="C13" s="75" t="str">
        <f>IF(OR(menu!$D$4="",menu!$D$6=""),"Atencion !  Aun te falta poner tu nombre y Pais en la hoja INICIO","")</f>
        <v/>
      </c>
      <c r="D13" s="86"/>
      <c r="E13" s="76"/>
      <c r="F13" s="86"/>
      <c r="G13" s="13"/>
      <c r="H13" s="82"/>
      <c r="I13" s="76"/>
      <c r="J13" s="76"/>
      <c r="K13" s="245"/>
      <c r="L13" s="84"/>
      <c r="M13" s="85"/>
      <c r="N13" s="85"/>
      <c r="O13" s="13"/>
      <c r="P13" s="13"/>
      <c r="Q13" s="113"/>
      <c r="R13" s="438" t="s">
        <v>166</v>
      </c>
      <c r="S13" s="438"/>
      <c r="T13" s="114"/>
      <c r="AC13" s="142"/>
    </row>
    <row r="14" spans="2:29" ht="12.75" customHeight="1" x14ac:dyDescent="0.2">
      <c r="C14" s="74"/>
      <c r="D14" s="86"/>
      <c r="E14" s="76"/>
      <c r="F14" s="86"/>
      <c r="G14" s="13"/>
      <c r="H14" s="82"/>
      <c r="I14" s="76"/>
      <c r="J14" s="76"/>
      <c r="K14" s="246"/>
      <c r="L14" s="84"/>
      <c r="M14" s="85"/>
      <c r="N14" s="85"/>
      <c r="O14" s="13"/>
      <c r="P14" s="13"/>
      <c r="Q14" s="13"/>
      <c r="R14" s="133"/>
      <c r="S14" s="126"/>
      <c r="T14" s="13"/>
    </row>
    <row r="15" spans="2:29" ht="12.75" customHeight="1" x14ac:dyDescent="0.2">
      <c r="C15" s="13"/>
      <c r="D15" s="13"/>
      <c r="E15" s="13"/>
      <c r="F15" s="13"/>
      <c r="G15" s="13"/>
      <c r="H15" s="439" t="s">
        <v>12</v>
      </c>
      <c r="I15" s="440"/>
      <c r="J15" s="440"/>
      <c r="K15" s="441"/>
      <c r="L15" s="440"/>
      <c r="M15" s="440"/>
      <c r="N15" s="440"/>
      <c r="O15" s="440"/>
      <c r="P15" s="442"/>
      <c r="Q15" s="13"/>
      <c r="R15" s="131"/>
      <c r="S15" s="13"/>
      <c r="T15" s="13"/>
    </row>
    <row r="16" spans="2:29" ht="12.75" customHeight="1" x14ac:dyDescent="0.2">
      <c r="C16" s="13"/>
      <c r="D16" s="13"/>
      <c r="E16" s="13"/>
      <c r="F16" s="13"/>
      <c r="G16" s="13"/>
      <c r="H16" s="16"/>
      <c r="I16" s="103" t="s">
        <v>13</v>
      </c>
      <c r="J16" s="103" t="s">
        <v>14</v>
      </c>
      <c r="K16" s="103" t="s">
        <v>15</v>
      </c>
      <c r="L16" s="103" t="s">
        <v>16</v>
      </c>
      <c r="M16" s="103" t="s">
        <v>17</v>
      </c>
      <c r="N16" s="103" t="s">
        <v>18</v>
      </c>
      <c r="O16" s="103" t="s">
        <v>19</v>
      </c>
      <c r="P16" s="103" t="s">
        <v>20</v>
      </c>
      <c r="Q16" s="13"/>
      <c r="R16" s="131"/>
      <c r="S16" s="13"/>
      <c r="T16" s="13"/>
    </row>
    <row r="17" spans="2:22" ht="12.75" customHeight="1" x14ac:dyDescent="0.2">
      <c r="C17" s="13"/>
      <c r="D17" s="13"/>
      <c r="E17" s="13"/>
      <c r="F17" s="13"/>
      <c r="G17" s="112" t="s">
        <v>228</v>
      </c>
      <c r="H17" s="351" t="str">
        <f>calculoL!F37</f>
        <v>Inglaterra</v>
      </c>
      <c r="I17" s="116">
        <f>calculoL!G37</f>
        <v>3</v>
      </c>
      <c r="J17" s="116">
        <f>calculoL!H37</f>
        <v>3</v>
      </c>
      <c r="K17" s="116">
        <f>calculoL!I37</f>
        <v>0</v>
      </c>
      <c r="L17" s="116">
        <f>calculoL!J37</f>
        <v>0</v>
      </c>
      <c r="M17" s="116">
        <f>calculoL!K37</f>
        <v>6</v>
      </c>
      <c r="N17" s="116">
        <f>calculoL!L37</f>
        <v>0</v>
      </c>
      <c r="O17" s="116">
        <f>M17-N17</f>
        <v>6</v>
      </c>
      <c r="P17" s="117">
        <f>calculoL!M37</f>
        <v>9</v>
      </c>
      <c r="Q17" s="104"/>
      <c r="R17" s="134"/>
      <c r="S17" s="99"/>
      <c r="T17" s="99"/>
    </row>
    <row r="18" spans="2:22" ht="12.75" customHeight="1" x14ac:dyDescent="0.2">
      <c r="C18" s="13"/>
      <c r="D18" s="13"/>
      <c r="E18" s="13"/>
      <c r="F18" s="13"/>
      <c r="G18" s="112" t="s">
        <v>228</v>
      </c>
      <c r="H18" s="352" t="str">
        <f>calculoL!F38</f>
        <v>Croacia</v>
      </c>
      <c r="I18" s="119">
        <f>calculoL!G38</f>
        <v>3</v>
      </c>
      <c r="J18" s="119">
        <f>calculoL!H38</f>
        <v>2</v>
      </c>
      <c r="K18" s="119">
        <f>calculoL!I38</f>
        <v>0</v>
      </c>
      <c r="L18" s="119">
        <f>calculoL!J38</f>
        <v>1</v>
      </c>
      <c r="M18" s="119">
        <f>calculoL!K38</f>
        <v>5</v>
      </c>
      <c r="N18" s="119">
        <f>calculoL!L38</f>
        <v>3</v>
      </c>
      <c r="O18" s="119">
        <f>M18-N18</f>
        <v>2</v>
      </c>
      <c r="P18" s="120">
        <f>calculoL!M38</f>
        <v>6</v>
      </c>
      <c r="Q18" s="104"/>
      <c r="R18" s="134"/>
      <c r="S18" s="99"/>
      <c r="T18" s="99"/>
    </row>
    <row r="19" spans="2:22" ht="12.75" customHeight="1" x14ac:dyDescent="0.2">
      <c r="C19" s="13"/>
      <c r="D19" s="13"/>
      <c r="E19" s="13"/>
      <c r="F19" s="13"/>
      <c r="G19" s="112" t="str">
        <f>IF('- 3ros -'!$H$16=144,IF(VLOOKUP(H19,mejores3!$C$21:$T$32,18,0)=1,"Avanza como Mejor tercero: --&gt; ",""),"")</f>
        <v/>
      </c>
      <c r="H19" s="121" t="str">
        <f>calculoL!F39</f>
        <v>Ghana</v>
      </c>
      <c r="I19" s="119">
        <f>calculoL!G39</f>
        <v>3</v>
      </c>
      <c r="J19" s="119">
        <f>calculoL!H39</f>
        <v>1</v>
      </c>
      <c r="K19" s="119">
        <f>calculoL!I39</f>
        <v>0</v>
      </c>
      <c r="L19" s="119">
        <f>calculoL!J39</f>
        <v>2</v>
      </c>
      <c r="M19" s="119">
        <f>calculoL!K39</f>
        <v>2</v>
      </c>
      <c r="N19" s="119">
        <f>calculoL!L39</f>
        <v>4</v>
      </c>
      <c r="O19" s="119">
        <f>M19-N19</f>
        <v>-2</v>
      </c>
      <c r="P19" s="120">
        <f>calculoL!M39</f>
        <v>3</v>
      </c>
      <c r="Q19" s="105"/>
      <c r="R19" s="134"/>
      <c r="S19" s="99"/>
      <c r="T19" s="99"/>
    </row>
    <row r="20" spans="2:22" ht="12.75" customHeight="1" x14ac:dyDescent="0.2">
      <c r="C20" s="13"/>
      <c r="D20" s="13"/>
      <c r="E20" s="13"/>
      <c r="F20" s="13"/>
      <c r="G20" s="99"/>
      <c r="H20" s="122" t="str">
        <f>calculoL!F40</f>
        <v>Panamá</v>
      </c>
      <c r="I20" s="123">
        <f>calculoL!G40</f>
        <v>3</v>
      </c>
      <c r="J20" s="123">
        <f>calculoL!H40</f>
        <v>0</v>
      </c>
      <c r="K20" s="123">
        <f>calculoL!I40</f>
        <v>0</v>
      </c>
      <c r="L20" s="123">
        <f>calculoL!J40</f>
        <v>3</v>
      </c>
      <c r="M20" s="123">
        <f>calculoL!K40</f>
        <v>1</v>
      </c>
      <c r="N20" s="123">
        <f>calculoL!L40</f>
        <v>7</v>
      </c>
      <c r="O20" s="123">
        <f>M20-N20</f>
        <v>-6</v>
      </c>
      <c r="P20" s="124">
        <f>calculoL!M40</f>
        <v>0</v>
      </c>
      <c r="Q20" s="105"/>
      <c r="R20" s="135"/>
      <c r="S20" s="105"/>
      <c r="T20" s="105"/>
    </row>
    <row r="21" spans="2:22" ht="12.75" customHeight="1" x14ac:dyDescent="0.2">
      <c r="C21" s="13"/>
      <c r="D21" s="13"/>
      <c r="E21" s="13"/>
      <c r="F21" s="13"/>
      <c r="G21" s="13"/>
      <c r="H21" s="13"/>
      <c r="I21" s="111">
        <f>SUM(I17:I20)</f>
        <v>12</v>
      </c>
      <c r="J21" s="13"/>
      <c r="K21" s="13"/>
      <c r="L21" s="13"/>
      <c r="M21" s="13"/>
      <c r="N21" s="13"/>
      <c r="O21" s="106"/>
      <c r="P21" s="106"/>
      <c r="Q21" s="106"/>
      <c r="R21" s="136"/>
      <c r="S21" s="106"/>
      <c r="T21" s="106"/>
    </row>
    <row r="22" spans="2:22" ht="12.75" customHeight="1" x14ac:dyDescent="0.2">
      <c r="C22" s="13"/>
      <c r="D22" s="13"/>
      <c r="E22" s="13"/>
      <c r="F22" s="13"/>
      <c r="G22" s="13"/>
      <c r="H22" s="13"/>
      <c r="I22" s="13"/>
      <c r="J22" s="13"/>
      <c r="K22" s="13"/>
      <c r="L22" s="13"/>
      <c r="M22" s="13"/>
      <c r="N22" s="13"/>
      <c r="O22" s="106"/>
      <c r="P22" s="106"/>
      <c r="Q22" s="106"/>
      <c r="R22" s="136"/>
      <c r="S22" s="106"/>
      <c r="T22" s="106"/>
    </row>
    <row r="23" spans="2:22" ht="12.75" customHeight="1" x14ac:dyDescent="0.2">
      <c r="C23" s="13"/>
      <c r="D23" s="13"/>
      <c r="E23" s="13"/>
      <c r="F23" s="13"/>
      <c r="G23" s="13"/>
      <c r="H23" s="13"/>
      <c r="I23" s="13"/>
      <c r="J23" s="13"/>
      <c r="K23" s="13"/>
      <c r="L23" s="13"/>
      <c r="M23" s="13"/>
      <c r="N23" s="13"/>
      <c r="O23" s="106"/>
      <c r="P23" s="106"/>
      <c r="Q23" s="106"/>
      <c r="R23" s="137"/>
      <c r="S23" s="129"/>
      <c r="T23" s="106"/>
    </row>
    <row r="24" spans="2:22" ht="12.75" customHeight="1" x14ac:dyDescent="0.25">
      <c r="C24" s="100"/>
      <c r="D24" s="101"/>
      <c r="E24" s="13"/>
      <c r="F24" s="13"/>
      <c r="G24" s="13"/>
      <c r="H24" s="13"/>
      <c r="I24" s="13"/>
      <c r="J24" s="13"/>
      <c r="K24" s="13"/>
      <c r="L24" s="13"/>
      <c r="M24" s="13"/>
      <c r="N24" s="13"/>
      <c r="O24" s="110"/>
      <c r="P24" s="110"/>
      <c r="Q24" s="107" t="s">
        <v>21</v>
      </c>
      <c r="R24" s="127">
        <f ca="1">TODAY()</f>
        <v>46178</v>
      </c>
      <c r="S24" s="128">
        <f ca="1">NOW()</f>
        <v>46178.66106770833</v>
      </c>
      <c r="T24" s="16"/>
    </row>
    <row r="25" spans="2:22" ht="12.75" customHeight="1" x14ac:dyDescent="0.2">
      <c r="B25" s="98"/>
      <c r="C25" s="102"/>
      <c r="D25" s="102"/>
      <c r="E25" s="102"/>
      <c r="F25" s="102"/>
      <c r="G25" s="102"/>
      <c r="H25" s="102"/>
      <c r="I25" s="102"/>
      <c r="J25" s="102"/>
      <c r="K25" s="102"/>
      <c r="L25" s="102"/>
      <c r="M25" s="102"/>
      <c r="N25" s="102"/>
      <c r="O25" s="102"/>
      <c r="P25" s="102"/>
      <c r="Q25" s="102"/>
      <c r="R25" s="363">
        <f ca="1">HOUR(S24)</f>
        <v>15</v>
      </c>
      <c r="S25" s="363">
        <f ca="1">MINUTE(S24)</f>
        <v>51</v>
      </c>
      <c r="T25" s="353"/>
      <c r="U25" s="354"/>
      <c r="V25" s="354"/>
    </row>
    <row r="26" spans="2:22" ht="12.75" customHeight="1" x14ac:dyDescent="0.2">
      <c r="B26" s="98"/>
      <c r="C26" s="102"/>
      <c r="D26" s="102"/>
      <c r="E26" s="102"/>
      <c r="F26" s="102"/>
      <c r="G26" s="102"/>
      <c r="H26" s="102"/>
      <c r="I26" s="102"/>
      <c r="J26" s="102"/>
      <c r="K26" s="102"/>
      <c r="L26" s="102"/>
      <c r="M26" s="102"/>
      <c r="N26" s="102"/>
      <c r="O26" s="102"/>
      <c r="P26" s="102"/>
      <c r="Q26" s="102"/>
      <c r="R26" s="363"/>
      <c r="S26" s="363">
        <f ca="1">TIME(R25,S25,0)</f>
        <v>0.66041666666666665</v>
      </c>
      <c r="T26" s="353"/>
      <c r="U26" s="354"/>
      <c r="V26" s="354"/>
    </row>
    <row r="27" spans="2:22" x14ac:dyDescent="0.2">
      <c r="C27" s="13"/>
      <c r="D27" s="13"/>
      <c r="E27" s="13"/>
      <c r="F27" s="13"/>
      <c r="G27" s="13"/>
      <c r="H27" s="13"/>
      <c r="I27" s="13"/>
      <c r="J27" s="13"/>
      <c r="K27" s="13"/>
      <c r="L27" s="13"/>
      <c r="M27" s="13"/>
      <c r="N27" s="13"/>
      <c r="O27" s="106"/>
      <c r="P27" s="106"/>
      <c r="Q27" s="106"/>
      <c r="R27" s="390"/>
      <c r="S27" s="390"/>
      <c r="T27" s="353"/>
      <c r="U27" s="354"/>
      <c r="V27" s="354"/>
    </row>
    <row r="28" spans="2:22" x14ac:dyDescent="0.2">
      <c r="C28" s="13"/>
      <c r="D28" s="13"/>
      <c r="E28" s="13"/>
      <c r="F28" s="13"/>
      <c r="G28" s="13"/>
      <c r="H28" s="13"/>
      <c r="I28" s="13"/>
      <c r="J28" s="13"/>
      <c r="K28" s="13"/>
      <c r="L28" s="13"/>
      <c r="M28" s="13"/>
      <c r="N28" s="13"/>
      <c r="O28" s="106"/>
      <c r="P28" s="106"/>
      <c r="Q28" s="106"/>
      <c r="R28" s="394"/>
      <c r="S28" s="394"/>
      <c r="T28" s="353"/>
      <c r="U28" s="354"/>
      <c r="V28" s="354"/>
    </row>
    <row r="29" spans="2:22" x14ac:dyDescent="0.2">
      <c r="O29" s="108"/>
      <c r="P29" s="108"/>
      <c r="Q29" s="108"/>
      <c r="R29" s="109"/>
      <c r="S29" s="109"/>
      <c r="T29" s="109"/>
    </row>
  </sheetData>
  <sheetProtection algorithmName="SHA-512" hashValue="JicvpAYLes4+NlgbhsylWfH4qIyvqmXkHqL6fcIC+zp9sVIcDZvYuGFTg76kyPD6fs5UvZb2cLDgLv8fKshS0g==" saltValue="lH7y3gDthUZJ1YFXGIJMyQ==" spinCount="100000" sheet="1" objects="1" scenarios="1" selectLockedCells="1"/>
  <dataConsolidate/>
  <mergeCells count="30">
    <mergeCell ref="B1:T2"/>
    <mergeCell ref="C4:N4"/>
    <mergeCell ref="Q4:T5"/>
    <mergeCell ref="I5:J5"/>
    <mergeCell ref="K5:L5"/>
    <mergeCell ref="M5:N5"/>
    <mergeCell ref="I6:J6"/>
    <mergeCell ref="K6:L6"/>
    <mergeCell ref="M6:N6"/>
    <mergeCell ref="I7:J7"/>
    <mergeCell ref="K7:L7"/>
    <mergeCell ref="M7:N7"/>
    <mergeCell ref="R7:S7"/>
    <mergeCell ref="I8:J8"/>
    <mergeCell ref="K8:L8"/>
    <mergeCell ref="M8:N8"/>
    <mergeCell ref="I9:J9"/>
    <mergeCell ref="K9:L9"/>
    <mergeCell ref="M9:N9"/>
    <mergeCell ref="R9:S9"/>
    <mergeCell ref="R11:S11"/>
    <mergeCell ref="R13:S13"/>
    <mergeCell ref="H15:P15"/>
    <mergeCell ref="R28:S28"/>
    <mergeCell ref="I10:J10"/>
    <mergeCell ref="K10:L10"/>
    <mergeCell ref="M10:N10"/>
    <mergeCell ref="I11:J11"/>
    <mergeCell ref="K11:L11"/>
    <mergeCell ref="M11:N11"/>
  </mergeCells>
  <conditionalFormatting sqref="C9:H9">
    <cfRule type="expression" dxfId="199" priority="14" stopIfTrue="1">
      <formula>IF(OR($M$9="en juego",$M$9="hoy!"),1,0)</formula>
    </cfRule>
  </conditionalFormatting>
  <conditionalFormatting sqref="C6:N6">
    <cfRule type="expression" dxfId="198" priority="12" stopIfTrue="1">
      <formula>IF(OR($M$6="en juego",$M$6="hoy!"),1,0)</formula>
    </cfRule>
  </conditionalFormatting>
  <conditionalFormatting sqref="C7:N7">
    <cfRule type="expression" dxfId="197" priority="11" stopIfTrue="1">
      <formula>IF(OR($M$7="en juego",$M$7="hoy!"),1,0)</formula>
    </cfRule>
  </conditionalFormatting>
  <conditionalFormatting sqref="C8:N8">
    <cfRule type="expression" dxfId="196" priority="13" stopIfTrue="1">
      <formula>IF(OR($M$8="en juego",$M$8="hoy!"),1,0)</formula>
    </cfRule>
  </conditionalFormatting>
  <conditionalFormatting sqref="C10:N10">
    <cfRule type="expression" dxfId="195" priority="15" stopIfTrue="1">
      <formula>IF(OR($M$10="en juego",$M$10="hoy!"),1,0)</formula>
    </cfRule>
  </conditionalFormatting>
  <conditionalFormatting sqref="C11:N11">
    <cfRule type="expression" dxfId="194" priority="16" stopIfTrue="1">
      <formula>IF(OR($M$11="en juego",$M$11="hoy!"),1,0)</formula>
    </cfRule>
  </conditionalFormatting>
  <conditionalFormatting sqref="D6:D11 F6:F11">
    <cfRule type="colorScale" priority="10">
      <colorScale>
        <cfvo type="num" val="0"/>
        <cfvo type="num" val="10"/>
        <color theme="9" tint="0.59999389629810485"/>
        <color theme="9" tint="0.59999389629810485"/>
      </colorScale>
    </cfRule>
  </conditionalFormatting>
  <conditionalFormatting sqref="G17:G18">
    <cfRule type="expression" dxfId="193" priority="6" stopIfTrue="1">
      <formula>IF(AND($I$17=3,$I$18=3,$I$19=3,$I$20=3),1,0)</formula>
    </cfRule>
  </conditionalFormatting>
  <conditionalFormatting sqref="H17:P18">
    <cfRule type="expression" dxfId="191" priority="17" stopIfTrue="1">
      <formula>IF(AND($I$17=3,$I$18=3,$I$19=3,$I$20=3),1,0)</formula>
    </cfRule>
  </conditionalFormatting>
  <conditionalFormatting sqref="H19:P19">
    <cfRule type="expression" dxfId="190" priority="4">
      <formula>$G$19="Avanza como Mejor tercero: --&gt; "</formula>
    </cfRule>
  </conditionalFormatting>
  <conditionalFormatting sqref="I9:J9">
    <cfRule type="expression" dxfId="189" priority="9" stopIfTrue="1">
      <formula>IF(OR($M$8="en juego",$M$8="hoy!"),1,0)</formula>
    </cfRule>
  </conditionalFormatting>
  <conditionalFormatting sqref="K9:N9">
    <cfRule type="expression" dxfId="188" priority="8" stopIfTrue="1">
      <formula>IF(OR($M$9="en juego",$M$9="hoy!"),1,0)</formula>
    </cfRule>
  </conditionalFormatting>
  <dataValidations count="1">
    <dataValidation type="whole" allowBlank="1" showErrorMessage="1" errorTitle="Dato no válido" error="Ingrese sólo un número entero_x000a_entre 0 y 99." sqref="D6:D11 F6:F11" xr:uid="{9A97C15A-60C1-4384-9D9B-92970AF263AC}">
      <formula1>0</formula1>
      <formula2>99</formula2>
    </dataValidation>
  </dataValidations>
  <pageMargins left="0.75" right="0.75" top="1" bottom="1" header="0" footer="0"/>
  <pageSetup paperSize="9" scale="57" orientation="portrait" horizontalDpi="300" verticalDpi="3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1" id="{F920D23B-2518-4EB2-8041-A813F83AE01C}">
            <xm:f>'- 3ros -'!$H$16=144</xm:f>
            <x14:dxf>
              <font>
                <color rgb="FF993300"/>
              </font>
            </x14:dxf>
          </x14:cfRule>
          <xm:sqref>G19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2A8B-CD6B-4962-8331-45B952603B90}">
  <sheetPr codeName="Hoja29">
    <pageSetUpPr fitToPage="1"/>
  </sheetPr>
  <dimension ref="A1:AC37"/>
  <sheetViews>
    <sheetView showGridLines="0" showRowColHeaders="0" showOutlineSymbols="0" zoomScale="95" zoomScaleNormal="95" workbookViewId="0">
      <selection activeCell="C4" sqref="C4:N4"/>
    </sheetView>
  </sheetViews>
  <sheetFormatPr defaultColWidth="11.42578125" defaultRowHeight="12.75" x14ac:dyDescent="0.2"/>
  <cols>
    <col min="1" max="1" width="22.7109375" style="32" customWidth="1"/>
    <col min="2" max="2" width="2.7109375" style="71" customWidth="1"/>
    <col min="3" max="3" width="14.28515625" style="71" customWidth="1"/>
    <col min="4" max="4" width="3.28515625" style="71" customWidth="1"/>
    <col min="5" max="5" width="1.7109375" style="71" customWidth="1"/>
    <col min="6" max="6" width="3.42578125" style="71" customWidth="1"/>
    <col min="7" max="8" width="14.28515625" style="71" customWidth="1"/>
    <col min="9" max="13" width="3.7109375" style="71" customWidth="1"/>
    <col min="14" max="15" width="3.85546875" style="71" customWidth="1"/>
    <col min="16" max="16" width="4.7109375" style="71" customWidth="1"/>
    <col min="17" max="17" width="5.7109375" style="71" customWidth="1"/>
    <col min="18" max="19" width="7.7109375" style="71" customWidth="1"/>
    <col min="20" max="20" width="5.7109375" style="71" customWidth="1"/>
    <col min="21" max="21" width="7.7109375" style="71" customWidth="1"/>
    <col min="22" max="16384" width="11.42578125" style="71"/>
  </cols>
  <sheetData>
    <row r="1" spans="2:29" s="32" customFormat="1" ht="20.100000000000001" customHeight="1" x14ac:dyDescent="0.2">
      <c r="B1" s="404" t="s">
        <v>238</v>
      </c>
      <c r="C1" s="404"/>
      <c r="D1" s="404"/>
      <c r="E1" s="404"/>
      <c r="F1" s="404"/>
      <c r="G1" s="404"/>
      <c r="H1" s="404"/>
      <c r="I1" s="404"/>
      <c r="J1" s="404"/>
      <c r="K1" s="404"/>
      <c r="L1" s="404"/>
      <c r="M1" s="404"/>
      <c r="N1" s="404"/>
      <c r="O1" s="404"/>
      <c r="P1" s="404"/>
      <c r="Q1" s="404"/>
      <c r="R1" s="404"/>
      <c r="S1" s="404"/>
      <c r="T1" s="404"/>
      <c r="U1" s="31"/>
    </row>
    <row r="2" spans="2:29" s="32" customFormat="1" ht="20.100000000000001" customHeight="1" x14ac:dyDescent="0.2">
      <c r="B2" s="404"/>
      <c r="C2" s="404"/>
      <c r="D2" s="404"/>
      <c r="E2" s="404"/>
      <c r="F2" s="404"/>
      <c r="G2" s="404"/>
      <c r="H2" s="404"/>
      <c r="I2" s="404"/>
      <c r="J2" s="404"/>
      <c r="K2" s="404"/>
      <c r="L2" s="404"/>
      <c r="M2" s="404"/>
      <c r="N2" s="404"/>
      <c r="O2" s="404"/>
      <c r="P2" s="404"/>
      <c r="Q2" s="404"/>
      <c r="R2" s="404"/>
      <c r="S2" s="404"/>
      <c r="T2" s="404"/>
      <c r="U2" s="33"/>
    </row>
    <row r="3" spans="2:29" ht="12.75" customHeight="1" x14ac:dyDescent="0.2">
      <c r="G3" s="242"/>
      <c r="M3" s="87"/>
      <c r="N3" s="87"/>
      <c r="R3" s="130"/>
    </row>
    <row r="4" spans="2:29" ht="12.75" customHeight="1" x14ac:dyDescent="0.2">
      <c r="C4" s="405" t="s">
        <v>335</v>
      </c>
      <c r="D4" s="406"/>
      <c r="E4" s="406"/>
      <c r="F4" s="406"/>
      <c r="G4" s="406"/>
      <c r="H4" s="406"/>
      <c r="I4" s="406"/>
      <c r="J4" s="406"/>
      <c r="K4" s="406"/>
      <c r="L4" s="406"/>
      <c r="M4" s="406"/>
      <c r="N4" s="407"/>
      <c r="Q4" s="408" t="s">
        <v>269</v>
      </c>
      <c r="R4" s="409"/>
      <c r="S4" s="409"/>
      <c r="T4" s="410"/>
    </row>
    <row r="5" spans="2:29" ht="12.75" customHeight="1" x14ac:dyDescent="0.2">
      <c r="C5" s="72"/>
      <c r="D5" s="72"/>
      <c r="E5" s="72"/>
      <c r="F5" s="72"/>
      <c r="G5" s="243"/>
      <c r="H5" s="77"/>
      <c r="I5" s="414"/>
      <c r="J5" s="414"/>
      <c r="K5" s="414"/>
      <c r="L5" s="414"/>
      <c r="M5" s="414"/>
      <c r="N5" s="414"/>
      <c r="Q5" s="411"/>
      <c r="R5" s="412"/>
      <c r="S5" s="412"/>
      <c r="T5" s="413"/>
    </row>
    <row r="6" spans="2:29" ht="12.75" customHeight="1" x14ac:dyDescent="0.2">
      <c r="B6" s="73" t="str">
        <f t="shared" ref="B6:B11" si="0">IF(OR(M6="finalizado",M6="en juego",M6="hoy!"),"Ø","")</f>
        <v/>
      </c>
      <c r="C6" s="395" t="s">
        <v>253</v>
      </c>
      <c r="D6" s="396"/>
      <c r="E6" s="396"/>
      <c r="F6" s="396"/>
      <c r="G6" s="396"/>
      <c r="H6" s="396"/>
      <c r="I6" s="396"/>
      <c r="J6" s="396"/>
      <c r="K6" s="396"/>
      <c r="L6" s="396"/>
      <c r="M6" s="396"/>
      <c r="N6" s="397"/>
      <c r="O6" s="13"/>
      <c r="P6" s="13"/>
      <c r="Q6" s="13"/>
      <c r="R6" s="131"/>
      <c r="S6" s="13"/>
      <c r="T6" s="13"/>
    </row>
    <row r="7" spans="2:29" ht="12.75" customHeight="1" x14ac:dyDescent="0.35">
      <c r="B7" s="73" t="str">
        <f t="shared" si="0"/>
        <v/>
      </c>
      <c r="C7" s="398"/>
      <c r="D7" s="399"/>
      <c r="E7" s="399"/>
      <c r="F7" s="399"/>
      <c r="G7" s="399"/>
      <c r="H7" s="399"/>
      <c r="I7" s="399"/>
      <c r="J7" s="399"/>
      <c r="K7" s="399"/>
      <c r="L7" s="399"/>
      <c r="M7" s="399"/>
      <c r="N7" s="400"/>
      <c r="O7" s="78"/>
      <c r="P7" s="79"/>
      <c r="Q7" s="13"/>
      <c r="R7" s="132"/>
      <c r="S7" s="125"/>
      <c r="T7" s="13"/>
    </row>
    <row r="8" spans="2:29" ht="12.75" customHeight="1" x14ac:dyDescent="0.4">
      <c r="B8" s="73" t="str">
        <f t="shared" si="0"/>
        <v/>
      </c>
      <c r="C8" s="398"/>
      <c r="D8" s="399"/>
      <c r="E8" s="399"/>
      <c r="F8" s="399"/>
      <c r="G8" s="399"/>
      <c r="H8" s="399"/>
      <c r="I8" s="399"/>
      <c r="J8" s="399"/>
      <c r="K8" s="399"/>
      <c r="L8" s="399"/>
      <c r="M8" s="399"/>
      <c r="N8" s="400"/>
      <c r="O8" s="80"/>
      <c r="P8" s="81"/>
      <c r="Q8" s="13"/>
      <c r="R8" s="132"/>
      <c r="S8" s="125"/>
      <c r="T8" s="13"/>
    </row>
    <row r="9" spans="2:29" ht="12.75" customHeight="1" x14ac:dyDescent="0.2">
      <c r="B9" s="73" t="str">
        <f t="shared" si="0"/>
        <v/>
      </c>
      <c r="C9" s="398"/>
      <c r="D9" s="399"/>
      <c r="E9" s="399"/>
      <c r="F9" s="399"/>
      <c r="G9" s="399"/>
      <c r="H9" s="399"/>
      <c r="I9" s="399"/>
      <c r="J9" s="399"/>
      <c r="K9" s="399"/>
      <c r="L9" s="399"/>
      <c r="M9" s="399"/>
      <c r="N9" s="400"/>
      <c r="O9" s="13"/>
      <c r="P9" s="13"/>
      <c r="Q9" s="13"/>
      <c r="R9" s="132"/>
      <c r="S9" s="125"/>
      <c r="T9" s="13"/>
    </row>
    <row r="10" spans="2:29" ht="12.75" customHeight="1" x14ac:dyDescent="0.2">
      <c r="B10" s="73" t="str">
        <f t="shared" si="0"/>
        <v/>
      </c>
      <c r="C10" s="398"/>
      <c r="D10" s="399"/>
      <c r="E10" s="399"/>
      <c r="F10" s="399"/>
      <c r="G10" s="399"/>
      <c r="H10" s="399"/>
      <c r="I10" s="399"/>
      <c r="J10" s="399"/>
      <c r="K10" s="399"/>
      <c r="L10" s="399"/>
      <c r="M10" s="399"/>
      <c r="N10" s="400"/>
      <c r="O10" s="13"/>
      <c r="P10" s="13"/>
      <c r="Q10" s="13"/>
      <c r="R10" s="132"/>
      <c r="S10" s="125"/>
      <c r="T10" s="13"/>
    </row>
    <row r="11" spans="2:29" ht="12.75" customHeight="1" x14ac:dyDescent="0.2">
      <c r="B11" s="73" t="str">
        <f t="shared" si="0"/>
        <v/>
      </c>
      <c r="C11" s="401"/>
      <c r="D11" s="402"/>
      <c r="E11" s="402"/>
      <c r="F11" s="402"/>
      <c r="G11" s="402"/>
      <c r="H11" s="402"/>
      <c r="I11" s="402"/>
      <c r="J11" s="402"/>
      <c r="K11" s="402"/>
      <c r="L11" s="402"/>
      <c r="M11" s="402"/>
      <c r="N11" s="403"/>
      <c r="O11" s="13"/>
      <c r="P11" s="13"/>
      <c r="Q11" s="13"/>
      <c r="R11" s="132"/>
      <c r="S11" s="125"/>
      <c r="T11" s="13"/>
    </row>
    <row r="12" spans="2:29" ht="12.75" customHeight="1" x14ac:dyDescent="0.2">
      <c r="C12" s="74"/>
      <c r="D12" s="86"/>
      <c r="E12" s="76"/>
      <c r="F12" s="86"/>
      <c r="G12" s="13"/>
      <c r="H12" s="82"/>
      <c r="I12" s="76"/>
      <c r="J12" s="83"/>
      <c r="K12" s="245"/>
      <c r="L12" s="244"/>
      <c r="M12" s="85"/>
      <c r="N12" s="85"/>
      <c r="O12" s="13"/>
      <c r="P12" s="13"/>
      <c r="Q12" s="13"/>
      <c r="R12" s="132"/>
      <c r="S12" s="125"/>
      <c r="T12" s="13"/>
    </row>
    <row r="13" spans="2:29" ht="12.75" customHeight="1" x14ac:dyDescent="0.2">
      <c r="C13" s="75" t="str">
        <f>IF(H16&lt;&gt;144,"¡ Debes completar toda la Fase de Grupos para calcular los 8 mejores Terceros !","")</f>
        <v/>
      </c>
      <c r="D13" s="86"/>
      <c r="E13" s="76"/>
      <c r="F13" s="86"/>
      <c r="G13" s="13"/>
      <c r="H13" s="82"/>
      <c r="I13" s="76"/>
      <c r="J13" s="76"/>
      <c r="K13" s="245"/>
      <c r="L13" s="84"/>
      <c r="M13" s="85"/>
      <c r="N13" s="85"/>
      <c r="O13" s="13"/>
      <c r="P13" s="13"/>
      <c r="Q13" s="13"/>
      <c r="R13" s="132"/>
      <c r="S13" s="125"/>
      <c r="T13" s="13"/>
      <c r="AC13" s="142"/>
    </row>
    <row r="14" spans="2:29" ht="12.75" customHeight="1" x14ac:dyDescent="0.2">
      <c r="C14" s="74"/>
      <c r="D14" s="86"/>
      <c r="E14" s="76"/>
      <c r="F14" s="86"/>
      <c r="G14" s="13"/>
      <c r="H14" s="82"/>
      <c r="I14" s="76"/>
      <c r="J14" s="76"/>
      <c r="K14" s="245"/>
      <c r="L14" s="84"/>
      <c r="M14" s="85"/>
      <c r="N14" s="85"/>
      <c r="O14" s="13"/>
      <c r="P14" s="13"/>
      <c r="Q14" s="13"/>
      <c r="R14" s="133"/>
      <c r="S14" s="125"/>
      <c r="T14" s="13"/>
    </row>
    <row r="15" spans="2:29" ht="12.75" customHeight="1" x14ac:dyDescent="0.2">
      <c r="C15" s="13"/>
      <c r="D15" s="13"/>
      <c r="E15" s="13"/>
      <c r="F15" s="13"/>
      <c r="G15" s="13"/>
      <c r="H15" s="391" t="s">
        <v>252</v>
      </c>
      <c r="I15" s="392"/>
      <c r="J15" s="392"/>
      <c r="K15" s="392"/>
      <c r="L15" s="392"/>
      <c r="M15" s="392"/>
      <c r="N15" s="392"/>
      <c r="O15" s="392"/>
      <c r="P15" s="393"/>
      <c r="Q15" s="13"/>
      <c r="R15" s="131"/>
      <c r="S15" s="125"/>
      <c r="T15" s="13"/>
    </row>
    <row r="16" spans="2:29" ht="12.75" customHeight="1" x14ac:dyDescent="0.2">
      <c r="C16" s="13"/>
      <c r="D16" s="13"/>
      <c r="E16" s="13"/>
      <c r="F16" s="13"/>
      <c r="G16" s="13"/>
      <c r="H16" s="111">
        <f>'16vos de Final'!F3</f>
        <v>144</v>
      </c>
      <c r="I16" s="103" t="s">
        <v>13</v>
      </c>
      <c r="J16" s="103" t="s">
        <v>14</v>
      </c>
      <c r="K16" s="103" t="s">
        <v>15</v>
      </c>
      <c r="L16" s="103" t="s">
        <v>16</v>
      </c>
      <c r="M16" s="103" t="s">
        <v>17</v>
      </c>
      <c r="N16" s="103" t="s">
        <v>18</v>
      </c>
      <c r="O16" s="103" t="s">
        <v>19</v>
      </c>
      <c r="P16" s="103" t="s">
        <v>20</v>
      </c>
      <c r="Q16" s="248" t="s">
        <v>239</v>
      </c>
      <c r="R16" s="131"/>
      <c r="S16" s="13"/>
      <c r="T16" s="14"/>
    </row>
    <row r="17" spans="3:20" ht="12.75" customHeight="1" x14ac:dyDescent="0.2">
      <c r="C17" s="13"/>
      <c r="D17" s="13"/>
      <c r="E17" s="13"/>
      <c r="F17" s="348"/>
      <c r="G17" s="322" t="s">
        <v>326</v>
      </c>
      <c r="H17" s="115" t="str">
        <f>IF($H$16=144,mejores3!C21,"")</f>
        <v>Korea</v>
      </c>
      <c r="I17" s="256">
        <f>IF($H$16=144,mejores3!E21,"")</f>
        <v>3</v>
      </c>
      <c r="J17" s="256">
        <f>IF($H$16=144,mejores3!F21,"")</f>
        <v>1</v>
      </c>
      <c r="K17" s="256">
        <f>IF($H$16=144,mejores3!G21,"")</f>
        <v>1</v>
      </c>
      <c r="L17" s="256">
        <f>IF($H$16=144,mejores3!H21,"")</f>
        <v>1</v>
      </c>
      <c r="M17" s="256">
        <f>IF($H$16=144,mejores3!I21,"")</f>
        <v>3</v>
      </c>
      <c r="N17" s="256">
        <f>IF($H$16=144,mejores3!J21,"")</f>
        <v>3</v>
      </c>
      <c r="O17" s="256">
        <f>IF($H$16=144,mejores3!K21,"")</f>
        <v>0</v>
      </c>
      <c r="P17" s="257">
        <f>IF($H$16=144,mejores3!L21,"")</f>
        <v>4</v>
      </c>
      <c r="Q17" s="260" t="str">
        <f>IF($H$16=144,mejores3!B21,"")</f>
        <v>A</v>
      </c>
      <c r="R17" s="134"/>
      <c r="S17" s="99"/>
      <c r="T17" s="323"/>
    </row>
    <row r="18" spans="3:20" ht="12.75" customHeight="1" x14ac:dyDescent="0.2">
      <c r="C18" s="13"/>
      <c r="D18" s="13"/>
      <c r="E18" s="13"/>
      <c r="F18" s="348"/>
      <c r="G18" s="322" t="s">
        <v>327</v>
      </c>
      <c r="H18" s="118" t="str">
        <f>IF($H$16=144,mejores3!C22,"")</f>
        <v>Marruecos</v>
      </c>
      <c r="I18" s="258">
        <f>IF($H$16=144,mejores3!E22,"")</f>
        <v>3</v>
      </c>
      <c r="J18" s="258">
        <f>IF($H$16=144,mejores3!F22,"")</f>
        <v>1</v>
      </c>
      <c r="K18" s="258">
        <f>IF($H$16=144,mejores3!G22,"")</f>
        <v>1</v>
      </c>
      <c r="L18" s="258">
        <f>IF($H$16=144,mejores3!H22,"")</f>
        <v>1</v>
      </c>
      <c r="M18" s="258">
        <f>IF($H$16=144,mejores3!I22,"")</f>
        <v>2</v>
      </c>
      <c r="N18" s="258">
        <f>IF($H$16=144,mejores3!J22,"")</f>
        <v>2</v>
      </c>
      <c r="O18" s="258">
        <f>IF($H$16=144,mejores3!K22,"")</f>
        <v>0</v>
      </c>
      <c r="P18" s="259">
        <f>IF($H$16=144,mejores3!L22,"")</f>
        <v>4</v>
      </c>
      <c r="Q18" s="260" t="str">
        <f>IF($H$16=144,mejores3!B22,"")</f>
        <v>C</v>
      </c>
      <c r="R18" s="134"/>
      <c r="S18" s="99"/>
      <c r="T18" s="99"/>
    </row>
    <row r="19" spans="3:20" ht="12.75" customHeight="1" x14ac:dyDescent="0.2">
      <c r="C19" s="13"/>
      <c r="D19" s="13"/>
      <c r="E19" s="13"/>
      <c r="F19" s="348"/>
      <c r="G19" s="322" t="s">
        <v>328</v>
      </c>
      <c r="H19" s="118" t="str">
        <f>IF($H$16=144,mejores3!C23,"")</f>
        <v>Irán</v>
      </c>
      <c r="I19" s="258">
        <f>IF($H$16=144,mejores3!E23,"")</f>
        <v>3</v>
      </c>
      <c r="J19" s="258">
        <f>IF($H$16=144,mejores3!F23,"")</f>
        <v>1</v>
      </c>
      <c r="K19" s="258">
        <f>IF($H$16=144,mejores3!G23,"")</f>
        <v>1</v>
      </c>
      <c r="L19" s="258">
        <f>IF($H$16=144,mejores3!H23,"")</f>
        <v>1</v>
      </c>
      <c r="M19" s="258">
        <f>IF($H$16=144,mejores3!I23,"")</f>
        <v>2</v>
      </c>
      <c r="N19" s="258">
        <f>IF($H$16=144,mejores3!J23,"")</f>
        <v>2</v>
      </c>
      <c r="O19" s="258">
        <f>IF($H$16=144,mejores3!K23,"")</f>
        <v>0</v>
      </c>
      <c r="P19" s="259">
        <f>IF($H$16=144,mejores3!L23,"")</f>
        <v>4</v>
      </c>
      <c r="Q19" s="260" t="str">
        <f>IF($H$16=144,mejores3!B23,"")</f>
        <v>G</v>
      </c>
      <c r="R19" s="134"/>
      <c r="S19" s="99"/>
      <c r="T19" s="99"/>
    </row>
    <row r="20" spans="3:20" ht="12.75" customHeight="1" x14ac:dyDescent="0.2">
      <c r="C20" s="13"/>
      <c r="D20" s="13"/>
      <c r="E20" s="13"/>
      <c r="F20" s="348"/>
      <c r="G20" s="322" t="s">
        <v>329</v>
      </c>
      <c r="H20" s="118" t="str">
        <f>IF($H$16=144,mejores3!C24,"")</f>
        <v>Senegal</v>
      </c>
      <c r="I20" s="258">
        <f>IF($H$16=144,mejores3!E24,"")</f>
        <v>3</v>
      </c>
      <c r="J20" s="258">
        <f>IF($H$16=144,mejores3!F24,"")</f>
        <v>1</v>
      </c>
      <c r="K20" s="258">
        <f>IF($H$16=144,mejores3!G24,"")</f>
        <v>1</v>
      </c>
      <c r="L20" s="258">
        <f>IF($H$16=144,mejores3!H24,"")</f>
        <v>1</v>
      </c>
      <c r="M20" s="258">
        <f>IF($H$16=144,mejores3!I24,"")</f>
        <v>3</v>
      </c>
      <c r="N20" s="258">
        <f>IF($H$16=144,mejores3!J24,"")</f>
        <v>4</v>
      </c>
      <c r="O20" s="258">
        <f>IF($H$16=144,mejores3!K24,"")</f>
        <v>-1</v>
      </c>
      <c r="P20" s="259">
        <f>IF($H$16=144,mejores3!L24,"")</f>
        <v>4</v>
      </c>
      <c r="Q20" s="260" t="str">
        <f>IF($H$16=144,mejores3!B24,"")</f>
        <v>I</v>
      </c>
      <c r="R20" s="134"/>
      <c r="S20" s="99"/>
      <c r="T20" s="99"/>
    </row>
    <row r="21" spans="3:20" ht="12.75" customHeight="1" x14ac:dyDescent="0.2">
      <c r="C21" s="13"/>
      <c r="D21" s="13"/>
      <c r="E21" s="13"/>
      <c r="F21" s="348"/>
      <c r="G21" s="322" t="s">
        <v>330</v>
      </c>
      <c r="H21" s="118" t="str">
        <f>IF($H$16=144,mejores3!C25,"")</f>
        <v>Costa de Marfil</v>
      </c>
      <c r="I21" s="258">
        <f>IF($H$16=144,mejores3!E25,"")</f>
        <v>3</v>
      </c>
      <c r="J21" s="258">
        <f>IF($H$16=144,mejores3!F25,"")</f>
        <v>1</v>
      </c>
      <c r="K21" s="258">
        <f>IF($H$16=144,mejores3!G25,"")</f>
        <v>1</v>
      </c>
      <c r="L21" s="258">
        <f>IF($H$16=144,mejores3!H25,"")</f>
        <v>1</v>
      </c>
      <c r="M21" s="258">
        <f>IF($H$16=144,mejores3!I25,"")</f>
        <v>3</v>
      </c>
      <c r="N21" s="258">
        <f>IF($H$16=144,mejores3!J25,"")</f>
        <v>5</v>
      </c>
      <c r="O21" s="258">
        <f>IF($H$16=144,mejores3!K25,"")</f>
        <v>-2</v>
      </c>
      <c r="P21" s="259">
        <f>IF($H$16=144,mejores3!L25,"")</f>
        <v>4</v>
      </c>
      <c r="Q21" s="260" t="str">
        <f>IF($H$16=144,mejores3!B25,"")</f>
        <v>E</v>
      </c>
      <c r="R21" s="134"/>
      <c r="S21" s="99"/>
      <c r="T21" s="99"/>
    </row>
    <row r="22" spans="3:20" ht="12.75" customHeight="1" x14ac:dyDescent="0.2">
      <c r="C22" s="13"/>
      <c r="D22" s="13"/>
      <c r="E22" s="13"/>
      <c r="F22" s="348"/>
      <c r="G22" s="322" t="s">
        <v>331</v>
      </c>
      <c r="H22" s="118" t="str">
        <f>IF($H$16=144,mejores3!C26,"")</f>
        <v>Paraguay</v>
      </c>
      <c r="I22" s="258">
        <f>IF($H$16=144,mejores3!E26,"")</f>
        <v>3</v>
      </c>
      <c r="J22" s="258">
        <f>IF($H$16=144,mejores3!F26,"")</f>
        <v>1</v>
      </c>
      <c r="K22" s="258">
        <f>IF($H$16=144,mejores3!G26,"")</f>
        <v>0</v>
      </c>
      <c r="L22" s="258">
        <f>IF($H$16=144,mejores3!H26,"")</f>
        <v>2</v>
      </c>
      <c r="M22" s="258">
        <f>IF($H$16=144,mejores3!I26,"")</f>
        <v>2</v>
      </c>
      <c r="N22" s="258">
        <f>IF($H$16=144,mejores3!J26,"")</f>
        <v>2</v>
      </c>
      <c r="O22" s="258">
        <f>IF($H$16=144,mejores3!K26,"")</f>
        <v>0</v>
      </c>
      <c r="P22" s="259">
        <f>IF($H$16=144,mejores3!L26,"")</f>
        <v>3</v>
      </c>
      <c r="Q22" s="260" t="str">
        <f>IF($H$16=144,mejores3!B26,"")</f>
        <v>D</v>
      </c>
      <c r="R22" s="134"/>
      <c r="S22" s="99"/>
      <c r="T22" s="99"/>
    </row>
    <row r="23" spans="3:20" ht="12.75" customHeight="1" x14ac:dyDescent="0.2">
      <c r="C23" s="13"/>
      <c r="D23" s="13"/>
      <c r="E23" s="13"/>
      <c r="F23" s="348"/>
      <c r="G23" s="322" t="s">
        <v>332</v>
      </c>
      <c r="H23" s="118" t="str">
        <f>IF($H$16=144,mejores3!C27,"")</f>
        <v>Bosnia</v>
      </c>
      <c r="I23" s="258">
        <f>IF($H$16=144,mejores3!E27,"")</f>
        <v>3</v>
      </c>
      <c r="J23" s="258">
        <f>IF($H$16=144,mejores3!F27,"")</f>
        <v>1</v>
      </c>
      <c r="K23" s="258">
        <f>IF($H$16=144,mejores3!G27,"")</f>
        <v>0</v>
      </c>
      <c r="L23" s="258">
        <f>IF($H$16=144,mejores3!H27,"")</f>
        <v>2</v>
      </c>
      <c r="M23" s="258">
        <f>IF($H$16=144,mejores3!I27,"")</f>
        <v>3</v>
      </c>
      <c r="N23" s="258">
        <f>IF($H$16=144,mejores3!J27,"")</f>
        <v>4</v>
      </c>
      <c r="O23" s="258">
        <f>IF($H$16=144,mejores3!K27,"")</f>
        <v>-1</v>
      </c>
      <c r="P23" s="259">
        <f>IF($H$16=144,mejores3!L27,"")</f>
        <v>3</v>
      </c>
      <c r="Q23" s="260" t="str">
        <f>IF($H$16=144,mejores3!B27,"")</f>
        <v>B</v>
      </c>
      <c r="R23" s="134"/>
      <c r="S23" s="99"/>
      <c r="T23" s="99"/>
    </row>
    <row r="24" spans="3:20" ht="12.75" customHeight="1" x14ac:dyDescent="0.2">
      <c r="C24" s="13"/>
      <c r="D24" s="13"/>
      <c r="E24" s="13"/>
      <c r="F24" s="348"/>
      <c r="G24" s="322" t="s">
        <v>333</v>
      </c>
      <c r="H24" s="118" t="str">
        <f>IF($H$16=144,mejores3!C28,"")</f>
        <v>Suecia</v>
      </c>
      <c r="I24" s="258">
        <f>IF($H$16=144,mejores3!E28,"")</f>
        <v>3</v>
      </c>
      <c r="J24" s="258">
        <f>IF($H$16=144,mejores3!F28,"")</f>
        <v>1</v>
      </c>
      <c r="K24" s="258">
        <f>IF($H$16=144,mejores3!G28,"")</f>
        <v>0</v>
      </c>
      <c r="L24" s="258">
        <f>IF($H$16=144,mejores3!H28,"")</f>
        <v>2</v>
      </c>
      <c r="M24" s="258">
        <f>IF($H$16=144,mejores3!I28,"")</f>
        <v>3</v>
      </c>
      <c r="N24" s="258">
        <f>IF($H$16=144,mejores3!J28,"")</f>
        <v>4</v>
      </c>
      <c r="O24" s="258">
        <f>IF($H$16=144,mejores3!K28,"")</f>
        <v>-1</v>
      </c>
      <c r="P24" s="259">
        <f>IF($H$16=144,mejores3!L28,"")</f>
        <v>3</v>
      </c>
      <c r="Q24" s="260" t="str">
        <f>IF($H$16=144,mejores3!B28,"")</f>
        <v>F</v>
      </c>
      <c r="R24" s="134"/>
      <c r="S24" s="99"/>
      <c r="T24" s="99"/>
    </row>
    <row r="25" spans="3:20" ht="12.75" customHeight="1" x14ac:dyDescent="0.2">
      <c r="C25" s="13"/>
      <c r="D25" s="13"/>
      <c r="E25" s="13"/>
      <c r="F25" s="13"/>
      <c r="G25" s="99"/>
      <c r="H25" s="261" t="str">
        <f>IF($H$16=144,mejores3!C29,"")</f>
        <v>Ghana</v>
      </c>
      <c r="I25" s="262">
        <f>IF($H$16=144,mejores3!E29,"")</f>
        <v>3</v>
      </c>
      <c r="J25" s="262">
        <f>IF($H$16=144,mejores3!F29,"")</f>
        <v>1</v>
      </c>
      <c r="K25" s="262">
        <f>IF($H$16=144,mejores3!G29,"")</f>
        <v>0</v>
      </c>
      <c r="L25" s="262">
        <f>IF($H$16=144,mejores3!H29,"")</f>
        <v>2</v>
      </c>
      <c r="M25" s="262">
        <f>IF($H$16=144,mejores3!I29,"")</f>
        <v>2</v>
      </c>
      <c r="N25" s="262">
        <f>IF($H$16=144,mejores3!J29,"")</f>
        <v>4</v>
      </c>
      <c r="O25" s="262">
        <f>IF($H$16=144,mejores3!K29,"")</f>
        <v>-2</v>
      </c>
      <c r="P25" s="263">
        <f>IF($H$16=144,mejores3!L29,"")</f>
        <v>3</v>
      </c>
      <c r="Q25" s="264" t="str">
        <f>IF($H$16=144,mejores3!B29,"")</f>
        <v>L</v>
      </c>
      <c r="R25" s="134"/>
      <c r="S25" s="99"/>
      <c r="T25" s="99"/>
    </row>
    <row r="26" spans="3:20" ht="12.75" customHeight="1" x14ac:dyDescent="0.2">
      <c r="C26" s="13"/>
      <c r="D26" s="13"/>
      <c r="E26" s="13"/>
      <c r="F26" s="13"/>
      <c r="G26" s="99"/>
      <c r="H26" s="261" t="str">
        <f>IF($H$16=144,mejores3!C30,"")</f>
        <v>RD Congo</v>
      </c>
      <c r="I26" s="262">
        <f>IF($H$16=144,mejores3!E30,"")</f>
        <v>3</v>
      </c>
      <c r="J26" s="262">
        <f>IF($H$16=144,mejores3!F30,"")</f>
        <v>1</v>
      </c>
      <c r="K26" s="262">
        <f>IF($H$16=144,mejores3!G30,"")</f>
        <v>0</v>
      </c>
      <c r="L26" s="262">
        <f>IF($H$16=144,mejores3!H30,"")</f>
        <v>2</v>
      </c>
      <c r="M26" s="262">
        <f>IF($H$16=144,mejores3!I30,"")</f>
        <v>1</v>
      </c>
      <c r="N26" s="262">
        <f>IF($H$16=144,mejores3!J30,"")</f>
        <v>6</v>
      </c>
      <c r="O26" s="262">
        <f>IF($H$16=144,mejores3!K30,"")</f>
        <v>-5</v>
      </c>
      <c r="P26" s="263">
        <f>IF($H$16=144,mejores3!L30,"")</f>
        <v>3</v>
      </c>
      <c r="Q26" s="264" t="str">
        <f>IF($H$16=144,mejores3!B30,"")</f>
        <v>K</v>
      </c>
      <c r="R26" s="134"/>
      <c r="S26" s="99"/>
      <c r="T26" s="99"/>
    </row>
    <row r="27" spans="3:20" ht="12.75" customHeight="1" x14ac:dyDescent="0.2">
      <c r="C27" s="13"/>
      <c r="D27" s="13"/>
      <c r="E27" s="13"/>
      <c r="F27" s="13"/>
      <c r="G27" s="99"/>
      <c r="H27" s="261" t="str">
        <f>IF($H$16=144,mejores3!C31,"")</f>
        <v>Cabo Verde</v>
      </c>
      <c r="I27" s="262">
        <f>IF($H$16=144,mejores3!E31,"")</f>
        <v>3</v>
      </c>
      <c r="J27" s="262">
        <f>IF($H$16=144,mejores3!F31,"")</f>
        <v>1</v>
      </c>
      <c r="K27" s="262">
        <f>IF($H$16=144,mejores3!G31,"")</f>
        <v>0</v>
      </c>
      <c r="L27" s="262">
        <f>IF($H$16=144,mejores3!H31,"")</f>
        <v>2</v>
      </c>
      <c r="M27" s="262">
        <f>IF($H$16=144,mejores3!I31,"")</f>
        <v>2</v>
      </c>
      <c r="N27" s="262">
        <f>IF($H$16=144,mejores3!J31,"")</f>
        <v>8</v>
      </c>
      <c r="O27" s="262">
        <f>IF($H$16=144,mejores3!K31,"")</f>
        <v>-6</v>
      </c>
      <c r="P27" s="263">
        <f>IF($H$16=144,mejores3!L31,"")</f>
        <v>3</v>
      </c>
      <c r="Q27" s="264" t="str">
        <f>IF($H$16=144,mejores3!B31,"")</f>
        <v>H</v>
      </c>
      <c r="R27" s="134"/>
      <c r="S27" s="99"/>
      <c r="T27" s="99"/>
    </row>
    <row r="28" spans="3:20" ht="12.75" customHeight="1" x14ac:dyDescent="0.2">
      <c r="C28" s="13"/>
      <c r="D28" s="13"/>
      <c r="E28" s="13"/>
      <c r="F28" s="13"/>
      <c r="G28" s="99"/>
      <c r="H28" s="265" t="str">
        <f>IF($H$16=144,mejores3!C32,"")</f>
        <v>Jordania</v>
      </c>
      <c r="I28" s="266">
        <f>IF($H$16=144,mejores3!E32,"")</f>
        <v>3</v>
      </c>
      <c r="J28" s="266">
        <f>IF($H$16=144,mejores3!F32,"")</f>
        <v>0</v>
      </c>
      <c r="K28" s="266">
        <f>IF($H$16=144,mejores3!G32,"")</f>
        <v>1</v>
      </c>
      <c r="L28" s="266">
        <f>IF($H$16=144,mejores3!H32,"")</f>
        <v>2</v>
      </c>
      <c r="M28" s="266">
        <f>IF($H$16=144,mejores3!I32,"")</f>
        <v>3</v>
      </c>
      <c r="N28" s="266">
        <f>IF($H$16=144,mejores3!J32,"")</f>
        <v>6</v>
      </c>
      <c r="O28" s="266">
        <f>IF($H$16=144,mejores3!K32,"")</f>
        <v>-3</v>
      </c>
      <c r="P28" s="267">
        <f>IF($H$16=144,mejores3!L32,"")</f>
        <v>1</v>
      </c>
      <c r="Q28" s="264" t="str">
        <f>IF($H$16=144,mejores3!B32,"")</f>
        <v>J</v>
      </c>
      <c r="R28" s="135"/>
      <c r="S28" s="105"/>
      <c r="T28" s="105"/>
    </row>
    <row r="29" spans="3:20" ht="12.75" customHeight="1" x14ac:dyDescent="0.2">
      <c r="C29" s="13"/>
      <c r="D29" s="13"/>
      <c r="E29" s="13"/>
      <c r="F29" s="13"/>
      <c r="G29" s="13"/>
      <c r="H29" s="13"/>
      <c r="I29" s="111">
        <f>SUM(I17:I28)</f>
        <v>36</v>
      </c>
      <c r="J29" s="13"/>
      <c r="K29" s="13"/>
      <c r="L29" s="13"/>
      <c r="M29" s="13"/>
      <c r="N29" s="13"/>
      <c r="O29" s="106"/>
      <c r="P29" s="106"/>
      <c r="Q29" s="106"/>
      <c r="R29" s="136"/>
      <c r="S29" s="106"/>
      <c r="T29" s="106"/>
    </row>
    <row r="30" spans="3:20" ht="12.75" customHeight="1" x14ac:dyDescent="0.2">
      <c r="C30" s="13"/>
      <c r="D30" s="13"/>
      <c r="E30" s="13"/>
      <c r="F30" s="13"/>
      <c r="G30" s="13"/>
      <c r="H30" s="13"/>
      <c r="I30" s="13"/>
      <c r="J30" s="13"/>
      <c r="K30" s="13"/>
      <c r="L30" s="13"/>
      <c r="M30" s="13"/>
      <c r="N30" s="13"/>
      <c r="O30" s="106"/>
      <c r="P30" s="106"/>
      <c r="Q30" s="106"/>
      <c r="R30" s="136"/>
      <c r="S30" s="106"/>
      <c r="T30" s="106"/>
    </row>
    <row r="31" spans="3:20" ht="12.75" customHeight="1" x14ac:dyDescent="0.2">
      <c r="C31" s="13"/>
      <c r="D31" s="13"/>
      <c r="E31" s="13"/>
      <c r="F31" s="13"/>
      <c r="G31" s="13"/>
      <c r="H31" s="13"/>
      <c r="I31" s="13"/>
      <c r="J31" s="13"/>
      <c r="K31" s="13"/>
      <c r="L31" s="13"/>
      <c r="M31" s="13"/>
      <c r="N31" s="13"/>
      <c r="O31" s="106"/>
      <c r="P31" s="106"/>
      <c r="Q31" s="106"/>
      <c r="R31" s="137"/>
      <c r="S31" s="129"/>
      <c r="T31" s="106"/>
    </row>
    <row r="32" spans="3:20" ht="12.75" customHeight="1" x14ac:dyDescent="0.25">
      <c r="C32" s="100"/>
      <c r="D32" s="101"/>
      <c r="E32" s="13"/>
      <c r="F32" s="13"/>
      <c r="G32" s="13"/>
      <c r="H32" s="13"/>
      <c r="I32" s="13"/>
      <c r="J32" s="13"/>
      <c r="K32" s="13"/>
      <c r="L32" s="13"/>
      <c r="M32" s="13"/>
      <c r="N32" s="13"/>
      <c r="O32" s="110"/>
      <c r="P32" s="110"/>
      <c r="Q32" s="107"/>
      <c r="R32" s="127">
        <f ca="1">TODAY()</f>
        <v>46178</v>
      </c>
      <c r="S32" s="128">
        <f ca="1">NOW()</f>
        <v>46178.66106770833</v>
      </c>
      <c r="T32" s="16"/>
    </row>
    <row r="33" spans="2:22" ht="12.75" customHeight="1" x14ac:dyDescent="0.2">
      <c r="B33" s="98"/>
      <c r="C33" s="102"/>
      <c r="D33" s="102"/>
      <c r="E33" s="102"/>
      <c r="F33" s="102"/>
      <c r="G33" s="102"/>
      <c r="H33" s="102"/>
      <c r="I33" s="102"/>
      <c r="J33" s="102"/>
      <c r="K33" s="102"/>
      <c r="L33" s="102"/>
      <c r="M33" s="102"/>
      <c r="N33" s="102"/>
      <c r="O33" s="102"/>
      <c r="P33" s="102"/>
      <c r="Q33" s="353"/>
      <c r="R33" s="363">
        <f ca="1">HOUR(S32)</f>
        <v>15</v>
      </c>
      <c r="S33" s="363">
        <f ca="1">MINUTE(S32)</f>
        <v>51</v>
      </c>
      <c r="T33" s="353"/>
      <c r="U33" s="354"/>
      <c r="V33" s="354"/>
    </row>
    <row r="34" spans="2:22" ht="12.75" customHeight="1" x14ac:dyDescent="0.2">
      <c r="B34" s="98"/>
      <c r="C34" s="102"/>
      <c r="D34" s="102"/>
      <c r="E34" s="102"/>
      <c r="F34" s="102"/>
      <c r="G34" s="102"/>
      <c r="H34" s="102"/>
      <c r="I34" s="102"/>
      <c r="J34" s="102"/>
      <c r="K34" s="102"/>
      <c r="L34" s="102"/>
      <c r="M34" s="102"/>
      <c r="N34" s="102"/>
      <c r="O34" s="102"/>
      <c r="P34" s="102"/>
      <c r="Q34" s="353"/>
      <c r="R34" s="363"/>
      <c r="S34" s="363">
        <f ca="1">TIME(R33,S33,0)</f>
        <v>0.66041666666666665</v>
      </c>
      <c r="T34" s="353"/>
      <c r="U34" s="354"/>
      <c r="V34" s="354"/>
    </row>
    <row r="35" spans="2:22" x14ac:dyDescent="0.2">
      <c r="C35" s="13"/>
      <c r="D35" s="13"/>
      <c r="E35" s="13"/>
      <c r="F35" s="13"/>
      <c r="G35" s="13"/>
      <c r="H35" s="13"/>
      <c r="I35" s="13"/>
      <c r="J35" s="13"/>
      <c r="K35" s="13"/>
      <c r="L35" s="13"/>
      <c r="M35" s="13"/>
      <c r="N35" s="13"/>
      <c r="O35" s="106"/>
      <c r="P35" s="106"/>
      <c r="Q35" s="353"/>
      <c r="R35" s="353"/>
      <c r="S35" s="353"/>
      <c r="T35" s="353"/>
      <c r="U35" s="354"/>
      <c r="V35" s="354"/>
    </row>
    <row r="36" spans="2:22" x14ac:dyDescent="0.2">
      <c r="C36" s="13"/>
      <c r="D36" s="13"/>
      <c r="E36" s="13"/>
      <c r="F36" s="13"/>
      <c r="G36" s="13"/>
      <c r="H36" s="13"/>
      <c r="I36" s="13"/>
      <c r="J36" s="13"/>
      <c r="K36" s="13"/>
      <c r="L36" s="13"/>
      <c r="M36" s="13"/>
      <c r="N36" s="13"/>
      <c r="O36" s="106"/>
      <c r="P36" s="106"/>
      <c r="Q36" s="353"/>
      <c r="R36" s="394"/>
      <c r="S36" s="394"/>
      <c r="T36" s="353"/>
      <c r="U36" s="354"/>
      <c r="V36" s="354"/>
    </row>
    <row r="37" spans="2:22" x14ac:dyDescent="0.2">
      <c r="O37" s="108"/>
      <c r="P37" s="108"/>
      <c r="Q37" s="354"/>
      <c r="R37" s="354"/>
      <c r="S37" s="354"/>
      <c r="T37" s="354"/>
      <c r="U37" s="354"/>
      <c r="V37" s="354"/>
    </row>
  </sheetData>
  <sheetProtection algorithmName="SHA-512" hashValue="KcloF3UrnhkQ94HSn/RYrx9k8IYDg22cp9iHOtSQN8llqWU5L/k8vQc0tvci2QG3DbJWPSNmcnzgCJagSwY3qQ==" saltValue="jFZNwtsWN83A3zRxOCLnQA==" spinCount="100000" sheet="1" objects="1" scenarios="1" selectLockedCells="1"/>
  <dataConsolidate/>
  <mergeCells count="9">
    <mergeCell ref="H15:P15"/>
    <mergeCell ref="R36:S36"/>
    <mergeCell ref="C6:N11"/>
    <mergeCell ref="B1:T2"/>
    <mergeCell ref="C4:N4"/>
    <mergeCell ref="Q4:T5"/>
    <mergeCell ref="I5:J5"/>
    <mergeCell ref="K5:L5"/>
    <mergeCell ref="M5:N5"/>
  </mergeCells>
  <conditionalFormatting sqref="C6">
    <cfRule type="expression" dxfId="187" priority="3" stopIfTrue="1">
      <formula>IF(OR($M$6="en juego",$M$6="hoy!"),1,0)</formula>
    </cfRule>
  </conditionalFormatting>
  <conditionalFormatting sqref="C4:N4">
    <cfRule type="expression" dxfId="186" priority="1">
      <formula>$H$16=144</formula>
    </cfRule>
  </conditionalFormatting>
  <conditionalFormatting sqref="G17:G24">
    <cfRule type="expression" dxfId="185" priority="2" stopIfTrue="1">
      <formula>$H$16=144</formula>
    </cfRule>
  </conditionalFormatting>
  <conditionalFormatting sqref="G25:G26">
    <cfRule type="expression" dxfId="184" priority="4" stopIfTrue="1">
      <formula>IF(AND($I$17=3,$I$18=3,$I$27=3,$I$28=3),1,0)</formula>
    </cfRule>
  </conditionalFormatting>
  <dataValidations count="1">
    <dataValidation type="whole" allowBlank="1" showErrorMessage="1" errorTitle="Dato no válido" error="Ingrese sólo un número entero_x000a_entre 0 y 99." sqref="D6:D11 F6:F11" xr:uid="{D3AF9F07-C24F-47C3-AA41-29472A0EE576}">
      <formula1>0</formula1>
      <formula2>99</formula2>
    </dataValidation>
  </dataValidations>
  <pageMargins left="0.75" right="0.75" top="1" bottom="1" header="0" footer="0"/>
  <pageSetup paperSize="9" scale="56"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7480-9142-4972-A32B-3F43CB7033B8}">
  <sheetPr codeName="Hoja30">
    <pageSetUpPr fitToPage="1"/>
  </sheetPr>
  <dimension ref="A1:V73"/>
  <sheetViews>
    <sheetView showGridLines="0" showRowColHeaders="0" showOutlineSymbols="0" zoomScale="115" zoomScaleNormal="115" workbookViewId="0">
      <pane xSplit="1" ySplit="4" topLeftCell="B10" activePane="bottomRight" state="frozen"/>
      <selection activeCell="P1" sqref="P1:P2"/>
      <selection pane="topRight" activeCell="P1" sqref="P1:P2"/>
      <selection pane="bottomLeft" activeCell="P1" sqref="P1:P2"/>
      <selection pane="bottomRight" activeCell="H64" sqref="H64"/>
    </sheetView>
  </sheetViews>
  <sheetFormatPr defaultColWidth="11.42578125" defaultRowHeight="12.75" x14ac:dyDescent="0.2"/>
  <cols>
    <col min="1" max="1" width="22.7109375" style="32" customWidth="1"/>
    <col min="2" max="2" width="3.28515625" style="143" customWidth="1"/>
    <col min="3" max="3" width="14.7109375" style="143" customWidth="1"/>
    <col min="4" max="5" width="6.7109375" style="143" customWidth="1"/>
    <col min="6" max="6" width="17.7109375" style="143" customWidth="1"/>
    <col min="7" max="7" width="3.7109375" style="143" customWidth="1"/>
    <col min="8" max="8" width="2" style="143" customWidth="1"/>
    <col min="9" max="9" width="6.42578125" style="143" customWidth="1"/>
    <col min="10" max="10" width="11.7109375" style="143" customWidth="1"/>
    <col min="11" max="11" width="17.7109375" style="143" customWidth="1"/>
    <col min="12" max="12" width="3.7109375" style="143" customWidth="1"/>
    <col min="13" max="13" width="7.7109375" style="143" bestFit="1" customWidth="1"/>
    <col min="14" max="14" width="5.42578125" style="143" bestFit="1" customWidth="1"/>
    <col min="15" max="15" width="1.7109375" style="143" customWidth="1"/>
    <col min="16" max="16" width="11.42578125" style="143"/>
    <col min="17" max="17" width="0.85546875" style="143" customWidth="1"/>
    <col min="18" max="18" width="8.5703125" style="143" customWidth="1"/>
    <col min="19" max="16384" width="11.42578125" style="143"/>
  </cols>
  <sheetData>
    <row r="1" spans="1:22" s="66" customFormat="1" ht="20.100000000000001" customHeight="1" x14ac:dyDescent="0.2">
      <c r="A1" s="32"/>
      <c r="B1" s="447" t="s">
        <v>337</v>
      </c>
      <c r="C1" s="447"/>
      <c r="D1" s="447"/>
      <c r="E1" s="447"/>
      <c r="F1" s="447"/>
      <c r="G1" s="447"/>
      <c r="H1" s="447"/>
      <c r="I1" s="447"/>
      <c r="J1" s="447"/>
      <c r="K1" s="447"/>
      <c r="L1" s="447"/>
      <c r="M1" s="447"/>
      <c r="N1" s="447"/>
      <c r="O1" s="356"/>
      <c r="P1" s="448" t="s">
        <v>338</v>
      </c>
      <c r="Q1" s="65"/>
      <c r="R1" s="446">
        <f>(16-SUM(R7:R67))/16</f>
        <v>1</v>
      </c>
      <c r="S1" s="65"/>
      <c r="T1" s="65"/>
      <c r="U1" s="33"/>
      <c r="V1" s="33"/>
    </row>
    <row r="2" spans="1:22" s="66" customFormat="1" ht="20.100000000000001" customHeight="1" x14ac:dyDescent="0.2">
      <c r="A2" s="32"/>
      <c r="B2" s="447"/>
      <c r="C2" s="447"/>
      <c r="D2" s="447"/>
      <c r="E2" s="447"/>
      <c r="F2" s="447"/>
      <c r="G2" s="447"/>
      <c r="H2" s="447"/>
      <c r="I2" s="447"/>
      <c r="J2" s="447"/>
      <c r="K2" s="447"/>
      <c r="L2" s="447"/>
      <c r="M2" s="447"/>
      <c r="N2" s="447"/>
      <c r="O2" s="356"/>
      <c r="P2" s="448"/>
      <c r="Q2" s="65"/>
      <c r="R2" s="446"/>
      <c r="S2" s="65"/>
      <c r="T2" s="65"/>
      <c r="U2" s="33"/>
      <c r="V2" s="33"/>
    </row>
    <row r="3" spans="1:22" ht="12.75" customHeight="1" x14ac:dyDescent="0.2">
      <c r="F3" s="165">
        <f>SUM('- A -:- L -'!I21)</f>
        <v>144</v>
      </c>
      <c r="M3" s="158"/>
      <c r="N3" s="159"/>
      <c r="O3" s="99"/>
      <c r="P3" s="144"/>
    </row>
    <row r="4" spans="1:22" ht="12.75" customHeight="1" x14ac:dyDescent="0.25">
      <c r="C4" s="443" t="s">
        <v>227</v>
      </c>
      <c r="D4" s="444"/>
      <c r="E4" s="444"/>
      <c r="F4" s="444" t="s">
        <v>77</v>
      </c>
      <c r="G4" s="444"/>
      <c r="H4" s="445" t="s">
        <v>78</v>
      </c>
      <c r="I4" s="445"/>
      <c r="J4" s="163"/>
      <c r="K4" s="164" t="s">
        <v>209</v>
      </c>
      <c r="M4" s="127">
        <f ca="1">TODAY()</f>
        <v>46178</v>
      </c>
      <c r="N4" s="128">
        <f ca="1">NOW()</f>
        <v>46178.66106770833</v>
      </c>
      <c r="R4" s="364" t="s">
        <v>270</v>
      </c>
    </row>
    <row r="5" spans="1:22" ht="12.75" customHeight="1" x14ac:dyDescent="0.2">
      <c r="B5" s="145"/>
      <c r="C5" s="146"/>
      <c r="D5" s="146"/>
      <c r="E5" s="146"/>
      <c r="F5" s="146"/>
      <c r="G5" s="146"/>
      <c r="H5" s="146"/>
      <c r="I5" s="146"/>
      <c r="J5" s="155"/>
      <c r="K5" s="146"/>
      <c r="M5" s="147"/>
      <c r="R5" s="347"/>
    </row>
    <row r="6" spans="1:22" ht="12" customHeight="1" x14ac:dyDescent="0.2">
      <c r="B6" s="145"/>
      <c r="C6" s="146"/>
      <c r="D6" s="146"/>
      <c r="E6" s="146"/>
      <c r="F6" s="169" t="str">
        <f>IF(AND('- A -'!I21&lt;&gt;12,'- A -'!H17&lt;&gt;""),"2do Grupo A",'- A -'!H18)</f>
        <v>República Checa</v>
      </c>
      <c r="G6" s="327">
        <v>1</v>
      </c>
      <c r="H6" s="166"/>
      <c r="I6" s="146"/>
      <c r="J6" s="146"/>
      <c r="K6" s="146"/>
      <c r="M6" s="157"/>
      <c r="N6" s="157"/>
      <c r="O6" s="157"/>
      <c r="P6" s="364" t="s">
        <v>129</v>
      </c>
      <c r="Q6" s="157"/>
      <c r="R6" s="157"/>
      <c r="S6" s="364"/>
      <c r="T6" s="157"/>
      <c r="U6" s="157"/>
    </row>
    <row r="7" spans="1:22" ht="11.1" customHeight="1" x14ac:dyDescent="0.2">
      <c r="B7" s="189" t="str">
        <f ca="1">IF(OR(F7="en juego",F7="hoy!",F7="finalizado"),"►1","1")</f>
        <v>1</v>
      </c>
      <c r="C7" s="190" t="s">
        <v>170</v>
      </c>
      <c r="D7" s="191">
        <v>46201</v>
      </c>
      <c r="E7" s="192">
        <v>0.58333333333333337</v>
      </c>
      <c r="F7" s="156" t="str">
        <f ca="1">IF(OR(D7="",E7="",D7&lt;$M$4),"",IF(D7=$M$4,IF(AND(E7&lt;=$T$23,$T$23&lt;=(E7+0.08333333333)),"en juego",IF($T$23&lt;E7,"hoy!","finalizado")),IF($M$4&gt;D7,"finalizado","")))</f>
        <v/>
      </c>
      <c r="G7" s="153"/>
      <c r="H7" s="167"/>
      <c r="I7" s="168"/>
      <c r="J7" s="146"/>
      <c r="K7" s="332" t="str">
        <f>IF(AND(F6&lt;&gt;"",F8&lt;&gt;""),IF(OR(G6="",G8="",AND(G6=G8,OR(H6="",H8=""))),"OF1",IF(G6=G8,IF(H6&gt;H8,F6,F8),IF(G6&gt;G8,F6,F8))),"")</f>
        <v>Canadá</v>
      </c>
      <c r="M7" s="364">
        <v>73</v>
      </c>
      <c r="N7" s="157"/>
      <c r="O7" s="157"/>
      <c r="P7" s="364" t="s">
        <v>124</v>
      </c>
      <c r="Q7" s="157"/>
      <c r="R7" s="365">
        <f>IF(ISERROR(VLOOKUP(K7,Hoja1!$D$6:$D$53,1,0)),1,0)</f>
        <v>0</v>
      </c>
      <c r="S7" s="364"/>
      <c r="T7" s="157"/>
      <c r="U7" s="157"/>
    </row>
    <row r="8" spans="1:22" ht="12" customHeight="1" x14ac:dyDescent="0.2">
      <c r="B8" s="145"/>
      <c r="C8" s="148"/>
      <c r="D8" s="148"/>
      <c r="E8" s="148"/>
      <c r="F8" s="169" t="str">
        <f>IF(AND('- B -'!I21&lt;&gt;12,'- B -'!H18&lt;&gt;""),"2do Grupo B",'- B -'!H18)</f>
        <v>Canadá</v>
      </c>
      <c r="G8" s="327">
        <v>3</v>
      </c>
      <c r="H8" s="166"/>
      <c r="I8" s="146"/>
      <c r="J8" s="146"/>
      <c r="K8" s="161"/>
      <c r="M8" s="364"/>
      <c r="N8" s="157"/>
      <c r="O8" s="157"/>
      <c r="P8" s="364" t="s">
        <v>125</v>
      </c>
      <c r="Q8" s="157"/>
      <c r="R8" s="157"/>
      <c r="S8" s="364"/>
      <c r="T8" s="157"/>
      <c r="U8" s="157"/>
    </row>
    <row r="9" spans="1:22" ht="11.1" customHeight="1" x14ac:dyDescent="0.2">
      <c r="B9" s="145"/>
      <c r="C9" s="148"/>
      <c r="D9" s="148"/>
      <c r="E9" s="148"/>
      <c r="F9" s="160"/>
      <c r="G9" s="153"/>
      <c r="H9" s="153"/>
      <c r="I9" s="146"/>
      <c r="J9" s="146"/>
      <c r="K9" s="161"/>
      <c r="M9" s="364"/>
      <c r="N9" s="157"/>
      <c r="O9" s="157"/>
      <c r="P9" s="364"/>
      <c r="Q9" s="157"/>
      <c r="R9" s="157"/>
      <c r="S9" s="364"/>
      <c r="T9" s="157"/>
      <c r="U9" s="157"/>
    </row>
    <row r="10" spans="1:22" ht="12" customHeight="1" x14ac:dyDescent="0.2">
      <c r="B10" s="145"/>
      <c r="C10" s="146"/>
      <c r="D10" s="146"/>
      <c r="E10" s="146"/>
      <c r="F10" s="169" t="str">
        <f>IF(AND('- C -'!I21&lt;&gt;12,'- C -'!H17&lt;&gt;""),"1ero Grupo C",'- C -'!H17)</f>
        <v>Brasil</v>
      </c>
      <c r="G10" s="327">
        <v>2</v>
      </c>
      <c r="H10" s="149"/>
      <c r="I10" s="150"/>
      <c r="J10" s="146"/>
      <c r="K10" s="162"/>
      <c r="M10" s="364"/>
      <c r="N10" s="157"/>
      <c r="O10" s="157"/>
      <c r="P10" s="364" t="s">
        <v>126</v>
      </c>
      <c r="Q10" s="157"/>
      <c r="R10" s="157"/>
      <c r="S10" s="364"/>
      <c r="T10" s="157"/>
      <c r="U10" s="157"/>
    </row>
    <row r="11" spans="1:22" ht="11.1" customHeight="1" x14ac:dyDescent="0.2">
      <c r="B11" s="189" t="str">
        <f ca="1">IF(OR(F11="en juego",F11="hoy!",F11="finalizado"),"►2","2")</f>
        <v>2</v>
      </c>
      <c r="C11" s="190" t="s">
        <v>175</v>
      </c>
      <c r="D11" s="191">
        <v>46202</v>
      </c>
      <c r="E11" s="192">
        <v>0.5</v>
      </c>
      <c r="F11" s="156" t="str">
        <f ca="1">IF(OR(D11="",E11="",D11&lt;$M$4),"",IF(D11=$M$4,IF(AND(E11&lt;=$T$23,$T$23&lt;=(E11+0.08333333333)),"en juego",IF($T$23&lt;E11,"hoy!","finalizado")),IF($M$4&gt;D11,"finalizado","")))</f>
        <v/>
      </c>
      <c r="G11" s="153"/>
      <c r="H11" s="167"/>
      <c r="I11" s="168"/>
      <c r="J11" s="146"/>
      <c r="K11" s="332" t="str">
        <f>IF(AND(F10&lt;&gt;"",F12&lt;&gt;""),IF(OR(G10="",G12="",AND(G10=G12,OR(H10="",H12=""))),"OF2",IF(G10=G12,IF(H10&gt;H12,F10,F12),IF(G10&gt;G12,F10,F12))),"")</f>
        <v>Brasil</v>
      </c>
      <c r="M11" s="364">
        <v>76</v>
      </c>
      <c r="N11" s="157"/>
      <c r="O11" s="157"/>
      <c r="P11" s="364" t="s">
        <v>124</v>
      </c>
      <c r="Q11" s="157"/>
      <c r="R11" s="365">
        <f>IF(ISERROR(VLOOKUP(K11,Hoja1!$D$6:$D$53,1,0)),1,0)</f>
        <v>0</v>
      </c>
      <c r="S11" s="364"/>
      <c r="T11" s="157"/>
      <c r="U11" s="157"/>
    </row>
    <row r="12" spans="1:22" ht="12" customHeight="1" x14ac:dyDescent="0.2">
      <c r="B12" s="189"/>
      <c r="C12" s="193"/>
      <c r="D12" s="193"/>
      <c r="E12" s="193"/>
      <c r="F12" s="169" t="str">
        <f>IF(AND('- F -'!I21&lt;&gt;12,'- F -'!H18&lt;&gt;""),"2do Grupo F",'- F -'!H18)</f>
        <v>Japón</v>
      </c>
      <c r="G12" s="327">
        <v>1</v>
      </c>
      <c r="H12" s="151"/>
      <c r="I12" s="152"/>
      <c r="J12" s="146"/>
      <c r="K12" s="161"/>
      <c r="M12" s="364"/>
      <c r="N12" s="157"/>
      <c r="O12" s="157"/>
      <c r="P12" s="364" t="s">
        <v>133</v>
      </c>
      <c r="Q12" s="157"/>
      <c r="R12" s="157"/>
      <c r="S12" s="364"/>
      <c r="T12" s="157"/>
      <c r="U12" s="157"/>
    </row>
    <row r="13" spans="1:22" ht="11.1" customHeight="1" x14ac:dyDescent="0.2">
      <c r="B13" s="189"/>
      <c r="C13" s="193"/>
      <c r="D13" s="193"/>
      <c r="E13" s="193"/>
      <c r="F13" s="160"/>
      <c r="G13" s="153"/>
      <c r="H13" s="153"/>
      <c r="I13" s="146"/>
      <c r="J13" s="146"/>
      <c r="K13" s="161"/>
      <c r="M13" s="364"/>
      <c r="N13" s="157"/>
      <c r="O13" s="157"/>
      <c r="P13" s="364"/>
      <c r="Q13" s="157"/>
      <c r="R13" s="157"/>
      <c r="S13" s="364"/>
      <c r="T13" s="157"/>
      <c r="U13" s="157"/>
    </row>
    <row r="14" spans="1:22" ht="12" customHeight="1" x14ac:dyDescent="0.2">
      <c r="B14" s="189"/>
      <c r="C14" s="194"/>
      <c r="D14" s="194"/>
      <c r="E14" s="194"/>
      <c r="F14" s="169" t="str">
        <f>IF(AND('- E -'!I21&lt;&gt;12,'- E -'!H17&lt;&gt;""),"1ero Grupo E",'- E -'!H17)</f>
        <v>Alemania</v>
      </c>
      <c r="G14" s="327">
        <v>3</v>
      </c>
      <c r="H14" s="149"/>
      <c r="I14" s="150"/>
      <c r="J14" s="146"/>
      <c r="K14" s="162"/>
      <c r="M14" s="364"/>
      <c r="N14" s="157"/>
      <c r="O14" s="157"/>
      <c r="P14" s="364" t="s">
        <v>132</v>
      </c>
      <c r="Q14" s="157"/>
      <c r="R14" s="157"/>
      <c r="S14" s="364"/>
      <c r="T14" s="157"/>
      <c r="U14" s="157"/>
    </row>
    <row r="15" spans="1:22" ht="11.1" customHeight="1" x14ac:dyDescent="0.2">
      <c r="B15" s="189" t="str">
        <f ca="1">IF(OR(F15="en juego",F15="hoy!",F15="finalizado"),"►3","3")</f>
        <v>3</v>
      </c>
      <c r="C15" s="190" t="s">
        <v>173</v>
      </c>
      <c r="D15" s="191">
        <v>46202</v>
      </c>
      <c r="E15" s="192">
        <v>0.64583333333333337</v>
      </c>
      <c r="F15" s="156" t="str">
        <f ca="1">IF(OR(D15="",E15="",D15&lt;$M$4),"",IF(D15=$M$4,IF(AND(E15&lt;=$T$23,$T$23&lt;=(E15+0.08333333333)),"en juego",IF($T$23&lt;E15,"hoy!","finalizado")),IF($M$4&gt;D15,"finalizado","")))</f>
        <v/>
      </c>
      <c r="G15" s="153"/>
      <c r="H15" s="167"/>
      <c r="I15" s="168"/>
      <c r="J15" s="146"/>
      <c r="K15" s="332" t="str">
        <f>IF(AND(F14&lt;&gt;"",F16&lt;&gt;""),IF(OR(G14="",G16="",AND(G14=G16,OR(H14="",H16=""))),"OF3",IF(G14=G16,IF(H14&gt;H16,F14,F16),IF(G14&gt;G16,F14,F16))),"")</f>
        <v>Alemania</v>
      </c>
      <c r="M15" s="364">
        <v>74</v>
      </c>
      <c r="N15" s="157"/>
      <c r="O15" s="157"/>
      <c r="P15" s="364" t="s">
        <v>124</v>
      </c>
      <c r="Q15" s="157"/>
      <c r="R15" s="365">
        <f>IF(ISERROR(VLOOKUP(K15,Hoja1!$D$6:$D$53,1,0)),1,0)</f>
        <v>0</v>
      </c>
      <c r="S15" s="364"/>
      <c r="T15" s="157"/>
      <c r="U15" s="157"/>
    </row>
    <row r="16" spans="1:22" ht="12" customHeight="1" x14ac:dyDescent="0.2">
      <c r="B16" s="189"/>
      <c r="C16" s="193"/>
      <c r="D16" s="193"/>
      <c r="E16" s="193"/>
      <c r="F16" s="169" t="str">
        <f>IF($F$3=144,VLOOKUP("x",mejores3!$X$20:$AV$514,21,0),P16)</f>
        <v>Paraguay</v>
      </c>
      <c r="G16" s="327">
        <v>1</v>
      </c>
      <c r="H16" s="151"/>
      <c r="I16" s="152"/>
      <c r="J16" s="146"/>
      <c r="K16" s="161"/>
      <c r="M16" s="364"/>
      <c r="N16" s="157"/>
      <c r="O16" s="157"/>
      <c r="P16" s="366" t="s">
        <v>240</v>
      </c>
      <c r="Q16" s="157"/>
      <c r="R16" s="157"/>
      <c r="S16" s="364"/>
      <c r="T16" s="157"/>
      <c r="U16" s="157"/>
    </row>
    <row r="17" spans="2:21" ht="11.1" customHeight="1" x14ac:dyDescent="0.2">
      <c r="B17" s="189"/>
      <c r="C17" s="193"/>
      <c r="D17" s="193"/>
      <c r="E17" s="193"/>
      <c r="F17" s="160"/>
      <c r="G17" s="153"/>
      <c r="H17" s="153"/>
      <c r="I17" s="146"/>
      <c r="J17" s="146"/>
      <c r="K17" s="161"/>
      <c r="M17" s="364"/>
      <c r="N17" s="157"/>
      <c r="O17" s="157"/>
      <c r="P17" s="364"/>
      <c r="Q17" s="157"/>
      <c r="R17" s="157"/>
      <c r="S17" s="364"/>
      <c r="T17" s="157"/>
      <c r="U17" s="157"/>
    </row>
    <row r="18" spans="2:21" ht="12" customHeight="1" x14ac:dyDescent="0.2">
      <c r="B18" s="189"/>
      <c r="C18" s="194"/>
      <c r="D18" s="194"/>
      <c r="E18" s="194"/>
      <c r="F18" s="169" t="str">
        <f>IF(AND('- F -'!I21&lt;&gt;12,'- F -'!H17&lt;&gt;""),"1ero Grupo F",'- F -'!H17)</f>
        <v>Países Bajos</v>
      </c>
      <c r="G18" s="327">
        <v>4</v>
      </c>
      <c r="H18" s="149"/>
      <c r="I18" s="150"/>
      <c r="J18" s="146"/>
      <c r="K18" s="162"/>
      <c r="M18" s="364"/>
      <c r="N18" s="157"/>
      <c r="O18" s="157"/>
      <c r="P18" s="364" t="s">
        <v>136</v>
      </c>
      <c r="Q18" s="157"/>
      <c r="R18" s="157"/>
      <c r="S18" s="364"/>
      <c r="T18" s="157"/>
      <c r="U18" s="157"/>
    </row>
    <row r="19" spans="2:21" ht="11.1" customHeight="1" x14ac:dyDescent="0.2">
      <c r="B19" s="189" t="str">
        <f ca="1">IF(OR(F19="en juego",F19="hoy!",F19="finalizado"),"►4","4")</f>
        <v>4</v>
      </c>
      <c r="C19" s="190" t="s">
        <v>178</v>
      </c>
      <c r="D19" s="191">
        <v>46202</v>
      </c>
      <c r="E19" s="192">
        <v>0.83333333333333337</v>
      </c>
      <c r="F19" s="156" t="str">
        <f ca="1">IF(OR(D19="",E19="",D19&lt;$M$4),"",IF(D19=$M$4,IF(AND(E19&lt;=$T$23,$T$23&lt;=(E19+0.08333333333)),"en juego",IF($T$23&lt;E19,"hoy!","finalizado")),IF($M$4&gt;D19,"finalizado","")))</f>
        <v/>
      </c>
      <c r="G19" s="153"/>
      <c r="H19" s="167"/>
      <c r="I19" s="168"/>
      <c r="J19" s="146"/>
      <c r="K19" s="332" t="str">
        <f>IF(AND(F18&lt;&gt;"",F20&lt;&gt;""),IF(OR(G18="",G20="",AND(G18=G20,OR(H18="",H20=""))),"OF4",IF(G18=G20,IF(H18&gt;H20,F18,F20),IF(G18&gt;G20,F18,F20))),"")</f>
        <v>Países Bajos</v>
      </c>
      <c r="M19" s="364">
        <v>75</v>
      </c>
      <c r="N19" s="157"/>
      <c r="O19" s="157"/>
      <c r="P19" s="364" t="s">
        <v>124</v>
      </c>
      <c r="Q19" s="157"/>
      <c r="R19" s="365">
        <f>IF(ISERROR(VLOOKUP(K19,Hoja1!$D$6:$D$53,1,0)),1,0)</f>
        <v>0</v>
      </c>
      <c r="S19" s="364"/>
      <c r="T19" s="157"/>
      <c r="U19" s="157"/>
    </row>
    <row r="20" spans="2:21" ht="12" customHeight="1" x14ac:dyDescent="0.2">
      <c r="B20" s="189"/>
      <c r="C20" s="193"/>
      <c r="D20" s="193"/>
      <c r="E20" s="193"/>
      <c r="F20" s="169" t="str">
        <f>IF(AND('- C -'!I21&lt;&gt;12,'- C -'!H18&lt;&gt;""),"2do Grupo C",'- C -'!H18)</f>
        <v>Escocia</v>
      </c>
      <c r="G20" s="327">
        <v>2</v>
      </c>
      <c r="H20" s="151"/>
      <c r="I20" s="152"/>
      <c r="J20" s="146"/>
      <c r="K20" s="161"/>
      <c r="M20" s="364"/>
      <c r="N20" s="157"/>
      <c r="O20" s="157"/>
      <c r="P20" s="364" t="s">
        <v>131</v>
      </c>
      <c r="Q20" s="157"/>
      <c r="R20" s="157"/>
      <c r="S20" s="364"/>
      <c r="T20" s="157"/>
      <c r="U20" s="157"/>
    </row>
    <row r="21" spans="2:21" ht="11.1" customHeight="1" x14ac:dyDescent="0.2">
      <c r="B21" s="189"/>
      <c r="C21" s="193"/>
      <c r="D21" s="193"/>
      <c r="E21" s="193"/>
      <c r="F21" s="160"/>
      <c r="G21" s="153"/>
      <c r="H21" s="153"/>
      <c r="I21" s="146"/>
      <c r="J21" s="146"/>
      <c r="K21" s="161"/>
      <c r="M21" s="364"/>
      <c r="N21" s="157"/>
      <c r="O21" s="157"/>
      <c r="P21" s="364"/>
      <c r="Q21" s="157"/>
      <c r="R21" s="157"/>
      <c r="S21" s="364"/>
      <c r="T21" s="157"/>
      <c r="U21" s="157"/>
    </row>
    <row r="22" spans="2:21" ht="12" customHeight="1" x14ac:dyDescent="0.2">
      <c r="B22" s="189"/>
      <c r="C22" s="194"/>
      <c r="D22" s="194"/>
      <c r="E22" s="194"/>
      <c r="F22" s="169" t="str">
        <f>IF(AND('- E -'!I21&lt;&gt;12,'- E -'!H18&lt;&gt;""),"2do Grupo E",'- E -'!H18)</f>
        <v>Ecuador</v>
      </c>
      <c r="G22" s="327">
        <v>1</v>
      </c>
      <c r="H22" s="149">
        <v>4</v>
      </c>
      <c r="I22" s="150"/>
      <c r="J22" s="146"/>
      <c r="K22" s="162"/>
      <c r="M22" s="364"/>
      <c r="N22" s="157"/>
      <c r="O22" s="157"/>
      <c r="P22" s="364" t="s">
        <v>137</v>
      </c>
      <c r="Q22" s="157"/>
      <c r="R22" s="157"/>
      <c r="S22" s="364">
        <f ca="1">HOUR(N4)</f>
        <v>15</v>
      </c>
      <c r="T22" s="157">
        <f ca="1">MINUTE(N4)</f>
        <v>51</v>
      </c>
      <c r="U22" s="157"/>
    </row>
    <row r="23" spans="2:21" ht="11.1" customHeight="1" x14ac:dyDescent="0.2">
      <c r="B23" s="189" t="str">
        <f ca="1">IF(OR(F23="en juego",F23="hoy!",F23="finalizado"),"►5","5")</f>
        <v>5</v>
      </c>
      <c r="C23" s="190" t="s">
        <v>176</v>
      </c>
      <c r="D23" s="191">
        <v>46203</v>
      </c>
      <c r="E23" s="192">
        <v>0.5</v>
      </c>
      <c r="F23" s="156" t="str">
        <f ca="1">IF(OR(D23="",E23="",D23&lt;$M$4),"",IF(D23=$M$4,IF(AND(E23&lt;=$T$23,$T$23&lt;=(E23+0.08333333333)),"en juego",IF($T$23&lt;E23,"hoy!","finalizado")),IF($M$4&gt;D23,"finalizado","")))</f>
        <v/>
      </c>
      <c r="G23" s="153"/>
      <c r="H23" s="167"/>
      <c r="I23" s="168"/>
      <c r="J23" s="146"/>
      <c r="K23" s="332" t="str">
        <f>IF(AND(F22&lt;&gt;"",F24&lt;&gt;""),IF(OR(G22="",G24="",AND(G22=G24,OR(H22="",H24=""))),"OF5",IF(G22=G24,IF(H22&gt;H24,F22,F24),IF(G22&gt;G24,F22,F24))),"")</f>
        <v>Noruega</v>
      </c>
      <c r="M23" s="364">
        <v>78</v>
      </c>
      <c r="N23" s="157"/>
      <c r="O23" s="157"/>
      <c r="P23" s="364" t="s">
        <v>124</v>
      </c>
      <c r="Q23" s="157"/>
      <c r="R23" s="365">
        <f>IF(ISERROR(VLOOKUP(K23,Hoja1!$D$6:$D$53,1,0)),1,0)</f>
        <v>0</v>
      </c>
      <c r="S23" s="364"/>
      <c r="T23" s="157">
        <f ca="1">TIME(S22,T22,0)</f>
        <v>0.66041666666666665</v>
      </c>
      <c r="U23" s="157"/>
    </row>
    <row r="24" spans="2:21" ht="12" customHeight="1" x14ac:dyDescent="0.2">
      <c r="B24" s="189"/>
      <c r="C24" s="193"/>
      <c r="D24" s="193"/>
      <c r="E24" s="193"/>
      <c r="F24" s="169" t="str">
        <f>IF(AND('- I -'!I21&lt;&gt;12,'- I -'!H18&lt;&gt;""),"2do Grupo I",'- I -'!H18)</f>
        <v>Noruega</v>
      </c>
      <c r="G24" s="327">
        <v>1</v>
      </c>
      <c r="H24" s="151">
        <v>5</v>
      </c>
      <c r="I24" s="152"/>
      <c r="J24" s="146"/>
      <c r="K24" s="161"/>
      <c r="M24" s="364"/>
      <c r="N24" s="157"/>
      <c r="O24" s="157"/>
      <c r="P24" s="364" t="s">
        <v>205</v>
      </c>
      <c r="Q24" s="157"/>
      <c r="R24" s="157"/>
      <c r="S24" s="364"/>
      <c r="T24" s="157"/>
      <c r="U24" s="157"/>
    </row>
    <row r="25" spans="2:21" ht="11.1" customHeight="1" x14ac:dyDescent="0.2">
      <c r="B25" s="189"/>
      <c r="C25" s="193"/>
      <c r="D25" s="193"/>
      <c r="E25" s="193"/>
      <c r="F25" s="160"/>
      <c r="G25" s="153"/>
      <c r="H25" s="153"/>
      <c r="I25" s="146"/>
      <c r="J25" s="146"/>
      <c r="K25" s="161"/>
      <c r="M25" s="364"/>
      <c r="N25" s="157"/>
      <c r="O25" s="157"/>
      <c r="P25" s="364"/>
      <c r="Q25" s="157"/>
      <c r="R25" s="157"/>
      <c r="S25" s="364"/>
      <c r="T25" s="157"/>
      <c r="U25" s="157"/>
    </row>
    <row r="26" spans="2:21" ht="12" customHeight="1" x14ac:dyDescent="0.2">
      <c r="B26" s="189"/>
      <c r="C26" s="194"/>
      <c r="D26" s="194"/>
      <c r="E26" s="194"/>
      <c r="F26" s="169" t="str">
        <f>IF(AND('- I -'!I21&lt;&gt;12,'- I -'!H17&lt;&gt;""),"1ero Grupo I",'- I -'!H17)</f>
        <v>Francia</v>
      </c>
      <c r="G26" s="327">
        <v>4</v>
      </c>
      <c r="H26" s="149"/>
      <c r="I26" s="150"/>
      <c r="J26" s="146"/>
      <c r="K26" s="162"/>
      <c r="M26" s="364"/>
      <c r="N26" s="157"/>
      <c r="O26" s="157"/>
      <c r="P26" s="364" t="s">
        <v>206</v>
      </c>
      <c r="Q26" s="157"/>
      <c r="R26" s="157"/>
      <c r="S26" s="364"/>
      <c r="T26" s="157"/>
      <c r="U26" s="157"/>
    </row>
    <row r="27" spans="2:21" ht="11.1" customHeight="1" x14ac:dyDescent="0.2">
      <c r="B27" s="189" t="str">
        <f ca="1">IF(OR(F27="en juego",F27="hoy!",F27="finalizado"),"►6","6")</f>
        <v>6</v>
      </c>
      <c r="C27" s="190" t="s">
        <v>172</v>
      </c>
      <c r="D27" s="191">
        <v>46203</v>
      </c>
      <c r="E27" s="192">
        <v>0.66666666666666663</v>
      </c>
      <c r="F27" s="156" t="str">
        <f ca="1">IF(OR(D27="",E27="",D27&lt;$M$4),"",IF(D27=$M$4,IF(AND(E27&lt;=$T$23,$T$23&lt;=(E27+0.08333333333)),"en juego",IF($T$23&lt;E27,"hoy!","finalizado")),IF($M$4&gt;D27,"finalizado","")))</f>
        <v/>
      </c>
      <c r="G27" s="153"/>
      <c r="H27" s="167"/>
      <c r="I27" s="168"/>
      <c r="J27" s="146"/>
      <c r="K27" s="332" t="str">
        <f>IF(AND(F26&lt;&gt;"",F28&lt;&gt;""),IF(OR(G26="",G28="",AND(G26=G28,OR(H26="",H28=""))),"OF6",IF(G26=G28,IF(H26&gt;H28,F26,F28),IF(G26&gt;G28,F26,F28))),"")</f>
        <v>Francia</v>
      </c>
      <c r="M27" s="364">
        <v>77</v>
      </c>
      <c r="N27" s="157"/>
      <c r="O27" s="157"/>
      <c r="P27" s="364" t="s">
        <v>124</v>
      </c>
      <c r="Q27" s="157"/>
      <c r="R27" s="365">
        <f>IF(ISERROR(VLOOKUP(K27,Hoja1!$D$6:$D$53,1,0)),1,0)</f>
        <v>0</v>
      </c>
      <c r="S27" s="364"/>
      <c r="T27" s="157"/>
      <c r="U27" s="157"/>
    </row>
    <row r="28" spans="2:21" ht="12" customHeight="1" x14ac:dyDescent="0.2">
      <c r="B28" s="189"/>
      <c r="C28" s="193"/>
      <c r="D28" s="193"/>
      <c r="E28" s="193"/>
      <c r="F28" s="169" t="str">
        <f>IF($F$3=144,VLOOKUP("x",mejores3!$X$20:$AV$514,23,0),P28)</f>
        <v>Suecia</v>
      </c>
      <c r="G28" s="327">
        <v>1</v>
      </c>
      <c r="H28" s="151"/>
      <c r="I28" s="152"/>
      <c r="J28" s="146"/>
      <c r="K28" s="161"/>
      <c r="M28" s="364"/>
      <c r="N28" s="157"/>
      <c r="O28" s="157"/>
      <c r="P28" s="366" t="s">
        <v>241</v>
      </c>
      <c r="Q28" s="157"/>
      <c r="R28" s="157"/>
      <c r="S28" s="364"/>
      <c r="T28" s="157"/>
      <c r="U28" s="157"/>
    </row>
    <row r="29" spans="2:21" ht="11.1" customHeight="1" x14ac:dyDescent="0.2">
      <c r="B29" s="189"/>
      <c r="C29" s="193"/>
      <c r="D29" s="193"/>
      <c r="E29" s="193"/>
      <c r="F29" s="160"/>
      <c r="G29" s="153"/>
      <c r="H29" s="153"/>
      <c r="I29" s="146"/>
      <c r="J29" s="146"/>
      <c r="K29" s="161"/>
      <c r="M29" s="364"/>
      <c r="N29" s="157"/>
      <c r="O29" s="157"/>
      <c r="P29" s="364"/>
      <c r="Q29" s="157"/>
      <c r="R29" s="157"/>
      <c r="S29" s="364"/>
      <c r="T29" s="157"/>
      <c r="U29" s="157"/>
    </row>
    <row r="30" spans="2:21" ht="12" customHeight="1" x14ac:dyDescent="0.2">
      <c r="B30" s="189"/>
      <c r="C30" s="194"/>
      <c r="D30" s="194"/>
      <c r="E30" s="194"/>
      <c r="F30" s="169" t="str">
        <f>IF(AND('- A -'!I21&lt;&gt;12,'- A -'!H17&lt;&gt;""),"1ero Grupo A",'- A -'!H17)</f>
        <v>México</v>
      </c>
      <c r="G30" s="327">
        <v>2</v>
      </c>
      <c r="H30" s="149"/>
      <c r="I30" s="150"/>
      <c r="J30" s="146"/>
      <c r="K30" s="162"/>
      <c r="M30" s="364"/>
      <c r="N30" s="157"/>
      <c r="O30" s="157"/>
      <c r="P30" s="364" t="s">
        <v>123</v>
      </c>
      <c r="Q30" s="157"/>
      <c r="R30" s="157"/>
      <c r="S30" s="364"/>
      <c r="T30" s="157"/>
      <c r="U30" s="157"/>
    </row>
    <row r="31" spans="2:21" ht="11.1" customHeight="1" x14ac:dyDescent="0.2">
      <c r="B31" s="189" t="str">
        <f ca="1">IF(OR(F31="en juego",F31="hoy!",F31="finalizado"),"►7","7")</f>
        <v>7</v>
      </c>
      <c r="C31" s="190" t="s">
        <v>167</v>
      </c>
      <c r="D31" s="191">
        <v>46203</v>
      </c>
      <c r="E31" s="192">
        <v>0.83333333333333337</v>
      </c>
      <c r="F31" s="156" t="str">
        <f ca="1">IF(OR(D31="",E31="",D31&lt;$M$4),"",IF(D31=$M$4,IF(AND(E31&lt;=$T$23,$T$23&lt;=(E31+0.08333333333)),"en juego",IF($T$23&lt;E31,"hoy!","finalizado")),IF($M$4&gt;D31,"finalizado","")))</f>
        <v/>
      </c>
      <c r="G31" s="153"/>
      <c r="H31" s="167"/>
      <c r="I31" s="168"/>
      <c r="J31" s="146"/>
      <c r="K31" s="332" t="str">
        <f>IF(AND(F30&lt;&gt;"",F32&lt;&gt;""),IF(OR(G30="",G32="",AND(G30=G32,OR(H30="",H32=""))),"OF7",IF(G30=G32,IF(H30&gt;H32,F30,F32),IF(G30&gt;G32,F30,F32))),"")</f>
        <v>Marruecos</v>
      </c>
      <c r="M31" s="364">
        <v>79</v>
      </c>
      <c r="N31" s="157"/>
      <c r="O31" s="157"/>
      <c r="P31" s="364" t="s">
        <v>124</v>
      </c>
      <c r="Q31" s="157"/>
      <c r="R31" s="365">
        <f>IF(ISERROR(VLOOKUP(K31,Hoja1!$D$6:$D$53,1,0)),1,0)</f>
        <v>0</v>
      </c>
      <c r="S31" s="364"/>
      <c r="T31" s="157"/>
      <c r="U31" s="157"/>
    </row>
    <row r="32" spans="2:21" ht="12" customHeight="1" x14ac:dyDescent="0.2">
      <c r="B32" s="189"/>
      <c r="C32" s="193"/>
      <c r="D32" s="193"/>
      <c r="E32" s="193"/>
      <c r="F32" s="169" t="str">
        <f>IF($F$3=144,VLOOKUP("x",mejores3!$X$20:$AV$514,18,0),P32)</f>
        <v>Marruecos</v>
      </c>
      <c r="G32" s="327">
        <v>3</v>
      </c>
      <c r="H32" s="151"/>
      <c r="I32" s="152"/>
      <c r="J32" s="146"/>
      <c r="K32" s="161"/>
      <c r="M32" s="364"/>
      <c r="N32" s="157"/>
      <c r="O32" s="157"/>
      <c r="P32" s="366" t="s">
        <v>242</v>
      </c>
      <c r="Q32" s="157"/>
      <c r="R32" s="157"/>
      <c r="S32" s="364"/>
      <c r="T32" s="157"/>
      <c r="U32" s="157"/>
    </row>
    <row r="33" spans="2:21" ht="11.1" customHeight="1" x14ac:dyDescent="0.2">
      <c r="B33" s="189"/>
      <c r="C33" s="193"/>
      <c r="D33" s="193"/>
      <c r="E33" s="193"/>
      <c r="F33" s="160"/>
      <c r="G33" s="153"/>
      <c r="H33" s="153"/>
      <c r="I33" s="146"/>
      <c r="J33" s="146"/>
      <c r="K33" s="161"/>
      <c r="M33" s="364"/>
      <c r="N33" s="157"/>
      <c r="O33" s="157"/>
      <c r="P33" s="364"/>
      <c r="Q33" s="157"/>
      <c r="R33" s="157"/>
      <c r="S33" s="364"/>
      <c r="T33" s="157"/>
      <c r="U33" s="157"/>
    </row>
    <row r="34" spans="2:21" ht="12" customHeight="1" x14ac:dyDescent="0.2">
      <c r="B34" s="189"/>
      <c r="C34" s="194"/>
      <c r="D34" s="194"/>
      <c r="E34" s="194"/>
      <c r="F34" s="169" t="str">
        <f>IF(AND('- L -'!I21&lt;&gt;12,'- L -'!H17&lt;&gt;""),"1ero Grupo L",'- L -'!H17)</f>
        <v>Inglaterra</v>
      </c>
      <c r="G34" s="327">
        <v>2</v>
      </c>
      <c r="H34" s="149"/>
      <c r="I34" s="150"/>
      <c r="J34" s="146"/>
      <c r="K34" s="162"/>
      <c r="M34" s="364"/>
      <c r="N34" s="157"/>
      <c r="O34" s="157"/>
      <c r="P34" s="364" t="s">
        <v>207</v>
      </c>
      <c r="Q34" s="157"/>
      <c r="R34" s="157"/>
      <c r="S34" s="364"/>
      <c r="T34" s="157"/>
      <c r="U34" s="157"/>
    </row>
    <row r="35" spans="2:21" ht="11.1" customHeight="1" x14ac:dyDescent="0.2">
      <c r="B35" s="189" t="str">
        <f ca="1">IF(OR(F35="en juego",F35="hoy!",F35="finalizado"),"►8","8")</f>
        <v>8</v>
      </c>
      <c r="C35" s="190" t="s">
        <v>179</v>
      </c>
      <c r="D35" s="191">
        <v>46204</v>
      </c>
      <c r="E35" s="192">
        <v>0.45833333333333331</v>
      </c>
      <c r="F35" s="156" t="str">
        <f ca="1">IF(OR(D35="",E35="",D35&lt;$M$4),"",IF(D35=$M$4,IF(AND(E35&lt;=$T$23,$T$23&lt;=(E35+0.08333333333)),"en juego",IF($T$23&lt;E35,"hoy!","finalizado")),IF($M$4&gt;D35,"finalizado","")))</f>
        <v/>
      </c>
      <c r="G35" s="153"/>
      <c r="H35" s="167"/>
      <c r="I35" s="168"/>
      <c r="J35" s="146"/>
      <c r="K35" s="332" t="str">
        <f>IF(AND(F34&lt;&gt;"",F36&lt;&gt;""),IF(OR(G34="",G36="",AND(G34=G36,OR(H34="",H36=""))),"OF8",IF(G34=G36,IF(H34&gt;H36,F34,F36),IF(G34&gt;G36,F34,F36))),"")</f>
        <v>Inglaterra</v>
      </c>
      <c r="M35" s="364">
        <v>80</v>
      </c>
      <c r="N35" s="157"/>
      <c r="O35" s="157"/>
      <c r="P35" s="364" t="s">
        <v>124</v>
      </c>
      <c r="Q35" s="157"/>
      <c r="R35" s="365">
        <f>IF(ISERROR(VLOOKUP(K35,Hoja1!$D$6:$D$53,1,0)),1,0)</f>
        <v>0</v>
      </c>
      <c r="S35" s="364"/>
      <c r="T35" s="157"/>
      <c r="U35" s="157"/>
    </row>
    <row r="36" spans="2:21" ht="12" customHeight="1" x14ac:dyDescent="0.2">
      <c r="B36" s="189"/>
      <c r="C36" s="193"/>
      <c r="D36" s="193"/>
      <c r="E36" s="193"/>
      <c r="F36" s="169" t="str">
        <f>IF($F$3=144,VLOOKUP("x",mejores3!$X$20:$AV$514,25,0),P36)</f>
        <v>Senegal</v>
      </c>
      <c r="G36" s="327">
        <v>1</v>
      </c>
      <c r="H36" s="151"/>
      <c r="I36" s="152"/>
      <c r="J36" s="146"/>
      <c r="K36" s="160"/>
      <c r="M36" s="157"/>
      <c r="N36" s="157"/>
      <c r="O36" s="157"/>
      <c r="P36" s="366" t="s">
        <v>243</v>
      </c>
      <c r="Q36" s="157"/>
      <c r="R36" s="157"/>
      <c r="S36" s="364"/>
      <c r="T36" s="157"/>
      <c r="U36" s="157"/>
    </row>
    <row r="37" spans="2:21" ht="11.1" customHeight="1" x14ac:dyDescent="0.2">
      <c r="B37" s="189"/>
      <c r="C37" s="193"/>
      <c r="D37" s="193"/>
      <c r="E37" s="193"/>
      <c r="F37" s="160"/>
      <c r="G37" s="153"/>
      <c r="H37" s="153"/>
      <c r="I37" s="146"/>
      <c r="J37" s="146"/>
      <c r="K37" s="161"/>
      <c r="M37" s="364"/>
      <c r="N37" s="157"/>
      <c r="O37" s="157"/>
      <c r="P37" s="364"/>
      <c r="Q37" s="157"/>
      <c r="R37" s="157"/>
      <c r="S37" s="364"/>
      <c r="T37" s="157"/>
      <c r="U37" s="157"/>
    </row>
    <row r="38" spans="2:21" ht="12" customHeight="1" x14ac:dyDescent="0.2">
      <c r="B38" s="189"/>
      <c r="C38" s="194"/>
      <c r="D38" s="194"/>
      <c r="E38" s="194"/>
      <c r="F38" s="169" t="str">
        <f>IF(AND('- G -'!I21&lt;&gt;12,'- G -'!H17&lt;&gt;""),"1ero Grupo G",'- G -'!H17)</f>
        <v>Bélgica</v>
      </c>
      <c r="G38" s="327">
        <v>3</v>
      </c>
      <c r="H38" s="149"/>
      <c r="I38" s="150"/>
      <c r="J38" s="146"/>
      <c r="K38" s="162"/>
      <c r="M38" s="364"/>
      <c r="N38" s="157"/>
      <c r="O38" s="157"/>
      <c r="P38" s="364" t="s">
        <v>134</v>
      </c>
      <c r="Q38" s="157"/>
      <c r="R38" s="157"/>
      <c r="S38" s="364"/>
      <c r="T38" s="157"/>
      <c r="U38" s="157"/>
    </row>
    <row r="39" spans="2:21" ht="11.1" customHeight="1" x14ac:dyDescent="0.2">
      <c r="B39" s="189">
        <v>9</v>
      </c>
      <c r="C39" s="190" t="s">
        <v>180</v>
      </c>
      <c r="D39" s="191">
        <v>46204</v>
      </c>
      <c r="E39" s="192">
        <v>0.625</v>
      </c>
      <c r="F39" s="156" t="str">
        <f ca="1">IF(OR(D39="",E39="",D39&lt;$M$4),"",IF(D39=$M$4,IF(AND(E39&lt;=$T$23,$T$23&lt;=(E39+0.08333333333)),"en juego",IF($T$23&lt;E39,"hoy!","finalizado")),IF($M$4&gt;D39,"finalizado","")))</f>
        <v/>
      </c>
      <c r="G39" s="153"/>
      <c r="H39" s="167"/>
      <c r="I39" s="168"/>
      <c r="J39" s="146"/>
      <c r="K39" s="332" t="str">
        <f>IF(AND(F38&lt;&gt;"",F40&lt;&gt;""),IF(OR(G38="",G40="",AND(G38=G40,OR(H38="",H40=""))),"OF9",IF(G38=G40,IF(H38&gt;H40,F38,F40),IF(G38&gt;G40,F38,F40))),"")</f>
        <v>Bélgica</v>
      </c>
      <c r="M39" s="364">
        <v>82</v>
      </c>
      <c r="N39" s="157"/>
      <c r="O39" s="157"/>
      <c r="P39" s="364" t="s">
        <v>124</v>
      </c>
      <c r="Q39" s="157"/>
      <c r="R39" s="365">
        <f>IF(ISERROR(VLOOKUP(K39,Hoja1!$D$6:$D$53,1,0)),1,0)</f>
        <v>0</v>
      </c>
      <c r="S39" s="364"/>
      <c r="T39" s="157"/>
      <c r="U39" s="157"/>
    </row>
    <row r="40" spans="2:21" ht="12" customHeight="1" x14ac:dyDescent="0.2">
      <c r="B40" s="189"/>
      <c r="C40" s="193"/>
      <c r="D40" s="193"/>
      <c r="E40" s="193"/>
      <c r="F40" s="169" t="str">
        <f>IF($F$3=144,VLOOKUP("x",mejores3!$X$20:$AV$514,22,0),P40)</f>
        <v>Korea</v>
      </c>
      <c r="G40" s="327">
        <v>1</v>
      </c>
      <c r="H40" s="151"/>
      <c r="I40" s="152"/>
      <c r="J40" s="146"/>
      <c r="K40" s="160"/>
      <c r="M40" s="157"/>
      <c r="N40" s="157"/>
      <c r="O40" s="157"/>
      <c r="P40" s="366" t="s">
        <v>244</v>
      </c>
      <c r="Q40" s="157"/>
      <c r="R40" s="157"/>
      <c r="S40" s="364"/>
      <c r="T40" s="157"/>
      <c r="U40" s="157"/>
    </row>
    <row r="41" spans="2:21" ht="11.1" customHeight="1" x14ac:dyDescent="0.2">
      <c r="B41" s="189"/>
      <c r="C41" s="193"/>
      <c r="D41" s="193"/>
      <c r="E41" s="193"/>
      <c r="F41" s="160"/>
      <c r="G41" s="153"/>
      <c r="H41" s="153"/>
      <c r="I41" s="146"/>
      <c r="J41" s="146"/>
      <c r="K41" s="161"/>
      <c r="M41" s="364"/>
      <c r="N41" s="157"/>
      <c r="O41" s="157"/>
      <c r="P41" s="364"/>
      <c r="Q41" s="157"/>
      <c r="R41" s="157"/>
      <c r="S41" s="364"/>
      <c r="T41" s="157"/>
      <c r="U41" s="157"/>
    </row>
    <row r="42" spans="2:21" ht="12" customHeight="1" x14ac:dyDescent="0.2">
      <c r="B42" s="189"/>
      <c r="C42" s="194"/>
      <c r="D42" s="194"/>
      <c r="E42" s="194"/>
      <c r="F42" s="169" t="str">
        <f>IF(AND('- D -'!I21&lt;&gt;12,'- D -'!H17&lt;&gt;""),"1ero Grupo D",'- D -'!H17)</f>
        <v>EE. UU.</v>
      </c>
      <c r="G42" s="327">
        <v>1</v>
      </c>
      <c r="H42" s="149"/>
      <c r="I42" s="150"/>
      <c r="J42" s="146"/>
      <c r="K42" s="162"/>
      <c r="M42" s="364"/>
      <c r="N42" s="157"/>
      <c r="O42" s="157"/>
      <c r="P42" s="364" t="s">
        <v>130</v>
      </c>
      <c r="Q42" s="157"/>
      <c r="R42" s="157"/>
      <c r="S42" s="364"/>
      <c r="T42" s="157"/>
      <c r="U42" s="157"/>
    </row>
    <row r="43" spans="2:21" ht="11.1" customHeight="1" x14ac:dyDescent="0.2">
      <c r="B43" s="189">
        <v>10</v>
      </c>
      <c r="C43" s="190" t="s">
        <v>171</v>
      </c>
      <c r="D43" s="191">
        <v>46204</v>
      </c>
      <c r="E43" s="192">
        <v>0.79166666666666663</v>
      </c>
      <c r="F43" s="156" t="str">
        <f ca="1">IF(OR(D43="",E43="",D43&lt;$M$4),"",IF(D43=$M$4,IF(AND(E43&lt;=$T$23,$T$23&lt;=(E43+0.08333333333)),"en juego",IF($T$23&lt;E43,"hoy!","finalizado")),IF($M$4&gt;D43,"finalizado","")))</f>
        <v/>
      </c>
      <c r="G43" s="153"/>
      <c r="H43" s="167"/>
      <c r="I43" s="168"/>
      <c r="J43" s="146"/>
      <c r="K43" s="332" t="str">
        <f>IF(AND(F42&lt;&gt;"",F44&lt;&gt;""),IF(OR(G42="",G44="",AND(G42=G44,OR(H42="",H44=""))),"OF10",IF(G42=G44,IF(H42&gt;H44,F42,F44),IF(G42&gt;G44,F42,F44))),"")</f>
        <v>EE. UU.</v>
      </c>
      <c r="M43" s="364">
        <v>81</v>
      </c>
      <c r="N43" s="157"/>
      <c r="O43" s="157"/>
      <c r="P43" s="364" t="s">
        <v>124</v>
      </c>
      <c r="Q43" s="157"/>
      <c r="R43" s="365">
        <f>IF(ISERROR(VLOOKUP(K43,Hoja1!$D$6:$D$53,1,0)),1,0)</f>
        <v>0</v>
      </c>
      <c r="S43" s="364"/>
      <c r="T43" s="157"/>
      <c r="U43" s="157"/>
    </row>
    <row r="44" spans="2:21" ht="12" customHeight="1" x14ac:dyDescent="0.2">
      <c r="B44" s="189"/>
      <c r="C44" s="193"/>
      <c r="D44" s="193"/>
      <c r="E44" s="193"/>
      <c r="F44" s="169" t="str">
        <f>IF($F$3=144,VLOOKUP("x",mejores3!$X$20:$AV$514,20,0),P44)</f>
        <v>Bosnia</v>
      </c>
      <c r="G44" s="327">
        <v>0</v>
      </c>
      <c r="H44" s="151"/>
      <c r="I44" s="152"/>
      <c r="J44" s="146"/>
      <c r="K44" s="160"/>
      <c r="M44" s="157"/>
      <c r="N44" s="157"/>
      <c r="O44" s="157"/>
      <c r="P44" s="366" t="s">
        <v>245</v>
      </c>
      <c r="Q44" s="157"/>
      <c r="R44" s="157"/>
      <c r="S44" s="364"/>
      <c r="T44" s="157"/>
      <c r="U44" s="157"/>
    </row>
    <row r="45" spans="2:21" ht="11.1" customHeight="1" x14ac:dyDescent="0.2">
      <c r="B45" s="189"/>
      <c r="C45" s="193"/>
      <c r="D45" s="193"/>
      <c r="E45" s="193"/>
      <c r="F45" s="160"/>
      <c r="G45" s="153"/>
      <c r="H45" s="153"/>
      <c r="I45" s="146"/>
      <c r="J45" s="146"/>
      <c r="K45" s="161"/>
      <c r="M45" s="364"/>
      <c r="N45" s="157"/>
      <c r="O45" s="157"/>
      <c r="P45" s="364"/>
      <c r="Q45" s="157"/>
      <c r="R45" s="157"/>
      <c r="S45" s="364"/>
      <c r="T45" s="157"/>
      <c r="U45" s="157"/>
    </row>
    <row r="46" spans="2:21" ht="12" customHeight="1" x14ac:dyDescent="0.2">
      <c r="B46" s="189"/>
      <c r="C46" s="194"/>
      <c r="D46" s="194"/>
      <c r="E46" s="194"/>
      <c r="F46" s="169" t="str">
        <f>IF(AND('- H -'!I21&lt;&gt;12,'- H -'!H17&lt;&gt;""),"1ero Grupo H",'- H -'!H17)</f>
        <v>España</v>
      </c>
      <c r="G46" s="327">
        <v>4</v>
      </c>
      <c r="H46" s="149"/>
      <c r="I46" s="150"/>
      <c r="J46" s="146"/>
      <c r="K46" s="162"/>
      <c r="M46" s="364"/>
      <c r="N46" s="157"/>
      <c r="O46" s="157"/>
      <c r="P46" s="364" t="s">
        <v>138</v>
      </c>
      <c r="Q46" s="157"/>
      <c r="R46" s="157"/>
      <c r="S46" s="364"/>
      <c r="T46" s="157"/>
      <c r="U46" s="157"/>
    </row>
    <row r="47" spans="2:21" ht="11.1" customHeight="1" x14ac:dyDescent="0.2">
      <c r="B47" s="189">
        <v>11</v>
      </c>
      <c r="C47" s="190" t="s">
        <v>170</v>
      </c>
      <c r="D47" s="191">
        <v>46205</v>
      </c>
      <c r="E47" s="192">
        <v>0.58333333333333337</v>
      </c>
      <c r="F47" s="156" t="str">
        <f ca="1">IF(OR(D47="",E47="",D47&lt;$M$4),"",IF(D47=$M$4,IF(AND(E47&lt;=$T$23,$T$23&lt;=(E47+0.08333333333)),"en juego",IF($T$23&lt;E47,"hoy!","finalizado")),IF($M$4&gt;D47,"finalizado","")))</f>
        <v/>
      </c>
      <c r="G47" s="153"/>
      <c r="H47" s="167"/>
      <c r="I47" s="168"/>
      <c r="J47" s="146"/>
      <c r="K47" s="332" t="str">
        <f>IF(AND(F46&lt;&gt;"",F48&lt;&gt;""),IF(OR(G46="",G48="",AND(G46=G48,OR(H46="",H48=""))),"OF11",IF(G46=G48,IF(H46&gt;H48,F46,F48),IF(G46&gt;G48,F46,F48))),"")</f>
        <v>España</v>
      </c>
      <c r="M47" s="364">
        <v>84</v>
      </c>
      <c r="N47" s="157"/>
      <c r="O47" s="157"/>
      <c r="P47" s="364" t="s">
        <v>124</v>
      </c>
      <c r="Q47" s="157"/>
      <c r="R47" s="365">
        <f>IF(ISERROR(VLOOKUP(K47,Hoja1!$D$6:$D$53,1,0)),1,0)</f>
        <v>0</v>
      </c>
      <c r="S47" s="364"/>
      <c r="T47" s="157"/>
      <c r="U47" s="157"/>
    </row>
    <row r="48" spans="2:21" ht="12" customHeight="1" x14ac:dyDescent="0.2">
      <c r="B48" s="189"/>
      <c r="C48" s="193"/>
      <c r="D48" s="193"/>
      <c r="E48" s="193"/>
      <c r="F48" s="169" t="str">
        <f>IF(AND('- J -'!I21&lt;&gt;12,'- J -'!H18&lt;&gt;""),"2do Grupo J",'- J -'!H18)</f>
        <v>Austria</v>
      </c>
      <c r="G48" s="327">
        <v>1</v>
      </c>
      <c r="H48" s="151"/>
      <c r="I48" s="152"/>
      <c r="J48" s="146"/>
      <c r="K48" s="160"/>
      <c r="M48" s="157"/>
      <c r="N48" s="157"/>
      <c r="O48" s="157"/>
      <c r="P48" s="364" t="s">
        <v>208</v>
      </c>
      <c r="Q48" s="157"/>
      <c r="R48" s="157"/>
      <c r="S48" s="364"/>
      <c r="T48" s="157"/>
      <c r="U48" s="157"/>
    </row>
    <row r="49" spans="2:21" ht="11.1" customHeight="1" x14ac:dyDescent="0.2">
      <c r="B49" s="189"/>
      <c r="C49" s="193"/>
      <c r="D49" s="193"/>
      <c r="E49" s="193"/>
      <c r="F49" s="160"/>
      <c r="G49" s="153"/>
      <c r="H49" s="153"/>
      <c r="I49" s="146"/>
      <c r="J49" s="146"/>
      <c r="K49" s="161"/>
      <c r="M49" s="364"/>
      <c r="N49" s="157"/>
      <c r="O49" s="157"/>
      <c r="P49" s="364"/>
      <c r="Q49" s="157"/>
      <c r="R49" s="157"/>
      <c r="S49" s="364"/>
      <c r="T49" s="157"/>
      <c r="U49" s="157"/>
    </row>
    <row r="50" spans="2:21" ht="12" customHeight="1" x14ac:dyDescent="0.2">
      <c r="B50" s="189"/>
      <c r="C50" s="194"/>
      <c r="D50" s="194"/>
      <c r="E50" s="194"/>
      <c r="F50" s="169" t="str">
        <f>IF(AND('- K -'!I21&lt;&gt;12,'- K -'!H18&lt;&gt;""),"2do Grupo K",'- K -'!H18)</f>
        <v>Colombia</v>
      </c>
      <c r="G50" s="327">
        <v>2</v>
      </c>
      <c r="H50" s="149">
        <v>3</v>
      </c>
      <c r="I50" s="150"/>
      <c r="J50" s="146"/>
      <c r="K50" s="162"/>
      <c r="M50" s="364"/>
      <c r="N50" s="157"/>
      <c r="O50" s="157"/>
      <c r="P50" s="364" t="s">
        <v>211</v>
      </c>
      <c r="Q50" s="157"/>
      <c r="R50" s="157"/>
      <c r="S50" s="364"/>
      <c r="T50" s="157"/>
      <c r="U50" s="157"/>
    </row>
    <row r="51" spans="2:21" ht="11.1" customHeight="1" x14ac:dyDescent="0.2">
      <c r="B51" s="189">
        <v>12</v>
      </c>
      <c r="C51" s="190" t="s">
        <v>169</v>
      </c>
      <c r="D51" s="191">
        <v>46205</v>
      </c>
      <c r="E51" s="192">
        <v>0.75</v>
      </c>
      <c r="F51" s="156" t="str">
        <f ca="1">IF(OR(D51="",E51="",D51&lt;$M$4),"",IF(D51=$M$4,IF(AND(E51&lt;=$T$23,$T$23&lt;=(E51+0.08333333333)),"en juego",IF($T$23&lt;E51,"hoy!","finalizado")),IF($M$4&gt;D51,"finalizado","")))</f>
        <v/>
      </c>
      <c r="G51" s="153"/>
      <c r="H51" s="167"/>
      <c r="I51" s="168"/>
      <c r="J51" s="146"/>
      <c r="K51" s="332" t="str">
        <f>IF(AND(F50&lt;&gt;"",F52&lt;&gt;""),IF(OR(G50="",G52="",AND(G50=G52,OR(H50="",H52=""))),"OF12",IF(G50=G52,IF(H50&gt;H52,F50,F52),IF(G50&gt;G52,F50,F52))),"")</f>
        <v>Croacia</v>
      </c>
      <c r="M51" s="364">
        <v>83</v>
      </c>
      <c r="N51" s="157"/>
      <c r="O51" s="157"/>
      <c r="P51" s="364" t="s">
        <v>124</v>
      </c>
      <c r="Q51" s="157"/>
      <c r="R51" s="365">
        <f>IF(ISERROR(VLOOKUP(K51,Hoja1!$D$6:$D$53,1,0)),1,0)</f>
        <v>0</v>
      </c>
      <c r="S51" s="364"/>
      <c r="T51" s="157"/>
      <c r="U51" s="157"/>
    </row>
    <row r="52" spans="2:21" ht="12" customHeight="1" x14ac:dyDescent="0.2">
      <c r="B52" s="189"/>
      <c r="C52" s="193"/>
      <c r="D52" s="193"/>
      <c r="E52" s="193"/>
      <c r="F52" s="169" t="str">
        <f>IF(AND('- L -'!I21&lt;&gt;12,'- L -'!H18&lt;&gt;""),"2do Grupo L",'- L -'!H18)</f>
        <v>Croacia</v>
      </c>
      <c r="G52" s="327">
        <v>2</v>
      </c>
      <c r="H52" s="151">
        <v>5</v>
      </c>
      <c r="I52" s="152"/>
      <c r="J52" s="146"/>
      <c r="K52" s="160"/>
      <c r="M52" s="157"/>
      <c r="N52" s="157"/>
      <c r="O52" s="157"/>
      <c r="P52" s="364" t="s">
        <v>210</v>
      </c>
      <c r="Q52" s="157"/>
      <c r="R52" s="157"/>
      <c r="S52" s="364"/>
      <c r="T52" s="157"/>
      <c r="U52" s="157"/>
    </row>
    <row r="53" spans="2:21" ht="11.1" customHeight="1" x14ac:dyDescent="0.2">
      <c r="B53" s="189"/>
      <c r="C53" s="193"/>
      <c r="D53" s="193"/>
      <c r="E53" s="193"/>
      <c r="F53" s="160"/>
      <c r="G53" s="153"/>
      <c r="H53" s="153"/>
      <c r="I53" s="146"/>
      <c r="J53" s="146"/>
      <c r="K53" s="161"/>
      <c r="M53" s="364"/>
      <c r="N53" s="157"/>
      <c r="O53" s="157"/>
      <c r="P53" s="364"/>
      <c r="Q53" s="157"/>
      <c r="R53" s="157"/>
      <c r="S53" s="364"/>
      <c r="T53" s="157"/>
      <c r="U53" s="157"/>
    </row>
    <row r="54" spans="2:21" ht="12" customHeight="1" x14ac:dyDescent="0.2">
      <c r="B54" s="189"/>
      <c r="C54" s="194"/>
      <c r="D54" s="194"/>
      <c r="E54" s="194"/>
      <c r="F54" s="169" t="str">
        <f>IF(AND('- B -'!I21&lt;&gt;12,'- B -'!H17&lt;&gt;""),"1ero Grupo B",'- B -'!H17)</f>
        <v>Suiza</v>
      </c>
      <c r="G54" s="327">
        <v>2</v>
      </c>
      <c r="H54" s="149"/>
      <c r="I54" s="150"/>
      <c r="J54" s="146"/>
      <c r="K54" s="162"/>
      <c r="M54" s="364"/>
      <c r="N54" s="157"/>
      <c r="O54" s="157"/>
      <c r="P54" s="364" t="s">
        <v>128</v>
      </c>
      <c r="Q54" s="157"/>
      <c r="R54" s="157"/>
      <c r="S54" s="364"/>
      <c r="T54" s="157"/>
      <c r="U54" s="157"/>
    </row>
    <row r="55" spans="2:21" ht="11.1" customHeight="1" x14ac:dyDescent="0.2">
      <c r="B55" s="189">
        <v>13</v>
      </c>
      <c r="C55" s="190" t="s">
        <v>174</v>
      </c>
      <c r="D55" s="191">
        <v>46205</v>
      </c>
      <c r="E55" s="192">
        <v>0.91666666666666663</v>
      </c>
      <c r="F55" s="156" t="str">
        <f ca="1">IF(OR(D55="",E55="",D55&lt;$M$4),"",IF(D55=$M$4,IF(AND(E55&lt;=$T$23,$T$23&lt;=(E55+0.08333333333)),"en juego",IF($T$23&lt;E55,"hoy!","finalizado")),IF($M$4&gt;D55,"finalizado","")))</f>
        <v/>
      </c>
      <c r="G55" s="153"/>
      <c r="H55" s="167"/>
      <c r="I55" s="168"/>
      <c r="J55" s="146"/>
      <c r="K55" s="332" t="str">
        <f>IF(AND(F54&lt;&gt;"",F56&lt;&gt;""),IF(OR(G54="",G56="",AND(G54=G56,OR(H54="",H56=""))),"OF13",IF(G54=G56,IF(H54&gt;H56,F54,F56),IF(G54&gt;G56,F54,F56))),"")</f>
        <v>Suiza</v>
      </c>
      <c r="M55" s="364">
        <v>85</v>
      </c>
      <c r="N55" s="157"/>
      <c r="O55" s="157"/>
      <c r="P55" s="364" t="s">
        <v>124</v>
      </c>
      <c r="Q55" s="157"/>
      <c r="R55" s="365">
        <f>IF(ISERROR(VLOOKUP(K55,Hoja1!$D$6:$D$53,1,0)),1,0)</f>
        <v>0</v>
      </c>
      <c r="S55" s="364"/>
      <c r="T55" s="157"/>
      <c r="U55" s="157"/>
    </row>
    <row r="56" spans="2:21" ht="12" customHeight="1" x14ac:dyDescent="0.2">
      <c r="B56" s="189"/>
      <c r="C56" s="193"/>
      <c r="D56" s="193"/>
      <c r="E56" s="193"/>
      <c r="F56" s="169" t="str">
        <f>IF($F$3=144,VLOOKUP("x",mejores3!$X$20:$AV$514,19,0),P56)</f>
        <v>Irán</v>
      </c>
      <c r="G56" s="327">
        <v>0</v>
      </c>
      <c r="H56" s="151"/>
      <c r="I56" s="152"/>
      <c r="J56" s="146"/>
      <c r="K56" s="160"/>
      <c r="M56" s="157"/>
      <c r="N56" s="157"/>
      <c r="O56" s="157"/>
      <c r="P56" s="366" t="s">
        <v>246</v>
      </c>
      <c r="Q56" s="157"/>
      <c r="R56" s="157"/>
      <c r="S56" s="364"/>
      <c r="T56" s="157"/>
      <c r="U56" s="157"/>
    </row>
    <row r="57" spans="2:21" ht="11.1" customHeight="1" x14ac:dyDescent="0.2">
      <c r="B57" s="189"/>
      <c r="C57" s="193"/>
      <c r="D57" s="193"/>
      <c r="E57" s="193"/>
      <c r="F57" s="160"/>
      <c r="G57" s="153"/>
      <c r="H57" s="153"/>
      <c r="I57" s="146"/>
      <c r="J57" s="146"/>
      <c r="K57" s="161"/>
      <c r="M57" s="364"/>
      <c r="N57" s="157"/>
      <c r="O57" s="157"/>
      <c r="P57" s="364"/>
      <c r="Q57" s="157"/>
      <c r="R57" s="157"/>
      <c r="S57" s="364"/>
      <c r="T57" s="157"/>
      <c r="U57" s="157"/>
    </row>
    <row r="58" spans="2:21" ht="12" customHeight="1" x14ac:dyDescent="0.2">
      <c r="B58" s="189"/>
      <c r="C58" s="194"/>
      <c r="D58" s="194"/>
      <c r="E58" s="194"/>
      <c r="F58" s="169" t="str">
        <f>IF(AND('- D -'!I21&lt;&gt;12,'- D -'!H18&lt;&gt;""),"2do Grupo D",'- D -'!H18)</f>
        <v>Turquía</v>
      </c>
      <c r="G58" s="327">
        <v>3</v>
      </c>
      <c r="H58" s="149"/>
      <c r="I58" s="150"/>
      <c r="J58" s="146"/>
      <c r="K58" s="162"/>
      <c r="M58" s="364"/>
      <c r="N58" s="157"/>
      <c r="O58" s="157"/>
      <c r="P58" s="364" t="s">
        <v>127</v>
      </c>
      <c r="Q58" s="157"/>
      <c r="R58" s="157"/>
      <c r="S58" s="364"/>
      <c r="T58" s="157"/>
      <c r="U58" s="157"/>
    </row>
    <row r="59" spans="2:21" ht="11.1" customHeight="1" x14ac:dyDescent="0.2">
      <c r="B59" s="189">
        <v>14</v>
      </c>
      <c r="C59" s="190" t="s">
        <v>176</v>
      </c>
      <c r="D59" s="191">
        <v>46206</v>
      </c>
      <c r="E59" s="192">
        <v>0.54166666666666663</v>
      </c>
      <c r="F59" s="156" t="str">
        <f ca="1">IF(OR(D59="",E59="",D59&lt;$M$4),"",IF(D59=$M$4,IF(AND(E59&lt;=$T$23,$T$23&lt;=(E59+0.08333333333)),"en juego",IF($T$23&lt;E59,"hoy!","finalizado")),IF($M$4&gt;D59,"finalizado","")))</f>
        <v/>
      </c>
      <c r="G59" s="153"/>
      <c r="H59" s="167"/>
      <c r="I59" s="168"/>
      <c r="J59" s="146"/>
      <c r="K59" s="332" t="str">
        <f>IF(AND(F58&lt;&gt;"",F60&lt;&gt;""),IF(OR(G58="",G60="",AND(G58=G60,OR(H58="",H60=""))),"OF14",IF(G58=G60,IF(H58&gt;H60,F58,F60),IF(G58&gt;G60,F58,F60))),"")</f>
        <v>Turquía</v>
      </c>
      <c r="M59" s="364">
        <v>88</v>
      </c>
      <c r="N59" s="157"/>
      <c r="O59" s="157"/>
      <c r="P59" s="364" t="s">
        <v>124</v>
      </c>
      <c r="Q59" s="157"/>
      <c r="R59" s="365">
        <f>IF(ISERROR(VLOOKUP(K59,Hoja1!$D$6:$D$53,1,0)),1,0)</f>
        <v>0</v>
      </c>
      <c r="S59" s="364"/>
      <c r="T59" s="157"/>
      <c r="U59" s="157"/>
    </row>
    <row r="60" spans="2:21" ht="12" customHeight="1" x14ac:dyDescent="0.2">
      <c r="B60" s="189"/>
      <c r="C60" s="193"/>
      <c r="D60" s="193"/>
      <c r="E60" s="193"/>
      <c r="F60" s="169" t="str">
        <f>IF(AND('- G -'!I21&lt;&gt;12,'- G -'!H18&lt;&gt;""),"2do Grupo G",'- G -'!H18)</f>
        <v>Egipto</v>
      </c>
      <c r="G60" s="327">
        <v>1</v>
      </c>
      <c r="H60" s="151"/>
      <c r="I60" s="152"/>
      <c r="J60" s="146"/>
      <c r="K60" s="160"/>
      <c r="M60" s="157"/>
      <c r="N60" s="157"/>
      <c r="O60" s="157"/>
      <c r="P60" s="364" t="s">
        <v>139</v>
      </c>
      <c r="Q60" s="157"/>
      <c r="R60" s="157"/>
      <c r="S60" s="364"/>
      <c r="T60" s="157"/>
      <c r="U60" s="157"/>
    </row>
    <row r="61" spans="2:21" ht="11.1" customHeight="1" x14ac:dyDescent="0.2">
      <c r="B61" s="189"/>
      <c r="C61" s="193"/>
      <c r="D61" s="193"/>
      <c r="E61" s="193"/>
      <c r="F61" s="160"/>
      <c r="G61" s="153"/>
      <c r="H61" s="153"/>
      <c r="I61" s="146"/>
      <c r="J61" s="146"/>
      <c r="K61" s="161"/>
      <c r="M61" s="364"/>
      <c r="N61" s="157"/>
      <c r="O61" s="157"/>
      <c r="P61" s="364"/>
      <c r="Q61" s="157"/>
      <c r="R61" s="157"/>
      <c r="S61" s="364"/>
      <c r="T61" s="157"/>
      <c r="U61" s="157"/>
    </row>
    <row r="62" spans="2:21" ht="12" customHeight="1" x14ac:dyDescent="0.2">
      <c r="B62" s="189"/>
      <c r="C62" s="194"/>
      <c r="D62" s="194"/>
      <c r="E62" s="194"/>
      <c r="F62" s="169" t="str">
        <f>IF(AND('- J -'!I21&lt;&gt;12,'- J -'!H17&lt;&gt;""),"1ero Grupo J",'- J -'!H17)</f>
        <v>Argentina</v>
      </c>
      <c r="G62" s="327">
        <v>3</v>
      </c>
      <c r="H62" s="149"/>
      <c r="I62" s="150"/>
      <c r="J62" s="146"/>
      <c r="K62" s="162"/>
      <c r="M62" s="364"/>
      <c r="N62" s="157"/>
      <c r="O62" s="157"/>
      <c r="P62" s="364" t="s">
        <v>212</v>
      </c>
      <c r="Q62" s="157"/>
      <c r="R62" s="157"/>
      <c r="S62" s="364"/>
      <c r="T62" s="157"/>
      <c r="U62" s="157"/>
    </row>
    <row r="63" spans="2:21" ht="11.1" customHeight="1" x14ac:dyDescent="0.2">
      <c r="B63" s="189">
        <v>15</v>
      </c>
      <c r="C63" s="190" t="s">
        <v>181</v>
      </c>
      <c r="D63" s="191">
        <v>46206</v>
      </c>
      <c r="E63" s="192">
        <v>0.70833333333333337</v>
      </c>
      <c r="F63" s="156" t="str">
        <f ca="1">IF(OR(D63="",E63="",D63&lt;$M$4),"",IF(D63=$M$4,IF(AND(E63&lt;=$T$23,$T$23&lt;=(E63+0.08333333333)),"en juego",IF($T$23&lt;E63,"hoy!","finalizado")),IF($M$4&gt;D63,"finalizado","")))</f>
        <v/>
      </c>
      <c r="G63" s="153"/>
      <c r="H63" s="167"/>
      <c r="I63" s="168"/>
      <c r="J63" s="146"/>
      <c r="K63" s="332" t="str">
        <f>IF(AND(F62&lt;&gt;"",F64&lt;&gt;""),IF(OR(G62="",G64="",AND(G62=G64,OR(H62="",H64=""))),"OF15",IF(G62=G64,IF(H62&gt;H64,F62,F64),IF(G62&gt;G64,F62,F64))),"")</f>
        <v>Argentina</v>
      </c>
      <c r="M63" s="364">
        <v>86</v>
      </c>
      <c r="N63" s="157"/>
      <c r="O63" s="157"/>
      <c r="P63" s="364" t="s">
        <v>124</v>
      </c>
      <c r="Q63" s="157"/>
      <c r="R63" s="365">
        <f>IF(ISERROR(VLOOKUP(K63,Hoja1!$D$6:$D$53,1,0)),1,0)</f>
        <v>0</v>
      </c>
      <c r="S63" s="364"/>
      <c r="T63" s="157"/>
      <c r="U63" s="157"/>
    </row>
    <row r="64" spans="2:21" ht="12" customHeight="1" x14ac:dyDescent="0.2">
      <c r="B64" s="189"/>
      <c r="C64" s="193"/>
      <c r="D64" s="193"/>
      <c r="E64" s="193"/>
      <c r="F64" s="169" t="str">
        <f>IF(AND('- H -'!I21&lt;&gt;12,'- H -'!H18&lt;&gt;""),"2do Grupo H",'- H -'!H18)</f>
        <v>Uruguay</v>
      </c>
      <c r="G64" s="327">
        <v>1</v>
      </c>
      <c r="H64" s="151"/>
      <c r="I64" s="152"/>
      <c r="J64" s="146"/>
      <c r="K64" s="160"/>
      <c r="M64" s="157"/>
      <c r="N64" s="157"/>
      <c r="O64" s="157"/>
      <c r="P64" s="364" t="s">
        <v>135</v>
      </c>
      <c r="Q64" s="157"/>
      <c r="R64" s="157"/>
      <c r="S64" s="364"/>
      <c r="T64" s="157"/>
      <c r="U64" s="157"/>
    </row>
    <row r="65" spans="2:21" ht="11.1" customHeight="1" x14ac:dyDescent="0.2">
      <c r="B65" s="189"/>
      <c r="C65" s="193"/>
      <c r="D65" s="193"/>
      <c r="E65" s="193"/>
      <c r="F65" s="160"/>
      <c r="G65" s="153"/>
      <c r="H65" s="153"/>
      <c r="I65" s="146"/>
      <c r="J65" s="146"/>
      <c r="K65" s="161"/>
      <c r="M65" s="364"/>
      <c r="N65" s="157"/>
      <c r="O65" s="157"/>
      <c r="P65" s="364"/>
      <c r="Q65" s="157"/>
      <c r="R65" s="157"/>
      <c r="S65" s="364"/>
      <c r="T65" s="157"/>
      <c r="U65" s="157"/>
    </row>
    <row r="66" spans="2:21" ht="12" customHeight="1" x14ac:dyDescent="0.2">
      <c r="B66" s="189"/>
      <c r="C66" s="194"/>
      <c r="D66" s="194"/>
      <c r="E66" s="194"/>
      <c r="F66" s="169" t="str">
        <f>IF(AND('- K -'!I21&lt;&gt;12,'- K -'!H17&lt;&gt;""),"1ero Grupo K",'- K -'!H17)</f>
        <v>Portugal</v>
      </c>
      <c r="G66" s="327">
        <v>2</v>
      </c>
      <c r="H66" s="149"/>
      <c r="I66" s="150"/>
      <c r="J66" s="146"/>
      <c r="K66" s="162"/>
      <c r="M66" s="364"/>
      <c r="N66" s="157"/>
      <c r="O66" s="157"/>
      <c r="P66" s="364" t="s">
        <v>213</v>
      </c>
      <c r="Q66" s="157"/>
      <c r="R66" s="157"/>
      <c r="S66" s="364"/>
      <c r="T66" s="157"/>
      <c r="U66" s="157"/>
    </row>
    <row r="67" spans="2:21" ht="11.1" customHeight="1" x14ac:dyDescent="0.2">
      <c r="B67" s="189">
        <v>16</v>
      </c>
      <c r="C67" s="190" t="s">
        <v>182</v>
      </c>
      <c r="D67" s="191">
        <v>46206</v>
      </c>
      <c r="E67" s="192">
        <v>0.85416666666666663</v>
      </c>
      <c r="F67" s="156" t="str">
        <f ca="1">IF(OR(D67="",E67="",D67&lt;$M$4),"",IF(D67=$M$4,IF(AND(E67&lt;=$T$23,$T$23&lt;=(E67+0.08333333333)),"en juego",IF($T$23&lt;E67,"hoy!","finalizado")),IF($M$4&gt;D67,"finalizado","")))</f>
        <v/>
      </c>
      <c r="G67" s="153"/>
      <c r="H67" s="167"/>
      <c r="I67" s="168"/>
      <c r="J67" s="146"/>
      <c r="K67" s="332" t="str">
        <f>IF(AND(F66&lt;&gt;"",F68&lt;&gt;""),IF(OR(G66="",G68="",AND(G66=G68,OR(H66="",H68=""))),"OF16",IF(G66=G68,IF(H66&gt;H68,F66,F68),IF(G66&gt;G68,F66,F68))),"")</f>
        <v>Portugal</v>
      </c>
      <c r="M67" s="364">
        <v>87</v>
      </c>
      <c r="N67" s="157"/>
      <c r="O67" s="157"/>
      <c r="P67" s="364" t="s">
        <v>124</v>
      </c>
      <c r="Q67" s="157"/>
      <c r="R67" s="365">
        <f>IF(ISERROR(VLOOKUP(K67,Hoja1!$D$6:$D$53,1,0)),1,0)</f>
        <v>0</v>
      </c>
      <c r="S67" s="364"/>
      <c r="T67" s="157"/>
      <c r="U67" s="157"/>
    </row>
    <row r="68" spans="2:21" ht="12" customHeight="1" x14ac:dyDescent="0.2">
      <c r="B68" s="189"/>
      <c r="C68" s="193"/>
      <c r="D68" s="193"/>
      <c r="E68" s="193"/>
      <c r="F68" s="169" t="str">
        <f>IF($F$3=144,VLOOKUP("x",mejores3!$X$20:$AV$514,24,0),P68)</f>
        <v>Costa de Marfil</v>
      </c>
      <c r="G68" s="327">
        <v>0</v>
      </c>
      <c r="H68" s="151"/>
      <c r="I68" s="152"/>
      <c r="J68" s="146"/>
      <c r="K68" s="160"/>
      <c r="M68" s="157"/>
      <c r="N68" s="157"/>
      <c r="O68" s="157"/>
      <c r="P68" s="366" t="s">
        <v>321</v>
      </c>
      <c r="Q68" s="157"/>
      <c r="R68" s="157"/>
      <c r="S68" s="364"/>
      <c r="T68" s="157"/>
      <c r="U68" s="157"/>
    </row>
    <row r="69" spans="2:21" x14ac:dyDescent="0.2">
      <c r="M69" s="157"/>
      <c r="N69" s="157"/>
      <c r="O69" s="157"/>
      <c r="P69" s="157"/>
      <c r="Q69" s="157"/>
      <c r="R69" s="157"/>
      <c r="S69" s="157"/>
      <c r="T69" s="157"/>
      <c r="U69" s="157"/>
    </row>
    <row r="70" spans="2:21" x14ac:dyDescent="0.2">
      <c r="M70" s="157"/>
      <c r="N70" s="157"/>
      <c r="O70" s="157"/>
      <c r="P70" s="157"/>
      <c r="Q70" s="157"/>
      <c r="R70" s="157"/>
      <c r="S70" s="157"/>
      <c r="T70" s="157"/>
      <c r="U70" s="157"/>
    </row>
    <row r="71" spans="2:21" x14ac:dyDescent="0.2">
      <c r="C71" s="75" t="str">
        <f>IF(OR(menu!$D$4="",menu!$D$6=""),"Atencion !  Aun te falta poner tu nombre y Pais en la hoja INICIO","")</f>
        <v/>
      </c>
      <c r="M71" s="157"/>
      <c r="N71" s="157"/>
      <c r="O71" s="157"/>
      <c r="P71" s="157"/>
      <c r="Q71" s="157"/>
      <c r="R71" s="157"/>
      <c r="S71" s="157"/>
      <c r="T71" s="157"/>
      <c r="U71" s="157"/>
    </row>
    <row r="72" spans="2:21" x14ac:dyDescent="0.2">
      <c r="M72" s="157"/>
      <c r="N72" s="157"/>
      <c r="O72" s="157"/>
      <c r="P72" s="157"/>
      <c r="Q72" s="157"/>
      <c r="R72" s="157"/>
      <c r="S72" s="157"/>
      <c r="T72" s="157"/>
      <c r="U72" s="157"/>
    </row>
    <row r="73" spans="2:21" x14ac:dyDescent="0.2">
      <c r="M73" s="347"/>
    </row>
  </sheetData>
  <sheetProtection algorithmName="SHA-512" hashValue="cWGyflxlo+URyf67GNen/wMBcgDSY9k0N94j75zVsuOctB0VkSIjBOh/02w6shTL/8p7i3S6rcEc9llbIYknCQ==" saltValue="yQVvJVWEDhewiSD7wUjr+g==" spinCount="100000" sheet="1" objects="1" scenarios="1" selectLockedCells="1"/>
  <mergeCells count="6">
    <mergeCell ref="C4:E4"/>
    <mergeCell ref="F4:G4"/>
    <mergeCell ref="H4:I4"/>
    <mergeCell ref="R1:R2"/>
    <mergeCell ref="B1:N2"/>
    <mergeCell ref="P1:P2"/>
  </mergeCells>
  <conditionalFormatting sqref="B15:E15">
    <cfRule type="expression" dxfId="183" priority="207" stopIfTrue="1">
      <formula>IF(OR($F$15="en juego",$F$15="hoy!"),1,0)</formula>
    </cfRule>
  </conditionalFormatting>
  <conditionalFormatting sqref="B7:F7">
    <cfRule type="expression" dxfId="182" priority="204" stopIfTrue="1">
      <formula>IF(OR($F$7="en juego",$F$7="hoy!"),1,0)</formula>
    </cfRule>
  </conditionalFormatting>
  <conditionalFormatting sqref="B11:F11">
    <cfRule type="expression" dxfId="181" priority="271" stopIfTrue="1">
      <formula>IF(OR($F$11="en juego",$F$11="hoy!"),1,0)</formula>
    </cfRule>
  </conditionalFormatting>
  <conditionalFormatting sqref="B19:F19">
    <cfRule type="expression" dxfId="180" priority="269" stopIfTrue="1">
      <formula>IF(OR($F$19="en juego",$F$19="hoy!"),1,0)</formula>
    </cfRule>
  </conditionalFormatting>
  <conditionalFormatting sqref="B23:F23">
    <cfRule type="expression" dxfId="179" priority="268" stopIfTrue="1">
      <formula>IF(OR($F$23="en juego",$F$23="hoy!"),1,0)</formula>
    </cfRule>
  </conditionalFormatting>
  <conditionalFormatting sqref="B27:F27">
    <cfRule type="expression" dxfId="178" priority="203" stopIfTrue="1">
      <formula>IF(OR($F$27="en juego",$F$27="hoy!"),1,0)</formula>
    </cfRule>
  </conditionalFormatting>
  <conditionalFormatting sqref="B31:F31">
    <cfRule type="expression" dxfId="177" priority="266" stopIfTrue="1">
      <formula>IF(OR($F$31="en juego",$F$31="hoy!"),1,0)</formula>
    </cfRule>
  </conditionalFormatting>
  <conditionalFormatting sqref="B35:F35">
    <cfRule type="expression" dxfId="176" priority="265" stopIfTrue="1">
      <formula>IF(OR($F$35="en juego",$F$35="hoy!"),1,0)</formula>
    </cfRule>
  </conditionalFormatting>
  <conditionalFormatting sqref="B39:F39">
    <cfRule type="expression" dxfId="175" priority="202" stopIfTrue="1">
      <formula>IF(OR($F$39="en juego",$F$39="hoy!"),1,0)</formula>
    </cfRule>
  </conditionalFormatting>
  <conditionalFormatting sqref="B43:F43">
    <cfRule type="expression" dxfId="174" priority="185" stopIfTrue="1">
      <formula>IF(OR($F$43="en juego",$F$43="hoy!"),1,0)</formula>
    </cfRule>
  </conditionalFormatting>
  <conditionalFormatting sqref="B47:F47">
    <cfRule type="expression" dxfId="173" priority="170" stopIfTrue="1">
      <formula>IF(OR($F$47="en juego",$F$47="hoy!"),1,0)</formula>
    </cfRule>
  </conditionalFormatting>
  <conditionalFormatting sqref="B51:F51">
    <cfRule type="expression" dxfId="172" priority="155" stopIfTrue="1">
      <formula>IF(OR($F$51="en juego",$F$51="hoy!"),1,0)</formula>
    </cfRule>
  </conditionalFormatting>
  <conditionalFormatting sqref="B55:F55">
    <cfRule type="expression" dxfId="171" priority="140" stopIfTrue="1">
      <formula>IF(OR($F$55="en juego",$F$55="hoy!"),1,0)</formula>
    </cfRule>
  </conditionalFormatting>
  <conditionalFormatting sqref="B59:F59">
    <cfRule type="expression" dxfId="170" priority="125" stopIfTrue="1">
      <formula>IF(OR($F$59="en juego",$F$59="hoy!"),1,0)</formula>
    </cfRule>
  </conditionalFormatting>
  <conditionalFormatting sqref="B63:F63">
    <cfRule type="expression" dxfId="169" priority="110" stopIfTrue="1">
      <formula>IF(OR($F$63="en juego",$F$63="hoy!"),1,0)</formula>
    </cfRule>
  </conditionalFormatting>
  <conditionalFormatting sqref="B67:F67">
    <cfRule type="expression" dxfId="168" priority="95" stopIfTrue="1">
      <formula>IF(OR($F$67="en juego",$F$67="hoy!"),1,0)</formula>
    </cfRule>
  </conditionalFormatting>
  <conditionalFormatting sqref="D27">
    <cfRule type="expression" dxfId="167" priority="206" stopIfTrue="1">
      <formula>IF(OR($F$23="en juego",$F$23="hoy!"),1,0)</formula>
    </cfRule>
  </conditionalFormatting>
  <conditionalFormatting sqref="E27:F27">
    <cfRule type="expression" dxfId="166" priority="267" stopIfTrue="1">
      <formula>IF(OR($F$27="en juego",$F$27="hoy!"),1,0)</formula>
    </cfRule>
  </conditionalFormatting>
  <conditionalFormatting sqref="F11">
    <cfRule type="expression" dxfId="165" priority="253" stopIfTrue="1">
      <formula>IF(OR($F$7="en juego",$F$7="hoy!"),1,0)</formula>
    </cfRule>
  </conditionalFormatting>
  <conditionalFormatting sqref="F15">
    <cfRule type="expression" dxfId="164" priority="248" stopIfTrue="1">
      <formula>IF(OR($F$7="en juego",$F$7="hoy!"),1,0)</formula>
    </cfRule>
    <cfRule type="expression" dxfId="163" priority="270" stopIfTrue="1">
      <formula>IF(OR($F$15="en juego",$F$15="hoy!"),1,0)</formula>
    </cfRule>
  </conditionalFormatting>
  <conditionalFormatting sqref="F19">
    <cfRule type="expression" dxfId="162" priority="243" stopIfTrue="1">
      <formula>IF(OR($F$7="en juego",$F$7="hoy!"),1,0)</formula>
    </cfRule>
  </conditionalFormatting>
  <conditionalFormatting sqref="F23">
    <cfRule type="expression" dxfId="161" priority="238" stopIfTrue="1">
      <formula>IF(OR($F$7="en juego",$F$7="hoy!"),1,0)</formula>
    </cfRule>
  </conditionalFormatting>
  <conditionalFormatting sqref="F27">
    <cfRule type="expression" dxfId="160" priority="233" stopIfTrue="1">
      <formula>IF(OR($F$7="en juego",$F$7="hoy!"),1,0)</formula>
    </cfRule>
  </conditionalFormatting>
  <conditionalFormatting sqref="F31">
    <cfRule type="expression" dxfId="159" priority="228" stopIfTrue="1">
      <formula>IF(OR($F$7="en juego",$F$7="hoy!"),1,0)</formula>
    </cfRule>
  </conditionalFormatting>
  <conditionalFormatting sqref="F35">
    <cfRule type="expression" dxfId="158" priority="223" stopIfTrue="1">
      <formula>IF(OR($F$7="en juego",$F$7="hoy!"),1,0)</formula>
    </cfRule>
  </conditionalFormatting>
  <conditionalFormatting sqref="G6 G10 G14 G18 G22 G26 G30 G34">
    <cfRule type="expression" dxfId="157" priority="257" stopIfTrue="1">
      <formula>IF(OR($M$5="en juego",$M$5="hoy!"),1,0)</formula>
    </cfRule>
  </conditionalFormatting>
  <conditionalFormatting sqref="G8">
    <cfRule type="expression" dxfId="156" priority="80" stopIfTrue="1">
      <formula>IF(OR($M$5="en juego",$M$5="hoy!"),1,0)</formula>
    </cfRule>
    <cfRule type="colorScale" priority="79">
      <colorScale>
        <cfvo type="num" val="0"/>
        <cfvo type="num" val="10"/>
        <color theme="9" tint="0.59999389629810485"/>
        <color theme="9" tint="0.59999389629810485"/>
      </colorScale>
    </cfRule>
  </conditionalFormatting>
  <conditionalFormatting sqref="G10 G6 G14 G18 G22 G26 G30 G34">
    <cfRule type="colorScale" priority="256">
      <colorScale>
        <cfvo type="num" val="0"/>
        <cfvo type="num" val="10"/>
        <color theme="9" tint="0.59999389629810485"/>
        <color theme="9" tint="0.59999389629810485"/>
      </colorScale>
    </cfRule>
  </conditionalFormatting>
  <conditionalFormatting sqref="G12">
    <cfRule type="expression" dxfId="155" priority="78" stopIfTrue="1">
      <formula>IF(OR($M$5="en juego",$M$5="hoy!"),1,0)</formula>
    </cfRule>
    <cfRule type="colorScale" priority="77">
      <colorScale>
        <cfvo type="num" val="0"/>
        <cfvo type="num" val="10"/>
        <color theme="9" tint="0.59999389629810485"/>
        <color theme="9" tint="0.59999389629810485"/>
      </colorScale>
    </cfRule>
  </conditionalFormatting>
  <conditionalFormatting sqref="G16">
    <cfRule type="expression" dxfId="154" priority="76" stopIfTrue="1">
      <formula>IF(OR($M$5="en juego",$M$5="hoy!"),1,0)</formula>
    </cfRule>
    <cfRule type="colorScale" priority="75">
      <colorScale>
        <cfvo type="num" val="0"/>
        <cfvo type="num" val="10"/>
        <color theme="9" tint="0.59999389629810485"/>
        <color theme="9" tint="0.59999389629810485"/>
      </colorScale>
    </cfRule>
  </conditionalFormatting>
  <conditionalFormatting sqref="G20">
    <cfRule type="expression" dxfId="153" priority="74" stopIfTrue="1">
      <formula>IF(OR($M$5="en juego",$M$5="hoy!"),1,0)</formula>
    </cfRule>
    <cfRule type="colorScale" priority="73">
      <colorScale>
        <cfvo type="num" val="0"/>
        <cfvo type="num" val="10"/>
        <color theme="9" tint="0.59999389629810485"/>
        <color theme="9" tint="0.59999389629810485"/>
      </colorScale>
    </cfRule>
  </conditionalFormatting>
  <conditionalFormatting sqref="G24">
    <cfRule type="expression" dxfId="152" priority="72" stopIfTrue="1">
      <formula>IF(OR($M$5="en juego",$M$5="hoy!"),1,0)</formula>
    </cfRule>
    <cfRule type="colorScale" priority="71">
      <colorScale>
        <cfvo type="num" val="0"/>
        <cfvo type="num" val="10"/>
        <color theme="9" tint="0.59999389629810485"/>
        <color theme="9" tint="0.59999389629810485"/>
      </colorScale>
    </cfRule>
  </conditionalFormatting>
  <conditionalFormatting sqref="G28">
    <cfRule type="colorScale" priority="69">
      <colorScale>
        <cfvo type="num" val="0"/>
        <cfvo type="num" val="10"/>
        <color theme="9" tint="0.59999389629810485"/>
        <color theme="9" tint="0.59999389629810485"/>
      </colorScale>
    </cfRule>
    <cfRule type="expression" dxfId="151" priority="70" stopIfTrue="1">
      <formula>IF(OR($M$5="en juego",$M$5="hoy!"),1,0)</formula>
    </cfRule>
  </conditionalFormatting>
  <conditionalFormatting sqref="G32">
    <cfRule type="colorScale" priority="67">
      <colorScale>
        <cfvo type="num" val="0"/>
        <cfvo type="num" val="10"/>
        <color theme="9" tint="0.59999389629810485"/>
        <color theme="9" tint="0.59999389629810485"/>
      </colorScale>
    </cfRule>
    <cfRule type="expression" dxfId="150" priority="68" stopIfTrue="1">
      <formula>IF(OR($M$5="en juego",$M$5="hoy!"),1,0)</formula>
    </cfRule>
  </conditionalFormatting>
  <conditionalFormatting sqref="G36">
    <cfRule type="colorScale" priority="65">
      <colorScale>
        <cfvo type="num" val="0"/>
        <cfvo type="num" val="10"/>
        <color theme="9" tint="0.59999389629810485"/>
        <color theme="9" tint="0.59999389629810485"/>
      </colorScale>
    </cfRule>
    <cfRule type="expression" dxfId="149" priority="66" stopIfTrue="1">
      <formula>IF(OR($M$5="en juego",$M$5="hoy!"),1,0)</formula>
    </cfRule>
  </conditionalFormatting>
  <conditionalFormatting sqref="G38">
    <cfRule type="expression" dxfId="148" priority="64" stopIfTrue="1">
      <formula>IF(OR($M$5="en juego",$M$5="hoy!"),1,0)</formula>
    </cfRule>
    <cfRule type="colorScale" priority="63">
      <colorScale>
        <cfvo type="num" val="0"/>
        <cfvo type="num" val="10"/>
        <color theme="9" tint="0.59999389629810485"/>
        <color theme="9" tint="0.59999389629810485"/>
      </colorScale>
    </cfRule>
  </conditionalFormatting>
  <conditionalFormatting sqref="G40">
    <cfRule type="expression" dxfId="147" priority="62" stopIfTrue="1">
      <formula>IF(OR($M$5="en juego",$M$5="hoy!"),1,0)</formula>
    </cfRule>
    <cfRule type="colorScale" priority="61">
      <colorScale>
        <cfvo type="num" val="0"/>
        <cfvo type="num" val="10"/>
        <color theme="9" tint="0.59999389629810485"/>
        <color theme="9" tint="0.59999389629810485"/>
      </colorScale>
    </cfRule>
  </conditionalFormatting>
  <conditionalFormatting sqref="G42">
    <cfRule type="expression" dxfId="146" priority="60" stopIfTrue="1">
      <formula>IF(OR($M$5="en juego",$M$5="hoy!"),1,0)</formula>
    </cfRule>
    <cfRule type="colorScale" priority="59">
      <colorScale>
        <cfvo type="num" val="0"/>
        <cfvo type="num" val="10"/>
        <color theme="9" tint="0.59999389629810485"/>
        <color theme="9" tint="0.59999389629810485"/>
      </colorScale>
    </cfRule>
  </conditionalFormatting>
  <conditionalFormatting sqref="G44">
    <cfRule type="expression" dxfId="145" priority="58" stopIfTrue="1">
      <formula>IF(OR($M$5="en juego",$M$5="hoy!"),1,0)</formula>
    </cfRule>
    <cfRule type="colorScale" priority="57">
      <colorScale>
        <cfvo type="num" val="0"/>
        <cfvo type="num" val="10"/>
        <color theme="9" tint="0.59999389629810485"/>
        <color theme="9" tint="0.59999389629810485"/>
      </colorScale>
    </cfRule>
  </conditionalFormatting>
  <conditionalFormatting sqref="G46">
    <cfRule type="expression" dxfId="144" priority="56" stopIfTrue="1">
      <formula>IF(OR($M$5="en juego",$M$5="hoy!"),1,0)</formula>
    </cfRule>
    <cfRule type="colorScale" priority="55">
      <colorScale>
        <cfvo type="num" val="0"/>
        <cfvo type="num" val="10"/>
        <color theme="9" tint="0.59999389629810485"/>
        <color theme="9" tint="0.59999389629810485"/>
      </colorScale>
    </cfRule>
  </conditionalFormatting>
  <conditionalFormatting sqref="G48">
    <cfRule type="colorScale" priority="53">
      <colorScale>
        <cfvo type="num" val="0"/>
        <cfvo type="num" val="10"/>
        <color theme="9" tint="0.59999389629810485"/>
        <color theme="9" tint="0.59999389629810485"/>
      </colorScale>
    </cfRule>
    <cfRule type="expression" dxfId="143" priority="54" stopIfTrue="1">
      <formula>IF(OR($M$5="en juego",$M$5="hoy!"),1,0)</formula>
    </cfRule>
  </conditionalFormatting>
  <conditionalFormatting sqref="G50">
    <cfRule type="expression" dxfId="142" priority="52" stopIfTrue="1">
      <formula>IF(OR($M$5="en juego",$M$5="hoy!"),1,0)</formula>
    </cfRule>
    <cfRule type="colorScale" priority="51">
      <colorScale>
        <cfvo type="num" val="0"/>
        <cfvo type="num" val="10"/>
        <color theme="9" tint="0.59999389629810485"/>
        <color theme="9" tint="0.59999389629810485"/>
      </colorScale>
    </cfRule>
  </conditionalFormatting>
  <conditionalFormatting sqref="G52">
    <cfRule type="expression" dxfId="141" priority="50" stopIfTrue="1">
      <formula>IF(OR($M$5="en juego",$M$5="hoy!"),1,0)</formula>
    </cfRule>
    <cfRule type="colorScale" priority="49">
      <colorScale>
        <cfvo type="num" val="0"/>
        <cfvo type="num" val="10"/>
        <color theme="9" tint="0.59999389629810485"/>
        <color theme="9" tint="0.59999389629810485"/>
      </colorScale>
    </cfRule>
  </conditionalFormatting>
  <conditionalFormatting sqref="G54">
    <cfRule type="expression" dxfId="140" priority="48" stopIfTrue="1">
      <formula>IF(OR($M$5="en juego",$M$5="hoy!"),1,0)</formula>
    </cfRule>
    <cfRule type="colorScale" priority="47">
      <colorScale>
        <cfvo type="num" val="0"/>
        <cfvo type="num" val="10"/>
        <color theme="9" tint="0.59999389629810485"/>
        <color theme="9" tint="0.59999389629810485"/>
      </colorScale>
    </cfRule>
  </conditionalFormatting>
  <conditionalFormatting sqref="G56">
    <cfRule type="colorScale" priority="45">
      <colorScale>
        <cfvo type="num" val="0"/>
        <cfvo type="num" val="10"/>
        <color theme="9" tint="0.59999389629810485"/>
        <color theme="9" tint="0.59999389629810485"/>
      </colorScale>
    </cfRule>
    <cfRule type="expression" dxfId="139" priority="46" stopIfTrue="1">
      <formula>IF(OR($M$5="en juego",$M$5="hoy!"),1,0)</formula>
    </cfRule>
  </conditionalFormatting>
  <conditionalFormatting sqref="G58">
    <cfRule type="expression" dxfId="138" priority="44" stopIfTrue="1">
      <formula>IF(OR($M$5="en juego",$M$5="hoy!"),1,0)</formula>
    </cfRule>
    <cfRule type="colorScale" priority="43">
      <colorScale>
        <cfvo type="num" val="0"/>
        <cfvo type="num" val="10"/>
        <color theme="9" tint="0.59999389629810485"/>
        <color theme="9" tint="0.59999389629810485"/>
      </colorScale>
    </cfRule>
  </conditionalFormatting>
  <conditionalFormatting sqref="G60">
    <cfRule type="expression" dxfId="137" priority="42" stopIfTrue="1">
      <formula>IF(OR($M$5="en juego",$M$5="hoy!"),1,0)</formula>
    </cfRule>
    <cfRule type="colorScale" priority="41">
      <colorScale>
        <cfvo type="num" val="0"/>
        <cfvo type="num" val="10"/>
        <color theme="9" tint="0.59999389629810485"/>
        <color theme="9" tint="0.59999389629810485"/>
      </colorScale>
    </cfRule>
  </conditionalFormatting>
  <conditionalFormatting sqref="G62">
    <cfRule type="expression" dxfId="136" priority="40" stopIfTrue="1">
      <formula>IF(OR($M$5="en juego",$M$5="hoy!"),1,0)</formula>
    </cfRule>
    <cfRule type="colorScale" priority="39">
      <colorScale>
        <cfvo type="num" val="0"/>
        <cfvo type="num" val="10"/>
        <color theme="9" tint="0.59999389629810485"/>
        <color theme="9" tint="0.59999389629810485"/>
      </colorScale>
    </cfRule>
  </conditionalFormatting>
  <conditionalFormatting sqref="G64">
    <cfRule type="colorScale" priority="37">
      <colorScale>
        <cfvo type="num" val="0"/>
        <cfvo type="num" val="10"/>
        <color theme="9" tint="0.59999389629810485"/>
        <color theme="9" tint="0.59999389629810485"/>
      </colorScale>
    </cfRule>
    <cfRule type="expression" dxfId="135" priority="38" stopIfTrue="1">
      <formula>IF(OR($M$5="en juego",$M$5="hoy!"),1,0)</formula>
    </cfRule>
  </conditionalFormatting>
  <conditionalFormatting sqref="G66">
    <cfRule type="expression" dxfId="134" priority="36" stopIfTrue="1">
      <formula>IF(OR($M$5="en juego",$M$5="hoy!"),1,0)</formula>
    </cfRule>
    <cfRule type="colorScale" priority="35">
      <colorScale>
        <cfvo type="num" val="0"/>
        <cfvo type="num" val="10"/>
        <color theme="9" tint="0.59999389629810485"/>
        <color theme="9" tint="0.59999389629810485"/>
      </colorScale>
    </cfRule>
  </conditionalFormatting>
  <conditionalFormatting sqref="G68">
    <cfRule type="expression" dxfId="133" priority="34" stopIfTrue="1">
      <formula>IF(OR($M$5="en juego",$M$5="hoy!"),1,0)</formula>
    </cfRule>
    <cfRule type="colorScale" priority="33">
      <colorScale>
        <cfvo type="num" val="0"/>
        <cfvo type="num" val="10"/>
        <color theme="9" tint="0.59999389629810485"/>
        <color theme="9" tint="0.59999389629810485"/>
      </colorScale>
    </cfRule>
  </conditionalFormatting>
  <conditionalFormatting sqref="H6 H8">
    <cfRule type="expression" dxfId="132" priority="210" stopIfTrue="1">
      <formula>IF(AND($G$6=$G$8,$G$6&lt;&gt;"",$G$8&lt;&gt;""),1,0)</formula>
    </cfRule>
  </conditionalFormatting>
  <conditionalFormatting sqref="H10 H12">
    <cfRule type="expression" dxfId="131" priority="258" stopIfTrue="1">
      <formula>IF(AND($G$10=$G$12,$G$10&lt;&gt;"",$G$12&lt;&gt;""),1,0)</formula>
    </cfRule>
  </conditionalFormatting>
  <conditionalFormatting sqref="H14 H16">
    <cfRule type="expression" dxfId="130" priority="259" stopIfTrue="1">
      <formula>IF(AND($G$14=$G$16,$G$14&lt;&gt;"",$G$16&lt;&gt;""),1,0)</formula>
    </cfRule>
  </conditionalFormatting>
  <conditionalFormatting sqref="H18 H20">
    <cfRule type="expression" dxfId="129" priority="260" stopIfTrue="1">
      <formula>IF(AND($G$18=$G$20,$G$18&lt;&gt;"",$G$20&lt;&gt;""),1,0)</formula>
    </cfRule>
  </conditionalFormatting>
  <conditionalFormatting sqref="H22 H24">
    <cfRule type="expression" dxfId="128" priority="261" stopIfTrue="1">
      <formula>IF(AND($G$22=$G$24,$G$22&lt;&gt;"",$G$24&lt;&gt;""),1,0)</formula>
    </cfRule>
  </conditionalFormatting>
  <conditionalFormatting sqref="H26 H28">
    <cfRule type="expression" dxfId="127" priority="262" stopIfTrue="1">
      <formula>IF(AND($G$26=$G$28,$G$26&lt;&gt;"",$G$28&lt;&gt;""),1,0)</formula>
    </cfRule>
  </conditionalFormatting>
  <conditionalFormatting sqref="H30 H32">
    <cfRule type="expression" dxfId="126" priority="263" stopIfTrue="1">
      <formula>IF(AND($G$30=$G$32,$G$30&lt;&gt;"",$G$32&lt;&gt;""),1,0)</formula>
    </cfRule>
  </conditionalFormatting>
  <conditionalFormatting sqref="H34 H36">
    <cfRule type="expression" dxfId="125" priority="264" stopIfTrue="1">
      <formula>IF(AND($G$34=$G$36,$G$34&lt;&gt;"",$G$36&lt;&gt;""),1,0)</formula>
    </cfRule>
  </conditionalFormatting>
  <conditionalFormatting sqref="H38 H40">
    <cfRule type="expression" dxfId="124" priority="9" stopIfTrue="1">
      <formula>IF(AND($G$38=$G$40,$G$38&lt;&gt;"",$G$40&lt;&gt;""),1,0)</formula>
    </cfRule>
  </conditionalFormatting>
  <conditionalFormatting sqref="H42 H44">
    <cfRule type="expression" dxfId="123" priority="8" stopIfTrue="1">
      <formula>IF(AND($G$42=$G$44,$G$42&lt;&gt;"",$G$44&lt;&gt;""),1,0)</formula>
    </cfRule>
  </conditionalFormatting>
  <conditionalFormatting sqref="H46 H48">
    <cfRule type="expression" dxfId="122" priority="7" stopIfTrue="1">
      <formula>IF(AND($G$46=$G$48,$G$46&lt;&gt;"",$G$48&lt;&gt;""),1,0)</formula>
    </cfRule>
  </conditionalFormatting>
  <conditionalFormatting sqref="H50 H52">
    <cfRule type="expression" dxfId="121" priority="6" stopIfTrue="1">
      <formula>IF(AND($G$50=$G$52,$G$50&lt;&gt;"",$G$52&lt;&gt;""),1,0)</formula>
    </cfRule>
  </conditionalFormatting>
  <conditionalFormatting sqref="H54 H56">
    <cfRule type="expression" dxfId="120" priority="5" stopIfTrue="1">
      <formula>IF(AND($G$54=$G$56,$G$54&lt;&gt;"",$G$56&lt;&gt;""),1,0)</formula>
    </cfRule>
  </conditionalFormatting>
  <conditionalFormatting sqref="H58 H60">
    <cfRule type="expression" dxfId="119" priority="4" stopIfTrue="1">
      <formula>IF(AND($G$58=$G$60,$G$58&lt;&gt;"",$G$60&lt;&gt;""),1,0)</formula>
    </cfRule>
  </conditionalFormatting>
  <conditionalFormatting sqref="H62 H64">
    <cfRule type="expression" dxfId="118" priority="3" stopIfTrue="1">
      <formula>IF(AND($G$62=$G$64,$G$62&lt;&gt;"",$G$64&lt;&gt;""),1,0)</formula>
    </cfRule>
  </conditionalFormatting>
  <conditionalFormatting sqref="H66 H68">
    <cfRule type="expression" dxfId="117" priority="2" stopIfTrue="1">
      <formula>IF(AND($G$66=$G$68,$G$66&lt;&gt;"",$G$68&lt;&gt;""),1,0)</formula>
    </cfRule>
  </conditionalFormatting>
  <conditionalFormatting sqref="K7">
    <cfRule type="expression" dxfId="116" priority="32">
      <formula>R7=0</formula>
    </cfRule>
  </conditionalFormatting>
  <conditionalFormatting sqref="K11">
    <cfRule type="expression" dxfId="115" priority="31">
      <formula>R11=0</formula>
    </cfRule>
  </conditionalFormatting>
  <conditionalFormatting sqref="K15">
    <cfRule type="expression" dxfId="114" priority="30">
      <formula>R15=0</formula>
    </cfRule>
  </conditionalFormatting>
  <conditionalFormatting sqref="K19">
    <cfRule type="expression" dxfId="113" priority="29">
      <formula>R19=0</formula>
    </cfRule>
  </conditionalFormatting>
  <conditionalFormatting sqref="K23">
    <cfRule type="expression" dxfId="112" priority="28">
      <formula>R23=0</formula>
    </cfRule>
  </conditionalFormatting>
  <conditionalFormatting sqref="K27">
    <cfRule type="expression" dxfId="111" priority="27">
      <formula>R27=0</formula>
    </cfRule>
  </conditionalFormatting>
  <conditionalFormatting sqref="K31">
    <cfRule type="expression" dxfId="110" priority="26">
      <formula>R31=0</formula>
    </cfRule>
  </conditionalFormatting>
  <conditionalFormatting sqref="K35">
    <cfRule type="expression" dxfId="109" priority="25">
      <formula>R35=0</formula>
    </cfRule>
  </conditionalFormatting>
  <conditionalFormatting sqref="K39">
    <cfRule type="expression" dxfId="108" priority="24">
      <formula>R39=0</formula>
    </cfRule>
  </conditionalFormatting>
  <conditionalFormatting sqref="K43">
    <cfRule type="expression" dxfId="107" priority="23">
      <formula>R43=0</formula>
    </cfRule>
  </conditionalFormatting>
  <conditionalFormatting sqref="K47">
    <cfRule type="expression" dxfId="106" priority="22">
      <formula>R47=0</formula>
    </cfRule>
  </conditionalFormatting>
  <conditionalFormatting sqref="K51">
    <cfRule type="expression" dxfId="105" priority="21">
      <formula>R51=0</formula>
    </cfRule>
  </conditionalFormatting>
  <conditionalFormatting sqref="K55">
    <cfRule type="expression" dxfId="104" priority="20">
      <formula>R55=0</formula>
    </cfRule>
  </conditionalFormatting>
  <conditionalFormatting sqref="K59">
    <cfRule type="expression" dxfId="103" priority="19">
      <formula>R59=0</formula>
    </cfRule>
  </conditionalFormatting>
  <conditionalFormatting sqref="K63">
    <cfRule type="expression" dxfId="102" priority="18">
      <formula>R63=0</formula>
    </cfRule>
  </conditionalFormatting>
  <conditionalFormatting sqref="K67">
    <cfRule type="expression" dxfId="101" priority="17">
      <formula>R67=0</formula>
    </cfRule>
  </conditionalFormatting>
  <conditionalFormatting sqref="R1:R2">
    <cfRule type="cellIs" dxfId="100" priority="1" operator="equal">
      <formula>1</formula>
    </cfRule>
  </conditionalFormatting>
  <dataValidations count="2">
    <dataValidation type="custom" showErrorMessage="1" errorTitle="Dato no válido" error="Debe introducir antes el resultado del partido." sqref="H6 H8 H10 H12 H14 H16 H20 H24 H28 H36 H34 H30 H32 H26 H22 H18 H40 H38 H44 H42 H48 H46 H52 H50 H56 H54 H60 H58 H64 H62 H68 H66" xr:uid="{97C12888-34AA-4FB9-9D48-FE103E5B2B2D}">
      <formula1>IF(G6&lt;&gt;"",1,0)</formula1>
    </dataValidation>
    <dataValidation type="whole" allowBlank="1" showErrorMessage="1" errorTitle="Dato no válido" error="Ingrese sólo un número entero_x000a_entre 0 y 99." sqref="G12 G6 G8 G10 G14 G18 G22 G26 G30 G34 G16 G20 G24 G28 G32 G36 G38 G40 G42 G44 G46 G48 G50 G52 G54 G56 G58 G60 G62 G64 G66 G68" xr:uid="{CFF75666-3F43-4B5E-AEDB-1886D0E9CF6B}">
      <formula1>0</formula1>
      <formula2>99</formula2>
    </dataValidation>
  </dataValidations>
  <pageMargins left="0.75" right="0.75" top="1" bottom="1" header="0" footer="0"/>
  <pageSetup paperSize="9" scale="61" orientation="portrait" horizontalDpi="300" verticalDpi="300"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pageSetUpPr fitToPage="1"/>
  </sheetPr>
  <dimension ref="A1:X39"/>
  <sheetViews>
    <sheetView showGridLines="0" showRowColHeaders="0" showOutlineSymbols="0" zoomScale="130" zoomScaleNormal="130" workbookViewId="0">
      <pane xSplit="1" ySplit="4" topLeftCell="B8" activePane="bottomRight" state="frozen"/>
      <selection activeCell="P1" sqref="P1:P2"/>
      <selection pane="topRight" activeCell="P1" sqref="P1:P2"/>
      <selection pane="bottomLeft" activeCell="P1" sqref="P1:P2"/>
      <selection pane="bottomRight" activeCell="G30" sqref="G30"/>
    </sheetView>
  </sheetViews>
  <sheetFormatPr defaultColWidth="11.42578125" defaultRowHeight="12.75" x14ac:dyDescent="0.2"/>
  <cols>
    <col min="1" max="1" width="22.7109375" style="32" customWidth="1"/>
    <col min="2" max="2" width="3.28515625" style="143" customWidth="1"/>
    <col min="3" max="3" width="14.7109375" style="143" customWidth="1"/>
    <col min="4" max="5" width="6.7109375" style="143" customWidth="1"/>
    <col min="6" max="6" width="17.7109375" style="143" customWidth="1"/>
    <col min="7" max="7" width="3.7109375" style="143" customWidth="1"/>
    <col min="8" max="8" width="2" style="143" customWidth="1"/>
    <col min="9" max="9" width="6.42578125" style="143" customWidth="1"/>
    <col min="10" max="10" width="11.7109375" style="143" customWidth="1"/>
    <col min="11" max="11" width="17.7109375" style="143" customWidth="1"/>
    <col min="12" max="12" width="3.7109375" style="143" customWidth="1"/>
    <col min="13" max="13" width="7.7109375" style="143" bestFit="1" customWidth="1"/>
    <col min="14" max="14" width="5.42578125" style="143" bestFit="1" customWidth="1"/>
    <col min="15" max="15" width="1.7109375" style="143" customWidth="1"/>
    <col min="16" max="16" width="11.42578125" style="143"/>
    <col min="17" max="17" width="0.85546875" style="143" customWidth="1"/>
    <col min="18" max="18" width="8.5703125" style="143" customWidth="1"/>
    <col min="19" max="16384" width="11.42578125" style="143"/>
  </cols>
  <sheetData>
    <row r="1" spans="1:24" s="66" customFormat="1" ht="20.100000000000001" customHeight="1" x14ac:dyDescent="0.2">
      <c r="A1" s="32"/>
      <c r="B1" s="447" t="s">
        <v>339</v>
      </c>
      <c r="C1" s="447"/>
      <c r="D1" s="447"/>
      <c r="E1" s="447"/>
      <c r="F1" s="447"/>
      <c r="G1" s="447"/>
      <c r="H1" s="447"/>
      <c r="I1" s="447"/>
      <c r="J1" s="447"/>
      <c r="K1" s="447"/>
      <c r="L1" s="447"/>
      <c r="M1" s="447"/>
      <c r="N1" s="447"/>
      <c r="O1" s="356"/>
      <c r="P1" s="448" t="s">
        <v>338</v>
      </c>
      <c r="Q1" s="65"/>
      <c r="R1" s="446">
        <f>(8-SUM(R7:R37))/8</f>
        <v>1</v>
      </c>
      <c r="S1" s="65"/>
      <c r="T1" s="65"/>
      <c r="U1" s="33"/>
      <c r="V1" s="33"/>
    </row>
    <row r="2" spans="1:24" s="66" customFormat="1" ht="20.100000000000001" customHeight="1" x14ac:dyDescent="0.2">
      <c r="A2" s="32"/>
      <c r="B2" s="447"/>
      <c r="C2" s="447"/>
      <c r="D2" s="447"/>
      <c r="E2" s="447"/>
      <c r="F2" s="447"/>
      <c r="G2" s="447"/>
      <c r="H2" s="447"/>
      <c r="I2" s="447"/>
      <c r="J2" s="447"/>
      <c r="K2" s="447"/>
      <c r="L2" s="447"/>
      <c r="M2" s="447"/>
      <c r="N2" s="447"/>
      <c r="O2" s="356"/>
      <c r="P2" s="448"/>
      <c r="Q2" s="65"/>
      <c r="R2" s="446"/>
      <c r="S2" s="65"/>
      <c r="T2" s="65"/>
      <c r="U2" s="33"/>
      <c r="V2" s="33"/>
    </row>
    <row r="3" spans="1:24" ht="12.75" customHeight="1" x14ac:dyDescent="0.2">
      <c r="F3" s="165"/>
      <c r="M3" s="158"/>
      <c r="N3" s="159"/>
      <c r="O3" s="99"/>
      <c r="P3" s="144"/>
    </row>
    <row r="4" spans="1:24" ht="12.75" customHeight="1" x14ac:dyDescent="0.25">
      <c r="C4" s="443" t="s">
        <v>227</v>
      </c>
      <c r="D4" s="444"/>
      <c r="E4" s="444"/>
      <c r="F4" s="444" t="s">
        <v>77</v>
      </c>
      <c r="G4" s="444"/>
      <c r="H4" s="445" t="s">
        <v>78</v>
      </c>
      <c r="I4" s="445"/>
      <c r="J4" s="163"/>
      <c r="K4" s="164" t="s">
        <v>226</v>
      </c>
      <c r="M4" s="127">
        <f ca="1">TODAY()</f>
        <v>46178</v>
      </c>
      <c r="N4" s="128">
        <f ca="1">NOW()</f>
        <v>46178.66106770833</v>
      </c>
      <c r="P4" s="347"/>
      <c r="Q4" s="347"/>
      <c r="R4" s="364" t="s">
        <v>270</v>
      </c>
    </row>
    <row r="5" spans="1:24" ht="12.75" customHeight="1" x14ac:dyDescent="0.2">
      <c r="B5" s="145"/>
      <c r="C5" s="146"/>
      <c r="D5" s="146"/>
      <c r="E5" s="146"/>
      <c r="F5" s="146"/>
      <c r="G5" s="146"/>
      <c r="H5" s="146"/>
      <c r="I5" s="146"/>
      <c r="J5" s="146"/>
      <c r="K5" s="146"/>
      <c r="M5" s="155"/>
      <c r="P5" s="347"/>
      <c r="Q5" s="347"/>
      <c r="R5" s="347"/>
    </row>
    <row r="6" spans="1:24" ht="12" customHeight="1" x14ac:dyDescent="0.2">
      <c r="B6" s="145"/>
      <c r="C6" s="146"/>
      <c r="D6" s="146"/>
      <c r="E6" s="146"/>
      <c r="F6" s="173" t="str">
        <f>'16vos de Final'!K7</f>
        <v>Canadá</v>
      </c>
      <c r="G6" s="327">
        <v>2</v>
      </c>
      <c r="H6" s="149"/>
      <c r="I6" s="367">
        <v>73</v>
      </c>
      <c r="J6" s="146"/>
      <c r="K6" s="146"/>
      <c r="M6" s="157"/>
      <c r="N6" s="157"/>
      <c r="O6" s="157"/>
      <c r="P6" s="364" t="s">
        <v>80</v>
      </c>
      <c r="Q6" s="157"/>
      <c r="R6" s="157"/>
      <c r="S6" s="364"/>
      <c r="T6" s="157"/>
      <c r="U6" s="157"/>
      <c r="V6" s="157"/>
      <c r="W6" s="157"/>
      <c r="X6" s="157"/>
    </row>
    <row r="7" spans="1:24" ht="11.1" customHeight="1" x14ac:dyDescent="0.2">
      <c r="B7" s="189" t="str">
        <f ca="1">IF(OR(F7="en juego",F7="hoy!",F7="finalizado"),"►1","1")</f>
        <v>1</v>
      </c>
      <c r="C7" s="190" t="s">
        <v>175</v>
      </c>
      <c r="D7" s="191">
        <v>46207</v>
      </c>
      <c r="E7" s="192">
        <v>0.5</v>
      </c>
      <c r="F7" s="156" t="str">
        <f ca="1">IF(OR(D7="",E7="",D7&lt;$M$4),"",IF(D7=$M$4,IF(AND(E7&lt;=$T$23,$T$23&lt;=(E7+0.08333333333)),"en juego",IF($T$23&lt;E7,"hoy!","finalizado")),IF($M$4&gt;D7,"finalizado","")))</f>
        <v/>
      </c>
      <c r="G7" s="153"/>
      <c r="H7" s="167"/>
      <c r="I7" s="368"/>
      <c r="J7" s="146"/>
      <c r="K7" s="332" t="str">
        <f>IF(AND(F6&lt;&gt;"",F8&lt;&gt;""),IF(OR(G6="",G8="",AND(G6=G8,OR(H6="",H8=""))),"CF1",IF(G6=G8,IF(H6&gt;H8,F6,F8),IF(G6&gt;G8,F6,F8))),"")</f>
        <v>Países Bajos</v>
      </c>
      <c r="M7" s="364">
        <v>90</v>
      </c>
      <c r="N7" s="157"/>
      <c r="O7" s="157"/>
      <c r="P7" s="364" t="s">
        <v>124</v>
      </c>
      <c r="Q7" s="157"/>
      <c r="R7" s="365">
        <f>IF(ISERROR(VLOOKUP(K7,Hoja1!$D$6:$D$53,1,0)),1,0)</f>
        <v>0</v>
      </c>
      <c r="S7" s="364"/>
      <c r="T7" s="157"/>
      <c r="U7" s="157"/>
      <c r="V7" s="157"/>
      <c r="W7" s="157"/>
      <c r="X7" s="157"/>
    </row>
    <row r="8" spans="1:24" ht="12" customHeight="1" x14ac:dyDescent="0.2">
      <c r="B8" s="189"/>
      <c r="C8" s="193"/>
      <c r="D8" s="193"/>
      <c r="E8" s="193"/>
      <c r="F8" s="173" t="str">
        <f>'16vos de Final'!K19</f>
        <v>Países Bajos</v>
      </c>
      <c r="G8" s="327">
        <v>3</v>
      </c>
      <c r="H8" s="151"/>
      <c r="I8" s="369">
        <v>75</v>
      </c>
      <c r="J8" s="146"/>
      <c r="K8" s="172"/>
      <c r="M8" s="364"/>
      <c r="N8" s="157"/>
      <c r="O8" s="157"/>
      <c r="P8" s="364" t="s">
        <v>83</v>
      </c>
      <c r="Q8" s="157"/>
      <c r="R8" s="157"/>
      <c r="S8" s="364"/>
      <c r="T8" s="157"/>
      <c r="U8" s="157"/>
      <c r="V8" s="157"/>
      <c r="W8" s="157"/>
      <c r="X8" s="157"/>
    </row>
    <row r="9" spans="1:24" ht="11.1" customHeight="1" x14ac:dyDescent="0.2">
      <c r="B9" s="189"/>
      <c r="C9" s="193"/>
      <c r="D9" s="193"/>
      <c r="E9" s="193"/>
      <c r="F9" s="160"/>
      <c r="G9" s="153"/>
      <c r="H9" s="153"/>
      <c r="I9" s="364"/>
      <c r="J9" s="146"/>
      <c r="K9" s="172"/>
      <c r="M9" s="364"/>
      <c r="N9" s="157"/>
      <c r="O9" s="157"/>
      <c r="P9" s="364"/>
      <c r="Q9" s="157"/>
      <c r="R9" s="157"/>
      <c r="S9" s="364"/>
      <c r="T9" s="157"/>
      <c r="U9" s="157"/>
      <c r="V9" s="157"/>
      <c r="W9" s="157"/>
      <c r="X9" s="157"/>
    </row>
    <row r="10" spans="1:24" ht="12" customHeight="1" x14ac:dyDescent="0.2">
      <c r="B10" s="189"/>
      <c r="C10" s="194"/>
      <c r="D10" s="194"/>
      <c r="E10" s="194"/>
      <c r="F10" s="173" t="str">
        <f>'16vos de Final'!K15</f>
        <v>Alemania</v>
      </c>
      <c r="G10" s="327">
        <v>2</v>
      </c>
      <c r="H10" s="149"/>
      <c r="I10" s="367">
        <v>74</v>
      </c>
      <c r="J10" s="146"/>
      <c r="K10" s="148"/>
      <c r="M10" s="364"/>
      <c r="N10" s="157"/>
      <c r="O10" s="157"/>
      <c r="P10" s="364" t="s">
        <v>82</v>
      </c>
      <c r="Q10" s="157"/>
      <c r="R10" s="157"/>
      <c r="S10" s="364"/>
      <c r="T10" s="157"/>
      <c r="U10" s="157"/>
      <c r="V10" s="157"/>
      <c r="W10" s="157"/>
      <c r="X10" s="157"/>
    </row>
    <row r="11" spans="1:24" ht="11.1" customHeight="1" x14ac:dyDescent="0.2">
      <c r="B11" s="189" t="str">
        <f ca="1">IF(OR(F11="en juego",F11="hoy!",F11="finalizado"),"►2","2")</f>
        <v>2</v>
      </c>
      <c r="C11" s="190" t="s">
        <v>177</v>
      </c>
      <c r="D11" s="191">
        <v>46207</v>
      </c>
      <c r="E11" s="192">
        <v>0.66666666666666663</v>
      </c>
      <c r="F11" s="156" t="str">
        <f ca="1">IF(OR(D11="",E11="",D11&lt;$M$4),"",IF(D11=$M$4,IF(AND(E11&lt;=$T$23,$T$23&lt;=(E11+0.08333333333)),"en juego",IF($T$23&lt;E11,"hoy!","finalizado")),IF($M$4&gt;D11,"finalizado","")))</f>
        <v/>
      </c>
      <c r="G11" s="153"/>
      <c r="H11" s="167"/>
      <c r="I11" s="368"/>
      <c r="J11" s="146"/>
      <c r="K11" s="332" t="str">
        <f>IF(AND(F10&lt;&gt;"",F12&lt;&gt;""),IF(OR(G10="",G12="",AND(G10=G12,OR(H10="",H12=""))),"CF2",IF(G10=G12,IF(H10&gt;H12,F10,F12),IF(G10&gt;G12,F10,F12))),"")</f>
        <v>Francia</v>
      </c>
      <c r="M11" s="364">
        <v>89</v>
      </c>
      <c r="N11" s="157"/>
      <c r="O11" s="157"/>
      <c r="P11" s="364" t="s">
        <v>124</v>
      </c>
      <c r="Q11" s="157"/>
      <c r="R11" s="365">
        <f>IF(ISERROR(VLOOKUP(K11,Hoja1!$D$6:$D$53,1,0)),1,0)</f>
        <v>0</v>
      </c>
      <c r="S11" s="364"/>
      <c r="T11" s="157"/>
      <c r="U11" s="157"/>
      <c r="V11" s="157"/>
      <c r="W11" s="157"/>
      <c r="X11" s="157"/>
    </row>
    <row r="12" spans="1:24" ht="12" customHeight="1" x14ac:dyDescent="0.2">
      <c r="B12" s="189"/>
      <c r="C12" s="193"/>
      <c r="D12" s="193"/>
      <c r="E12" s="193"/>
      <c r="F12" s="173" t="str">
        <f>'16vos de Final'!K27</f>
        <v>Francia</v>
      </c>
      <c r="G12" s="327">
        <v>3</v>
      </c>
      <c r="H12" s="151"/>
      <c r="I12" s="369">
        <v>77</v>
      </c>
      <c r="J12" s="146"/>
      <c r="K12" s="172"/>
      <c r="M12" s="364"/>
      <c r="N12" s="157"/>
      <c r="O12" s="157"/>
      <c r="P12" s="364" t="s">
        <v>85</v>
      </c>
      <c r="Q12" s="157"/>
      <c r="R12" s="157"/>
      <c r="S12" s="364"/>
      <c r="T12" s="157"/>
      <c r="U12" s="157"/>
      <c r="V12" s="157"/>
      <c r="W12" s="157"/>
      <c r="X12" s="157"/>
    </row>
    <row r="13" spans="1:24" ht="11.1" customHeight="1" x14ac:dyDescent="0.2">
      <c r="B13" s="189"/>
      <c r="C13" s="193"/>
      <c r="D13" s="193"/>
      <c r="E13" s="193"/>
      <c r="F13" s="160"/>
      <c r="G13" s="153"/>
      <c r="H13" s="153"/>
      <c r="I13" s="364"/>
      <c r="J13" s="146"/>
      <c r="K13" s="172"/>
      <c r="M13" s="364"/>
      <c r="N13" s="157"/>
      <c r="O13" s="157"/>
      <c r="P13" s="364"/>
      <c r="Q13" s="157"/>
      <c r="R13" s="157"/>
      <c r="S13" s="364"/>
      <c r="T13" s="157"/>
      <c r="U13" s="157"/>
      <c r="V13" s="157"/>
      <c r="W13" s="157"/>
      <c r="X13" s="157"/>
    </row>
    <row r="14" spans="1:24" ht="12" customHeight="1" x14ac:dyDescent="0.2">
      <c r="B14" s="189"/>
      <c r="C14" s="194"/>
      <c r="D14" s="194"/>
      <c r="E14" s="194"/>
      <c r="F14" s="173" t="str">
        <f>'16vos de Final'!K11</f>
        <v>Brasil</v>
      </c>
      <c r="G14" s="327">
        <v>2</v>
      </c>
      <c r="H14" s="149"/>
      <c r="I14" s="367">
        <v>76</v>
      </c>
      <c r="J14" s="146"/>
      <c r="K14" s="148"/>
      <c r="M14" s="364"/>
      <c r="N14" s="157"/>
      <c r="O14" s="157"/>
      <c r="P14" s="364" t="s">
        <v>81</v>
      </c>
      <c r="Q14" s="157"/>
      <c r="R14" s="157"/>
      <c r="S14" s="364"/>
      <c r="T14" s="157"/>
      <c r="U14" s="157"/>
      <c r="V14" s="157"/>
      <c r="W14" s="157"/>
      <c r="X14" s="157"/>
    </row>
    <row r="15" spans="1:24" ht="11.1" customHeight="1" x14ac:dyDescent="0.2">
      <c r="B15" s="189" t="str">
        <f ca="1">IF(OR(F15="en juego",F15="hoy!",F15="finalizado"),"►3","3")</f>
        <v>3</v>
      </c>
      <c r="C15" s="190" t="s">
        <v>172</v>
      </c>
      <c r="D15" s="191">
        <v>46208</v>
      </c>
      <c r="E15" s="192">
        <v>0.625</v>
      </c>
      <c r="F15" s="156" t="str">
        <f ca="1">IF(OR(D15="",E15="",D15&lt;$M$4),"",IF(D15=$M$4,IF(AND(E15&lt;=$T$23,$T$23&lt;=(E15+0.08333333333)),"en juego",IF($T$23&lt;E15,"hoy!","finalizado")),IF($M$4&gt;D15,"finalizado","")))</f>
        <v/>
      </c>
      <c r="G15" s="153"/>
      <c r="H15" s="167"/>
      <c r="I15" s="368"/>
      <c r="J15" s="146"/>
      <c r="K15" s="332" t="str">
        <f>IF(AND(F14&lt;&gt;"",F16&lt;&gt;""),IF(OR(G14="",G16="",AND(G14=G16,OR(H14="",H16=""))),"CF3",IF(G14=G16,IF(H14&gt;H16,F14,F16),IF(G14&gt;G16,F14,F16))),"")</f>
        <v>Brasil</v>
      </c>
      <c r="M15" s="364">
        <v>91</v>
      </c>
      <c r="N15" s="157"/>
      <c r="O15" s="157"/>
      <c r="P15" s="364" t="s">
        <v>124</v>
      </c>
      <c r="Q15" s="157"/>
      <c r="R15" s="365">
        <f>IF(ISERROR(VLOOKUP(K15,Hoja1!$D$6:$D$53,1,0)),1,0)</f>
        <v>0</v>
      </c>
      <c r="S15" s="364"/>
      <c r="T15" s="157"/>
      <c r="U15" s="157"/>
      <c r="V15" s="157"/>
      <c r="W15" s="157"/>
      <c r="X15" s="157"/>
    </row>
    <row r="16" spans="1:24" ht="12" customHeight="1" x14ac:dyDescent="0.2">
      <c r="B16" s="189"/>
      <c r="C16" s="193"/>
      <c r="D16" s="193"/>
      <c r="E16" s="193"/>
      <c r="F16" s="173" t="str">
        <f>'16vos de Final'!K23</f>
        <v>Noruega</v>
      </c>
      <c r="G16" s="327">
        <v>1</v>
      </c>
      <c r="H16" s="151"/>
      <c r="I16" s="369">
        <v>78</v>
      </c>
      <c r="J16" s="146"/>
      <c r="K16" s="172"/>
      <c r="M16" s="364"/>
      <c r="N16" s="157"/>
      <c r="O16" s="157"/>
      <c r="P16" s="364" t="s">
        <v>84</v>
      </c>
      <c r="Q16" s="157"/>
      <c r="R16" s="157"/>
      <c r="S16" s="364"/>
      <c r="T16" s="157"/>
      <c r="U16" s="157"/>
      <c r="V16" s="157"/>
      <c r="W16" s="157"/>
      <c r="X16" s="157"/>
    </row>
    <row r="17" spans="2:24" ht="11.1" customHeight="1" x14ac:dyDescent="0.2">
      <c r="B17" s="189"/>
      <c r="C17" s="193"/>
      <c r="D17" s="193"/>
      <c r="E17" s="193"/>
      <c r="F17" s="160"/>
      <c r="G17" s="153"/>
      <c r="H17" s="153"/>
      <c r="I17" s="364"/>
      <c r="J17" s="146"/>
      <c r="K17" s="172"/>
      <c r="M17" s="364"/>
      <c r="N17" s="157"/>
      <c r="O17" s="157"/>
      <c r="P17" s="364"/>
      <c r="Q17" s="157"/>
      <c r="R17" s="157"/>
      <c r="S17" s="364"/>
      <c r="T17" s="157"/>
      <c r="U17" s="157"/>
      <c r="V17" s="157"/>
      <c r="W17" s="157"/>
      <c r="X17" s="157"/>
    </row>
    <row r="18" spans="2:24" ht="12" customHeight="1" x14ac:dyDescent="0.2">
      <c r="B18" s="189"/>
      <c r="C18" s="194"/>
      <c r="D18" s="194"/>
      <c r="E18" s="194"/>
      <c r="F18" s="173" t="str">
        <f>'16vos de Final'!K31</f>
        <v>Marruecos</v>
      </c>
      <c r="G18" s="327">
        <v>1</v>
      </c>
      <c r="H18" s="149"/>
      <c r="I18" s="367">
        <v>79</v>
      </c>
      <c r="J18" s="146"/>
      <c r="K18" s="148"/>
      <c r="M18" s="364"/>
      <c r="N18" s="157"/>
      <c r="O18" s="157"/>
      <c r="P18" s="364" t="s">
        <v>86</v>
      </c>
      <c r="Q18" s="157"/>
      <c r="R18" s="157"/>
      <c r="S18" s="364"/>
      <c r="T18" s="157"/>
      <c r="U18" s="157"/>
      <c r="V18" s="157"/>
      <c r="W18" s="157"/>
      <c r="X18" s="157"/>
    </row>
    <row r="19" spans="2:24" ht="11.1" customHeight="1" x14ac:dyDescent="0.2">
      <c r="B19" s="189" t="str">
        <f ca="1">IF(OR(F19="en juego",F19="hoy!",F19="finalizado"),"►4","4")</f>
        <v>4</v>
      </c>
      <c r="C19" s="190" t="s">
        <v>167</v>
      </c>
      <c r="D19" s="191">
        <v>46208</v>
      </c>
      <c r="E19" s="192">
        <v>0.79166666666666663</v>
      </c>
      <c r="F19" s="156" t="str">
        <f ca="1">IF(OR(D19="",E19="",D19&lt;$M$4),"",IF(D19=$M$4,IF(AND(E19&lt;=$T$23,$T$23&lt;=(E19+0.08333333333)),"en juego",IF($T$23&lt;E19,"hoy!","finalizado")),IF($M$4&gt;D19,"finalizado","")))</f>
        <v/>
      </c>
      <c r="G19" s="153"/>
      <c r="H19" s="167"/>
      <c r="I19" s="368"/>
      <c r="J19" s="146"/>
      <c r="K19" s="332" t="str">
        <f>IF(AND(F18&lt;&gt;"",F20&lt;&gt;""),IF(OR(G18="",G20="",AND(G18=G20,OR(H18="",H20=""))),"CF4",IF(G18=G20,IF(H18&gt;H20,F18,F20),IF(G18&gt;G20,F18,F20))),"")</f>
        <v>Inglaterra</v>
      </c>
      <c r="M19" s="364">
        <v>92</v>
      </c>
      <c r="N19" s="157"/>
      <c r="O19" s="157"/>
      <c r="P19" s="364" t="s">
        <v>124</v>
      </c>
      <c r="Q19" s="157"/>
      <c r="R19" s="365">
        <f>IF(ISERROR(VLOOKUP(K19,Hoja1!$D$6:$D$53,1,0)),1,0)</f>
        <v>0</v>
      </c>
      <c r="S19" s="364"/>
      <c r="T19" s="157"/>
      <c r="U19" s="157"/>
      <c r="V19" s="157"/>
      <c r="W19" s="157"/>
      <c r="X19" s="157"/>
    </row>
    <row r="20" spans="2:24" ht="12" customHeight="1" x14ac:dyDescent="0.2">
      <c r="B20" s="189"/>
      <c r="C20" s="193"/>
      <c r="D20" s="193"/>
      <c r="E20" s="193"/>
      <c r="F20" s="173" t="str">
        <f>'16vos de Final'!K35</f>
        <v>Inglaterra</v>
      </c>
      <c r="G20" s="327">
        <v>3</v>
      </c>
      <c r="H20" s="151"/>
      <c r="I20" s="369">
        <v>80</v>
      </c>
      <c r="J20" s="146"/>
      <c r="K20" s="172"/>
      <c r="M20" s="364"/>
      <c r="N20" s="157"/>
      <c r="O20" s="157"/>
      <c r="P20" s="364" t="s">
        <v>87</v>
      </c>
      <c r="Q20" s="157"/>
      <c r="R20" s="157"/>
      <c r="S20" s="364"/>
      <c r="T20" s="157"/>
      <c r="U20" s="157"/>
      <c r="V20" s="157"/>
      <c r="W20" s="157"/>
      <c r="X20" s="157"/>
    </row>
    <row r="21" spans="2:24" ht="11.1" customHeight="1" x14ac:dyDescent="0.2">
      <c r="B21" s="189"/>
      <c r="C21" s="193"/>
      <c r="D21" s="193"/>
      <c r="E21" s="193"/>
      <c r="F21" s="160"/>
      <c r="G21" s="153"/>
      <c r="H21" s="153"/>
      <c r="I21" s="364"/>
      <c r="J21" s="146"/>
      <c r="K21" s="172"/>
      <c r="M21" s="364"/>
      <c r="N21" s="157"/>
      <c r="O21" s="157"/>
      <c r="P21" s="364"/>
      <c r="Q21" s="157"/>
      <c r="R21" s="157"/>
      <c r="S21" s="364"/>
      <c r="T21" s="157"/>
      <c r="U21" s="157"/>
      <c r="V21" s="157"/>
      <c r="W21" s="157"/>
      <c r="X21" s="157"/>
    </row>
    <row r="22" spans="2:24" ht="12" customHeight="1" x14ac:dyDescent="0.2">
      <c r="B22" s="189"/>
      <c r="C22" s="194"/>
      <c r="D22" s="194"/>
      <c r="E22" s="194"/>
      <c r="F22" s="173" t="str">
        <f>'16vos de Final'!K51</f>
        <v>Croacia</v>
      </c>
      <c r="G22" s="327">
        <v>2</v>
      </c>
      <c r="H22" s="149"/>
      <c r="I22" s="367">
        <v>83</v>
      </c>
      <c r="J22" s="146"/>
      <c r="K22" s="148"/>
      <c r="M22" s="364"/>
      <c r="N22" s="157"/>
      <c r="O22" s="157"/>
      <c r="P22" s="364" t="s">
        <v>217</v>
      </c>
      <c r="Q22" s="157"/>
      <c r="R22" s="157"/>
      <c r="S22" s="364">
        <f ca="1">HOUR(N4)</f>
        <v>15</v>
      </c>
      <c r="T22" s="157">
        <f ca="1">MINUTE(N4)</f>
        <v>51</v>
      </c>
      <c r="U22" s="157"/>
      <c r="V22" s="157"/>
      <c r="W22" s="157"/>
      <c r="X22" s="157"/>
    </row>
    <row r="23" spans="2:24" ht="11.1" customHeight="1" x14ac:dyDescent="0.2">
      <c r="B23" s="189" t="str">
        <f ca="1">IF(OR(F23="en juego",F23="hoy!",F23="finalizado"),"►5","5")</f>
        <v>5</v>
      </c>
      <c r="C23" s="190" t="s">
        <v>176</v>
      </c>
      <c r="D23" s="191">
        <v>46209</v>
      </c>
      <c r="E23" s="192">
        <v>0.58333333333333337</v>
      </c>
      <c r="F23" s="156" t="str">
        <f ca="1">IF(OR(D23="",E23="",D23&lt;$M$4),"",IF(D23=$M$4,IF(AND(E23&lt;=$T$23,$T$23&lt;=(E23+0.08333333333)),"en juego",IF($T$23&lt;E23,"hoy!","finalizado")),IF($M$4&gt;D23,"finalizado","")))</f>
        <v/>
      </c>
      <c r="G23" s="153"/>
      <c r="H23" s="167"/>
      <c r="I23" s="368"/>
      <c r="J23" s="146"/>
      <c r="K23" s="332" t="str">
        <f>IF(AND(F22&lt;&gt;"",F24&lt;&gt;""),IF(OR(G22="",G24="",AND(G22=G24,OR(H22="",H24=""))),"CF5",IF(G22=G24,IF(H22&gt;H24,F22,F24),IF(G22&gt;G24,F22,F24))),"")</f>
        <v>España</v>
      </c>
      <c r="M23" s="364">
        <v>93</v>
      </c>
      <c r="N23" s="157"/>
      <c r="O23" s="157"/>
      <c r="P23" s="364" t="s">
        <v>124</v>
      </c>
      <c r="Q23" s="157"/>
      <c r="R23" s="365">
        <f>IF(ISERROR(VLOOKUP(K23,Hoja1!$D$6:$D$53,1,0)),1,0)</f>
        <v>0</v>
      </c>
      <c r="S23" s="364"/>
      <c r="T23" s="157">
        <f ca="1">TIME(S22,T22,0)</f>
        <v>0.66041666666666665</v>
      </c>
      <c r="U23" s="157"/>
      <c r="V23" s="157"/>
      <c r="W23" s="157"/>
      <c r="X23" s="157"/>
    </row>
    <row r="24" spans="2:24" ht="12" customHeight="1" x14ac:dyDescent="0.2">
      <c r="B24" s="189"/>
      <c r="C24" s="193"/>
      <c r="D24" s="193"/>
      <c r="E24" s="193"/>
      <c r="F24" s="173" t="str">
        <f>'16vos de Final'!K47</f>
        <v>España</v>
      </c>
      <c r="G24" s="327">
        <v>4</v>
      </c>
      <c r="H24" s="151"/>
      <c r="I24" s="369">
        <v>84</v>
      </c>
      <c r="J24" s="146"/>
      <c r="K24" s="172"/>
      <c r="M24" s="364"/>
      <c r="N24" s="157"/>
      <c r="O24" s="157"/>
      <c r="P24" s="364" t="s">
        <v>216</v>
      </c>
      <c r="Q24" s="157"/>
      <c r="R24" s="157"/>
      <c r="S24" s="364"/>
      <c r="T24" s="157"/>
      <c r="U24" s="157"/>
      <c r="V24" s="157"/>
      <c r="W24" s="157"/>
      <c r="X24" s="157"/>
    </row>
    <row r="25" spans="2:24" ht="11.1" customHeight="1" x14ac:dyDescent="0.2">
      <c r="B25" s="189"/>
      <c r="C25" s="193"/>
      <c r="D25" s="193"/>
      <c r="E25" s="193"/>
      <c r="F25" s="160"/>
      <c r="G25" s="153"/>
      <c r="H25" s="153"/>
      <c r="I25" s="364"/>
      <c r="J25" s="146"/>
      <c r="K25" s="172"/>
      <c r="M25" s="364"/>
      <c r="N25" s="157"/>
      <c r="O25" s="157"/>
      <c r="P25" s="364"/>
      <c r="Q25" s="157"/>
      <c r="R25" s="157"/>
      <c r="S25" s="364"/>
      <c r="T25" s="157"/>
      <c r="U25" s="157"/>
      <c r="V25" s="157"/>
      <c r="W25" s="157"/>
      <c r="X25" s="157"/>
    </row>
    <row r="26" spans="2:24" ht="12" customHeight="1" x14ac:dyDescent="0.2">
      <c r="B26" s="189"/>
      <c r="C26" s="194"/>
      <c r="D26" s="194"/>
      <c r="E26" s="194"/>
      <c r="F26" s="173" t="str">
        <f>'16vos de Final'!K43</f>
        <v>EE. UU.</v>
      </c>
      <c r="G26" s="327">
        <v>1</v>
      </c>
      <c r="H26" s="149"/>
      <c r="I26" s="367">
        <v>81</v>
      </c>
      <c r="J26" s="146"/>
      <c r="K26" s="148"/>
      <c r="M26" s="364"/>
      <c r="N26" s="157"/>
      <c r="O26" s="157"/>
      <c r="P26" s="364" t="s">
        <v>215</v>
      </c>
      <c r="Q26" s="157"/>
      <c r="R26" s="157"/>
      <c r="S26" s="364"/>
      <c r="T26" s="157"/>
      <c r="U26" s="157"/>
      <c r="V26" s="157"/>
      <c r="W26" s="157"/>
      <c r="X26" s="157"/>
    </row>
    <row r="27" spans="2:24" ht="11.1" customHeight="1" x14ac:dyDescent="0.2">
      <c r="B27" s="189" t="str">
        <f ca="1">IF(OR(F27="en juego",F27="hoy!",F27="finalizado"),"►6","6")</f>
        <v>6</v>
      </c>
      <c r="C27" s="190" t="s">
        <v>180</v>
      </c>
      <c r="D27" s="191">
        <v>46209</v>
      </c>
      <c r="E27" s="192">
        <v>0.79166666666666663</v>
      </c>
      <c r="F27" s="156" t="str">
        <f ca="1">IF(OR(D27="",E27="",D27&lt;$M$4),"",IF(D27=$M$4,IF(AND(E27&lt;=$T$23,$T$23&lt;=(E27+0.08333333333)),"en juego",IF($T$23&lt;E27,"hoy!","finalizado")),IF($M$4&gt;D27,"finalizado","")))</f>
        <v/>
      </c>
      <c r="G27" s="153"/>
      <c r="H27" s="167"/>
      <c r="I27" s="368"/>
      <c r="J27" s="146"/>
      <c r="K27" s="332" t="str">
        <f>IF(AND(F26&lt;&gt;"",F28&lt;&gt;""),IF(OR(G26="",G28="",AND(G26=G28,OR(H26="",H28=""))),"CF6",IF(G26=G28,IF(H26&gt;H28,F26,F28),IF(G26&gt;G28,F26,F28))),"")</f>
        <v>Bélgica</v>
      </c>
      <c r="M27" s="364">
        <v>94</v>
      </c>
      <c r="N27" s="157"/>
      <c r="O27" s="157"/>
      <c r="P27" s="364" t="s">
        <v>124</v>
      </c>
      <c r="Q27" s="157"/>
      <c r="R27" s="365">
        <f>IF(ISERROR(VLOOKUP(K27,Hoja1!$D$6:$D$53,1,0)),1,0)</f>
        <v>0</v>
      </c>
      <c r="S27" s="364"/>
      <c r="T27" s="157"/>
      <c r="U27" s="157"/>
      <c r="V27" s="157"/>
      <c r="W27" s="157"/>
      <c r="X27" s="157"/>
    </row>
    <row r="28" spans="2:24" ht="12" customHeight="1" x14ac:dyDescent="0.2">
      <c r="B28" s="189"/>
      <c r="C28" s="193"/>
      <c r="D28" s="193"/>
      <c r="E28" s="193"/>
      <c r="F28" s="173" t="str">
        <f>'16vos de Final'!K39</f>
        <v>Bélgica</v>
      </c>
      <c r="G28" s="327">
        <v>3</v>
      </c>
      <c r="H28" s="151"/>
      <c r="I28" s="369">
        <v>82</v>
      </c>
      <c r="J28" s="146"/>
      <c r="K28" s="172"/>
      <c r="M28" s="364"/>
      <c r="N28" s="157"/>
      <c r="O28" s="157"/>
      <c r="P28" s="364" t="s">
        <v>214</v>
      </c>
      <c r="Q28" s="157"/>
      <c r="R28" s="157"/>
      <c r="S28" s="364"/>
      <c r="T28" s="157"/>
      <c r="U28" s="157"/>
      <c r="V28" s="157"/>
      <c r="W28" s="157"/>
      <c r="X28" s="157"/>
    </row>
    <row r="29" spans="2:24" ht="11.1" customHeight="1" x14ac:dyDescent="0.2">
      <c r="B29" s="189"/>
      <c r="C29" s="193"/>
      <c r="D29" s="193"/>
      <c r="E29" s="193"/>
      <c r="F29" s="160"/>
      <c r="G29" s="153"/>
      <c r="H29" s="153"/>
      <c r="I29" s="364"/>
      <c r="J29" s="146"/>
      <c r="K29" s="172"/>
      <c r="M29" s="364"/>
      <c r="N29" s="157"/>
      <c r="O29" s="157"/>
      <c r="P29" s="364"/>
      <c r="Q29" s="157"/>
      <c r="R29" s="157"/>
      <c r="S29" s="364"/>
      <c r="T29" s="157"/>
      <c r="U29" s="157"/>
      <c r="V29" s="157"/>
      <c r="W29" s="157"/>
      <c r="X29" s="157"/>
    </row>
    <row r="30" spans="2:24" ht="12" customHeight="1" x14ac:dyDescent="0.2">
      <c r="B30" s="189"/>
      <c r="C30" s="194"/>
      <c r="D30" s="194"/>
      <c r="E30" s="194"/>
      <c r="F30" s="173" t="str">
        <f>'16vos de Final'!K63</f>
        <v>Argentina</v>
      </c>
      <c r="G30" s="327">
        <v>3</v>
      </c>
      <c r="H30" s="149"/>
      <c r="I30" s="367">
        <v>86</v>
      </c>
      <c r="J30" s="146"/>
      <c r="K30" s="148"/>
      <c r="M30" s="364"/>
      <c r="N30" s="157"/>
      <c r="O30" s="157"/>
      <c r="P30" s="364" t="s">
        <v>220</v>
      </c>
      <c r="Q30" s="157"/>
      <c r="R30" s="157"/>
      <c r="S30" s="364"/>
      <c r="T30" s="157"/>
      <c r="U30" s="157"/>
      <c r="V30" s="157"/>
      <c r="W30" s="157"/>
      <c r="X30" s="157"/>
    </row>
    <row r="31" spans="2:24" ht="11.1" customHeight="1" x14ac:dyDescent="0.2">
      <c r="B31" s="189" t="str">
        <f ca="1">IF(OR(F31="en juego",F31="hoy!",F31="finalizado"),"►7","7")</f>
        <v>7</v>
      </c>
      <c r="C31" s="190" t="s">
        <v>179</v>
      </c>
      <c r="D31" s="191">
        <v>46210</v>
      </c>
      <c r="E31" s="192">
        <v>0.45833333333333331</v>
      </c>
      <c r="F31" s="156" t="str">
        <f ca="1">IF(OR(D31="",E31="",D31&lt;$M$4),"",IF(D31=$M$4,IF(AND(E31&lt;=$T$23,$T$23&lt;=(E31+0.08333333333)),"en juego",IF($T$23&lt;E31,"hoy!","finalizado")),IF($M$4&gt;D31,"finalizado","")))</f>
        <v/>
      </c>
      <c r="G31" s="153"/>
      <c r="H31" s="167"/>
      <c r="I31" s="368"/>
      <c r="J31" s="146"/>
      <c r="K31" s="332" t="str">
        <f>IF(AND(F30&lt;&gt;"",F32&lt;&gt;""),IF(OR(G30="",G32="",AND(G30=G32,OR(H30="",H32=""))),"CF7",IF(G30=G32,IF(H30&gt;H32,F30,F32),IF(G30&gt;G32,F30,F32))),"")</f>
        <v>Argentina</v>
      </c>
      <c r="M31" s="364">
        <v>95</v>
      </c>
      <c r="N31" s="157"/>
      <c r="O31" s="157"/>
      <c r="P31" s="364" t="s">
        <v>124</v>
      </c>
      <c r="Q31" s="157"/>
      <c r="R31" s="365">
        <f>IF(ISERROR(VLOOKUP(K31,Hoja1!$D$6:$D$53,1,0)),1,0)</f>
        <v>0</v>
      </c>
      <c r="S31" s="364"/>
      <c r="T31" s="157"/>
      <c r="U31" s="157"/>
      <c r="V31" s="157"/>
      <c r="W31" s="157"/>
      <c r="X31" s="157"/>
    </row>
    <row r="32" spans="2:24" ht="12" customHeight="1" x14ac:dyDescent="0.2">
      <c r="B32" s="189"/>
      <c r="C32" s="193"/>
      <c r="D32" s="193"/>
      <c r="E32" s="193"/>
      <c r="F32" s="173" t="str">
        <f>'16vos de Final'!K59</f>
        <v>Turquía</v>
      </c>
      <c r="G32" s="327">
        <v>2</v>
      </c>
      <c r="H32" s="151"/>
      <c r="I32" s="369">
        <v>88</v>
      </c>
      <c r="J32" s="146"/>
      <c r="K32" s="172"/>
      <c r="M32" s="364"/>
      <c r="N32" s="157"/>
      <c r="O32" s="157"/>
      <c r="P32" s="364" t="s">
        <v>219</v>
      </c>
      <c r="Q32" s="157"/>
      <c r="R32" s="157"/>
      <c r="S32" s="364"/>
      <c r="T32" s="157"/>
      <c r="U32" s="157"/>
      <c r="V32" s="157"/>
      <c r="W32" s="157"/>
      <c r="X32" s="157"/>
    </row>
    <row r="33" spans="2:24" ht="11.1" customHeight="1" x14ac:dyDescent="0.2">
      <c r="B33" s="189"/>
      <c r="C33" s="193"/>
      <c r="D33" s="193"/>
      <c r="E33" s="193"/>
      <c r="F33" s="160"/>
      <c r="G33" s="153"/>
      <c r="H33" s="153"/>
      <c r="I33" s="364"/>
      <c r="J33" s="146"/>
      <c r="K33" s="172"/>
      <c r="M33" s="364"/>
      <c r="N33" s="157"/>
      <c r="O33" s="157"/>
      <c r="P33" s="364"/>
      <c r="Q33" s="157"/>
      <c r="R33" s="157"/>
      <c r="S33" s="364"/>
      <c r="T33" s="157"/>
      <c r="U33" s="157"/>
      <c r="V33" s="157"/>
      <c r="W33" s="157"/>
      <c r="X33" s="157"/>
    </row>
    <row r="34" spans="2:24" ht="12" customHeight="1" x14ac:dyDescent="0.2">
      <c r="B34" s="189"/>
      <c r="C34" s="194"/>
      <c r="D34" s="194"/>
      <c r="E34" s="194"/>
      <c r="F34" s="173" t="str">
        <f>'16vos de Final'!K55</f>
        <v>Suiza</v>
      </c>
      <c r="G34" s="327">
        <v>1</v>
      </c>
      <c r="H34" s="149"/>
      <c r="I34" s="367">
        <v>85</v>
      </c>
      <c r="J34" s="146"/>
      <c r="K34" s="148"/>
      <c r="M34" s="364"/>
      <c r="N34" s="157"/>
      <c r="O34" s="157"/>
      <c r="P34" s="364" t="s">
        <v>218</v>
      </c>
      <c r="Q34" s="157"/>
      <c r="R34" s="157"/>
      <c r="S34" s="364"/>
      <c r="T34" s="157"/>
      <c r="U34" s="157"/>
      <c r="V34" s="157"/>
      <c r="W34" s="157"/>
      <c r="X34" s="157"/>
    </row>
    <row r="35" spans="2:24" ht="11.1" customHeight="1" x14ac:dyDescent="0.2">
      <c r="B35" s="189" t="str">
        <f ca="1">IF(OR(F35="en juego",F35="hoy!",F35="finalizado"),"►8","8")</f>
        <v>8</v>
      </c>
      <c r="C35" s="190" t="s">
        <v>174</v>
      </c>
      <c r="D35" s="191">
        <v>46210</v>
      </c>
      <c r="E35" s="192">
        <v>0.625</v>
      </c>
      <c r="F35" s="156" t="str">
        <f ca="1">IF(OR(D35="",E35="",D35&lt;$M$4),"",IF(D35=$M$4,IF(AND(E35&lt;=$T$23,$T$23&lt;=(E35+0.08333333333)),"en juego",IF($T$23&lt;E35,"hoy!","finalizado")),IF($M$4&gt;D35,"finalizado","")))</f>
        <v/>
      </c>
      <c r="G35" s="153"/>
      <c r="H35" s="167"/>
      <c r="I35" s="368"/>
      <c r="J35" s="146"/>
      <c r="K35" s="332" t="str">
        <f>IF(AND(F34&lt;&gt;"",F36&lt;&gt;""),IF(OR(G34="",G36="",AND(G34=G36,OR(H34="",H36=""))),"CF8",IF(G34=G36,IF(H34&gt;H36,F34,F36),IF(G34&gt;G36,F34,F36))),"")</f>
        <v>Portugal</v>
      </c>
      <c r="M35" s="364">
        <v>96</v>
      </c>
      <c r="N35" s="157"/>
      <c r="O35" s="157"/>
      <c r="P35" s="364" t="s">
        <v>124</v>
      </c>
      <c r="Q35" s="157"/>
      <c r="R35" s="365">
        <f>IF(ISERROR(VLOOKUP(K35,Hoja1!$D$6:$D$53,1,0)),1,0)</f>
        <v>0</v>
      </c>
      <c r="S35" s="364"/>
      <c r="T35" s="157"/>
      <c r="U35" s="157"/>
      <c r="V35" s="157"/>
      <c r="W35" s="157"/>
      <c r="X35" s="157"/>
    </row>
    <row r="36" spans="2:24" ht="12" customHeight="1" x14ac:dyDescent="0.2">
      <c r="B36" s="189"/>
      <c r="C36" s="193"/>
      <c r="D36" s="193"/>
      <c r="E36" s="193"/>
      <c r="F36" s="173" t="str">
        <f>'16vos de Final'!K67</f>
        <v>Portugal</v>
      </c>
      <c r="G36" s="327">
        <v>2</v>
      </c>
      <c r="H36" s="151"/>
      <c r="I36" s="369">
        <v>87</v>
      </c>
      <c r="J36" s="146"/>
      <c r="K36" s="170"/>
      <c r="M36" s="157"/>
      <c r="N36" s="157"/>
      <c r="O36" s="157"/>
      <c r="P36" s="364" t="s">
        <v>221</v>
      </c>
      <c r="Q36" s="157"/>
      <c r="R36" s="157"/>
      <c r="S36" s="364"/>
      <c r="T36" s="157"/>
      <c r="U36" s="157"/>
      <c r="V36" s="157"/>
      <c r="W36" s="157"/>
      <c r="X36" s="157"/>
    </row>
    <row r="37" spans="2:24" ht="11.1" customHeight="1" x14ac:dyDescent="0.2">
      <c r="B37" s="145"/>
      <c r="C37" s="148"/>
      <c r="D37" s="148"/>
      <c r="E37" s="148"/>
      <c r="F37" s="170"/>
      <c r="G37" s="171"/>
      <c r="H37" s="146"/>
      <c r="I37" s="364"/>
      <c r="J37" s="146"/>
      <c r="K37" s="170"/>
    </row>
    <row r="38" spans="2:24" ht="12.75" customHeight="1" x14ac:dyDescent="0.2">
      <c r="C38" s="75" t="str">
        <f>IF(OR(menu!$D$4="",menu!$D$6=""),"Atencion !  Aun te falta poner tu nombre y Pais en la hoja INICIO","")</f>
        <v/>
      </c>
      <c r="I38" s="157"/>
    </row>
    <row r="39" spans="2:24" x14ac:dyDescent="0.2">
      <c r="C39" s="75"/>
      <c r="I39" s="157"/>
    </row>
  </sheetData>
  <sheetProtection algorithmName="SHA-512" hashValue="Rn+NPlJSVHdfRneNuJvji+AC9nXpXbbkXUozQaI8Upe8TusFnMM2IHcRusD5vv417NCvlU3+Dw00iJDJUUemsw==" saltValue="OAbXPvW2WuyH8LHElb945g==" spinCount="100000" sheet="1" objects="1" scenarios="1" selectLockedCells="1"/>
  <mergeCells count="6">
    <mergeCell ref="R1:R2"/>
    <mergeCell ref="F4:G4"/>
    <mergeCell ref="C4:E4"/>
    <mergeCell ref="H4:I4"/>
    <mergeCell ref="B1:N2"/>
    <mergeCell ref="P1:P2"/>
  </mergeCells>
  <phoneticPr fontId="20" type="noConversion"/>
  <conditionalFormatting sqref="B15:D15">
    <cfRule type="expression" dxfId="99" priority="15" stopIfTrue="1">
      <formula>IF(OR($F$15="en juego",$F$15="hoy!"),1,0)</formula>
    </cfRule>
  </conditionalFormatting>
  <conditionalFormatting sqref="B7:F7">
    <cfRule type="expression" dxfId="98" priority="11" stopIfTrue="1">
      <formula>IF(OR($F$7="en juego",$F$7="hoy!"),1,0)</formula>
    </cfRule>
  </conditionalFormatting>
  <conditionalFormatting sqref="B11:F11">
    <cfRule type="expression" dxfId="97" priority="83" stopIfTrue="1">
      <formula>IF(OR($F$11="en juego",$F$11="hoy!"),1,0)</formula>
    </cfRule>
  </conditionalFormatting>
  <conditionalFormatting sqref="B19:F19">
    <cfRule type="expression" dxfId="96" priority="81" stopIfTrue="1">
      <formula>IF(OR($F$19="en juego",$F$19="hoy!"),1,0)</formula>
    </cfRule>
  </conditionalFormatting>
  <conditionalFormatting sqref="B23:F23">
    <cfRule type="expression" dxfId="95" priority="80" stopIfTrue="1">
      <formula>IF(OR($F$23="en juego",$F$23="hoy!"),1,0)</formula>
    </cfRule>
  </conditionalFormatting>
  <conditionalFormatting sqref="B27:F27">
    <cfRule type="expression" dxfId="94" priority="10" stopIfTrue="1">
      <formula>IF(OR($F$27="en juego",$F$27="hoy!"),1,0)</formula>
    </cfRule>
  </conditionalFormatting>
  <conditionalFormatting sqref="B31:F31">
    <cfRule type="expression" dxfId="93" priority="78" stopIfTrue="1">
      <formula>IF(OR($F$31="en juego",$F$31="hoy!"),1,0)</formula>
    </cfRule>
  </conditionalFormatting>
  <conditionalFormatting sqref="B35:F35">
    <cfRule type="expression" dxfId="92" priority="77" stopIfTrue="1">
      <formula>IF(OR($F$35="en juego",$F$35="hoy!"),1,0)</formula>
    </cfRule>
  </conditionalFormatting>
  <conditionalFormatting sqref="D19">
    <cfRule type="expression" dxfId="91" priority="16" stopIfTrue="1">
      <formula>IF(OR($F$15="en juego",$F$15="hoy!"),1,0)</formula>
    </cfRule>
  </conditionalFormatting>
  <conditionalFormatting sqref="E15">
    <cfRule type="expression" dxfId="90" priority="17" stopIfTrue="1">
      <formula>IF(OR($F$11="en juego",$F$11="hoy!"),1,0)</formula>
    </cfRule>
  </conditionalFormatting>
  <conditionalFormatting sqref="F11">
    <cfRule type="expression" dxfId="89" priority="63" stopIfTrue="1">
      <formula>IF(OR($F$7="en juego",$F$7="hoy!"),1,0)</formula>
    </cfRule>
  </conditionalFormatting>
  <conditionalFormatting sqref="F15">
    <cfRule type="expression" dxfId="88" priority="58" stopIfTrue="1">
      <formula>IF(OR($F$7="en juego",$F$7="hoy!"),1,0)</formula>
    </cfRule>
    <cfRule type="expression" dxfId="87" priority="82" stopIfTrue="1">
      <formula>IF(OR($F$15="en juego",$F$15="hoy!"),1,0)</formula>
    </cfRule>
  </conditionalFormatting>
  <conditionalFormatting sqref="F19">
    <cfRule type="expression" dxfId="86" priority="53" stopIfTrue="1">
      <formula>IF(OR($F$7="en juego",$F$7="hoy!"),1,0)</formula>
    </cfRule>
  </conditionalFormatting>
  <conditionalFormatting sqref="F23">
    <cfRule type="expression" dxfId="85" priority="48" stopIfTrue="1">
      <formula>IF(OR($F$7="en juego",$F$7="hoy!"),1,0)</formula>
    </cfRule>
  </conditionalFormatting>
  <conditionalFormatting sqref="F31">
    <cfRule type="expression" dxfId="84" priority="38" stopIfTrue="1">
      <formula>IF(OR($F$7="en juego",$F$7="hoy!"),1,0)</formula>
    </cfRule>
  </conditionalFormatting>
  <conditionalFormatting sqref="G6 G10 G14 G18 G22 G26 G30 G34">
    <cfRule type="expression" dxfId="83" priority="67" stopIfTrue="1">
      <formula>IF(OR($M$5="en juego",$M$5="hoy!"),1,0)</formula>
    </cfRule>
  </conditionalFormatting>
  <conditionalFormatting sqref="G8 G12 G16 G20 G24 G28 G32 G36">
    <cfRule type="expression" dxfId="82" priority="65" stopIfTrue="1">
      <formula>IF(OR($M$5="en juego",$M$5="hoy!"),1,0)</formula>
    </cfRule>
  </conditionalFormatting>
  <conditionalFormatting sqref="G10 G6 G14 G18 G22 G26 G30 G34">
    <cfRule type="colorScale" priority="66">
      <colorScale>
        <cfvo type="num" val="0"/>
        <cfvo type="num" val="10"/>
        <color theme="9" tint="0.59999389629810485"/>
        <color theme="9" tint="0.59999389629810485"/>
      </colorScale>
    </cfRule>
  </conditionalFormatting>
  <conditionalFormatting sqref="G10">
    <cfRule type="expression" dxfId="81" priority="62" stopIfTrue="1">
      <formula>IF(OR($M$5="en juego",$M$5="hoy!"),1,0)</formula>
    </cfRule>
    <cfRule type="colorScale" priority="61">
      <colorScale>
        <cfvo type="num" val="0"/>
        <cfvo type="num" val="10"/>
        <color theme="9" tint="0.59999389629810485"/>
        <color theme="9" tint="0.59999389629810485"/>
      </colorScale>
    </cfRule>
  </conditionalFormatting>
  <conditionalFormatting sqref="G12 G8 G16 G20 G24 G28 G32 G36">
    <cfRule type="colorScale" priority="64">
      <colorScale>
        <cfvo type="num" val="0"/>
        <cfvo type="num" val="10"/>
        <color theme="9" tint="0.59999389629810485"/>
        <color theme="9" tint="0.59999389629810485"/>
      </colorScale>
    </cfRule>
  </conditionalFormatting>
  <conditionalFormatting sqref="G12">
    <cfRule type="expression" dxfId="80" priority="60" stopIfTrue="1">
      <formula>IF(OR($M$5="en juego",$M$5="hoy!"),1,0)</formula>
    </cfRule>
    <cfRule type="colorScale" priority="59">
      <colorScale>
        <cfvo type="num" val="0"/>
        <cfvo type="num" val="10"/>
        <color theme="9" tint="0.59999389629810485"/>
        <color theme="9" tint="0.59999389629810485"/>
      </colorScale>
    </cfRule>
  </conditionalFormatting>
  <conditionalFormatting sqref="G14 G18 G22 G26 G30 G34">
    <cfRule type="expression" dxfId="79" priority="57" stopIfTrue="1">
      <formula>IF(OR($M$5="en juego",$M$5="hoy!"),1,0)</formula>
    </cfRule>
  </conditionalFormatting>
  <conditionalFormatting sqref="G16 G20 G24 G28 G32 G36">
    <cfRule type="expression" dxfId="78" priority="55" stopIfTrue="1">
      <formula>IF(OR($M$5="en juego",$M$5="hoy!"),1,0)</formula>
    </cfRule>
  </conditionalFormatting>
  <conditionalFormatting sqref="G18 G14 G22 G26 G30 G34">
    <cfRule type="colorScale" priority="56">
      <colorScale>
        <cfvo type="num" val="0"/>
        <cfvo type="num" val="10"/>
        <color theme="9" tint="0.59999389629810485"/>
        <color theme="9" tint="0.59999389629810485"/>
      </colorScale>
    </cfRule>
  </conditionalFormatting>
  <conditionalFormatting sqref="G18">
    <cfRule type="colorScale" priority="51">
      <colorScale>
        <cfvo type="num" val="0"/>
        <cfvo type="num" val="10"/>
        <color theme="9" tint="0.59999389629810485"/>
        <color theme="9" tint="0.59999389629810485"/>
      </colorScale>
    </cfRule>
    <cfRule type="expression" dxfId="77" priority="52" stopIfTrue="1">
      <formula>IF(OR($M$5="en juego",$M$5="hoy!"),1,0)</formula>
    </cfRule>
  </conditionalFormatting>
  <conditionalFormatting sqref="G20 G16 G24 G28 G32 G36">
    <cfRule type="colorScale" priority="54">
      <colorScale>
        <cfvo type="num" val="0"/>
        <cfvo type="num" val="10"/>
        <color theme="9" tint="0.59999389629810485"/>
        <color theme="9" tint="0.59999389629810485"/>
      </colorScale>
    </cfRule>
  </conditionalFormatting>
  <conditionalFormatting sqref="G20">
    <cfRule type="colorScale" priority="49">
      <colorScale>
        <cfvo type="num" val="0"/>
        <cfvo type="num" val="10"/>
        <color theme="9" tint="0.59999389629810485"/>
        <color theme="9" tint="0.59999389629810485"/>
      </colorScale>
    </cfRule>
    <cfRule type="expression" dxfId="76" priority="50" stopIfTrue="1">
      <formula>IF(OR($M$5="en juego",$M$5="hoy!"),1,0)</formula>
    </cfRule>
  </conditionalFormatting>
  <conditionalFormatting sqref="G22">
    <cfRule type="expression" dxfId="75" priority="47" stopIfTrue="1">
      <formula>IF(OR($M$5="en juego",$M$5="hoy!"),1,0)</formula>
    </cfRule>
    <cfRule type="colorScale" priority="46">
      <colorScale>
        <cfvo type="num" val="0"/>
        <cfvo type="num" val="10"/>
        <color theme="9" tint="0.59999389629810485"/>
        <color theme="9" tint="0.59999389629810485"/>
      </colorScale>
    </cfRule>
  </conditionalFormatting>
  <conditionalFormatting sqref="G24">
    <cfRule type="expression" dxfId="74" priority="45" stopIfTrue="1">
      <formula>IF(OR($M$5="en juego",$M$5="hoy!"),1,0)</formula>
    </cfRule>
    <cfRule type="colorScale" priority="44">
      <colorScale>
        <cfvo type="num" val="0"/>
        <cfvo type="num" val="10"/>
        <color theme="9" tint="0.59999389629810485"/>
        <color theme="9" tint="0.59999389629810485"/>
      </colorScale>
    </cfRule>
  </conditionalFormatting>
  <conditionalFormatting sqref="G26">
    <cfRule type="expression" dxfId="73" priority="42" stopIfTrue="1">
      <formula>IF(OR($M$5="en juego",$M$5="hoy!"),1,0)</formula>
    </cfRule>
    <cfRule type="colorScale" priority="41">
      <colorScale>
        <cfvo type="num" val="0"/>
        <cfvo type="num" val="10"/>
        <color theme="9" tint="0.59999389629810485"/>
        <color theme="9" tint="0.59999389629810485"/>
      </colorScale>
    </cfRule>
  </conditionalFormatting>
  <conditionalFormatting sqref="G28">
    <cfRule type="colorScale" priority="39">
      <colorScale>
        <cfvo type="num" val="0"/>
        <cfvo type="num" val="10"/>
        <color theme="9" tint="0.59999389629810485"/>
        <color theme="9" tint="0.59999389629810485"/>
      </colorScale>
    </cfRule>
    <cfRule type="expression" dxfId="72" priority="40" stopIfTrue="1">
      <formula>IF(OR($M$5="en juego",$M$5="hoy!"),1,0)</formula>
    </cfRule>
  </conditionalFormatting>
  <conditionalFormatting sqref="G30">
    <cfRule type="expression" dxfId="71" priority="37" stopIfTrue="1">
      <formula>IF(OR($M$5="en juego",$M$5="hoy!"),1,0)</formula>
    </cfRule>
    <cfRule type="colorScale" priority="36">
      <colorScale>
        <cfvo type="num" val="0"/>
        <cfvo type="num" val="10"/>
        <color theme="9" tint="0.59999389629810485"/>
        <color theme="9" tint="0.59999389629810485"/>
      </colorScale>
    </cfRule>
  </conditionalFormatting>
  <conditionalFormatting sqref="G32">
    <cfRule type="colorScale" priority="34">
      <colorScale>
        <cfvo type="num" val="0"/>
        <cfvo type="num" val="10"/>
        <color theme="9" tint="0.59999389629810485"/>
        <color theme="9" tint="0.59999389629810485"/>
      </colorScale>
    </cfRule>
    <cfRule type="expression" dxfId="70" priority="35" stopIfTrue="1">
      <formula>IF(OR($M$5="en juego",$M$5="hoy!"),1,0)</formula>
    </cfRule>
  </conditionalFormatting>
  <conditionalFormatting sqref="G34">
    <cfRule type="colorScale" priority="31">
      <colorScale>
        <cfvo type="num" val="0"/>
        <cfvo type="num" val="10"/>
        <color theme="9" tint="0.59999389629810485"/>
        <color theme="9" tint="0.59999389629810485"/>
      </colorScale>
    </cfRule>
    <cfRule type="expression" dxfId="69" priority="32" stopIfTrue="1">
      <formula>IF(OR($M$5="en juego",$M$5="hoy!"),1,0)</formula>
    </cfRule>
  </conditionalFormatting>
  <conditionalFormatting sqref="G36">
    <cfRule type="expression" dxfId="68" priority="30" stopIfTrue="1">
      <formula>IF(OR($M$5="en juego",$M$5="hoy!"),1,0)</formula>
    </cfRule>
    <cfRule type="colorScale" priority="29">
      <colorScale>
        <cfvo type="num" val="0"/>
        <cfvo type="num" val="10"/>
        <color theme="9" tint="0.59999389629810485"/>
        <color theme="9" tint="0.59999389629810485"/>
      </colorScale>
    </cfRule>
  </conditionalFormatting>
  <conditionalFormatting sqref="H6 H8">
    <cfRule type="expression" dxfId="67" priority="18" stopIfTrue="1">
      <formula>IF(AND($G$6=$G$8,$G$6&lt;&gt;"",$G$8&lt;&gt;""),1,0)</formula>
    </cfRule>
  </conditionalFormatting>
  <conditionalFormatting sqref="H10 H12">
    <cfRule type="expression" dxfId="66" priority="69" stopIfTrue="1">
      <formula>IF(AND($G$10=$G$12,$G$10&lt;&gt;"",$G$12&lt;&gt;""),1,0)</formula>
    </cfRule>
  </conditionalFormatting>
  <conditionalFormatting sqref="H14 H16">
    <cfRule type="expression" dxfId="65" priority="70" stopIfTrue="1">
      <formula>IF(AND($G$14=$G$16,$G$14&lt;&gt;"",$G$16&lt;&gt;""),1,0)</formula>
    </cfRule>
  </conditionalFormatting>
  <conditionalFormatting sqref="H18 H20">
    <cfRule type="expression" dxfId="64" priority="71" stopIfTrue="1">
      <formula>IF(AND($G$18=$G$20,$G$18&lt;&gt;"",$G$20&lt;&gt;""),1,0)</formula>
    </cfRule>
  </conditionalFormatting>
  <conditionalFormatting sqref="H22 H24">
    <cfRule type="expression" dxfId="63" priority="72" stopIfTrue="1">
      <formula>IF(AND($G$22=$G$24,$G$22&lt;&gt;"",$G$24&lt;&gt;""),1,0)</formula>
    </cfRule>
  </conditionalFormatting>
  <conditionalFormatting sqref="H26 H28">
    <cfRule type="expression" dxfId="62" priority="73" stopIfTrue="1">
      <formula>IF(AND($G$26=$G$28,$G$26&lt;&gt;"",$G$28&lt;&gt;""),1,0)</formula>
    </cfRule>
  </conditionalFormatting>
  <conditionalFormatting sqref="H30 H32">
    <cfRule type="expression" dxfId="61" priority="74" stopIfTrue="1">
      <formula>IF(AND($G$30=$G$32,$G$30&lt;&gt;"",$G$32&lt;&gt;""),1,0)</formula>
    </cfRule>
  </conditionalFormatting>
  <conditionalFormatting sqref="H34 H36">
    <cfRule type="expression" dxfId="60" priority="75" stopIfTrue="1">
      <formula>IF(AND($G$34=$G$36,$G$34&lt;&gt;"",$G$36&lt;&gt;""),1,0)</formula>
    </cfRule>
  </conditionalFormatting>
  <conditionalFormatting sqref="K7">
    <cfRule type="expression" dxfId="59" priority="9">
      <formula>R7=0</formula>
    </cfRule>
  </conditionalFormatting>
  <conditionalFormatting sqref="K11">
    <cfRule type="expression" dxfId="58" priority="8">
      <formula>R11=0</formula>
    </cfRule>
  </conditionalFormatting>
  <conditionalFormatting sqref="K15">
    <cfRule type="expression" dxfId="57" priority="7">
      <formula>R15=0</formula>
    </cfRule>
  </conditionalFormatting>
  <conditionalFormatting sqref="K19">
    <cfRule type="expression" dxfId="56" priority="6">
      <formula>R19=0</formula>
    </cfRule>
  </conditionalFormatting>
  <conditionalFormatting sqref="K23">
    <cfRule type="expression" dxfId="55" priority="5">
      <formula>R23=0</formula>
    </cfRule>
  </conditionalFormatting>
  <conditionalFormatting sqref="K27">
    <cfRule type="expression" dxfId="54" priority="4">
      <formula>R27=0</formula>
    </cfRule>
  </conditionalFormatting>
  <conditionalFormatting sqref="K31">
    <cfRule type="expression" dxfId="53" priority="3">
      <formula>R31=0</formula>
    </cfRule>
  </conditionalFormatting>
  <conditionalFormatting sqref="K35">
    <cfRule type="expression" dxfId="52" priority="2">
      <formula>R35=0</formula>
    </cfRule>
  </conditionalFormatting>
  <conditionalFormatting sqref="R1:R2">
    <cfRule type="cellIs" dxfId="51" priority="1" operator="equal">
      <formula>1</formula>
    </cfRule>
  </conditionalFormatting>
  <dataValidations count="2">
    <dataValidation type="whole" allowBlank="1" showErrorMessage="1" errorTitle="Dato no válido" error="Ingrese sólo un número entero_x000a_entre 0 y 99." sqref="G12 G6 G8 G10 G14 G18 G22 G26 G30 G34 G16 G20 G24 G28 G32 G36" xr:uid="{00000000-0002-0000-0900-000000000000}">
      <formula1>0</formula1>
      <formula2>99</formula2>
    </dataValidation>
    <dataValidation type="custom" showErrorMessage="1" errorTitle="Dato no válido" error="Debe introducir antes el resultado del partido." sqref="H6 H8 H10 H12 H14 H16 H20 H24 H28 H36 H34 H30 H32 H26 H22 H18" xr:uid="{00000000-0002-0000-0900-000001000000}">
      <formula1>IF(G6&lt;&gt;"",1,0)</formula1>
    </dataValidation>
  </dataValidations>
  <pageMargins left="0.75" right="0.75" top="1" bottom="1" header="0" footer="0"/>
  <pageSetup paperSize="9" scale="61" orientation="portrait" horizontalDpi="300" verticalDpi="300" r:id="rId1"/>
  <headerFooter alignWithMargins="0"/>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pageSetUpPr fitToPage="1"/>
  </sheetPr>
  <dimension ref="A1:V36"/>
  <sheetViews>
    <sheetView showGridLines="0" showRowColHeaders="0" showOutlineSymbols="0" zoomScale="145" zoomScaleNormal="145" workbookViewId="0">
      <pane xSplit="1" ySplit="4" topLeftCell="B5" activePane="bottomRight" state="frozen"/>
      <selection activeCell="P1" sqref="P1:P2"/>
      <selection pane="topRight" activeCell="P1" sqref="P1:P2"/>
      <selection pane="bottomLeft" activeCell="P1" sqref="P1:P2"/>
      <selection pane="bottomRight" activeCell="G16" sqref="G16"/>
    </sheetView>
  </sheetViews>
  <sheetFormatPr defaultColWidth="11.42578125" defaultRowHeight="12.75" x14ac:dyDescent="0.2"/>
  <cols>
    <col min="1" max="1" width="22.7109375" style="32" customWidth="1"/>
    <col min="2" max="2" width="3.28515625" style="143" customWidth="1"/>
    <col min="3" max="3" width="14.7109375" style="143" customWidth="1"/>
    <col min="4" max="5" width="6.7109375" style="143" customWidth="1"/>
    <col min="6" max="6" width="17.7109375" style="143" customWidth="1"/>
    <col min="7" max="7" width="3.7109375" style="143" customWidth="1"/>
    <col min="8" max="8" width="2" style="143" customWidth="1"/>
    <col min="9" max="9" width="6.42578125" style="143" customWidth="1"/>
    <col min="10" max="10" width="11.7109375" style="143" customWidth="1"/>
    <col min="11" max="11" width="17.7109375" style="143" customWidth="1"/>
    <col min="12" max="12" width="3.7109375" style="157" customWidth="1"/>
    <col min="13" max="13" width="7.7109375" style="157" bestFit="1" customWidth="1"/>
    <col min="14" max="14" width="5.42578125" style="157" bestFit="1" customWidth="1"/>
    <col min="15" max="15" width="1.7109375" style="157" customWidth="1"/>
    <col min="16" max="16" width="11.42578125" style="157"/>
    <col min="17" max="17" width="0.85546875" style="157" customWidth="1"/>
    <col min="18" max="18" width="8.5703125" style="157" customWidth="1"/>
    <col min="19" max="16384" width="11.42578125" style="157"/>
  </cols>
  <sheetData>
    <row r="1" spans="1:22" s="66" customFormat="1" ht="20.100000000000001" customHeight="1" x14ac:dyDescent="0.2">
      <c r="A1" s="32"/>
      <c r="B1" s="447" t="s">
        <v>340</v>
      </c>
      <c r="C1" s="447"/>
      <c r="D1" s="447"/>
      <c r="E1" s="447"/>
      <c r="F1" s="447"/>
      <c r="G1" s="447"/>
      <c r="H1" s="447"/>
      <c r="I1" s="447"/>
      <c r="J1" s="447"/>
      <c r="K1" s="447"/>
      <c r="L1" s="447"/>
      <c r="M1" s="447"/>
      <c r="N1" s="447"/>
      <c r="O1" s="356"/>
      <c r="P1" s="448" t="s">
        <v>338</v>
      </c>
      <c r="Q1" s="65"/>
      <c r="R1" s="446">
        <f>(4-SUM(R7:R21))/4</f>
        <v>1</v>
      </c>
      <c r="S1" s="33"/>
      <c r="T1" s="33"/>
      <c r="U1" s="33"/>
      <c r="V1" s="33"/>
    </row>
    <row r="2" spans="1:22" s="66" customFormat="1" ht="20.100000000000001" customHeight="1" x14ac:dyDescent="0.2">
      <c r="A2" s="32"/>
      <c r="B2" s="447"/>
      <c r="C2" s="447"/>
      <c r="D2" s="447"/>
      <c r="E2" s="447"/>
      <c r="F2" s="447"/>
      <c r="G2" s="447"/>
      <c r="H2" s="447"/>
      <c r="I2" s="447"/>
      <c r="J2" s="447"/>
      <c r="K2" s="447"/>
      <c r="L2" s="447"/>
      <c r="M2" s="447"/>
      <c r="N2" s="447"/>
      <c r="O2" s="356"/>
      <c r="P2" s="448"/>
      <c r="Q2" s="65"/>
      <c r="R2" s="446"/>
      <c r="S2" s="33"/>
      <c r="T2" s="33"/>
      <c r="U2" s="33"/>
      <c r="V2" s="33"/>
    </row>
    <row r="3" spans="1:22" s="143" customFormat="1" ht="12.75" customHeight="1" x14ac:dyDescent="0.2">
      <c r="A3" s="32"/>
      <c r="F3" s="165"/>
      <c r="M3" s="158"/>
      <c r="N3" s="159"/>
      <c r="P3" s="177"/>
    </row>
    <row r="4" spans="1:22" s="143" customFormat="1" ht="12.75" customHeight="1" x14ac:dyDescent="0.25">
      <c r="A4" s="32"/>
      <c r="C4" s="443" t="s">
        <v>227</v>
      </c>
      <c r="D4" s="444"/>
      <c r="E4" s="444"/>
      <c r="F4" s="444" t="s">
        <v>77</v>
      </c>
      <c r="G4" s="444"/>
      <c r="H4" s="445" t="s">
        <v>78</v>
      </c>
      <c r="I4" s="445"/>
      <c r="J4" s="163"/>
      <c r="K4" s="200" t="s">
        <v>230</v>
      </c>
      <c r="M4" s="127">
        <f ca="1">TODAY()</f>
        <v>46178</v>
      </c>
      <c r="N4" s="128">
        <f ca="1">NOW()</f>
        <v>46178.66106770833</v>
      </c>
      <c r="R4" s="364" t="s">
        <v>270</v>
      </c>
    </row>
    <row r="5" spans="1:22" s="143" customFormat="1" ht="12.75" customHeight="1" x14ac:dyDescent="0.2">
      <c r="A5" s="32"/>
      <c r="B5" s="178"/>
      <c r="C5" s="181"/>
      <c r="D5" s="181"/>
      <c r="E5" s="181"/>
      <c r="F5" s="146"/>
      <c r="G5" s="146"/>
      <c r="H5" s="146"/>
      <c r="I5" s="146"/>
      <c r="J5" s="146"/>
      <c r="K5" s="146"/>
      <c r="M5" s="155"/>
      <c r="R5" s="347"/>
    </row>
    <row r="6" spans="1:22" ht="12" customHeight="1" x14ac:dyDescent="0.2">
      <c r="B6" s="178"/>
      <c r="C6" s="181"/>
      <c r="D6" s="181"/>
      <c r="E6" s="181"/>
      <c r="F6" s="173" t="str">
        <f>'Octavos de Final'!K11</f>
        <v>Francia</v>
      </c>
      <c r="G6" s="328">
        <v>2</v>
      </c>
      <c r="H6" s="183">
        <v>8</v>
      </c>
      <c r="I6" s="367">
        <v>89</v>
      </c>
      <c r="J6" s="146"/>
      <c r="K6" s="146"/>
      <c r="P6" s="154"/>
      <c r="R6" s="347"/>
    </row>
    <row r="7" spans="1:22" ht="11.25" customHeight="1" x14ac:dyDescent="0.2">
      <c r="B7" s="195" t="str">
        <f ca="1">IF(OR(F7="en juego",F7="hoy!",F7="finalizado"),"►1","1")</f>
        <v>1</v>
      </c>
      <c r="C7" s="196" t="s">
        <v>173</v>
      </c>
      <c r="D7" s="197">
        <v>46212</v>
      </c>
      <c r="E7" s="198">
        <v>0.625</v>
      </c>
      <c r="F7" s="185" t="str">
        <f ca="1">IF(OR(D7="",E7="",D7&lt;$M$4),"",IF(D7=$M$4,IF(AND(E7&lt;=$T$23,$T$23&lt;=(E7+0.08333333333)),"en juego",IF($T$23&lt;E7,"hoy!","finalizado")),IF($M$4&gt;D7,"finalizado","")))</f>
        <v/>
      </c>
      <c r="G7" s="188"/>
      <c r="H7" s="167"/>
      <c r="I7" s="368"/>
      <c r="J7" s="146"/>
      <c r="K7" s="332" t="str">
        <f>IF(AND(F6&lt;&gt;"",F8&lt;&gt;""),IF(OR(G6="",G8="",AND(G6=G8,OR(H6="",H8=""))),"SF1",IF(G6=G8,IF(H6&gt;H8,F6,F8),IF(G6&gt;G8,F6,F8))),"")</f>
        <v>Francia</v>
      </c>
      <c r="M7" s="364">
        <v>97</v>
      </c>
      <c r="R7" s="365">
        <f>IF(ISERROR(VLOOKUP(K7,Hoja1!$D$6:$D$53,1,0)),1,0)</f>
        <v>0</v>
      </c>
    </row>
    <row r="8" spans="1:22" ht="12" customHeight="1" x14ac:dyDescent="0.2">
      <c r="B8" s="195"/>
      <c r="C8" s="199"/>
      <c r="D8" s="199"/>
      <c r="E8" s="199"/>
      <c r="F8" s="173" t="str">
        <f>'Octavos de Final'!K7</f>
        <v>Países Bajos</v>
      </c>
      <c r="G8" s="328">
        <v>2</v>
      </c>
      <c r="H8" s="184">
        <v>7</v>
      </c>
      <c r="I8" s="369">
        <v>90</v>
      </c>
      <c r="J8" s="146"/>
      <c r="K8" s="187"/>
      <c r="M8" s="364"/>
    </row>
    <row r="9" spans="1:22" ht="11.25" customHeight="1" x14ac:dyDescent="0.2">
      <c r="B9" s="195"/>
      <c r="C9" s="199"/>
      <c r="D9" s="199"/>
      <c r="E9" s="199"/>
      <c r="F9" s="186"/>
      <c r="G9" s="188"/>
      <c r="H9" s="146"/>
      <c r="I9" s="364"/>
      <c r="J9" s="146"/>
      <c r="K9" s="187"/>
      <c r="M9" s="364"/>
    </row>
    <row r="10" spans="1:22" ht="12" customHeight="1" x14ac:dyDescent="0.2">
      <c r="B10" s="195"/>
      <c r="C10" s="199"/>
      <c r="D10" s="199"/>
      <c r="E10" s="199"/>
      <c r="F10" s="173" t="str">
        <f>'Octavos de Final'!K23</f>
        <v>España</v>
      </c>
      <c r="G10" s="328">
        <v>3</v>
      </c>
      <c r="H10" s="183"/>
      <c r="I10" s="367">
        <v>93</v>
      </c>
      <c r="J10" s="146"/>
      <c r="K10" s="187"/>
      <c r="M10" s="364"/>
    </row>
    <row r="11" spans="1:22" ht="11.25" customHeight="1" x14ac:dyDescent="0.2">
      <c r="B11" s="195" t="str">
        <f ca="1">IF(OR(F11="en juego",F11="hoy!",F11="finalizado"),"►2","2")</f>
        <v>2</v>
      </c>
      <c r="C11" s="196" t="s">
        <v>170</v>
      </c>
      <c r="D11" s="197">
        <v>46213</v>
      </c>
      <c r="E11" s="198">
        <v>0.58333333333333337</v>
      </c>
      <c r="F11" s="185" t="str">
        <f ca="1">IF(OR(D11="",E11="",D11&lt;$M$4),"",IF(D11=$M$4,IF(AND(E11&lt;=$T$23,$T$23&lt;=(E11+0.08333333333)),"en juego",IF($T$23&lt;E11,"hoy!","finalizado")),IF($M$4&gt;D11,"finalizado","")))</f>
        <v/>
      </c>
      <c r="G11" s="188"/>
      <c r="H11" s="167"/>
      <c r="I11" s="368"/>
      <c r="J11" s="146"/>
      <c r="K11" s="332" t="str">
        <f>IF(AND(F10&lt;&gt;"",F12&lt;&gt;""),IF(OR(G10="",G12="",AND(G10=G12,OR(H10="",H12=""))),"SF2",IF(G10=G12,IF(H10&gt;H12,F10,F12),IF(G10&gt;G12,F10,F12))),"")</f>
        <v>España</v>
      </c>
      <c r="M11" s="364">
        <v>98</v>
      </c>
      <c r="R11" s="365">
        <f>IF(ISERROR(VLOOKUP(K11,Hoja1!$D$6:$D$53,1,0)),1,0)</f>
        <v>0</v>
      </c>
    </row>
    <row r="12" spans="1:22" ht="12" customHeight="1" x14ac:dyDescent="0.2">
      <c r="B12" s="195"/>
      <c r="C12" s="199"/>
      <c r="D12" s="199"/>
      <c r="E12" s="199"/>
      <c r="F12" s="173" t="str">
        <f>'Octavos de Final'!K27</f>
        <v>Bélgica</v>
      </c>
      <c r="G12" s="328">
        <v>2</v>
      </c>
      <c r="H12" s="184"/>
      <c r="I12" s="369">
        <v>94</v>
      </c>
      <c r="J12" s="146"/>
      <c r="K12" s="187"/>
      <c r="M12" s="364"/>
    </row>
    <row r="13" spans="1:22" ht="11.25" customHeight="1" x14ac:dyDescent="0.2">
      <c r="B13" s="195"/>
      <c r="C13" s="199"/>
      <c r="D13" s="199"/>
      <c r="E13" s="199"/>
      <c r="F13" s="186"/>
      <c r="G13" s="188"/>
      <c r="H13" s="146"/>
      <c r="I13" s="364"/>
      <c r="J13" s="146"/>
      <c r="K13" s="187"/>
      <c r="M13" s="364"/>
    </row>
    <row r="14" spans="1:22" ht="12" customHeight="1" x14ac:dyDescent="0.2">
      <c r="B14" s="195"/>
      <c r="C14" s="199"/>
      <c r="D14" s="199"/>
      <c r="E14" s="199"/>
      <c r="F14" s="173" t="str">
        <f>'Octavos de Final'!K15</f>
        <v>Brasil</v>
      </c>
      <c r="G14" s="328">
        <v>3</v>
      </c>
      <c r="H14" s="183"/>
      <c r="I14" s="367">
        <v>91</v>
      </c>
      <c r="J14" s="146"/>
      <c r="K14" s="187"/>
      <c r="M14" s="364"/>
    </row>
    <row r="15" spans="1:22" ht="11.25" customHeight="1" x14ac:dyDescent="0.2">
      <c r="B15" s="195" t="str">
        <f ca="1">IF(OR(F15="en juego",F15="hoy!",F15="finalizado"),"►3","3")</f>
        <v>3</v>
      </c>
      <c r="C15" s="196" t="s">
        <v>181</v>
      </c>
      <c r="D15" s="197">
        <v>46214</v>
      </c>
      <c r="E15" s="198">
        <v>0.66666666666666663</v>
      </c>
      <c r="F15" s="185" t="str">
        <f ca="1">IF(OR(D15="",E15="",D15&lt;$M$4),"",IF(D15=$M$4,IF(AND(E15&lt;=$T$23,$T$23&lt;=(E15+0.08333333333)),"en juego",IF($T$23&lt;E15,"hoy!","finalizado")),IF($M$4&gt;D15,"finalizado","")))</f>
        <v/>
      </c>
      <c r="G15" s="188"/>
      <c r="H15" s="167"/>
      <c r="I15" s="368"/>
      <c r="J15" s="146"/>
      <c r="K15" s="332" t="str">
        <f>IF(AND(F14&lt;&gt;"",F16&lt;&gt;""),IF(OR(G14="",G16="",AND(G14=G16,OR(H14="",H16=""))),"SF3",IF(G14=G16,IF(H14&gt;H16,F14,F16),IF(G14&gt;G16,F14,F16))),"")</f>
        <v>Brasil</v>
      </c>
      <c r="M15" s="364">
        <v>99</v>
      </c>
      <c r="R15" s="365">
        <f>IF(ISERROR(VLOOKUP(K15,Hoja1!$D$6:$D$53,1,0)),1,0)</f>
        <v>0</v>
      </c>
    </row>
    <row r="16" spans="1:22" ht="12" customHeight="1" x14ac:dyDescent="0.2">
      <c r="B16" s="195"/>
      <c r="C16" s="199"/>
      <c r="D16" s="199"/>
      <c r="E16" s="199"/>
      <c r="F16" s="173" t="str">
        <f>'Octavos de Final'!K19</f>
        <v>Inglaterra</v>
      </c>
      <c r="G16" s="328">
        <v>1</v>
      </c>
      <c r="H16" s="184"/>
      <c r="I16" s="369">
        <v>92</v>
      </c>
      <c r="J16" s="146"/>
      <c r="K16" s="187"/>
      <c r="M16" s="364"/>
    </row>
    <row r="17" spans="2:21" ht="11.25" customHeight="1" x14ac:dyDescent="0.2">
      <c r="B17" s="195"/>
      <c r="C17" s="199"/>
      <c r="D17" s="199"/>
      <c r="E17" s="199"/>
      <c r="F17" s="186"/>
      <c r="G17" s="188"/>
      <c r="H17" s="146"/>
      <c r="I17" s="364"/>
      <c r="J17" s="146"/>
      <c r="K17" s="187"/>
      <c r="M17" s="364"/>
    </row>
    <row r="18" spans="2:21" ht="12" customHeight="1" x14ac:dyDescent="0.2">
      <c r="B18" s="195"/>
      <c r="C18" s="199"/>
      <c r="D18" s="199"/>
      <c r="E18" s="199"/>
      <c r="F18" s="173" t="str">
        <f>'Octavos de Final'!K31</f>
        <v>Argentina</v>
      </c>
      <c r="G18" s="328">
        <v>2</v>
      </c>
      <c r="H18" s="183">
        <v>6</v>
      </c>
      <c r="I18" s="367">
        <v>95</v>
      </c>
      <c r="J18" s="146"/>
      <c r="K18" s="187"/>
      <c r="M18" s="364"/>
    </row>
    <row r="19" spans="2:21" ht="11.25" customHeight="1" x14ac:dyDescent="0.2">
      <c r="B19" s="195" t="str">
        <f ca="1">IF(OR(F19="en juego",F19="hoy!",F19="finalizado"),"►4","4")</f>
        <v>4</v>
      </c>
      <c r="C19" s="196" t="s">
        <v>182</v>
      </c>
      <c r="D19" s="197">
        <v>46214</v>
      </c>
      <c r="E19" s="198">
        <v>0.83333333333333337</v>
      </c>
      <c r="F19" s="185" t="str">
        <f ca="1">IF(OR(D19="",E19="",D19&lt;$M$4),"",IF(D19=$M$4,IF(AND(E19&lt;=$T$23,$T$23&lt;=(E19+0.08333333333)),"en juego",IF($T$23&lt;E19,"hoy!","finalizado")),IF($M$4&gt;D19,"finalizado","")))</f>
        <v/>
      </c>
      <c r="G19" s="188"/>
      <c r="H19" s="167"/>
      <c r="I19" s="368"/>
      <c r="J19" s="146"/>
      <c r="K19" s="332" t="str">
        <f>IF(AND(F18&lt;&gt;"",F20&lt;&gt;""),IF(OR(G18="",G20="",AND(G18=G20,OR(H18="",H20=""))),"SF4",IF(G18=G20,IF(H18&gt;H20,F18,F20),IF(G18&gt;G20,F18,F20))),"")</f>
        <v>Argentina</v>
      </c>
      <c r="M19" s="364">
        <v>100</v>
      </c>
      <c r="R19" s="365">
        <f>IF(ISERROR(VLOOKUP(K19,Hoja1!$D$6:$D$53,1,0)),1,0)</f>
        <v>0</v>
      </c>
    </row>
    <row r="20" spans="2:21" ht="12" customHeight="1" x14ac:dyDescent="0.2">
      <c r="B20" s="179"/>
      <c r="C20" s="182"/>
      <c r="D20" s="182"/>
      <c r="E20" s="182"/>
      <c r="F20" s="173" t="str">
        <f>'Octavos de Final'!K35</f>
        <v>Portugal</v>
      </c>
      <c r="G20" s="328">
        <v>2</v>
      </c>
      <c r="H20" s="184">
        <v>5</v>
      </c>
      <c r="I20" s="369">
        <v>96</v>
      </c>
      <c r="J20" s="146"/>
      <c r="K20" s="146"/>
    </row>
    <row r="21" spans="2:21" ht="11.25" customHeight="1" x14ac:dyDescent="0.2">
      <c r="B21" s="178"/>
      <c r="C21" s="181"/>
      <c r="D21" s="181"/>
      <c r="E21" s="181"/>
      <c r="F21" s="146"/>
      <c r="G21" s="146"/>
      <c r="H21" s="146"/>
      <c r="I21" s="146"/>
      <c r="J21" s="146"/>
      <c r="K21" s="146"/>
    </row>
    <row r="22" spans="2:21" ht="12" customHeight="1" x14ac:dyDescent="0.2">
      <c r="B22" s="145"/>
      <c r="C22" s="75" t="str">
        <f>IF(OR(menu!$D$4="",menu!$D$6=""),"Atencion !  Aun te falta poner tu nombre y Pais en la hoja INICIO","")</f>
        <v/>
      </c>
      <c r="D22" s="146"/>
      <c r="E22" s="146"/>
      <c r="F22" s="146"/>
      <c r="G22" s="146"/>
      <c r="H22" s="146"/>
      <c r="I22" s="146"/>
      <c r="J22" s="146"/>
      <c r="K22" s="146"/>
      <c r="S22" s="157">
        <f ca="1">HOUR(N4)</f>
        <v>15</v>
      </c>
      <c r="T22" s="157">
        <f ca="1">MINUTE(N4)</f>
        <v>51</v>
      </c>
    </row>
    <row r="23" spans="2:21" ht="11.25" customHeight="1" x14ac:dyDescent="0.2">
      <c r="B23" s="145"/>
      <c r="C23" s="146"/>
      <c r="D23" s="146"/>
      <c r="E23" s="146"/>
      <c r="F23" s="146"/>
      <c r="G23" s="146"/>
      <c r="H23" s="146"/>
      <c r="I23" s="146"/>
      <c r="J23" s="146"/>
      <c r="K23" s="146"/>
      <c r="T23" s="157">
        <f ca="1">TIME(S22,T22,0)</f>
        <v>0.66041666666666665</v>
      </c>
    </row>
    <row r="24" spans="2:21" ht="12" customHeight="1" x14ac:dyDescent="0.2">
      <c r="B24" s="180"/>
      <c r="F24" s="146"/>
    </row>
    <row r="25" spans="2:21" ht="11.25" customHeight="1" x14ac:dyDescent="0.2">
      <c r="F25" s="146"/>
      <c r="S25" s="347"/>
      <c r="T25" s="347"/>
      <c r="U25" s="347"/>
    </row>
    <row r="26" spans="2:21" ht="12" customHeight="1" x14ac:dyDescent="0.2">
      <c r="F26" s="146"/>
      <c r="S26" s="347"/>
      <c r="T26" s="347"/>
      <c r="U26" s="347"/>
    </row>
    <row r="27" spans="2:21" ht="11.25" customHeight="1" x14ac:dyDescent="0.2">
      <c r="F27" s="146"/>
      <c r="S27" s="347"/>
      <c r="T27" s="347"/>
      <c r="U27" s="347"/>
    </row>
    <row r="28" spans="2:21" ht="12" customHeight="1" x14ac:dyDescent="0.2">
      <c r="F28" s="146"/>
      <c r="S28" s="347"/>
      <c r="T28" s="347"/>
      <c r="U28" s="347"/>
    </row>
    <row r="29" spans="2:21" ht="11.25" customHeight="1" x14ac:dyDescent="0.2">
      <c r="F29" s="146"/>
      <c r="S29" s="347"/>
      <c r="T29" s="347"/>
      <c r="U29" s="347"/>
    </row>
    <row r="30" spans="2:21" ht="12" customHeight="1" x14ac:dyDescent="0.2">
      <c r="F30" s="146"/>
      <c r="S30" s="347"/>
      <c r="T30" s="347"/>
      <c r="U30" s="347"/>
    </row>
    <row r="31" spans="2:21" ht="11.25" customHeight="1" x14ac:dyDescent="0.2">
      <c r="F31" s="146"/>
      <c r="S31" s="347"/>
      <c r="T31" s="347"/>
      <c r="U31" s="347"/>
    </row>
    <row r="32" spans="2:21" ht="12" customHeight="1" x14ac:dyDescent="0.2">
      <c r="F32" s="146"/>
    </row>
    <row r="33" spans="6:6" ht="11.25" customHeight="1" x14ac:dyDescent="0.2">
      <c r="F33" s="146"/>
    </row>
    <row r="34" spans="6:6" ht="12" customHeight="1" x14ac:dyDescent="0.2">
      <c r="F34" s="146"/>
    </row>
    <row r="35" spans="6:6" ht="11.25" customHeight="1" x14ac:dyDescent="0.2">
      <c r="F35" s="146"/>
    </row>
    <row r="36" spans="6:6" ht="12" customHeight="1" x14ac:dyDescent="0.2">
      <c r="F36" s="146"/>
    </row>
  </sheetData>
  <sheetProtection algorithmName="SHA-512" hashValue="kz5y3xnIyfuSHdA4rWerPyBOOWn3wk1cXVCGZeTD+RIh6J0c/mJipLl+EhtX1THw9U2YABA+wFKmyzGckuOoJQ==" saltValue="aW6YHCOaYoC9DR5gqyq5Og==" spinCount="100000" sheet="1" objects="1" scenarios="1" selectLockedCells="1"/>
  <mergeCells count="6">
    <mergeCell ref="R1:R2"/>
    <mergeCell ref="F4:G4"/>
    <mergeCell ref="C4:E4"/>
    <mergeCell ref="H4:I4"/>
    <mergeCell ref="B1:N2"/>
    <mergeCell ref="P1:P2"/>
  </mergeCells>
  <phoneticPr fontId="20" type="noConversion"/>
  <conditionalFormatting sqref="B7:F7">
    <cfRule type="expression" dxfId="50" priority="38" stopIfTrue="1">
      <formula>IF(OR($F$7="en juego",$F$7="hoy!"),1,0)</formula>
    </cfRule>
  </conditionalFormatting>
  <conditionalFormatting sqref="B11:F11">
    <cfRule type="expression" dxfId="49" priority="39" stopIfTrue="1">
      <formula>IF(OR($F$11="en juego",$F$11="hoy!"),1,0)</formula>
    </cfRule>
  </conditionalFormatting>
  <conditionalFormatting sqref="B15:F15">
    <cfRule type="expression" dxfId="48" priority="40" stopIfTrue="1">
      <formula>IF(OR($F$15="en juego",$F$15="hoy!"),1,0)</formula>
    </cfRule>
  </conditionalFormatting>
  <conditionalFormatting sqref="B19:F19">
    <cfRule type="expression" dxfId="47" priority="41" stopIfTrue="1">
      <formula>IF(OR($F$19="en juego",$F$19="hoy!"),1,0)</formula>
    </cfRule>
  </conditionalFormatting>
  <conditionalFormatting sqref="G6">
    <cfRule type="colorScale" priority="32">
      <colorScale>
        <cfvo type="num" val="0"/>
        <cfvo type="num" val="10"/>
        <color theme="9" tint="0.59999389629810485"/>
        <color theme="9" tint="0.59999389629810485"/>
      </colorScale>
    </cfRule>
    <cfRule type="expression" dxfId="46" priority="33" stopIfTrue="1">
      <formula>IF(OR($M$5="en juego",$M$5="hoy!"),1,0)</formula>
    </cfRule>
  </conditionalFormatting>
  <conditionalFormatting sqref="G8">
    <cfRule type="colorScale" priority="30">
      <colorScale>
        <cfvo type="num" val="0"/>
        <cfvo type="num" val="10"/>
        <color theme="9" tint="0.59999389629810485"/>
        <color theme="9" tint="0.59999389629810485"/>
      </colorScale>
    </cfRule>
    <cfRule type="expression" dxfId="45" priority="31" stopIfTrue="1">
      <formula>IF(OR($M$5="en juego",$M$5="hoy!"),1,0)</formula>
    </cfRule>
  </conditionalFormatting>
  <conditionalFormatting sqref="G10">
    <cfRule type="colorScale" priority="26">
      <colorScale>
        <cfvo type="num" val="0"/>
        <cfvo type="num" val="10"/>
        <color theme="9" tint="0.59999389629810485"/>
        <color theme="9" tint="0.59999389629810485"/>
      </colorScale>
    </cfRule>
    <cfRule type="expression" dxfId="44" priority="27" stopIfTrue="1">
      <formula>IF(OR($M$5="en juego",$M$5="hoy!"),1,0)</formula>
    </cfRule>
  </conditionalFormatting>
  <conditionalFormatting sqref="G12">
    <cfRule type="colorScale" priority="24">
      <colorScale>
        <cfvo type="num" val="0"/>
        <cfvo type="num" val="10"/>
        <color theme="9" tint="0.59999389629810485"/>
        <color theme="9" tint="0.59999389629810485"/>
      </colorScale>
    </cfRule>
    <cfRule type="expression" dxfId="43" priority="25" stopIfTrue="1">
      <formula>IF(OR($M$5="en juego",$M$5="hoy!"),1,0)</formula>
    </cfRule>
  </conditionalFormatting>
  <conditionalFormatting sqref="G14">
    <cfRule type="colorScale" priority="21">
      <colorScale>
        <cfvo type="num" val="0"/>
        <cfvo type="num" val="10"/>
        <color theme="9" tint="0.59999389629810485"/>
        <color theme="9" tint="0.59999389629810485"/>
      </colorScale>
    </cfRule>
    <cfRule type="expression" dxfId="42" priority="22" stopIfTrue="1">
      <formula>IF(OR($M$5="en juego",$M$5="hoy!"),1,0)</formula>
    </cfRule>
  </conditionalFormatting>
  <conditionalFormatting sqref="G16">
    <cfRule type="colorScale" priority="19">
      <colorScale>
        <cfvo type="num" val="0"/>
        <cfvo type="num" val="10"/>
        <color theme="9" tint="0.59999389629810485"/>
        <color theme="9" tint="0.59999389629810485"/>
      </colorScale>
    </cfRule>
    <cfRule type="expression" dxfId="41" priority="20" stopIfTrue="1">
      <formula>IF(OR($M$5="en juego",$M$5="hoy!"),1,0)</formula>
    </cfRule>
  </conditionalFormatting>
  <conditionalFormatting sqref="G18">
    <cfRule type="colorScale" priority="16">
      <colorScale>
        <cfvo type="num" val="0"/>
        <cfvo type="num" val="10"/>
        <color theme="9" tint="0.59999389629810485"/>
        <color theme="9" tint="0.59999389629810485"/>
      </colorScale>
    </cfRule>
    <cfRule type="expression" dxfId="40" priority="17" stopIfTrue="1">
      <formula>IF(OR($M$5="en juego",$M$5="hoy!"),1,0)</formula>
    </cfRule>
  </conditionalFormatting>
  <conditionalFormatting sqref="G20">
    <cfRule type="colorScale" priority="14">
      <colorScale>
        <cfvo type="num" val="0"/>
        <cfvo type="num" val="10"/>
        <color theme="9" tint="0.59999389629810485"/>
        <color theme="9" tint="0.59999389629810485"/>
      </colorScale>
    </cfRule>
    <cfRule type="expression" dxfId="39" priority="15" stopIfTrue="1">
      <formula>IF(OR($M$5="en juego",$M$5="hoy!"),1,0)</formula>
    </cfRule>
  </conditionalFormatting>
  <conditionalFormatting sqref="H6 H8">
    <cfRule type="expression" dxfId="38" priority="34" stopIfTrue="1">
      <formula>IF(AND($G$6=$G$8,$G$6&lt;&gt;"",$G$8&lt;&gt;""),1,0)</formula>
    </cfRule>
  </conditionalFormatting>
  <conditionalFormatting sqref="H10 H12">
    <cfRule type="expression" dxfId="37" priority="35" stopIfTrue="1">
      <formula>IF(AND($G$10=$G$12,$G$10&lt;&gt;"",$G$12&lt;&gt;""),1,0)</formula>
    </cfRule>
  </conditionalFormatting>
  <conditionalFormatting sqref="H14 H16">
    <cfRule type="expression" dxfId="36" priority="36" stopIfTrue="1">
      <formula>IF(AND($G$14=$G$16,$G$14&lt;&gt;"",$G$16&lt;&gt;""),1,0)</formula>
    </cfRule>
  </conditionalFormatting>
  <conditionalFormatting sqref="H18 H20">
    <cfRule type="expression" dxfId="35" priority="37" stopIfTrue="1">
      <formula>IF(AND($G$18=$G$20,$G$18&lt;&gt;"",$G$20&lt;&gt;""),1,0)</formula>
    </cfRule>
  </conditionalFormatting>
  <conditionalFormatting sqref="K7">
    <cfRule type="expression" dxfId="34" priority="5">
      <formula>R7=0</formula>
    </cfRule>
  </conditionalFormatting>
  <conditionalFormatting sqref="K11">
    <cfRule type="expression" dxfId="33" priority="4">
      <formula>R11=0</formula>
    </cfRule>
  </conditionalFormatting>
  <conditionalFormatting sqref="K15">
    <cfRule type="expression" dxfId="32" priority="3">
      <formula>R15=0</formula>
    </cfRule>
  </conditionalFormatting>
  <conditionalFormatting sqref="K19">
    <cfRule type="expression" dxfId="31" priority="2">
      <formula>R19=0</formula>
    </cfRule>
  </conditionalFormatting>
  <conditionalFormatting sqref="R1:R2">
    <cfRule type="cellIs" dxfId="30" priority="1" operator="equal">
      <formula>1</formula>
    </cfRule>
  </conditionalFormatting>
  <dataValidations count="3">
    <dataValidation type="whole" allowBlank="1" showInputMessage="1" showErrorMessage="1" errorTitle="Dato no válido." error="Ingrese sólo un número entero_x000a_entre 0 y 99." sqref="G6 G10 G14 G18" xr:uid="{00000000-0002-0000-0A00-000000000000}">
      <formula1>0</formula1>
      <formula2>99</formula2>
    </dataValidation>
    <dataValidation type="whole" allowBlank="1" showInputMessage="1" showErrorMessage="1" errorTitle="Dato no válido" error="Ingrese sólo un número entero_x000a_entre 0 y 99." sqref="G8 G16 G12 G20" xr:uid="{00000000-0002-0000-0A00-000001000000}">
      <formula1>0</formula1>
      <formula2>99</formula2>
    </dataValidation>
    <dataValidation type="custom" showErrorMessage="1" errorTitle="Dato no válido" error="Debe introducir antes el resultado del partido." sqref="H6 H8 H10 H12 H14 H16 H18 H20" xr:uid="{00000000-0002-0000-0A00-000002000000}">
      <formula1>IF(G6&lt;&gt;"",1,0)</formula1>
    </dataValidation>
  </dataValidations>
  <pageMargins left="0.75" right="0.75" top="1" bottom="1" header="0" footer="0"/>
  <pageSetup paperSize="9" scale="63" orientation="portrait" horizontalDpi="300" verticalDpi="3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pageSetUpPr fitToPage="1"/>
  </sheetPr>
  <dimension ref="A1:W35"/>
  <sheetViews>
    <sheetView showGridLines="0" showRowColHeaders="0" showOutlineSymbols="0" zoomScale="145" zoomScaleNormal="145" workbookViewId="0">
      <pane xSplit="1" ySplit="4" topLeftCell="B5" activePane="bottomRight" state="frozen"/>
      <selection activeCell="P1" sqref="P1:P2"/>
      <selection pane="topRight" activeCell="P1" sqref="P1:P2"/>
      <selection pane="bottomLeft" activeCell="P1" sqref="P1:P2"/>
      <selection pane="bottomRight" activeCell="G12" sqref="G12"/>
    </sheetView>
  </sheetViews>
  <sheetFormatPr defaultColWidth="11.42578125" defaultRowHeight="12.75" x14ac:dyDescent="0.2"/>
  <cols>
    <col min="1" max="1" width="22.7109375" style="32" customWidth="1"/>
    <col min="2" max="2" width="3.28515625" style="143" customWidth="1"/>
    <col min="3" max="3" width="14.7109375" style="143" customWidth="1"/>
    <col min="4" max="5" width="6.7109375" style="143" customWidth="1"/>
    <col min="6" max="6" width="17.7109375" style="143" customWidth="1"/>
    <col min="7" max="7" width="3.7109375" style="143" customWidth="1"/>
    <col min="8" max="8" width="2" style="143" customWidth="1"/>
    <col min="9" max="9" width="6.42578125" style="143" customWidth="1"/>
    <col min="10" max="10" width="11.7109375" style="143" customWidth="1"/>
    <col min="11" max="11" width="17.7109375" style="143" customWidth="1"/>
    <col min="12" max="12" width="3.7109375" style="143" customWidth="1"/>
    <col min="13" max="13" width="7.7109375" style="143" bestFit="1" customWidth="1"/>
    <col min="14" max="14" width="5.42578125" style="143" customWidth="1"/>
    <col min="15" max="15" width="1.7109375" style="143" customWidth="1"/>
    <col min="16" max="16" width="11.42578125" style="143"/>
    <col min="17" max="17" width="0.85546875" style="143" customWidth="1"/>
    <col min="18" max="18" width="8.5703125" style="143" customWidth="1"/>
    <col min="19" max="16384" width="11.42578125" style="143"/>
  </cols>
  <sheetData>
    <row r="1" spans="1:23" s="66" customFormat="1" ht="20.100000000000001" customHeight="1" x14ac:dyDescent="0.2">
      <c r="A1" s="32"/>
      <c r="B1" s="447" t="s">
        <v>341</v>
      </c>
      <c r="C1" s="447"/>
      <c r="D1" s="447"/>
      <c r="E1" s="447"/>
      <c r="F1" s="447"/>
      <c r="G1" s="447"/>
      <c r="H1" s="447"/>
      <c r="I1" s="447"/>
      <c r="J1" s="447"/>
      <c r="K1" s="447"/>
      <c r="L1" s="447"/>
      <c r="M1" s="447"/>
      <c r="N1" s="447"/>
      <c r="O1" s="356"/>
      <c r="P1" s="448" t="s">
        <v>338</v>
      </c>
      <c r="Q1" s="65"/>
      <c r="R1" s="446">
        <f>(2-SUM(R7:R12))/2</f>
        <v>1</v>
      </c>
      <c r="S1" s="33"/>
      <c r="T1" s="33"/>
      <c r="U1" s="33"/>
      <c r="V1" s="33"/>
    </row>
    <row r="2" spans="1:23" s="66" customFormat="1" ht="20.100000000000001" customHeight="1" x14ac:dyDescent="0.2">
      <c r="A2" s="32"/>
      <c r="B2" s="447"/>
      <c r="C2" s="447"/>
      <c r="D2" s="447"/>
      <c r="E2" s="447"/>
      <c r="F2" s="447"/>
      <c r="G2" s="447"/>
      <c r="H2" s="447"/>
      <c r="I2" s="447"/>
      <c r="J2" s="447"/>
      <c r="K2" s="447"/>
      <c r="L2" s="447"/>
      <c r="M2" s="447"/>
      <c r="N2" s="447"/>
      <c r="O2" s="356"/>
      <c r="P2" s="448"/>
      <c r="Q2" s="65"/>
      <c r="R2" s="446"/>
      <c r="S2" s="33"/>
      <c r="T2" s="33"/>
      <c r="U2" s="33"/>
      <c r="V2" s="33"/>
    </row>
    <row r="3" spans="1:23" ht="12.75" customHeight="1" x14ac:dyDescent="0.2">
      <c r="F3" s="165"/>
      <c r="M3" s="158"/>
      <c r="N3" s="159"/>
      <c r="O3" s="99"/>
      <c r="P3" s="144"/>
    </row>
    <row r="4" spans="1:23" ht="12.75" customHeight="1" x14ac:dyDescent="0.25">
      <c r="C4" s="443" t="s">
        <v>227</v>
      </c>
      <c r="D4" s="444"/>
      <c r="E4" s="444"/>
      <c r="F4" s="444" t="s">
        <v>77</v>
      </c>
      <c r="G4" s="444"/>
      <c r="H4" s="445" t="s">
        <v>78</v>
      </c>
      <c r="I4" s="445"/>
      <c r="J4" s="163"/>
      <c r="K4" s="200" t="s">
        <v>30</v>
      </c>
      <c r="M4" s="127">
        <f ca="1">TODAY()</f>
        <v>46178</v>
      </c>
      <c r="N4" s="128">
        <f ca="1">NOW()</f>
        <v>46178.66106770833</v>
      </c>
      <c r="R4" s="364" t="s">
        <v>270</v>
      </c>
    </row>
    <row r="5" spans="1:23" ht="12.75" customHeight="1" x14ac:dyDescent="0.2">
      <c r="B5" s="178"/>
      <c r="C5" s="154"/>
      <c r="D5" s="154"/>
      <c r="E5" s="154"/>
      <c r="F5" s="146"/>
      <c r="G5" s="146"/>
      <c r="H5" s="146"/>
      <c r="I5" s="146"/>
      <c r="J5" s="146"/>
      <c r="K5" s="146"/>
      <c r="M5" s="155"/>
      <c r="N5" s="201"/>
      <c r="R5" s="347"/>
    </row>
    <row r="6" spans="1:23" ht="12" customHeight="1" x14ac:dyDescent="0.2">
      <c r="B6" s="178"/>
      <c r="C6" s="154"/>
      <c r="D6" s="154"/>
      <c r="E6" s="154"/>
      <c r="F6" s="334" t="str">
        <f>'Cuartos de Final'!K7</f>
        <v>Francia</v>
      </c>
      <c r="G6" s="329">
        <v>4</v>
      </c>
      <c r="H6" s="183"/>
      <c r="I6" s="367">
        <v>97</v>
      </c>
      <c r="J6" s="146"/>
      <c r="K6" s="146"/>
      <c r="R6" s="347"/>
    </row>
    <row r="7" spans="1:23" ht="11.25" customHeight="1" x14ac:dyDescent="0.2">
      <c r="B7" s="204" t="str">
        <f ca="1">IF(OR(F7="en juego",F7="hoy!",F7="finalizado"),"►1","1")</f>
        <v>1</v>
      </c>
      <c r="C7" s="204" t="s">
        <v>176</v>
      </c>
      <c r="D7" s="205">
        <v>46217</v>
      </c>
      <c r="E7" s="206">
        <v>0.58333333333333337</v>
      </c>
      <c r="F7" s="185" t="str">
        <f ca="1">IF(OR(D7="",E7="",D7&lt;$M$4),"",IF(D7=$M$4,IF(AND(E7&lt;=$T$23,$T$23&lt;=(E7+0.08333333333)),"en juego",IF($T$23&lt;E7,"hoy!","finalizado")),IF($M$4&gt;D7,"finalizado","")))</f>
        <v/>
      </c>
      <c r="G7" s="202"/>
      <c r="H7" s="167"/>
      <c r="I7" s="368"/>
      <c r="J7" s="146"/>
      <c r="K7" s="333" t="str">
        <f>IF(AND(F6&lt;&gt;"",F8&lt;&gt;""),IF(OR(G6="",G8="",AND(G6=G8,OR(H6="",H8=""))),"F1",IF(G6=G8,IF(H6&gt;H8,F6,F8),IF(G6&gt;G8,F6,F8))),"")</f>
        <v>Francia</v>
      </c>
      <c r="M7" s="364">
        <v>101</v>
      </c>
      <c r="N7" s="157"/>
      <c r="O7" s="157"/>
      <c r="P7" s="157"/>
      <c r="Q7" s="157"/>
      <c r="R7" s="365">
        <f>IF(ISERROR(VLOOKUP(K7,Hoja1!$D$6:$D$53,1,0)),1,0)</f>
        <v>0</v>
      </c>
      <c r="S7" s="157"/>
      <c r="T7" s="157"/>
      <c r="U7" s="157"/>
      <c r="V7" s="157"/>
      <c r="W7" s="157"/>
    </row>
    <row r="8" spans="1:23" ht="12" customHeight="1" x14ac:dyDescent="0.2">
      <c r="B8" s="179"/>
      <c r="C8" s="207"/>
      <c r="D8" s="207"/>
      <c r="E8" s="207"/>
      <c r="F8" s="334" t="str">
        <f>'Cuartos de Final'!K11</f>
        <v>España</v>
      </c>
      <c r="G8" s="329">
        <v>3</v>
      </c>
      <c r="H8" s="184"/>
      <c r="I8" s="369">
        <v>98</v>
      </c>
      <c r="J8" s="146"/>
      <c r="K8" s="172"/>
      <c r="M8" s="157"/>
      <c r="N8" s="157"/>
      <c r="O8" s="157"/>
      <c r="P8" s="157"/>
      <c r="Q8" s="157"/>
      <c r="R8" s="157"/>
      <c r="S8" s="157"/>
      <c r="T8" s="157"/>
      <c r="U8" s="157"/>
      <c r="V8" s="157"/>
      <c r="W8" s="157"/>
    </row>
    <row r="9" spans="1:23" ht="11.25" customHeight="1" x14ac:dyDescent="0.2">
      <c r="B9" s="179"/>
      <c r="C9" s="207"/>
      <c r="D9" s="207"/>
      <c r="E9" s="207"/>
      <c r="F9" s="203"/>
      <c r="G9" s="202"/>
      <c r="H9" s="146"/>
      <c r="I9" s="364"/>
      <c r="J9" s="146"/>
      <c r="K9" s="306"/>
      <c r="M9" s="157"/>
      <c r="N9" s="157"/>
      <c r="O9" s="157"/>
      <c r="P9" s="157"/>
      <c r="Q9" s="157"/>
      <c r="R9" s="157"/>
      <c r="S9" s="157"/>
      <c r="T9" s="157"/>
      <c r="U9" s="157"/>
      <c r="V9" s="157"/>
      <c r="W9" s="157"/>
    </row>
    <row r="10" spans="1:23" ht="12" customHeight="1" x14ac:dyDescent="0.2">
      <c r="B10" s="179"/>
      <c r="C10" s="207"/>
      <c r="D10" s="207"/>
      <c r="E10" s="207"/>
      <c r="F10" s="334" t="str">
        <f>'Cuartos de Final'!K15</f>
        <v>Brasil</v>
      </c>
      <c r="G10" s="329">
        <v>3</v>
      </c>
      <c r="H10" s="183"/>
      <c r="I10" s="367">
        <v>99</v>
      </c>
      <c r="J10" s="146"/>
      <c r="K10" s="172"/>
      <c r="M10" s="157"/>
      <c r="N10" s="157"/>
      <c r="O10" s="157"/>
      <c r="P10" s="157"/>
      <c r="Q10" s="157"/>
      <c r="R10" s="157"/>
      <c r="S10" s="157"/>
      <c r="T10" s="157"/>
      <c r="U10" s="157"/>
      <c r="V10" s="157"/>
      <c r="W10" s="157"/>
    </row>
    <row r="11" spans="1:23" ht="11.25" customHeight="1" x14ac:dyDescent="0.2">
      <c r="B11" s="204" t="str">
        <f ca="1">IF(OR(F11="en juego",F11="hoy!",F11="finalizado"),"►2","2")</f>
        <v>2</v>
      </c>
      <c r="C11" s="204" t="s">
        <v>179</v>
      </c>
      <c r="D11" s="205">
        <v>46218</v>
      </c>
      <c r="E11" s="206">
        <v>0.58333333333333337</v>
      </c>
      <c r="F11" s="185" t="str">
        <f ca="1">IF(OR(D11="",E11="",D11&lt;$M$4),"",IF(D11=$M$4,IF(AND(E11&lt;=$T$23,$T$23&lt;=(E11+0.08333333333)),"en juego",IF($T$23&lt;E11,"hoy!","finalizado")),IF($M$4&gt;D11,"finalizado","")))</f>
        <v/>
      </c>
      <c r="G11" s="202"/>
      <c r="H11" s="167"/>
      <c r="I11" s="368"/>
      <c r="J11" s="146"/>
      <c r="K11" s="333" t="str">
        <f>IF(AND(F10&lt;&gt;"",F12&lt;&gt;""),IF(OR(G10="",G12="",AND(G10=G12,OR(H10="",H12=""))),"F2",IF(G10=G12,IF(H10&gt;H12,F10,F12),IF(G10&gt;G12,F10,F12))),"")</f>
        <v>Brasil</v>
      </c>
      <c r="M11" s="364">
        <v>102</v>
      </c>
      <c r="N11" s="157"/>
      <c r="O11" s="157"/>
      <c r="P11" s="157"/>
      <c r="Q11" s="157"/>
      <c r="R11" s="365">
        <f>IF(ISERROR(VLOOKUP(K11,Hoja1!$D$6:$D$53,1,0)),1,0)</f>
        <v>0</v>
      </c>
      <c r="S11" s="157"/>
      <c r="T11" s="157"/>
      <c r="U11" s="157"/>
      <c r="V11" s="157"/>
      <c r="W11" s="157"/>
    </row>
    <row r="12" spans="1:23" ht="12" customHeight="1" x14ac:dyDescent="0.2">
      <c r="B12" s="178"/>
      <c r="C12" s="154"/>
      <c r="D12" s="154"/>
      <c r="E12" s="154"/>
      <c r="F12" s="334" t="str">
        <f>'Cuartos de Final'!K19</f>
        <v>Argentina</v>
      </c>
      <c r="G12" s="329">
        <v>2</v>
      </c>
      <c r="H12" s="184"/>
      <c r="I12" s="369">
        <v>100</v>
      </c>
      <c r="J12" s="146"/>
      <c r="K12" s="146"/>
      <c r="M12" s="157"/>
      <c r="N12" s="157"/>
      <c r="O12" s="157"/>
      <c r="P12" s="157"/>
      <c r="Q12" s="157"/>
      <c r="R12" s="157"/>
      <c r="S12" s="157"/>
      <c r="T12" s="157"/>
      <c r="U12" s="157"/>
      <c r="V12" s="157"/>
      <c r="W12" s="157"/>
    </row>
    <row r="13" spans="1:23" ht="11.25" customHeight="1" x14ac:dyDescent="0.2">
      <c r="B13" s="145"/>
      <c r="C13" s="146"/>
      <c r="D13" s="146"/>
      <c r="E13" s="146"/>
      <c r="F13" s="146"/>
      <c r="G13" s="146"/>
      <c r="H13" s="146"/>
      <c r="I13" s="146"/>
      <c r="J13" s="146"/>
      <c r="K13" s="146"/>
      <c r="M13" s="157"/>
      <c r="N13" s="157"/>
      <c r="O13" s="157"/>
      <c r="P13" s="157"/>
      <c r="Q13" s="157"/>
      <c r="R13" s="157"/>
      <c r="S13" s="157"/>
      <c r="T13" s="157"/>
      <c r="U13" s="157"/>
      <c r="V13" s="157"/>
      <c r="W13" s="157"/>
    </row>
    <row r="14" spans="1:23" ht="12" customHeight="1" x14ac:dyDescent="0.2">
      <c r="B14" s="145"/>
      <c r="C14" s="75"/>
      <c r="D14" s="146"/>
      <c r="E14" s="146"/>
      <c r="F14" s="146"/>
      <c r="G14" s="146"/>
      <c r="H14" s="146"/>
      <c r="I14" s="146"/>
      <c r="J14" s="146"/>
      <c r="K14" s="146"/>
      <c r="M14" s="157"/>
      <c r="N14" s="157"/>
      <c r="O14" s="157"/>
      <c r="P14" s="157"/>
      <c r="Q14" s="157"/>
      <c r="R14" s="157"/>
      <c r="S14" s="157"/>
      <c r="T14" s="157"/>
      <c r="U14" s="157"/>
      <c r="V14" s="157"/>
      <c r="W14" s="157"/>
    </row>
    <row r="15" spans="1:23" ht="11.25" customHeight="1" x14ac:dyDescent="0.2">
      <c r="B15" s="180"/>
      <c r="M15" s="157"/>
      <c r="N15" s="157"/>
      <c r="O15" s="157"/>
      <c r="P15" s="157"/>
      <c r="Q15" s="157"/>
      <c r="R15" s="157"/>
      <c r="S15" s="157"/>
      <c r="T15" s="157"/>
      <c r="U15" s="157"/>
      <c r="V15" s="157"/>
      <c r="W15" s="157"/>
    </row>
    <row r="16" spans="1:23" ht="12" customHeight="1" x14ac:dyDescent="0.2">
      <c r="M16" s="157"/>
      <c r="N16" s="157"/>
      <c r="O16" s="157"/>
      <c r="P16" s="157"/>
      <c r="Q16" s="157"/>
      <c r="R16" s="157"/>
      <c r="S16" s="157"/>
      <c r="T16" s="157"/>
      <c r="U16" s="157"/>
      <c r="V16" s="157"/>
      <c r="W16" s="157"/>
    </row>
    <row r="17" spans="3:23" ht="11.25" customHeight="1" x14ac:dyDescent="0.2">
      <c r="M17" s="157"/>
      <c r="N17" s="157"/>
      <c r="O17" s="157"/>
      <c r="P17" s="157"/>
      <c r="Q17" s="157"/>
      <c r="R17" s="157"/>
      <c r="S17" s="157"/>
      <c r="T17" s="157"/>
      <c r="U17" s="157"/>
      <c r="V17" s="157"/>
      <c r="W17" s="157"/>
    </row>
    <row r="18" spans="3:23" ht="12" customHeight="1" x14ac:dyDescent="0.2">
      <c r="M18" s="157"/>
      <c r="N18" s="157"/>
      <c r="O18" s="157"/>
      <c r="P18" s="157"/>
      <c r="Q18" s="157"/>
      <c r="R18" s="157"/>
      <c r="S18" s="157"/>
      <c r="T18" s="157"/>
      <c r="U18" s="157"/>
      <c r="V18" s="157"/>
      <c r="W18" s="157"/>
    </row>
    <row r="19" spans="3:23" ht="11.25" customHeight="1" x14ac:dyDescent="0.2">
      <c r="M19" s="157"/>
      <c r="N19" s="157"/>
      <c r="O19" s="157"/>
      <c r="P19" s="157"/>
      <c r="Q19" s="157"/>
      <c r="R19" s="157"/>
      <c r="S19" s="157"/>
      <c r="T19" s="157"/>
      <c r="U19" s="157"/>
      <c r="V19" s="157"/>
      <c r="W19" s="157"/>
    </row>
    <row r="20" spans="3:23" ht="12" customHeight="1" x14ac:dyDescent="0.2">
      <c r="M20" s="157"/>
      <c r="N20" s="157"/>
      <c r="O20" s="157"/>
      <c r="P20" s="157"/>
      <c r="Q20" s="157"/>
      <c r="R20" s="157"/>
      <c r="S20" s="157"/>
      <c r="T20" s="157"/>
      <c r="U20" s="157"/>
      <c r="V20" s="157"/>
      <c r="W20" s="157"/>
    </row>
    <row r="21" spans="3:23" ht="11.25" customHeight="1" x14ac:dyDescent="0.2">
      <c r="M21" s="157"/>
      <c r="N21" s="157"/>
      <c r="O21" s="157"/>
      <c r="P21" s="157"/>
      <c r="Q21" s="157"/>
      <c r="R21" s="157"/>
      <c r="S21" s="157"/>
      <c r="T21" s="157"/>
      <c r="U21" s="157"/>
      <c r="V21" s="157"/>
      <c r="W21" s="157"/>
    </row>
    <row r="22" spans="3:23" ht="12" customHeight="1" x14ac:dyDescent="0.2">
      <c r="C22" s="75" t="str">
        <f>IF(OR(menu!$D$4="",menu!$D$6=""),"Atencion !  Aun te falta poner tu nombre y Pais en la hoja INICIO","")</f>
        <v/>
      </c>
      <c r="M22" s="157"/>
      <c r="N22" s="157"/>
      <c r="O22" s="157"/>
      <c r="P22" s="157"/>
      <c r="Q22" s="157"/>
      <c r="R22" s="157"/>
      <c r="S22" s="157">
        <f ca="1">HOUR(N4)</f>
        <v>15</v>
      </c>
      <c r="T22" s="157">
        <f ca="1">MINUTE(N4)</f>
        <v>51</v>
      </c>
      <c r="U22" s="157"/>
      <c r="V22" s="157"/>
      <c r="W22" s="157"/>
    </row>
    <row r="23" spans="3:23" ht="11.25" customHeight="1" x14ac:dyDescent="0.2">
      <c r="M23" s="157"/>
      <c r="N23" s="157"/>
      <c r="O23" s="157"/>
      <c r="P23" s="157"/>
      <c r="Q23" s="157"/>
      <c r="R23" s="157"/>
      <c r="S23" s="157"/>
      <c r="T23" s="157">
        <f ca="1">TIME(S22,T22,0)</f>
        <v>0.66041666666666665</v>
      </c>
      <c r="U23" s="157"/>
      <c r="V23" s="157"/>
      <c r="W23" s="157"/>
    </row>
    <row r="24" spans="3:23" ht="12" customHeight="1" x14ac:dyDescent="0.2">
      <c r="S24" s="347"/>
      <c r="T24" s="347"/>
    </row>
    <row r="25" spans="3:23" ht="11.25" customHeight="1" x14ac:dyDescent="0.2">
      <c r="S25" s="347"/>
      <c r="T25" s="347"/>
    </row>
    <row r="26" spans="3:23" ht="12" customHeight="1" x14ac:dyDescent="0.2">
      <c r="S26" s="347"/>
      <c r="T26" s="347"/>
    </row>
    <row r="27" spans="3:23" ht="11.25" customHeight="1" x14ac:dyDescent="0.2">
      <c r="S27" s="347"/>
      <c r="T27" s="347"/>
    </row>
    <row r="28" spans="3:23" ht="12" customHeight="1" x14ac:dyDescent="0.2">
      <c r="S28" s="347"/>
      <c r="T28" s="347"/>
    </row>
    <row r="29" spans="3:23" ht="11.25" customHeight="1" x14ac:dyDescent="0.2">
      <c r="S29" s="347"/>
      <c r="T29" s="347"/>
    </row>
    <row r="30" spans="3:23" ht="12" customHeight="1" x14ac:dyDescent="0.2">
      <c r="S30" s="347"/>
      <c r="T30" s="347"/>
    </row>
    <row r="31" spans="3:23" ht="11.25" customHeight="1" x14ac:dyDescent="0.2">
      <c r="S31" s="347"/>
      <c r="T31" s="347"/>
    </row>
    <row r="32" spans="3:23" ht="12" customHeight="1" x14ac:dyDescent="0.2"/>
    <row r="33" ht="11.25" customHeight="1" x14ac:dyDescent="0.2"/>
    <row r="34" ht="12" customHeight="1" x14ac:dyDescent="0.2"/>
    <row r="35" ht="11.25" customHeight="1" x14ac:dyDescent="0.2"/>
  </sheetData>
  <sheetProtection algorithmName="SHA-512" hashValue="mnbEjC2CzhbTIhE1TIy/ZLURPOtecakfC3EvZC0EuN2dzo87KozAFMEqRzISNz1EQdsGeN/1KddASMo8VwuQ+g==" saltValue="IkL4Fp6g0ny86uibJMYZ3A==" spinCount="100000" sheet="1" objects="1" scenarios="1" selectLockedCells="1"/>
  <mergeCells count="6">
    <mergeCell ref="R1:R2"/>
    <mergeCell ref="F4:G4"/>
    <mergeCell ref="C4:E4"/>
    <mergeCell ref="H4:I4"/>
    <mergeCell ref="B1:N2"/>
    <mergeCell ref="P1:P2"/>
  </mergeCells>
  <phoneticPr fontId="20" type="noConversion"/>
  <conditionalFormatting sqref="B7:F7">
    <cfRule type="expression" dxfId="29" priority="20" stopIfTrue="1">
      <formula>IF(OR($F$7="hoy!",$F$7="en juego"),1,0)</formula>
    </cfRule>
  </conditionalFormatting>
  <conditionalFormatting sqref="B11:F11">
    <cfRule type="expression" dxfId="28" priority="21" stopIfTrue="1">
      <formula>IF(OR($F$11="hoy!",$F$11="en juego"),1,0)</formula>
    </cfRule>
  </conditionalFormatting>
  <conditionalFormatting sqref="F11">
    <cfRule type="expression" dxfId="27" priority="12" stopIfTrue="1">
      <formula>IF(OR($F$7="hoy!",$F$7="en juego"),1,0)</formula>
    </cfRule>
  </conditionalFormatting>
  <conditionalFormatting sqref="G6">
    <cfRule type="colorScale" priority="15">
      <colorScale>
        <cfvo type="num" val="0"/>
        <cfvo type="num" val="10"/>
        <color theme="9" tint="0.59999389629810485"/>
        <color theme="9" tint="0.59999389629810485"/>
      </colorScale>
    </cfRule>
    <cfRule type="expression" dxfId="26" priority="16" stopIfTrue="1">
      <formula>IF(OR($M$5="en juego",$M$5="hoy!"),1,0)</formula>
    </cfRule>
  </conditionalFormatting>
  <conditionalFormatting sqref="G8">
    <cfRule type="colorScale" priority="13">
      <colorScale>
        <cfvo type="num" val="0"/>
        <cfvo type="num" val="10"/>
        <color theme="9" tint="0.59999389629810485"/>
        <color theme="9" tint="0.59999389629810485"/>
      </colorScale>
    </cfRule>
    <cfRule type="expression" dxfId="25" priority="14" stopIfTrue="1">
      <formula>IF(OR($M$5="en juego",$M$5="hoy!"),1,0)</formula>
    </cfRule>
  </conditionalFormatting>
  <conditionalFormatting sqref="G10">
    <cfRule type="colorScale" priority="10">
      <colorScale>
        <cfvo type="num" val="0"/>
        <cfvo type="num" val="10"/>
        <color theme="9" tint="0.59999389629810485"/>
        <color theme="9" tint="0.59999389629810485"/>
      </colorScale>
    </cfRule>
    <cfRule type="expression" dxfId="24" priority="11" stopIfTrue="1">
      <formula>IF(OR($M$5="en juego",$M$5="hoy!"),1,0)</formula>
    </cfRule>
  </conditionalFormatting>
  <conditionalFormatting sqref="G12">
    <cfRule type="colorScale" priority="8">
      <colorScale>
        <cfvo type="num" val="0"/>
        <cfvo type="num" val="10"/>
        <color theme="9" tint="0.59999389629810485"/>
        <color theme="9" tint="0.59999389629810485"/>
      </colorScale>
    </cfRule>
    <cfRule type="expression" dxfId="23" priority="9" stopIfTrue="1">
      <formula>IF(OR($M$5="en juego",$M$5="hoy!"),1,0)</formula>
    </cfRule>
  </conditionalFormatting>
  <conditionalFormatting sqref="H6 H8">
    <cfRule type="expression" dxfId="22" priority="18" stopIfTrue="1">
      <formula>IF(AND($G$6=$G$8,$G$6&lt;&gt;"",$G$8&lt;&gt;""),1,0)</formula>
    </cfRule>
  </conditionalFormatting>
  <conditionalFormatting sqref="H10 H12">
    <cfRule type="expression" dxfId="21" priority="19" stopIfTrue="1">
      <formula>IF(AND($G$10=$G$12,$G$10&lt;&gt;"",$G$12&lt;&gt;""),1,0)</formula>
    </cfRule>
  </conditionalFormatting>
  <conditionalFormatting sqref="K7">
    <cfRule type="expression" dxfId="20" priority="3">
      <formula>R7=0</formula>
    </cfRule>
  </conditionalFormatting>
  <conditionalFormatting sqref="K11">
    <cfRule type="expression" dxfId="19" priority="2">
      <formula>R11=0</formula>
    </cfRule>
  </conditionalFormatting>
  <conditionalFormatting sqref="R1:R2">
    <cfRule type="cellIs" dxfId="18" priority="1" operator="equal">
      <formula>1</formula>
    </cfRule>
  </conditionalFormatting>
  <dataValidations count="3">
    <dataValidation type="whole" allowBlank="1" showInputMessage="1" showErrorMessage="1" errorTitle="Dato no válido." error="Ingrese sólo un número entero_x000a_entre 0 y 99." sqref="G6 G10" xr:uid="{00000000-0002-0000-0B00-000000000000}">
      <formula1>0</formula1>
      <formula2>99</formula2>
    </dataValidation>
    <dataValidation type="whole" allowBlank="1" showInputMessage="1" showErrorMessage="1" errorTitle="Dato no válido" error="Ingrese sólo un número entero_x000a_entre 0 y 99." sqref="G8 G12" xr:uid="{00000000-0002-0000-0B00-000001000000}">
      <formula1>0</formula1>
      <formula2>99</formula2>
    </dataValidation>
    <dataValidation type="custom" showErrorMessage="1" errorTitle="Dato no válido" error="Debe introducir antes el resultado del partido." sqref="H6 H8 H10 H12" xr:uid="{00000000-0002-0000-0B00-000002000000}">
      <formula1>IF(G6&lt;&gt;"",1,0)</formula1>
    </dataValidation>
  </dataValidations>
  <pageMargins left="0.75" right="0.75" top="1" bottom="1" header="0" footer="0"/>
  <pageSetup paperSize="9" scale="59" orientation="portrait" horizontalDpi="300" verticalDpi="300"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pageSetUpPr fitToPage="1"/>
  </sheetPr>
  <dimension ref="A1:W36"/>
  <sheetViews>
    <sheetView showGridLines="0" showRowColHeaders="0" showOutlineSymbols="0" zoomScale="145" zoomScaleNormal="145" workbookViewId="0">
      <pane xSplit="1" ySplit="4" topLeftCell="B5" activePane="bottomRight" state="frozen"/>
      <selection pane="topRight" activeCell="B1" sqref="B1"/>
      <selection pane="bottomLeft" activeCell="A6" sqref="A6"/>
      <selection pane="bottomRight" activeCell="G6" sqref="G6"/>
    </sheetView>
  </sheetViews>
  <sheetFormatPr defaultColWidth="11.42578125" defaultRowHeight="12.75" x14ac:dyDescent="0.2"/>
  <cols>
    <col min="1" max="1" width="22.7109375" style="32" customWidth="1"/>
    <col min="2" max="2" width="3.28515625" style="143" customWidth="1"/>
    <col min="3" max="3" width="14.7109375" style="143" customWidth="1"/>
    <col min="4" max="5" width="6.7109375" style="143" customWidth="1"/>
    <col min="6" max="6" width="17.7109375" style="143" customWidth="1"/>
    <col min="7" max="7" width="3.7109375" style="143" customWidth="1"/>
    <col min="8" max="8" width="2" style="143" customWidth="1"/>
    <col min="9" max="9" width="6.42578125" style="143" customWidth="1"/>
    <col min="10" max="10" width="11.7109375" style="143" customWidth="1"/>
    <col min="11" max="11" width="17.7109375" style="143" customWidth="1"/>
    <col min="12" max="12" width="3.7109375" style="143" customWidth="1"/>
    <col min="13" max="13" width="7.7109375" style="143" customWidth="1"/>
    <col min="14" max="14" width="5.42578125" style="143" customWidth="1"/>
    <col min="15" max="15" width="1.7109375" style="143" customWidth="1"/>
    <col min="16" max="16" width="11.42578125" style="143" customWidth="1"/>
    <col min="17" max="17" width="0.85546875" style="143" customWidth="1"/>
    <col min="18" max="18" width="8.5703125" style="143" customWidth="1"/>
    <col min="19" max="16384" width="11.42578125" style="143"/>
  </cols>
  <sheetData>
    <row r="1" spans="1:23" s="66" customFormat="1" ht="20.100000000000001" customHeight="1" x14ac:dyDescent="0.2">
      <c r="A1" s="32"/>
      <c r="B1" s="456" t="s">
        <v>342</v>
      </c>
      <c r="C1" s="456"/>
      <c r="D1" s="456"/>
      <c r="E1" s="456"/>
      <c r="F1" s="456"/>
      <c r="G1" s="456"/>
      <c r="H1" s="456"/>
      <c r="I1" s="456"/>
      <c r="J1" s="456"/>
      <c r="K1" s="456"/>
      <c r="L1" s="456"/>
      <c r="M1" s="456"/>
      <c r="N1" s="456"/>
      <c r="O1" s="357"/>
      <c r="P1" s="448" t="s">
        <v>338</v>
      </c>
      <c r="R1" s="446">
        <f>(2-SUM(R7:R14))/2</f>
        <v>1</v>
      </c>
      <c r="S1" s="33"/>
      <c r="T1" s="33"/>
      <c r="U1" s="33"/>
      <c r="V1" s="33"/>
    </row>
    <row r="2" spans="1:23" s="66" customFormat="1" ht="20.100000000000001" customHeight="1" x14ac:dyDescent="0.2">
      <c r="A2" s="32"/>
      <c r="B2" s="456"/>
      <c r="C2" s="456"/>
      <c r="D2" s="456"/>
      <c r="E2" s="456"/>
      <c r="F2" s="456"/>
      <c r="G2" s="456"/>
      <c r="H2" s="456"/>
      <c r="I2" s="456"/>
      <c r="J2" s="456"/>
      <c r="K2" s="456"/>
      <c r="L2" s="456"/>
      <c r="M2" s="456"/>
      <c r="N2" s="456"/>
      <c r="O2" s="357"/>
      <c r="P2" s="448"/>
      <c r="R2" s="446"/>
      <c r="S2" s="33"/>
      <c r="T2" s="33"/>
      <c r="U2" s="33"/>
      <c r="V2" s="33"/>
    </row>
    <row r="3" spans="1:23" ht="12.75" customHeight="1" x14ac:dyDescent="0.2">
      <c r="C3" s="217"/>
      <c r="D3" s="358" t="s">
        <v>29</v>
      </c>
      <c r="M3" s="158"/>
      <c r="N3" s="159"/>
      <c r="O3" s="99"/>
      <c r="P3" s="99"/>
    </row>
    <row r="4" spans="1:23" ht="12.75" customHeight="1" x14ac:dyDescent="0.25">
      <c r="C4" s="443" t="s">
        <v>227</v>
      </c>
      <c r="D4" s="444"/>
      <c r="E4" s="444"/>
      <c r="F4" s="444" t="s">
        <v>77</v>
      </c>
      <c r="G4" s="444"/>
      <c r="H4" s="445" t="s">
        <v>78</v>
      </c>
      <c r="I4" s="445"/>
      <c r="J4" s="163"/>
      <c r="K4" s="200" t="s">
        <v>235</v>
      </c>
      <c r="M4" s="215">
        <f ca="1">TODAY()</f>
        <v>46178</v>
      </c>
      <c r="N4" s="216">
        <f ca="1">NOW()</f>
        <v>46178.66106770833</v>
      </c>
      <c r="Q4" s="347"/>
      <c r="R4" s="364" t="s">
        <v>270</v>
      </c>
    </row>
    <row r="5" spans="1:23" ht="12" customHeight="1" x14ac:dyDescent="0.2">
      <c r="B5" s="178"/>
      <c r="C5" s="219"/>
      <c r="D5" s="154"/>
      <c r="E5" s="154"/>
      <c r="F5" s="146"/>
      <c r="G5" s="146"/>
      <c r="H5" s="146"/>
      <c r="I5" s="146"/>
      <c r="J5" s="146"/>
      <c r="K5" s="146"/>
      <c r="Q5" s="347"/>
      <c r="R5" s="347"/>
    </row>
    <row r="6" spans="1:23" ht="12.75" customHeight="1" x14ac:dyDescent="0.2">
      <c r="B6" s="178"/>
      <c r="C6" s="220"/>
      <c r="D6" s="154"/>
      <c r="E6" s="154"/>
      <c r="F6" s="334" t="str">
        <f>IF(Semifinal!K7="SF1","SF1-2",IF(Semifinal!K7=Semifinal!F6,Semifinal!F8,Semifinal!F6))</f>
        <v>España</v>
      </c>
      <c r="G6" s="330">
        <v>1</v>
      </c>
      <c r="H6" s="213">
        <v>4</v>
      </c>
      <c r="I6" s="367" t="s">
        <v>322</v>
      </c>
      <c r="J6" s="146"/>
      <c r="K6" s="146"/>
      <c r="Q6" s="347"/>
      <c r="R6" s="347"/>
    </row>
    <row r="7" spans="1:23" ht="11.25" customHeight="1" x14ac:dyDescent="0.2">
      <c r="B7" s="218" t="str">
        <f ca="1">IF(OR(F7="en juego",F7="hoy!",F7="finalizado"),"Ø","")</f>
        <v/>
      </c>
      <c r="C7" s="227" t="s">
        <v>181</v>
      </c>
      <c r="D7" s="360">
        <v>46221</v>
      </c>
      <c r="E7" s="228">
        <v>0.66666666666666663</v>
      </c>
      <c r="F7" s="185" t="str">
        <f ca="1">IF(OR(D7="",E7="",D7&lt;$M$4),"",IF(D7=$M$4,IF(AND(E7&lt;=$T$26,$T$26&lt;=(E7+0.08333333333)),"en juego",IF($T$26&lt;E7,"hoy!","finalizado")),IF($M$4&gt;D7,"finalizado","")))</f>
        <v/>
      </c>
      <c r="G7" s="202"/>
      <c r="H7" s="167"/>
      <c r="I7" s="368"/>
      <c r="J7" s="146"/>
      <c r="K7" s="333" t="str">
        <f>IF(AND(F6&lt;&gt;"",F8&lt;&gt;""),IF(OR(G6="",G8="",AND(G6=G8,OR(H6="",H8=""))),"3ª posición",IF(G6=G8,IF(H6&gt;H8,F6,F8),IF(G6&gt;G8,F6,F8))),"")</f>
        <v>Argentina</v>
      </c>
      <c r="P7" s="365">
        <v>103</v>
      </c>
      <c r="Q7" s="365"/>
      <c r="R7" s="365">
        <f>IF(ISERROR(VLOOKUP(K7,Hoja1!$D$6:$D$53,1,0)),1,0)</f>
        <v>0</v>
      </c>
      <c r="S7" s="157"/>
      <c r="T7" s="157"/>
      <c r="U7" s="157"/>
      <c r="V7" s="157"/>
      <c r="W7" s="157"/>
    </row>
    <row r="8" spans="1:23" ht="12.75" customHeight="1" x14ac:dyDescent="0.2">
      <c r="B8" s="178"/>
      <c r="C8" s="220"/>
      <c r="D8" s="154"/>
      <c r="E8" s="154"/>
      <c r="F8" s="334" t="str">
        <f>IF(Semifinal!K11="SF2","SF2-2",IF(Semifinal!K11=Semifinal!F10,Semifinal!F12,Semifinal!F10))</f>
        <v>Argentina</v>
      </c>
      <c r="G8" s="330">
        <v>1</v>
      </c>
      <c r="H8" s="214">
        <v>5</v>
      </c>
      <c r="I8" s="369" t="s">
        <v>323</v>
      </c>
      <c r="J8" s="146"/>
      <c r="K8" s="170"/>
      <c r="P8" s="157"/>
      <c r="Q8" s="157"/>
      <c r="R8" s="157"/>
      <c r="S8" s="157"/>
      <c r="T8" s="157"/>
      <c r="U8" s="157"/>
      <c r="V8" s="157"/>
      <c r="W8" s="157"/>
    </row>
    <row r="9" spans="1:23" ht="12" customHeight="1" x14ac:dyDescent="0.2">
      <c r="B9" s="178"/>
      <c r="C9" s="220"/>
      <c r="D9" s="154"/>
      <c r="E9" s="154"/>
      <c r="F9" s="210"/>
      <c r="G9" s="211"/>
      <c r="H9" s="212"/>
      <c r="I9" s="146"/>
      <c r="J9" s="146"/>
      <c r="K9" s="146"/>
      <c r="P9" s="157"/>
      <c r="Q9" s="157"/>
      <c r="R9" s="157"/>
      <c r="S9" s="157"/>
      <c r="T9" s="157"/>
      <c r="U9" s="157"/>
      <c r="V9" s="157"/>
      <c r="W9" s="157"/>
    </row>
    <row r="10" spans="1:23" ht="11.25" customHeight="1" x14ac:dyDescent="0.2">
      <c r="B10" s="178"/>
      <c r="C10" s="221" t="s">
        <v>30</v>
      </c>
      <c r="F10" s="154"/>
      <c r="G10" s="154"/>
      <c r="H10" s="154"/>
      <c r="I10" s="154"/>
      <c r="P10" s="157"/>
      <c r="Q10" s="157"/>
      <c r="R10" s="157"/>
      <c r="S10" s="157"/>
      <c r="T10" s="157"/>
      <c r="U10" s="157"/>
      <c r="V10" s="157"/>
      <c r="W10" s="157"/>
    </row>
    <row r="11" spans="1:23" ht="12" customHeight="1" x14ac:dyDescent="0.2">
      <c r="B11" s="208"/>
      <c r="C11" s="452" t="s">
        <v>227</v>
      </c>
      <c r="D11" s="453"/>
      <c r="E11" s="453"/>
      <c r="F11" s="454" t="s">
        <v>77</v>
      </c>
      <c r="G11" s="454"/>
      <c r="H11" s="455" t="s">
        <v>78</v>
      </c>
      <c r="I11" s="455"/>
      <c r="J11" s="229"/>
      <c r="K11" s="230" t="s">
        <v>37</v>
      </c>
      <c r="L11" s="230"/>
      <c r="M11" s="230"/>
      <c r="N11" s="230"/>
      <c r="O11" s="231"/>
      <c r="P11" s="157"/>
      <c r="Q11" s="157"/>
      <c r="R11" s="157"/>
      <c r="S11" s="157"/>
      <c r="T11" s="157"/>
      <c r="U11" s="157"/>
      <c r="V11" s="157"/>
      <c r="W11" s="157"/>
    </row>
    <row r="12" spans="1:23" ht="11.25" customHeight="1" x14ac:dyDescent="0.2">
      <c r="B12" s="178"/>
      <c r="C12" s="154"/>
      <c r="D12" s="154"/>
      <c r="E12" s="154"/>
      <c r="F12" s="146"/>
      <c r="G12" s="188"/>
      <c r="H12" s="146"/>
      <c r="I12" s="146"/>
      <c r="J12" s="146"/>
      <c r="K12" s="146"/>
      <c r="P12" s="157"/>
      <c r="Q12" s="157"/>
      <c r="R12" s="157"/>
      <c r="S12" s="157"/>
      <c r="T12" s="157"/>
      <c r="U12" s="157"/>
      <c r="V12" s="157"/>
      <c r="W12" s="157"/>
    </row>
    <row r="13" spans="1:23" ht="14.1" customHeight="1" x14ac:dyDescent="0.2">
      <c r="B13" s="178"/>
      <c r="C13" s="154"/>
      <c r="D13" s="154"/>
      <c r="E13" s="154"/>
      <c r="F13" s="359" t="str">
        <f>Semifinal!K7</f>
        <v>Francia</v>
      </c>
      <c r="G13" s="331">
        <v>2</v>
      </c>
      <c r="H13" s="222"/>
      <c r="I13" s="364" t="s">
        <v>324</v>
      </c>
      <c r="J13" s="146"/>
      <c r="K13" s="146"/>
      <c r="P13" s="157"/>
      <c r="Q13" s="157"/>
      <c r="R13" s="157"/>
      <c r="S13" s="157"/>
      <c r="T13" s="157"/>
      <c r="U13" s="157"/>
      <c r="V13" s="157"/>
      <c r="W13" s="157"/>
    </row>
    <row r="14" spans="1:23" ht="14.1" customHeight="1" x14ac:dyDescent="0.2">
      <c r="B14" s="209" t="str">
        <f ca="1">IF(OR(F14="en juego",F14="hoy!",F14="finalizado"),"Ø","")</f>
        <v/>
      </c>
      <c r="C14" s="361" t="s">
        <v>172</v>
      </c>
      <c r="D14" s="360">
        <v>46222</v>
      </c>
      <c r="E14" s="228">
        <v>0.58333333333333337</v>
      </c>
      <c r="F14" s="185" t="str">
        <f ca="1">IF(OR(D14="",E14="",D14&lt;$M$4),"",IF(D14=$M$4,IF(AND(E14&lt;=$T$26,$T$26&lt;=(E14+0.08333333333)),"en juego",IF($T$26&lt;E14,"hoy!","finalizado")),IF($M$4&gt;D14,"finalizado","")))</f>
        <v/>
      </c>
      <c r="G14" s="202"/>
      <c r="H14" s="167"/>
      <c r="I14" s="368"/>
      <c r="J14" s="146"/>
      <c r="K14" s="449" t="str">
        <f>IF(AND(F13&lt;&gt;"",F15&lt;&gt;""),IF(OR(G13="",G15="",AND(G13=G15,OR(H13="",H15=""))),"Campeón",IF(G13=G15,IF(H13&gt;H15,F13,F15),IF(G13&gt;G15,F13,F15))),"")</f>
        <v>Brasil</v>
      </c>
      <c r="L14" s="450"/>
      <c r="M14" s="450"/>
      <c r="N14" s="451"/>
      <c r="O14" s="268"/>
      <c r="P14" s="365">
        <v>104</v>
      </c>
      <c r="Q14" s="365"/>
      <c r="R14" s="365">
        <f>IF(ISERROR(VLOOKUP(K14,Hoja1!$D$6:$D$53,1,0)),1,0)</f>
        <v>0</v>
      </c>
      <c r="S14" s="157"/>
      <c r="T14" s="157"/>
      <c r="U14" s="157"/>
      <c r="V14" s="157"/>
      <c r="W14" s="157"/>
    </row>
    <row r="15" spans="1:23" ht="14.1" customHeight="1" x14ac:dyDescent="0.2">
      <c r="B15" s="178"/>
      <c r="C15" s="154"/>
      <c r="D15" s="154"/>
      <c r="E15" s="154"/>
      <c r="F15" s="359" t="str">
        <f>Semifinal!K11</f>
        <v>Brasil</v>
      </c>
      <c r="G15" s="331">
        <v>3</v>
      </c>
      <c r="H15" s="222"/>
      <c r="I15" s="364" t="s">
        <v>325</v>
      </c>
      <c r="P15" s="157"/>
      <c r="Q15" s="157"/>
      <c r="R15" s="157"/>
      <c r="S15" s="157"/>
      <c r="T15" s="157"/>
      <c r="U15" s="157"/>
      <c r="V15" s="157"/>
      <c r="W15" s="157"/>
    </row>
    <row r="16" spans="1:23" ht="11.25" customHeight="1" x14ac:dyDescent="0.2">
      <c r="B16" s="145"/>
      <c r="C16" s="146"/>
      <c r="D16" s="146"/>
      <c r="E16" s="146"/>
      <c r="F16" s="146"/>
      <c r="G16" s="146"/>
      <c r="H16" s="146"/>
      <c r="I16" s="364"/>
      <c r="K16" s="223"/>
      <c r="L16" s="224"/>
      <c r="M16" s="224"/>
      <c r="N16" s="224"/>
      <c r="P16" s="157" t="str">
        <f>IF(K14="campeón",1,"copa")</f>
        <v>copa</v>
      </c>
      <c r="Q16" s="157" t="str">
        <f>K14</f>
        <v>Brasil</v>
      </c>
      <c r="R16" s="157"/>
      <c r="S16" s="157"/>
      <c r="T16" s="157"/>
      <c r="U16" s="157"/>
      <c r="V16" s="157"/>
      <c r="W16" s="157"/>
    </row>
    <row r="17" spans="2:23" ht="12" customHeight="1" x14ac:dyDescent="0.2">
      <c r="B17" s="145"/>
      <c r="C17" s="146"/>
      <c r="D17" s="146"/>
      <c r="E17" s="146"/>
      <c r="F17" s="146"/>
      <c r="G17" s="146"/>
      <c r="H17" s="146"/>
      <c r="I17" s="146"/>
      <c r="L17" s="225"/>
      <c r="M17" s="225"/>
      <c r="P17" s="157"/>
      <c r="Q17" s="157"/>
      <c r="R17" s="157"/>
      <c r="S17" s="157"/>
      <c r="T17" s="157"/>
      <c r="U17" s="157"/>
      <c r="V17" s="157"/>
      <c r="W17" s="157"/>
    </row>
    <row r="18" spans="2:23" ht="11.25" customHeight="1" x14ac:dyDescent="0.2">
      <c r="B18" s="180"/>
      <c r="K18" s="226"/>
      <c r="P18" s="157"/>
      <c r="Q18" s="157"/>
      <c r="R18" s="157"/>
      <c r="S18" s="157"/>
      <c r="T18" s="157"/>
      <c r="U18" s="157"/>
      <c r="V18" s="157"/>
      <c r="W18" s="157"/>
    </row>
    <row r="19" spans="2:23" ht="12" customHeight="1" x14ac:dyDescent="0.2">
      <c r="P19" s="157"/>
      <c r="Q19" s="157"/>
      <c r="R19" s="157"/>
      <c r="S19" s="157"/>
      <c r="T19" s="157"/>
      <c r="U19" s="157"/>
      <c r="V19" s="157"/>
      <c r="W19" s="157"/>
    </row>
    <row r="20" spans="2:23" ht="11.25" customHeight="1" x14ac:dyDescent="0.2">
      <c r="P20" s="157"/>
      <c r="Q20" s="157"/>
      <c r="R20" s="157"/>
      <c r="S20" s="157"/>
      <c r="T20" s="157"/>
      <c r="U20" s="157"/>
      <c r="V20" s="157"/>
      <c r="W20" s="157"/>
    </row>
    <row r="21" spans="2:23" ht="12" customHeight="1" x14ac:dyDescent="0.2">
      <c r="C21" s="75" t="str">
        <f>IF(OR(menu!$D$4="",menu!$D$6=""),"Atencion !  Aun te falta poner tu nombre y Pais en la hoja INICIO","")</f>
        <v/>
      </c>
      <c r="P21" s="157"/>
      <c r="Q21" s="157"/>
      <c r="R21" s="157"/>
      <c r="S21" s="157"/>
      <c r="T21" s="157"/>
      <c r="U21" s="157"/>
      <c r="V21" s="157"/>
      <c r="W21" s="157"/>
    </row>
    <row r="22" spans="2:23" ht="11.25" customHeight="1" x14ac:dyDescent="0.2">
      <c r="C22" s="75" t="str">
        <f>IF(K7="3ª posición","Atencion !  Te falta definir el Ganador del 3er Puesto en esta hoja","")</f>
        <v/>
      </c>
      <c r="P22" s="157"/>
      <c r="Q22" s="157"/>
      <c r="R22" s="157"/>
      <c r="S22" s="157"/>
      <c r="T22" s="157"/>
      <c r="U22" s="157"/>
      <c r="V22" s="157"/>
      <c r="W22" s="157"/>
    </row>
    <row r="23" spans="2:23" ht="11.25" customHeight="1" x14ac:dyDescent="0.2">
      <c r="P23" s="157"/>
      <c r="Q23" s="157"/>
      <c r="R23" s="157"/>
      <c r="S23" s="157"/>
      <c r="T23" s="157"/>
      <c r="U23" s="157"/>
      <c r="V23" s="157"/>
      <c r="W23" s="157"/>
    </row>
    <row r="24" spans="2:23" ht="12" customHeight="1" x14ac:dyDescent="0.2">
      <c r="P24" s="157"/>
      <c r="Q24" s="157"/>
      <c r="R24" s="157"/>
      <c r="S24" s="157"/>
      <c r="T24" s="157"/>
      <c r="U24" s="157"/>
      <c r="V24" s="157"/>
      <c r="W24" s="157"/>
    </row>
    <row r="25" spans="2:23" ht="11.25" customHeight="1" x14ac:dyDescent="0.2">
      <c r="P25" s="157"/>
      <c r="Q25" s="157"/>
      <c r="R25" s="157"/>
      <c r="S25" s="157">
        <f ca="1">HOUR(N4)</f>
        <v>15</v>
      </c>
      <c r="T25" s="157">
        <f ca="1">MINUTE(N4)</f>
        <v>51</v>
      </c>
      <c r="U25" s="157"/>
      <c r="V25" s="157"/>
      <c r="W25" s="157"/>
    </row>
    <row r="26" spans="2:23" ht="12" customHeight="1" x14ac:dyDescent="0.2">
      <c r="P26" s="157"/>
      <c r="Q26" s="157"/>
      <c r="R26" s="157"/>
      <c r="S26" s="157"/>
      <c r="T26" s="157">
        <f ca="1">TIME(S25,T25,0)</f>
        <v>0.66041666666666665</v>
      </c>
      <c r="U26" s="157"/>
      <c r="V26" s="157"/>
      <c r="W26" s="157"/>
    </row>
    <row r="27" spans="2:23" ht="11.25" customHeight="1" x14ac:dyDescent="0.2">
      <c r="P27" s="157"/>
      <c r="Q27" s="157"/>
      <c r="R27" s="157"/>
      <c r="S27" s="157"/>
      <c r="T27" s="157"/>
      <c r="U27" s="157"/>
      <c r="V27" s="157"/>
      <c r="W27" s="157"/>
    </row>
    <row r="28" spans="2:23" ht="12" customHeight="1" x14ac:dyDescent="0.2">
      <c r="S28" s="347"/>
      <c r="T28" s="347"/>
    </row>
    <row r="29" spans="2:23" ht="11.25" customHeight="1" x14ac:dyDescent="0.2">
      <c r="S29" s="347"/>
      <c r="T29" s="347"/>
    </row>
    <row r="30" spans="2:23" ht="12" customHeight="1" x14ac:dyDescent="0.2">
      <c r="S30" s="347"/>
      <c r="T30" s="347"/>
    </row>
    <row r="31" spans="2:23" ht="11.25" customHeight="1" x14ac:dyDescent="0.2">
      <c r="S31" s="347"/>
      <c r="T31" s="347"/>
    </row>
    <row r="32" spans="2:23" ht="12" customHeight="1" x14ac:dyDescent="0.2">
      <c r="S32" s="347"/>
      <c r="T32" s="347"/>
    </row>
    <row r="33" spans="19:20" ht="11.25" customHeight="1" x14ac:dyDescent="0.2">
      <c r="S33" s="347"/>
      <c r="T33" s="347"/>
    </row>
    <row r="34" spans="19:20" ht="12" customHeight="1" x14ac:dyDescent="0.2"/>
    <row r="35" spans="19:20" ht="11.25" customHeight="1" x14ac:dyDescent="0.2"/>
    <row r="36" spans="19:20" ht="12" customHeight="1" x14ac:dyDescent="0.2"/>
  </sheetData>
  <sheetProtection algorithmName="SHA-512" hashValue="9S7BIPeVEao5yBiNYDZfBo1NgheqwDGHxexeaQtLqM0HCBLey+TfK1cUSRoRL6HACYAZOI7sYYR11ijzpM0PlA==" saltValue="rj6SNbFKgjD9BR1W3byq9A==" spinCount="100000" sheet="1" objects="1" scenarios="1" selectLockedCells="1"/>
  <mergeCells count="10">
    <mergeCell ref="R1:R2"/>
    <mergeCell ref="K14:N14"/>
    <mergeCell ref="C11:E11"/>
    <mergeCell ref="F11:G11"/>
    <mergeCell ref="H11:I11"/>
    <mergeCell ref="F4:G4"/>
    <mergeCell ref="C4:E4"/>
    <mergeCell ref="H4:I4"/>
    <mergeCell ref="B1:N2"/>
    <mergeCell ref="P1:P2"/>
  </mergeCells>
  <phoneticPr fontId="20" type="noConversion"/>
  <conditionalFormatting sqref="B7:F7">
    <cfRule type="expression" dxfId="17" priority="22" stopIfTrue="1">
      <formula>IF(OR($F$7="en juego",$F$7="hoy!"),1,0)</formula>
    </cfRule>
  </conditionalFormatting>
  <conditionalFormatting sqref="B14:F14">
    <cfRule type="expression" dxfId="16" priority="23" stopIfTrue="1">
      <formula>IF(OR($F$14="en juego",$F$14="hoy!"),1,0)</formula>
    </cfRule>
  </conditionalFormatting>
  <conditionalFormatting sqref="G6 G8 G13 G15">
    <cfRule type="expression" dxfId="15" priority="75" stopIfTrue="1">
      <formula>IF(OR(#REF!="en juego",#REF!="hoy!"),1,0)</formula>
    </cfRule>
  </conditionalFormatting>
  <conditionalFormatting sqref="G6">
    <cfRule type="colorScale" priority="16">
      <colorScale>
        <cfvo type="num" val="0"/>
        <cfvo type="num" val="10"/>
        <color theme="9" tint="0.59999389629810485"/>
        <color theme="9" tint="0.59999389629810485"/>
      </colorScale>
    </cfRule>
  </conditionalFormatting>
  <conditionalFormatting sqref="G8">
    <cfRule type="colorScale" priority="14">
      <colorScale>
        <cfvo type="num" val="0"/>
        <cfvo type="num" val="10"/>
        <color theme="9" tint="0.59999389629810485"/>
        <color theme="9" tint="0.59999389629810485"/>
      </colorScale>
    </cfRule>
  </conditionalFormatting>
  <conditionalFormatting sqref="G13">
    <cfRule type="colorScale" priority="11">
      <colorScale>
        <cfvo type="num" val="0"/>
        <cfvo type="num" val="10"/>
        <color theme="9" tint="0.59999389629810485"/>
        <color theme="9" tint="0.59999389629810485"/>
      </colorScale>
    </cfRule>
  </conditionalFormatting>
  <conditionalFormatting sqref="G15">
    <cfRule type="colorScale" priority="9">
      <colorScale>
        <cfvo type="num" val="0"/>
        <cfvo type="num" val="10"/>
        <color theme="9" tint="0.59999389629810485"/>
        <color theme="9" tint="0.59999389629810485"/>
      </colorScale>
    </cfRule>
  </conditionalFormatting>
  <conditionalFormatting sqref="H6 H8">
    <cfRule type="expression" dxfId="14" priority="19" stopIfTrue="1">
      <formula>IF(AND($G$6=$G$8,$G$6&lt;&gt;"",$G$8&lt;&gt;""),1,0)</formula>
    </cfRule>
  </conditionalFormatting>
  <conditionalFormatting sqref="H13 H15">
    <cfRule type="expression" dxfId="13" priority="20" stopIfTrue="1">
      <formula>IF(AND($G$13=$G$15,$G$13&lt;&gt;"",$G$15&lt;&gt;""),1,0)</formula>
    </cfRule>
  </conditionalFormatting>
  <conditionalFormatting sqref="K7">
    <cfRule type="expression" dxfId="12" priority="2">
      <formula>R7=0</formula>
    </cfRule>
  </conditionalFormatting>
  <conditionalFormatting sqref="K14">
    <cfRule type="cellIs" dxfId="11" priority="21" stopIfTrue="1" operator="notEqual">
      <formula>"CAMPEÓN"</formula>
    </cfRule>
  </conditionalFormatting>
  <conditionalFormatting sqref="K16:K27">
    <cfRule type="expression" dxfId="10" priority="3">
      <formula>$P$16="copa"</formula>
    </cfRule>
  </conditionalFormatting>
  <conditionalFormatting sqref="K16:N16">
    <cfRule type="expression" dxfId="9" priority="4">
      <formula>$P$16="copa"</formula>
    </cfRule>
  </conditionalFormatting>
  <conditionalFormatting sqref="K16:N27">
    <cfRule type="expression" dxfId="8" priority="8">
      <formula>$P$16="copa"</formula>
    </cfRule>
  </conditionalFormatting>
  <conditionalFormatting sqref="K27:N27">
    <cfRule type="expression" dxfId="7" priority="5">
      <formula>$P$16="copa"</formula>
    </cfRule>
  </conditionalFormatting>
  <conditionalFormatting sqref="N16:N27">
    <cfRule type="expression" dxfId="6" priority="6">
      <formula>$P$16="copa"</formula>
    </cfRule>
  </conditionalFormatting>
  <conditionalFormatting sqref="R1:R2">
    <cfRule type="cellIs" dxfId="5" priority="1" operator="equal">
      <formula>1</formula>
    </cfRule>
  </conditionalFormatting>
  <dataValidations count="4">
    <dataValidation type="whole" allowBlank="1" showInputMessage="1" showErrorMessage="1" errorTitle="Dato no válido." error="Ingrese sólo un número entero_x000a_entre 0 y 99." sqref="G6 G13" xr:uid="{00000000-0002-0000-0C00-000000000000}">
      <formula1>0</formula1>
      <formula2>99</formula2>
    </dataValidation>
    <dataValidation type="whole" allowBlank="1" showInputMessage="1" showErrorMessage="1" errorTitle="Dato no válido" error="Ingrese sólo un número entero_x000a_entre 0 y 99." sqref="G15 G8:G9" xr:uid="{00000000-0002-0000-0C00-000001000000}">
      <formula1>0</formula1>
      <formula2>99</formula2>
    </dataValidation>
    <dataValidation allowBlank="1" showInputMessage="1" showErrorMessage="1" errorTitle="Entrada no válida." error="El resultado del partido debe ser empate." sqref="H9" xr:uid="{00000000-0002-0000-0C00-000002000000}"/>
    <dataValidation type="custom" showErrorMessage="1" errorTitle="Dato no válido" error="Debe introducir antes el resultado del partido." sqref="H6 H8 H13 H15" xr:uid="{00000000-0002-0000-0C00-000003000000}">
      <formula1>IF(G6&lt;&gt;"",1,0)</formula1>
    </dataValidation>
  </dataValidations>
  <pageMargins left="0.75" right="0.75" top="1" bottom="1" header="0" footer="0"/>
  <pageSetup paperSize="9" scale="62" orientation="portrait" horizontalDpi="300" verticalDpi="300" r:id="rId1"/>
  <headerFooter alignWithMargins="0"/>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FF0000"/>
    <pageSetUpPr autoPageBreaks="0" fitToPage="1"/>
  </sheetPr>
  <dimension ref="A1:BB137"/>
  <sheetViews>
    <sheetView showGridLines="0" showRowColHeaders="0" tabSelected="1" showOutlineSymbols="0" zoomScale="95" zoomScaleNormal="95" workbookViewId="0">
      <selection activeCell="AU10" sqref="AU10"/>
    </sheetView>
  </sheetViews>
  <sheetFormatPr defaultColWidth="11.42578125" defaultRowHeight="12.75" x14ac:dyDescent="0.2"/>
  <cols>
    <col min="1" max="1" width="22.7109375" style="66" customWidth="1"/>
    <col min="2" max="2" width="0.85546875" style="1" customWidth="1"/>
    <col min="3" max="3" width="8.5703125" style="1" customWidth="1"/>
    <col min="4" max="4" width="2.5703125" style="1" customWidth="1"/>
    <col min="5" max="5" width="1" style="1" customWidth="1"/>
    <col min="6" max="6" width="2.5703125" style="1" customWidth="1"/>
    <col min="7" max="7" width="8.5703125" style="1" customWidth="1"/>
    <col min="8" max="9" width="0.85546875" style="1" customWidth="1"/>
    <col min="10" max="10" width="8.5703125" style="1" customWidth="1"/>
    <col min="11" max="11" width="2.5703125" style="1" customWidth="1"/>
    <col min="12" max="12" width="1" style="1" customWidth="1"/>
    <col min="13" max="13" width="2.5703125" style="1" customWidth="1"/>
    <col min="14" max="14" width="8.5703125" style="1" customWidth="1"/>
    <col min="15" max="16" width="0.85546875" style="1" customWidth="1"/>
    <col min="17" max="17" width="8.5703125" style="1" customWidth="1"/>
    <col min="18" max="18" width="2.5703125" style="1" customWidth="1"/>
    <col min="19" max="19" width="1" style="1" customWidth="1"/>
    <col min="20" max="20" width="2.5703125" style="1" customWidth="1"/>
    <col min="21" max="21" width="8.5703125" style="1" customWidth="1"/>
    <col min="22" max="23" width="0.85546875" style="1" customWidth="1"/>
    <col min="24" max="24" width="8.5703125" style="1" customWidth="1"/>
    <col min="25" max="25" width="2.5703125" style="1" customWidth="1"/>
    <col min="26" max="26" width="1" style="1" customWidth="1"/>
    <col min="27" max="27" width="2.5703125" style="1" customWidth="1"/>
    <col min="28" max="28" width="8.5703125" style="1" customWidth="1"/>
    <col min="29" max="30" width="0.85546875" style="1" customWidth="1"/>
    <col min="31" max="31" width="8.5703125" style="1" customWidth="1"/>
    <col min="32" max="32" width="2.5703125" style="1" customWidth="1"/>
    <col min="33" max="33" width="1" style="1" customWidth="1"/>
    <col min="34" max="34" width="2.5703125" style="1" customWidth="1"/>
    <col min="35" max="35" width="8.5703125" style="1" customWidth="1"/>
    <col min="36" max="37" width="0.85546875" style="1" customWidth="1"/>
    <col min="38" max="38" width="8.5703125" style="1" customWidth="1"/>
    <col min="39" max="39" width="2.5703125" style="1" customWidth="1"/>
    <col min="40" max="40" width="1" style="1" customWidth="1"/>
    <col min="41" max="41" width="2.5703125" style="1" customWidth="1"/>
    <col min="42" max="42" width="8.5703125" style="1" customWidth="1"/>
    <col min="43" max="44" width="11.42578125" style="1"/>
    <col min="45" max="45" width="5.85546875" style="1" customWidth="1"/>
    <col min="46" max="47" width="11.42578125" style="1"/>
    <col min="48" max="48" width="1.5703125" style="1" customWidth="1"/>
    <col min="49" max="49" width="34.28515625" style="1" customWidth="1"/>
    <col min="50" max="50" width="1.42578125" style="1" customWidth="1"/>
    <col min="51" max="52" width="1.5703125" style="1" customWidth="1"/>
    <col min="53" max="53" width="34.28515625" style="1" customWidth="1"/>
    <col min="54" max="54" width="1.42578125" style="1" customWidth="1"/>
    <col min="55" max="16384" width="11.42578125" style="1"/>
  </cols>
  <sheetData>
    <row r="1" spans="1:54" ht="5.0999999999999996" customHeight="1" x14ac:dyDescent="0.2">
      <c r="B1" s="66"/>
      <c r="C1" s="66"/>
      <c r="D1" s="236"/>
      <c r="E1" s="66"/>
      <c r="F1" s="237"/>
      <c r="G1" s="237"/>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row>
    <row r="2" spans="1:54" s="2" customFormat="1" ht="12" customHeight="1" x14ac:dyDescent="0.2">
      <c r="A2" s="241"/>
      <c r="B2" s="241"/>
      <c r="C2" s="269" t="s">
        <v>62</v>
      </c>
      <c r="D2" s="307" t="str">
        <f>TRIM(PROPER(menu!D4))</f>
        <v>Rocho Y Mao</v>
      </c>
      <c r="E2" s="309"/>
      <c r="F2" s="309"/>
      <c r="G2" s="309"/>
      <c r="H2" s="309"/>
      <c r="I2" s="309"/>
      <c r="J2" s="309"/>
      <c r="K2" s="309"/>
      <c r="L2" s="309"/>
      <c r="M2" s="343"/>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T2" s="313" t="s">
        <v>270</v>
      </c>
    </row>
    <row r="3" spans="1:54" ht="5.0999999999999996" customHeight="1" x14ac:dyDescent="0.2">
      <c r="B3" s="66"/>
      <c r="C3" s="233"/>
      <c r="D3" s="238"/>
      <c r="E3" s="238"/>
      <c r="F3" s="239"/>
      <c r="G3" s="240"/>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row>
    <row r="4" spans="1:54" s="4" customFormat="1" ht="12" customHeight="1" x14ac:dyDescent="0.2">
      <c r="A4" s="270"/>
      <c r="B4" s="270"/>
      <c r="C4" s="269" t="s">
        <v>79</v>
      </c>
      <c r="D4" s="345" t="str">
        <f>IF(menu!$D$6="Otro",TRIM(menu!$D$8),TRIM(menu!D6))</f>
        <v>COL</v>
      </c>
      <c r="E4" s="308"/>
      <c r="F4" s="308"/>
      <c r="G4" s="308"/>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row>
    <row r="5" spans="1:54" s="7" customFormat="1" ht="5.0999999999999996" customHeight="1" x14ac:dyDescent="0.2">
      <c r="A5" s="234"/>
      <c r="B5" s="234"/>
      <c r="C5" s="235"/>
      <c r="D5" s="238"/>
      <c r="E5" s="238"/>
      <c r="F5" s="239"/>
      <c r="G5" s="240"/>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T5" s="4"/>
    </row>
    <row r="6" spans="1:54" s="4" customFormat="1" ht="9" customHeight="1" x14ac:dyDescent="0.2">
      <c r="A6" s="3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54" s="4" customFormat="1" ht="9" customHeight="1" x14ac:dyDescent="0.2">
      <c r="A7" s="32"/>
      <c r="B7" s="11"/>
      <c r="C7" s="296" t="s">
        <v>100</v>
      </c>
      <c r="D7" s="296"/>
      <c r="E7" s="296"/>
      <c r="F7" s="296"/>
      <c r="G7" s="296"/>
      <c r="H7" s="271"/>
      <c r="I7" s="271"/>
      <c r="J7" s="296" t="s">
        <v>101</v>
      </c>
      <c r="K7" s="296"/>
      <c r="L7" s="296"/>
      <c r="M7" s="296"/>
      <c r="N7" s="296"/>
      <c r="O7" s="271"/>
      <c r="P7" s="271"/>
      <c r="Q7" s="296" t="s">
        <v>102</v>
      </c>
      <c r="R7" s="296"/>
      <c r="S7" s="296"/>
      <c r="T7" s="296"/>
      <c r="U7" s="296"/>
      <c r="V7" s="271"/>
      <c r="W7" s="271"/>
      <c r="X7" s="296" t="s">
        <v>103</v>
      </c>
      <c r="Y7" s="296"/>
      <c r="Z7" s="296"/>
      <c r="AA7" s="296"/>
      <c r="AB7" s="296"/>
      <c r="AC7" s="271"/>
      <c r="AD7" s="271"/>
      <c r="AE7" s="296" t="s">
        <v>104</v>
      </c>
      <c r="AF7" s="296"/>
      <c r="AG7" s="296"/>
      <c r="AH7" s="296"/>
      <c r="AI7" s="296"/>
      <c r="AJ7" s="271"/>
      <c r="AK7" s="271"/>
      <c r="AL7" s="296" t="s">
        <v>105</v>
      </c>
      <c r="AM7" s="296"/>
      <c r="AN7" s="296"/>
      <c r="AO7" s="296"/>
      <c r="AP7" s="296"/>
      <c r="AQ7" s="11"/>
      <c r="AR7" s="11"/>
      <c r="AV7" s="270"/>
      <c r="AW7" s="270"/>
      <c r="AX7" s="315"/>
      <c r="AZ7" s="270"/>
      <c r="BA7" s="270"/>
      <c r="BB7" s="315"/>
    </row>
    <row r="8" spans="1:54" s="4" customFormat="1" ht="9" customHeight="1" x14ac:dyDescent="0.2">
      <c r="A8" s="32"/>
      <c r="B8" s="11"/>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11"/>
      <c r="AR8" s="5"/>
      <c r="AS8" s="5" t="str">
        <f>IF(AU8=144,"","X")</f>
        <v/>
      </c>
      <c r="AT8" s="4" t="s">
        <v>271</v>
      </c>
      <c r="AU8" s="5">
        <f>'16vos de Final'!$F$3</f>
        <v>144</v>
      </c>
      <c r="AV8" s="270"/>
      <c r="AW8" s="316" t="s">
        <v>274</v>
      </c>
      <c r="AX8" s="315"/>
      <c r="AZ8" s="270"/>
      <c r="BA8" s="316" t="s">
        <v>279</v>
      </c>
      <c r="BB8" s="315"/>
    </row>
    <row r="9" spans="1:54" s="4" customFormat="1" ht="9" customHeight="1" x14ac:dyDescent="0.2">
      <c r="A9" s="32"/>
      <c r="B9" s="11"/>
      <c r="C9" s="272" t="str">
        <f>'- A -'!C6</f>
        <v>México</v>
      </c>
      <c r="D9" s="299">
        <f>IF('- A -'!D6&lt;&gt;"",'- A -'!D6,"")</f>
        <v>3</v>
      </c>
      <c r="E9" s="273">
        <f t="shared" ref="E9:E14" si="0">IF(D9=F9,"E",IF(D9&gt;F9,1,2))</f>
        <v>1</v>
      </c>
      <c r="F9" s="299">
        <f>IF('- A -'!F6&lt;&gt;"",'- A -'!F6,"")</f>
        <v>0</v>
      </c>
      <c r="G9" s="274" t="str">
        <f>'- A -'!G6</f>
        <v>Sudáfrica</v>
      </c>
      <c r="H9" s="272"/>
      <c r="I9" s="272"/>
      <c r="J9" s="272" t="str">
        <f>'- B -'!C6</f>
        <v>Canadá</v>
      </c>
      <c r="K9" s="299">
        <f>IF('- B -'!D6&lt;&gt;"",'- B -'!D6,"")</f>
        <v>2</v>
      </c>
      <c r="L9" s="273">
        <f t="shared" ref="L9:L14" si="1">IF(K9=M9,"E",IF(K9&gt;M9,1,2))</f>
        <v>1</v>
      </c>
      <c r="M9" s="299">
        <f>IF('- B -'!F6&lt;&gt;"",'- B -'!F6,"")</f>
        <v>0</v>
      </c>
      <c r="N9" s="274" t="str">
        <f>'- B -'!G6</f>
        <v>Bosnia</v>
      </c>
      <c r="O9" s="272"/>
      <c r="P9" s="272"/>
      <c r="Q9" s="272" t="str">
        <f>'- C -'!C6</f>
        <v>Brasil</v>
      </c>
      <c r="R9" s="299">
        <f>IF('- C -'!D6&lt;&gt;"",'- C -'!D6,"")</f>
        <v>2</v>
      </c>
      <c r="S9" s="273">
        <f t="shared" ref="S9:S14" si="2">IF(R9=T9,"E",IF(R9&gt;T9,1,2))</f>
        <v>1</v>
      </c>
      <c r="T9" s="299">
        <f>IF('- C -'!F6&lt;&gt;"",'- C -'!F6,"")</f>
        <v>1</v>
      </c>
      <c r="U9" s="274" t="str">
        <f>'- C -'!G6</f>
        <v>Marruecos</v>
      </c>
      <c r="V9" s="272"/>
      <c r="W9" s="272"/>
      <c r="X9" s="272" t="str">
        <f>'- D -'!C6</f>
        <v>EE. UU.</v>
      </c>
      <c r="Y9" s="299">
        <f>IF('- D -'!D6&lt;&gt;"",'- D -'!D6,"")</f>
        <v>1</v>
      </c>
      <c r="Z9" s="273">
        <f t="shared" ref="Z9:Z14" si="3">IF(Y9=AA9,"E",IF(Y9&gt;AA9,1,2))</f>
        <v>1</v>
      </c>
      <c r="AA9" s="299">
        <f>IF('- D -'!F6&lt;&gt;"",'- D -'!F6,"")</f>
        <v>0</v>
      </c>
      <c r="AB9" s="274" t="str">
        <f>'- D -'!G6</f>
        <v>Paraguay</v>
      </c>
      <c r="AC9" s="272"/>
      <c r="AD9" s="272"/>
      <c r="AE9" s="272" t="str">
        <f>'- E -'!C6</f>
        <v>Alemania</v>
      </c>
      <c r="AF9" s="299">
        <f>IF('- E -'!D6&lt;&gt;"",'- E -'!D6,"")</f>
        <v>4</v>
      </c>
      <c r="AG9" s="273">
        <f t="shared" ref="AG9:AG14" si="4">IF(AF9=AH9,"E",IF(AF9&gt;AH9,1,2))</f>
        <v>1</v>
      </c>
      <c r="AH9" s="299">
        <f>IF('- E -'!F6&lt;&gt;"",'- E -'!F6,"")</f>
        <v>0</v>
      </c>
      <c r="AI9" s="274" t="str">
        <f>'- E -'!G6</f>
        <v>Curazao</v>
      </c>
      <c r="AJ9" s="272"/>
      <c r="AK9" s="272"/>
      <c r="AL9" s="272" t="str">
        <f>'- F -'!C6</f>
        <v>Países Bajos</v>
      </c>
      <c r="AM9" s="299">
        <f>IF('- F -'!D6&lt;&gt;"",'- F -'!D6,"")</f>
        <v>1</v>
      </c>
      <c r="AN9" s="273" t="str">
        <f t="shared" ref="AN9:AN14" si="5">IF(AM9=AO9,"E",IF(AM9&gt;AO9,1,2))</f>
        <v>E</v>
      </c>
      <c r="AO9" s="299">
        <f>IF('- F -'!F6&lt;&gt;"",'- F -'!F6,"")</f>
        <v>1</v>
      </c>
      <c r="AP9" s="274" t="str">
        <f>'- F -'!G6</f>
        <v>Japón</v>
      </c>
      <c r="AQ9" s="11"/>
      <c r="AR9" s="5"/>
      <c r="AS9" s="5" t="str">
        <f t="shared" ref="AS9:AS14" si="6">IF(AU9=0,"","X")</f>
        <v/>
      </c>
      <c r="AT9" s="4" t="s">
        <v>272</v>
      </c>
      <c r="AU9" s="5">
        <f>SUM('16vos de Final'!$R$6:$R$68)</f>
        <v>0</v>
      </c>
      <c r="AV9" s="270"/>
      <c r="AW9" s="316" t="s">
        <v>273</v>
      </c>
      <c r="AX9" s="315"/>
      <c r="AZ9" s="270"/>
      <c r="BA9" s="316" t="s">
        <v>281</v>
      </c>
      <c r="BB9" s="315"/>
    </row>
    <row r="10" spans="1:54" s="4" customFormat="1" ht="9" customHeight="1" x14ac:dyDescent="0.2">
      <c r="A10" s="32"/>
      <c r="B10" s="11"/>
      <c r="C10" s="272" t="str">
        <f>'- A -'!C7</f>
        <v>Korea</v>
      </c>
      <c r="D10" s="300">
        <f>IF('- A -'!D7&lt;&gt;"",'- A -'!D7,"")</f>
        <v>0</v>
      </c>
      <c r="E10" s="273">
        <f t="shared" si="0"/>
        <v>2</v>
      </c>
      <c r="F10" s="300">
        <f>IF('- A -'!F7&lt;&gt;"",'- A -'!F7,"")</f>
        <v>2</v>
      </c>
      <c r="G10" s="274" t="str">
        <f>'- A -'!G7</f>
        <v>República Checa</v>
      </c>
      <c r="H10" s="272"/>
      <c r="I10" s="272"/>
      <c r="J10" s="272" t="str">
        <f>'- B -'!C7</f>
        <v>Catar</v>
      </c>
      <c r="K10" s="300">
        <f>IF('- B -'!D7&lt;&gt;"",'- B -'!D7,"")</f>
        <v>0</v>
      </c>
      <c r="L10" s="273">
        <f t="shared" si="1"/>
        <v>2</v>
      </c>
      <c r="M10" s="300">
        <f>IF('- B -'!F7&lt;&gt;"",'- B -'!F7,"")</f>
        <v>3</v>
      </c>
      <c r="N10" s="274" t="str">
        <f>'- B -'!G7</f>
        <v>Suiza</v>
      </c>
      <c r="O10" s="272"/>
      <c r="P10" s="272"/>
      <c r="Q10" s="272" t="str">
        <f>'- C -'!C7</f>
        <v>Haití</v>
      </c>
      <c r="R10" s="300">
        <f>IF('- C -'!D7&lt;&gt;"",'- C -'!D7,"")</f>
        <v>0</v>
      </c>
      <c r="S10" s="273">
        <f t="shared" si="2"/>
        <v>2</v>
      </c>
      <c r="T10" s="300">
        <f>IF('- C -'!F7&lt;&gt;"",'- C -'!F7,"")</f>
        <v>3</v>
      </c>
      <c r="U10" s="274" t="str">
        <f>'- C -'!G7</f>
        <v>Escocia</v>
      </c>
      <c r="V10" s="272"/>
      <c r="W10" s="272"/>
      <c r="X10" s="272" t="str">
        <f>'- D -'!C7</f>
        <v>Australia</v>
      </c>
      <c r="Y10" s="300">
        <f>IF('- D -'!D7&lt;&gt;"",'- D -'!D7,"")</f>
        <v>1</v>
      </c>
      <c r="Z10" s="273">
        <f t="shared" si="3"/>
        <v>2</v>
      </c>
      <c r="AA10" s="300">
        <f>IF('- D -'!F7&lt;&gt;"",'- D -'!F7,"")</f>
        <v>2</v>
      </c>
      <c r="AB10" s="274" t="str">
        <f>'- D -'!G7</f>
        <v>Turquía</v>
      </c>
      <c r="AC10" s="272"/>
      <c r="AD10" s="272"/>
      <c r="AE10" s="272" t="str">
        <f>'- E -'!C7</f>
        <v>Costa de Marfil</v>
      </c>
      <c r="AF10" s="300">
        <f>IF('- E -'!D7&lt;&gt;"",'- E -'!D7,"")</f>
        <v>1</v>
      </c>
      <c r="AG10" s="273" t="str">
        <f t="shared" si="4"/>
        <v>E</v>
      </c>
      <c r="AH10" s="300">
        <f>IF('- E -'!F7&lt;&gt;"",'- E -'!F7,"")</f>
        <v>1</v>
      </c>
      <c r="AI10" s="274" t="str">
        <f>'- E -'!G7</f>
        <v>Ecuador</v>
      </c>
      <c r="AJ10" s="272"/>
      <c r="AK10" s="272"/>
      <c r="AL10" s="272" t="str">
        <f>'- F -'!C7</f>
        <v>Suecia</v>
      </c>
      <c r="AM10" s="300">
        <f>IF('- F -'!D7&lt;&gt;"",'- F -'!D7,"")</f>
        <v>2</v>
      </c>
      <c r="AN10" s="273">
        <f t="shared" si="5"/>
        <v>1</v>
      </c>
      <c r="AO10" s="300">
        <f>IF('- F -'!F7&lt;&gt;"",'- F -'!F7,"")</f>
        <v>0</v>
      </c>
      <c r="AP10" s="274" t="str">
        <f>'- F -'!G7</f>
        <v>Túnez</v>
      </c>
      <c r="AQ10" s="11"/>
      <c r="AR10" s="5"/>
      <c r="AS10" s="5" t="str">
        <f t="shared" si="6"/>
        <v/>
      </c>
      <c r="AT10" s="4" t="s">
        <v>275</v>
      </c>
      <c r="AU10" s="5">
        <f>SUM('Octavos de Final'!$R$6:$R$36)</f>
        <v>0</v>
      </c>
      <c r="AV10" s="270"/>
      <c r="AW10" s="316" t="s">
        <v>276</v>
      </c>
      <c r="AX10" s="315"/>
      <c r="AZ10" s="270"/>
      <c r="BA10" s="316" t="s">
        <v>283</v>
      </c>
      <c r="BB10" s="315"/>
    </row>
    <row r="11" spans="1:54" s="4" customFormat="1" ht="9" customHeight="1" x14ac:dyDescent="0.2">
      <c r="A11" s="32"/>
      <c r="B11" s="11"/>
      <c r="C11" s="272" t="str">
        <f>'- A -'!C8</f>
        <v>República Checa</v>
      </c>
      <c r="D11" s="300">
        <f>IF('- A -'!D8&lt;&gt;"",'- A -'!D8,"")</f>
        <v>2</v>
      </c>
      <c r="E11" s="273">
        <f t="shared" si="0"/>
        <v>1</v>
      </c>
      <c r="F11" s="300">
        <f>IF('- A -'!F8&lt;&gt;"",'- A -'!F8,"")</f>
        <v>1</v>
      </c>
      <c r="G11" s="274" t="str">
        <f>'- A -'!G8</f>
        <v>Sudáfrica</v>
      </c>
      <c r="H11" s="272"/>
      <c r="I11" s="272"/>
      <c r="J11" s="272" t="str">
        <f>'- B -'!C8</f>
        <v>Suiza</v>
      </c>
      <c r="K11" s="300">
        <f>IF('- B -'!D8&lt;&gt;"",'- B -'!D8,"")</f>
        <v>1</v>
      </c>
      <c r="L11" s="273">
        <f t="shared" si="1"/>
        <v>1</v>
      </c>
      <c r="M11" s="300">
        <f>IF('- B -'!F8&lt;&gt;"",'- B -'!F8,"")</f>
        <v>0</v>
      </c>
      <c r="N11" s="274" t="str">
        <f>'- B -'!G8</f>
        <v>Bosnia</v>
      </c>
      <c r="O11" s="272"/>
      <c r="P11" s="272"/>
      <c r="Q11" s="272" t="str">
        <f>'- C -'!C8</f>
        <v>Escocia</v>
      </c>
      <c r="R11" s="300">
        <f>IF('- C -'!D8&lt;&gt;"",'- C -'!D8,"")</f>
        <v>0</v>
      </c>
      <c r="S11" s="273" t="str">
        <f t="shared" si="2"/>
        <v>E</v>
      </c>
      <c r="T11" s="300">
        <f>IF('- C -'!F8&lt;&gt;"",'- C -'!F8,"")</f>
        <v>0</v>
      </c>
      <c r="U11" s="274" t="str">
        <f>'- C -'!G8</f>
        <v>Marruecos</v>
      </c>
      <c r="V11" s="272"/>
      <c r="W11" s="272"/>
      <c r="X11" s="272" t="str">
        <f>'- D -'!C8</f>
        <v>EE. UU.</v>
      </c>
      <c r="Y11" s="300">
        <f>IF('- D -'!D8&lt;&gt;"",'- D -'!D8,"")</f>
        <v>2</v>
      </c>
      <c r="Z11" s="273">
        <f t="shared" si="3"/>
        <v>1</v>
      </c>
      <c r="AA11" s="300">
        <f>IF('- D -'!F8&lt;&gt;"",'- D -'!F8,"")</f>
        <v>1</v>
      </c>
      <c r="AB11" s="274" t="str">
        <f>'- D -'!G8</f>
        <v>Australia</v>
      </c>
      <c r="AC11" s="272"/>
      <c r="AD11" s="272"/>
      <c r="AE11" s="272" t="str">
        <f>'- E -'!C8</f>
        <v>Alemania</v>
      </c>
      <c r="AF11" s="300">
        <f>IF('- E -'!D8&lt;&gt;"",'- E -'!D8,"")</f>
        <v>3</v>
      </c>
      <c r="AG11" s="273">
        <f t="shared" si="4"/>
        <v>1</v>
      </c>
      <c r="AH11" s="300">
        <f>IF('- E -'!F8&lt;&gt;"",'- E -'!F8,"")</f>
        <v>0</v>
      </c>
      <c r="AI11" s="274" t="str">
        <f>'- E -'!G8</f>
        <v>Costa de Marfil</v>
      </c>
      <c r="AJ11" s="272"/>
      <c r="AK11" s="272"/>
      <c r="AL11" s="272" t="str">
        <f>'- F -'!C8</f>
        <v>Países Bajos</v>
      </c>
      <c r="AM11" s="300">
        <f>IF('- F -'!D8&lt;&gt;"",'- F -'!D8,"")</f>
        <v>2</v>
      </c>
      <c r="AN11" s="273">
        <f t="shared" si="5"/>
        <v>1</v>
      </c>
      <c r="AO11" s="300">
        <f>IF('- F -'!F8&lt;&gt;"",'- F -'!F8,"")</f>
        <v>1</v>
      </c>
      <c r="AP11" s="274" t="str">
        <f>'- F -'!G8</f>
        <v>Suecia</v>
      </c>
      <c r="AQ11" s="11"/>
      <c r="AR11" s="5"/>
      <c r="AS11" s="5" t="str">
        <f t="shared" si="6"/>
        <v/>
      </c>
      <c r="AT11" s="4" t="s">
        <v>277</v>
      </c>
      <c r="AU11" s="5">
        <f>SUM('Cuartos de Final'!$R$6:$R$20)</f>
        <v>0</v>
      </c>
      <c r="AV11" s="270"/>
      <c r="AW11" s="316" t="s">
        <v>278</v>
      </c>
      <c r="AX11" s="315"/>
      <c r="AZ11" s="270"/>
      <c r="BA11" s="316" t="s">
        <v>278</v>
      </c>
      <c r="BB11" s="315"/>
    </row>
    <row r="12" spans="1:54" s="2" customFormat="1" ht="9" customHeight="1" x14ac:dyDescent="0.2">
      <c r="A12" s="32"/>
      <c r="B12" s="10"/>
      <c r="C12" s="272" t="str">
        <f>'- A -'!C9</f>
        <v>México</v>
      </c>
      <c r="D12" s="300">
        <f>IF('- A -'!D9&lt;&gt;"",'- A -'!D9,"")</f>
        <v>1</v>
      </c>
      <c r="E12" s="273" t="str">
        <f t="shared" si="0"/>
        <v>E</v>
      </c>
      <c r="F12" s="300">
        <f>IF('- A -'!F9&lt;&gt;"",'- A -'!F9,"")</f>
        <v>1</v>
      </c>
      <c r="G12" s="274" t="str">
        <f>'- A -'!G9</f>
        <v>Korea</v>
      </c>
      <c r="H12" s="272"/>
      <c r="I12" s="272"/>
      <c r="J12" s="272" t="str">
        <f>'- B -'!C9</f>
        <v>Canadá</v>
      </c>
      <c r="K12" s="300">
        <f>IF('- B -'!D9&lt;&gt;"",'- B -'!D9,"")</f>
        <v>1</v>
      </c>
      <c r="L12" s="273" t="str">
        <f t="shared" si="1"/>
        <v>E</v>
      </c>
      <c r="M12" s="300">
        <f>IF('- B -'!F9&lt;&gt;"",'- B -'!F9,"")</f>
        <v>1</v>
      </c>
      <c r="N12" s="274" t="str">
        <f>'- B -'!G9</f>
        <v>Catar</v>
      </c>
      <c r="O12" s="272"/>
      <c r="P12" s="272"/>
      <c r="Q12" s="272" t="str">
        <f>'- C -'!C9</f>
        <v>Brasil</v>
      </c>
      <c r="R12" s="300">
        <f>IF('- C -'!D9&lt;&gt;"",'- C -'!D9,"")</f>
        <v>3</v>
      </c>
      <c r="S12" s="273">
        <f t="shared" si="2"/>
        <v>1</v>
      </c>
      <c r="T12" s="300">
        <f>IF('- C -'!F9&lt;&gt;"",'- C -'!F9,"")</f>
        <v>0</v>
      </c>
      <c r="U12" s="274" t="str">
        <f>'- C -'!G9</f>
        <v>Haití</v>
      </c>
      <c r="V12" s="272"/>
      <c r="W12" s="272"/>
      <c r="X12" s="272" t="str">
        <f>'- D -'!C9</f>
        <v>Turquía</v>
      </c>
      <c r="Y12" s="300">
        <f>IF('- D -'!D9&lt;&gt;"",'- D -'!D9,"")</f>
        <v>1</v>
      </c>
      <c r="Z12" s="273">
        <f t="shared" si="3"/>
        <v>1</v>
      </c>
      <c r="AA12" s="300">
        <f>IF('- D -'!F9&lt;&gt;"",'- D -'!F9,"")</f>
        <v>0</v>
      </c>
      <c r="AB12" s="274" t="str">
        <f>'- D -'!G9</f>
        <v>Paraguay</v>
      </c>
      <c r="AC12" s="272"/>
      <c r="AD12" s="272"/>
      <c r="AE12" s="272" t="str">
        <f>'- E -'!C9</f>
        <v>Ecuador</v>
      </c>
      <c r="AF12" s="300">
        <f>IF('- E -'!D9&lt;&gt;"",'- E -'!D9,"")</f>
        <v>2</v>
      </c>
      <c r="AG12" s="273">
        <f t="shared" si="4"/>
        <v>1</v>
      </c>
      <c r="AH12" s="300">
        <f>IF('- E -'!F9&lt;&gt;"",'- E -'!F9,"")</f>
        <v>0</v>
      </c>
      <c r="AI12" s="274" t="str">
        <f>'- E -'!G9</f>
        <v>Curazao</v>
      </c>
      <c r="AJ12" s="272"/>
      <c r="AK12" s="272"/>
      <c r="AL12" s="272" t="str">
        <f>'- F -'!C9</f>
        <v>Túnez</v>
      </c>
      <c r="AM12" s="300">
        <f>IF('- F -'!D9&lt;&gt;"",'- F -'!D9,"")</f>
        <v>0</v>
      </c>
      <c r="AN12" s="273" t="str">
        <f t="shared" si="5"/>
        <v>E</v>
      </c>
      <c r="AO12" s="300">
        <f>IF('- F -'!F9&lt;&gt;"",'- F -'!F9,"")</f>
        <v>0</v>
      </c>
      <c r="AP12" s="274" t="str">
        <f>'- F -'!G9</f>
        <v>Japón</v>
      </c>
      <c r="AQ12" s="10"/>
      <c r="AR12" s="5"/>
      <c r="AS12" s="5" t="str">
        <f t="shared" si="6"/>
        <v/>
      </c>
      <c r="AT12" s="4" t="s">
        <v>60</v>
      </c>
      <c r="AU12" s="5">
        <f>SUM(Semifinal!$R$6:$R$12)</f>
        <v>0</v>
      </c>
      <c r="AV12" s="241"/>
      <c r="AW12" s="315"/>
      <c r="AX12" s="314"/>
      <c r="AZ12" s="241"/>
      <c r="BA12" s="316" t="s">
        <v>279</v>
      </c>
      <c r="BB12" s="314"/>
    </row>
    <row r="13" spans="1:54" s="4" customFormat="1" ht="9" customHeight="1" x14ac:dyDescent="0.2">
      <c r="A13" s="32"/>
      <c r="B13" s="11"/>
      <c r="C13" s="272" t="str">
        <f>'- A -'!C10</f>
        <v>República Checa</v>
      </c>
      <c r="D13" s="300">
        <f>IF('- A -'!D10&lt;&gt;"",'- A -'!D10,"")</f>
        <v>1</v>
      </c>
      <c r="E13" s="273">
        <f t="shared" si="0"/>
        <v>2</v>
      </c>
      <c r="F13" s="300">
        <f>IF('- A -'!F10&lt;&gt;"",'- A -'!F10,"")</f>
        <v>2</v>
      </c>
      <c r="G13" s="274" t="str">
        <f>'- A -'!G10</f>
        <v>México</v>
      </c>
      <c r="H13" s="272"/>
      <c r="I13" s="272"/>
      <c r="J13" s="272" t="str">
        <f>'- B -'!C10</f>
        <v>Suiza</v>
      </c>
      <c r="K13" s="300">
        <f>IF('- B -'!D10&lt;&gt;"",'- B -'!D10,"")</f>
        <v>1</v>
      </c>
      <c r="L13" s="273" t="str">
        <f t="shared" si="1"/>
        <v>E</v>
      </c>
      <c r="M13" s="300">
        <f>IF('- B -'!F10&lt;&gt;"",'- B -'!F10,"")</f>
        <v>1</v>
      </c>
      <c r="N13" s="274" t="str">
        <f>'- B -'!G10</f>
        <v>Canadá</v>
      </c>
      <c r="O13" s="272"/>
      <c r="P13" s="272"/>
      <c r="Q13" s="272" t="str">
        <f>'- C -'!C10</f>
        <v>Escocia</v>
      </c>
      <c r="R13" s="300">
        <f>IF('- C -'!D10&lt;&gt;"",'- C -'!D10,"")</f>
        <v>2</v>
      </c>
      <c r="S13" s="273" t="str">
        <f t="shared" si="2"/>
        <v>E</v>
      </c>
      <c r="T13" s="300">
        <f>IF('- C -'!F10&lt;&gt;"",'- C -'!F10,"")</f>
        <v>2</v>
      </c>
      <c r="U13" s="274" t="str">
        <f>'- C -'!G10</f>
        <v>Brasil</v>
      </c>
      <c r="V13" s="272"/>
      <c r="W13" s="272"/>
      <c r="X13" s="272" t="str">
        <f>'- D -'!C10</f>
        <v>Turquía</v>
      </c>
      <c r="Y13" s="300">
        <f>IF('- D -'!D10&lt;&gt;"",'- D -'!D10,"")</f>
        <v>0</v>
      </c>
      <c r="Z13" s="273" t="str">
        <f t="shared" si="3"/>
        <v>E</v>
      </c>
      <c r="AA13" s="300">
        <f>IF('- D -'!F10&lt;&gt;"",'- D -'!F10,"")</f>
        <v>0</v>
      </c>
      <c r="AB13" s="274" t="str">
        <f>'- D -'!G10</f>
        <v>EE. UU.</v>
      </c>
      <c r="AC13" s="272"/>
      <c r="AD13" s="272"/>
      <c r="AE13" s="272" t="str">
        <f>'- E -'!C10</f>
        <v>Curazao</v>
      </c>
      <c r="AF13" s="300">
        <f>IF('- E -'!D10&lt;&gt;"",'- E -'!D10,"")</f>
        <v>1</v>
      </c>
      <c r="AG13" s="273">
        <f t="shared" si="4"/>
        <v>2</v>
      </c>
      <c r="AH13" s="300">
        <f>IF('- E -'!F10&lt;&gt;"",'- E -'!F10,"")</f>
        <v>2</v>
      </c>
      <c r="AI13" s="274" t="str">
        <f>'- E -'!G10</f>
        <v>Costa de Marfil</v>
      </c>
      <c r="AJ13" s="272"/>
      <c r="AK13" s="272"/>
      <c r="AL13" s="272" t="str">
        <f>'- F -'!C10</f>
        <v>Japón</v>
      </c>
      <c r="AM13" s="300">
        <f>IF('- F -'!D10&lt;&gt;"",'- F -'!D10,"")</f>
        <v>2</v>
      </c>
      <c r="AN13" s="273">
        <f t="shared" si="5"/>
        <v>1</v>
      </c>
      <c r="AO13" s="300">
        <f>IF('- F -'!F10&lt;&gt;"",'- F -'!F10,"")</f>
        <v>0</v>
      </c>
      <c r="AP13" s="274" t="str">
        <f>'- F -'!G10</f>
        <v>Suecia</v>
      </c>
      <c r="AQ13" s="11"/>
      <c r="AR13" s="5"/>
      <c r="AS13" s="5" t="str">
        <f t="shared" si="6"/>
        <v/>
      </c>
      <c r="AT13" s="4" t="s">
        <v>280</v>
      </c>
      <c r="AU13" s="5">
        <f>SUM(FINAL!$R$7)</f>
        <v>0</v>
      </c>
    </row>
    <row r="14" spans="1:54" s="4" customFormat="1" ht="9" customHeight="1" x14ac:dyDescent="0.2">
      <c r="A14" s="32"/>
      <c r="B14" s="11"/>
      <c r="C14" s="272" t="str">
        <f>'- A -'!C11</f>
        <v>Sudáfrica</v>
      </c>
      <c r="D14" s="301">
        <f>IF('- A -'!D11&lt;&gt;"",'- A -'!D11,"")</f>
        <v>0</v>
      </c>
      <c r="E14" s="273">
        <f t="shared" si="0"/>
        <v>2</v>
      </c>
      <c r="F14" s="301">
        <f>IF('- A -'!F11&lt;&gt;"",'- A -'!F11,"")</f>
        <v>2</v>
      </c>
      <c r="G14" s="274" t="str">
        <f>'- A -'!G11</f>
        <v>Korea</v>
      </c>
      <c r="H14" s="272"/>
      <c r="I14" s="272"/>
      <c r="J14" s="272" t="str">
        <f>'- B -'!C11</f>
        <v>Bosnia</v>
      </c>
      <c r="K14" s="301">
        <f>IF('- B -'!D11&lt;&gt;"",'- B -'!D11,"")</f>
        <v>3</v>
      </c>
      <c r="L14" s="273">
        <f t="shared" si="1"/>
        <v>1</v>
      </c>
      <c r="M14" s="301">
        <f>IF('- B -'!F11&lt;&gt;"",'- B -'!F11,"")</f>
        <v>1</v>
      </c>
      <c r="N14" s="274" t="str">
        <f>'- B -'!G11</f>
        <v>Catar</v>
      </c>
      <c r="O14" s="272"/>
      <c r="P14" s="272"/>
      <c r="Q14" s="272" t="str">
        <f>'- C -'!C11</f>
        <v>Marruecos</v>
      </c>
      <c r="R14" s="301">
        <f>IF('- C -'!D11&lt;&gt;"",'- C -'!D11,"")</f>
        <v>1</v>
      </c>
      <c r="S14" s="273">
        <f t="shared" si="2"/>
        <v>1</v>
      </c>
      <c r="T14" s="301">
        <f>IF('- C -'!F11&lt;&gt;"",'- C -'!F11,"")</f>
        <v>0</v>
      </c>
      <c r="U14" s="274" t="str">
        <f>'- C -'!G11</f>
        <v>Haití</v>
      </c>
      <c r="V14" s="272"/>
      <c r="W14" s="272"/>
      <c r="X14" s="272" t="str">
        <f>'- D -'!C11</f>
        <v>Paraguay</v>
      </c>
      <c r="Y14" s="301">
        <f>IF('- D -'!D11&lt;&gt;"",'- D -'!D11,"")</f>
        <v>2</v>
      </c>
      <c r="Z14" s="273">
        <f t="shared" si="3"/>
        <v>1</v>
      </c>
      <c r="AA14" s="301">
        <f>IF('- D -'!F11&lt;&gt;"",'- D -'!F11,"")</f>
        <v>0</v>
      </c>
      <c r="AB14" s="274" t="str">
        <f>'- D -'!G11</f>
        <v>Australia</v>
      </c>
      <c r="AC14" s="272"/>
      <c r="AD14" s="272"/>
      <c r="AE14" s="272" t="str">
        <f>'- E -'!C11</f>
        <v>Ecuador</v>
      </c>
      <c r="AF14" s="301">
        <f>IF('- E -'!D11&lt;&gt;"",'- E -'!D11,"")</f>
        <v>0</v>
      </c>
      <c r="AG14" s="273">
        <f t="shared" si="4"/>
        <v>2</v>
      </c>
      <c r="AH14" s="301">
        <f>IF('- E -'!F11&lt;&gt;"",'- E -'!F11,"")</f>
        <v>2</v>
      </c>
      <c r="AI14" s="274" t="str">
        <f>'- E -'!G11</f>
        <v>Alemania</v>
      </c>
      <c r="AJ14" s="272"/>
      <c r="AK14" s="272"/>
      <c r="AL14" s="272" t="str">
        <f>'- F -'!C11</f>
        <v>Túnez</v>
      </c>
      <c r="AM14" s="301">
        <f>IF('- F -'!D11&lt;&gt;"",'- F -'!D11,"")</f>
        <v>0</v>
      </c>
      <c r="AN14" s="273">
        <f t="shared" si="5"/>
        <v>2</v>
      </c>
      <c r="AO14" s="301">
        <f>IF('- F -'!F11&lt;&gt;"",'- F -'!F11,"")</f>
        <v>3</v>
      </c>
      <c r="AP14" s="274" t="str">
        <f>'- F -'!G11</f>
        <v>Países Bajos</v>
      </c>
      <c r="AQ14" s="11"/>
      <c r="AR14" s="5"/>
      <c r="AS14" s="5" t="str">
        <f t="shared" si="6"/>
        <v/>
      </c>
      <c r="AT14" s="4" t="s">
        <v>282</v>
      </c>
      <c r="AU14" s="5">
        <f>SUM(FINAL!$R$14)</f>
        <v>0</v>
      </c>
    </row>
    <row r="15" spans="1:54" s="4" customFormat="1" ht="4.5" customHeight="1" x14ac:dyDescent="0.2">
      <c r="A15" s="32"/>
      <c r="B15" s="1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F15" s="5"/>
      <c r="AG15" s="12"/>
      <c r="AH15" s="5"/>
      <c r="AI15" s="6"/>
      <c r="AM15" s="5"/>
      <c r="AN15" s="12"/>
      <c r="AO15" s="5"/>
      <c r="AP15" s="6"/>
      <c r="AQ15" s="11"/>
      <c r="AR15" s="11"/>
      <c r="AS15" s="11"/>
      <c r="AT15" s="11"/>
      <c r="AU15" s="11"/>
    </row>
    <row r="16" spans="1:54" s="4" customFormat="1" ht="9" customHeight="1" x14ac:dyDescent="0.2">
      <c r="A16" s="32"/>
      <c r="B16" s="11"/>
      <c r="C16" s="296" t="s">
        <v>106</v>
      </c>
      <c r="D16" s="296"/>
      <c r="E16" s="296"/>
      <c r="F16" s="296"/>
      <c r="G16" s="296"/>
      <c r="H16" s="271"/>
      <c r="I16" s="271"/>
      <c r="J16" s="296" t="s">
        <v>107</v>
      </c>
      <c r="K16" s="296"/>
      <c r="L16" s="296"/>
      <c r="M16" s="296"/>
      <c r="N16" s="296"/>
      <c r="O16" s="271"/>
      <c r="P16" s="271"/>
      <c r="Q16" s="296" t="s">
        <v>247</v>
      </c>
      <c r="R16" s="296"/>
      <c r="S16" s="296"/>
      <c r="T16" s="296"/>
      <c r="U16" s="296"/>
      <c r="V16" s="271"/>
      <c r="W16" s="271"/>
      <c r="X16" s="296" t="s">
        <v>248</v>
      </c>
      <c r="Y16" s="296"/>
      <c r="Z16" s="296"/>
      <c r="AA16" s="296"/>
      <c r="AB16" s="296"/>
      <c r="AC16" s="271"/>
      <c r="AD16" s="271"/>
      <c r="AE16" s="296" t="s">
        <v>249</v>
      </c>
      <c r="AF16" s="296"/>
      <c r="AG16" s="296"/>
      <c r="AH16" s="296"/>
      <c r="AI16" s="296"/>
      <c r="AJ16" s="271"/>
      <c r="AK16" s="271"/>
      <c r="AL16" s="296" t="s">
        <v>250</v>
      </c>
      <c r="AM16" s="296"/>
      <c r="AN16" s="296"/>
      <c r="AO16" s="296"/>
      <c r="AP16" s="296"/>
      <c r="AQ16" s="11"/>
      <c r="AR16" s="11"/>
      <c r="AS16" s="11"/>
      <c r="AT16" s="11"/>
      <c r="AU16" s="11"/>
    </row>
    <row r="17" spans="1:54" s="4" customFormat="1" ht="9" customHeight="1" x14ac:dyDescent="0.2">
      <c r="A17" s="32"/>
      <c r="B17" s="1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11"/>
      <c r="AR17" s="11"/>
      <c r="AS17" s="11"/>
      <c r="AT17" s="11"/>
      <c r="AU17" s="11"/>
      <c r="AV17" s="11"/>
      <c r="AW17" s="11"/>
      <c r="AX17" s="11"/>
      <c r="AZ17" s="11"/>
      <c r="BA17" s="11"/>
      <c r="BB17" s="11"/>
    </row>
    <row r="18" spans="1:54" s="272" customFormat="1" ht="9" customHeight="1" x14ac:dyDescent="0.2">
      <c r="A18" s="32"/>
      <c r="B18" s="275"/>
      <c r="C18" s="272" t="str">
        <f>'- G -'!C6</f>
        <v>Bélgica</v>
      </c>
      <c r="D18" s="299">
        <f>IF('- G -'!D6&lt;&gt;"",'- G -'!D6,"")</f>
        <v>2</v>
      </c>
      <c r="E18" s="273">
        <f t="shared" ref="E18:E23" si="7">IF(D18=F18,"E",IF(D18&gt;F18,1,2))</f>
        <v>1</v>
      </c>
      <c r="F18" s="299">
        <f>IF('- G -'!F6&lt;&gt;"",'- G -'!F6,"")</f>
        <v>0</v>
      </c>
      <c r="G18" s="274" t="str">
        <f>'- G -'!G6</f>
        <v>Egipto</v>
      </c>
      <c r="J18" s="272" t="str">
        <f>'- H -'!C6</f>
        <v>España</v>
      </c>
      <c r="K18" s="299">
        <f>IF('- H -'!D6&lt;&gt;"",'- H -'!D6,"")</f>
        <v>4</v>
      </c>
      <c r="L18" s="273">
        <f t="shared" ref="L18:L23" si="8">IF(K18=M18,"E",IF(K18&gt;M18,1,2))</f>
        <v>1</v>
      </c>
      <c r="M18" s="299">
        <f>IF('- H -'!F6&lt;&gt;"",'- H -'!F6,"")</f>
        <v>0</v>
      </c>
      <c r="N18" s="274" t="str">
        <f>'- H -'!G6</f>
        <v>Cabo Verde</v>
      </c>
      <c r="Q18" s="272" t="str">
        <f>'- I -'!C6</f>
        <v>Francia</v>
      </c>
      <c r="R18" s="299">
        <f>IF('- I -'!D6&lt;&gt;"",'- I -'!D6,"")</f>
        <v>2</v>
      </c>
      <c r="S18" s="273">
        <f t="shared" ref="S18:S23" si="9">IF(R18=T18,"E",IF(R18&gt;T18,1,2))</f>
        <v>1</v>
      </c>
      <c r="T18" s="299">
        <f>IF('- I -'!F6&lt;&gt;"",'- I -'!F6,"")</f>
        <v>0</v>
      </c>
      <c r="U18" s="274" t="str">
        <f>'- I -'!G6</f>
        <v>Senegal</v>
      </c>
      <c r="X18" s="272" t="str">
        <f>'- J -'!C6</f>
        <v>Argentina</v>
      </c>
      <c r="Y18" s="299">
        <f>IF('- J -'!D6&lt;&gt;"",'- J -'!D6,"")</f>
        <v>2</v>
      </c>
      <c r="Z18" s="273">
        <f t="shared" ref="Z18:Z23" si="10">IF(Y18=AA18,"E",IF(Y18&gt;AA18,1,2))</f>
        <v>1</v>
      </c>
      <c r="AA18" s="299">
        <f>IF('- J -'!F6&lt;&gt;"",'- J -'!F6,"")</f>
        <v>0</v>
      </c>
      <c r="AB18" s="274" t="str">
        <f>'- J -'!G6</f>
        <v>Argelia</v>
      </c>
      <c r="AE18" s="272" t="str">
        <f>'- K -'!C6</f>
        <v>Portugal</v>
      </c>
      <c r="AF18" s="299">
        <f>IF('- K -'!D6&lt;&gt;"",'- K -'!D6,"")</f>
        <v>4</v>
      </c>
      <c r="AG18" s="273">
        <f t="shared" ref="AG18:AG23" si="11">IF(AF18=AH18,"E",IF(AF18&gt;AH18,1,2))</f>
        <v>1</v>
      </c>
      <c r="AH18" s="299">
        <f>IF('- K -'!F6&lt;&gt;"",'- K -'!F6,"")</f>
        <v>0</v>
      </c>
      <c r="AI18" s="274" t="str">
        <f>'- K -'!G6</f>
        <v>RD Congo</v>
      </c>
      <c r="AL18" s="272" t="str">
        <f>'- L -'!C6</f>
        <v>Inglaterra</v>
      </c>
      <c r="AM18" s="299">
        <f>IF('- L -'!D6&lt;&gt;"",'- L -'!D6,"")</f>
        <v>1</v>
      </c>
      <c r="AN18" s="273">
        <f t="shared" ref="AN18:AN23" si="12">IF(AM18=AO18,"E",IF(AM18&gt;AO18,1,2))</f>
        <v>1</v>
      </c>
      <c r="AO18" s="299">
        <f>IF('- L -'!F6&lt;&gt;"",'- L -'!F6,"")</f>
        <v>0</v>
      </c>
      <c r="AP18" s="274" t="str">
        <f>'- L -'!G6</f>
        <v>Croacia</v>
      </c>
      <c r="AQ18" s="275"/>
      <c r="AR18" s="275"/>
      <c r="AS18" s="275"/>
      <c r="AT18" s="275"/>
      <c r="AU18" s="275"/>
      <c r="AV18" s="275"/>
      <c r="AW18" s="275"/>
      <c r="AX18" s="275"/>
      <c r="AZ18" s="275"/>
      <c r="BA18" s="275"/>
      <c r="BB18" s="275"/>
    </row>
    <row r="19" spans="1:54" s="272" customFormat="1" ht="9" customHeight="1" x14ac:dyDescent="0.2">
      <c r="A19" s="32"/>
      <c r="B19" s="275"/>
      <c r="C19" s="272" t="str">
        <f>'- G -'!C7</f>
        <v>Irán</v>
      </c>
      <c r="D19" s="300">
        <f>IF('- G -'!D7&lt;&gt;"",'- G -'!D7,"")</f>
        <v>1</v>
      </c>
      <c r="E19" s="273">
        <f t="shared" si="7"/>
        <v>1</v>
      </c>
      <c r="F19" s="300">
        <f>IF('- G -'!F7&lt;&gt;"",'- G -'!F7,"")</f>
        <v>0</v>
      </c>
      <c r="G19" s="274" t="str">
        <f>'- G -'!G7</f>
        <v>Nueva Zelanda</v>
      </c>
      <c r="J19" s="272" t="str">
        <f>'- H -'!C7</f>
        <v>Arabia Saudí</v>
      </c>
      <c r="K19" s="300">
        <f>IF('- H -'!D7&lt;&gt;"",'- H -'!D7,"")</f>
        <v>0</v>
      </c>
      <c r="L19" s="273">
        <f t="shared" si="8"/>
        <v>2</v>
      </c>
      <c r="M19" s="300">
        <f>IF('- H -'!F7&lt;&gt;"",'- H -'!F7,"")</f>
        <v>1</v>
      </c>
      <c r="N19" s="274" t="str">
        <f>'- H -'!G7</f>
        <v>Uruguay</v>
      </c>
      <c r="Q19" s="272" t="str">
        <f>'- I -'!C7</f>
        <v>Irak</v>
      </c>
      <c r="R19" s="300">
        <f>IF('- I -'!D7&lt;&gt;"",'- I -'!D7,"")</f>
        <v>0</v>
      </c>
      <c r="S19" s="273">
        <f t="shared" si="9"/>
        <v>2</v>
      </c>
      <c r="T19" s="300">
        <f>IF('- I -'!F7&lt;&gt;"",'- I -'!F7,"")</f>
        <v>2</v>
      </c>
      <c r="U19" s="274" t="str">
        <f>'- I -'!G7</f>
        <v>Noruega</v>
      </c>
      <c r="X19" s="272" t="str">
        <f>'- J -'!C7</f>
        <v>Austria</v>
      </c>
      <c r="Y19" s="300">
        <f>IF('- J -'!D7&lt;&gt;"",'- J -'!D7,"")</f>
        <v>2</v>
      </c>
      <c r="Z19" s="273">
        <f t="shared" si="10"/>
        <v>1</v>
      </c>
      <c r="AA19" s="300">
        <f>IF('- J -'!F7&lt;&gt;"",'- J -'!F7,"")</f>
        <v>1</v>
      </c>
      <c r="AB19" s="274" t="str">
        <f>'- J -'!G7</f>
        <v>Jordania</v>
      </c>
      <c r="AE19" s="272" t="str">
        <f>'- K -'!C7</f>
        <v>Uzbekistán</v>
      </c>
      <c r="AF19" s="300">
        <f>IF('- K -'!D7&lt;&gt;"",'- K -'!D7,"")</f>
        <v>0</v>
      </c>
      <c r="AG19" s="273">
        <f t="shared" si="11"/>
        <v>2</v>
      </c>
      <c r="AH19" s="300">
        <f>IF('- K -'!F7&lt;&gt;"",'- K -'!F7,"")</f>
        <v>3</v>
      </c>
      <c r="AI19" s="274" t="str">
        <f>'- K -'!G7</f>
        <v>Colombia</v>
      </c>
      <c r="AL19" s="272" t="str">
        <f>'- L -'!C7</f>
        <v>Ghana</v>
      </c>
      <c r="AM19" s="300">
        <f>IF('- L -'!D7&lt;&gt;"",'- L -'!D7,"")</f>
        <v>1</v>
      </c>
      <c r="AN19" s="273">
        <f t="shared" si="12"/>
        <v>1</v>
      </c>
      <c r="AO19" s="300">
        <f>IF('- L -'!F7&lt;&gt;"",'- L -'!F7,"")</f>
        <v>0</v>
      </c>
      <c r="AP19" s="274" t="str">
        <f>'- L -'!G7</f>
        <v>Panamá</v>
      </c>
      <c r="AQ19" s="275"/>
      <c r="AR19" s="275"/>
      <c r="AS19" s="275"/>
      <c r="AT19" s="275"/>
      <c r="AU19" s="275"/>
      <c r="AV19" s="275"/>
      <c r="AW19" s="275"/>
      <c r="AX19" s="275"/>
      <c r="AZ19" s="275"/>
      <c r="BA19" s="275"/>
      <c r="BB19" s="275"/>
    </row>
    <row r="20" spans="1:54" s="272" customFormat="1" ht="9" customHeight="1" x14ac:dyDescent="0.2">
      <c r="A20" s="32"/>
      <c r="B20" s="275"/>
      <c r="C20" s="272" t="str">
        <f>'- G -'!C8</f>
        <v>Bélgica</v>
      </c>
      <c r="D20" s="300">
        <f>IF('- G -'!D8&lt;&gt;"",'- G -'!D8,"")</f>
        <v>1</v>
      </c>
      <c r="E20" s="273">
        <f t="shared" si="7"/>
        <v>1</v>
      </c>
      <c r="F20" s="300">
        <f>IF('- G -'!F8&lt;&gt;"",'- G -'!F8,"")</f>
        <v>0</v>
      </c>
      <c r="G20" s="274" t="str">
        <f>'- G -'!G8</f>
        <v>Irán</v>
      </c>
      <c r="J20" s="272" t="str">
        <f>'- H -'!C8</f>
        <v>España</v>
      </c>
      <c r="K20" s="300">
        <f>IF('- H -'!D8&lt;&gt;"",'- H -'!D8,"")</f>
        <v>2</v>
      </c>
      <c r="L20" s="273">
        <f t="shared" si="8"/>
        <v>1</v>
      </c>
      <c r="M20" s="300">
        <f>IF('- H -'!F8&lt;&gt;"",'- H -'!F8,"")</f>
        <v>0</v>
      </c>
      <c r="N20" s="274" t="str">
        <f>'- H -'!G8</f>
        <v>Arabia Saudí</v>
      </c>
      <c r="Q20" s="272" t="str">
        <f>'- I -'!C8</f>
        <v>Francia</v>
      </c>
      <c r="R20" s="300">
        <f>IF('- I -'!D8&lt;&gt;"",'- I -'!D8,"")</f>
        <v>4</v>
      </c>
      <c r="S20" s="273">
        <f t="shared" si="9"/>
        <v>1</v>
      </c>
      <c r="T20" s="300">
        <f>IF('- I -'!F8&lt;&gt;"",'- I -'!F8,"")</f>
        <v>0</v>
      </c>
      <c r="U20" s="274" t="str">
        <f>'- I -'!G8</f>
        <v>Irak</v>
      </c>
      <c r="X20" s="272" t="str">
        <f>'- J -'!C8</f>
        <v>Argentina</v>
      </c>
      <c r="Y20" s="300">
        <f>IF('- J -'!D8&lt;&gt;"",'- J -'!D8,"")</f>
        <v>1</v>
      </c>
      <c r="Z20" s="273">
        <f t="shared" si="10"/>
        <v>1</v>
      </c>
      <c r="AA20" s="300">
        <f>IF('- J -'!F8&lt;&gt;"",'- J -'!F8,"")</f>
        <v>0</v>
      </c>
      <c r="AB20" s="274" t="str">
        <f>'- J -'!G8</f>
        <v>Austria</v>
      </c>
      <c r="AE20" s="272" t="str">
        <f>'- K -'!C8</f>
        <v>Portugal</v>
      </c>
      <c r="AF20" s="300">
        <f>IF('- K -'!D8&lt;&gt;"",'- K -'!D8,"")</f>
        <v>3</v>
      </c>
      <c r="AG20" s="273">
        <f t="shared" si="11"/>
        <v>1</v>
      </c>
      <c r="AH20" s="300">
        <f>IF('- K -'!F8&lt;&gt;"",'- K -'!F8,"")</f>
        <v>0</v>
      </c>
      <c r="AI20" s="274" t="str">
        <f>'- K -'!G8</f>
        <v>Uzbekistán</v>
      </c>
      <c r="AL20" s="272" t="str">
        <f>'- L -'!C8</f>
        <v>Inglaterra</v>
      </c>
      <c r="AM20" s="300">
        <f>IF('- L -'!D8&lt;&gt;"",'- L -'!D8,"")</f>
        <v>2</v>
      </c>
      <c r="AN20" s="273">
        <f t="shared" si="12"/>
        <v>1</v>
      </c>
      <c r="AO20" s="300">
        <f>IF('- L -'!F8&lt;&gt;"",'- L -'!F8,"")</f>
        <v>0</v>
      </c>
      <c r="AP20" s="274" t="str">
        <f>'- L -'!G8</f>
        <v>Ghana</v>
      </c>
      <c r="AQ20" s="275"/>
      <c r="AR20" s="275"/>
      <c r="AS20" s="275"/>
      <c r="AT20" s="275"/>
      <c r="AU20" s="275"/>
      <c r="AV20" s="275"/>
      <c r="AW20" s="275"/>
      <c r="AX20" s="275"/>
      <c r="AZ20" s="275"/>
      <c r="BA20" s="275"/>
      <c r="BB20" s="275"/>
    </row>
    <row r="21" spans="1:54" s="277" customFormat="1" ht="9" customHeight="1" x14ac:dyDescent="0.2">
      <c r="A21" s="32"/>
      <c r="B21" s="278"/>
      <c r="C21" s="272" t="str">
        <f>'- G -'!C9</f>
        <v>Nueva Zelanda</v>
      </c>
      <c r="D21" s="300">
        <f>IF('- G -'!D9&lt;&gt;"",'- G -'!D9,"")</f>
        <v>0</v>
      </c>
      <c r="E21" s="273">
        <f t="shared" si="7"/>
        <v>2</v>
      </c>
      <c r="F21" s="300">
        <f>IF('- G -'!F9&lt;&gt;"",'- G -'!F9,"")</f>
        <v>3</v>
      </c>
      <c r="G21" s="274" t="str">
        <f>'- G -'!G9</f>
        <v>Egipto</v>
      </c>
      <c r="H21" s="272"/>
      <c r="I21" s="272"/>
      <c r="J21" s="272" t="str">
        <f>'- H -'!C9</f>
        <v>Uruguay</v>
      </c>
      <c r="K21" s="300">
        <f>IF('- H -'!D9&lt;&gt;"",'- H -'!D9,"")</f>
        <v>3</v>
      </c>
      <c r="L21" s="273">
        <f t="shared" si="8"/>
        <v>1</v>
      </c>
      <c r="M21" s="300">
        <f>IF('- H -'!F9&lt;&gt;"",'- H -'!F9,"")</f>
        <v>0</v>
      </c>
      <c r="N21" s="274" t="str">
        <f>'- H -'!G9</f>
        <v>Cabo Verde</v>
      </c>
      <c r="O21" s="272"/>
      <c r="P21" s="272"/>
      <c r="Q21" s="272" t="str">
        <f>'- I -'!C9</f>
        <v>Noruega</v>
      </c>
      <c r="R21" s="300">
        <f>IF('- I -'!D9&lt;&gt;"",'- I -'!D9,"")</f>
        <v>1</v>
      </c>
      <c r="S21" s="273" t="str">
        <f t="shared" si="9"/>
        <v>E</v>
      </c>
      <c r="T21" s="300">
        <f>IF('- I -'!F9&lt;&gt;"",'- I -'!F9,"")</f>
        <v>1</v>
      </c>
      <c r="U21" s="274" t="str">
        <f>'- I -'!G9</f>
        <v>Senegal</v>
      </c>
      <c r="V21" s="272"/>
      <c r="W21" s="272"/>
      <c r="X21" s="272" t="str">
        <f>'- J -'!C9</f>
        <v>Jordania</v>
      </c>
      <c r="Y21" s="300">
        <f>IF('- J -'!D9&lt;&gt;"",'- J -'!D9,"")</f>
        <v>1</v>
      </c>
      <c r="Z21" s="273" t="str">
        <f t="shared" si="10"/>
        <v>E</v>
      </c>
      <c r="AA21" s="300">
        <f>IF('- J -'!F9&lt;&gt;"",'- J -'!F9,"")</f>
        <v>1</v>
      </c>
      <c r="AB21" s="274" t="str">
        <f>'- J -'!G9</f>
        <v>Argelia</v>
      </c>
      <c r="AC21" s="272"/>
      <c r="AD21" s="272"/>
      <c r="AE21" s="272" t="str">
        <f>'- K -'!C9</f>
        <v>Colombia</v>
      </c>
      <c r="AF21" s="300">
        <f>IF('- K -'!D9&lt;&gt;"",'- K -'!D9,"")</f>
        <v>2</v>
      </c>
      <c r="AG21" s="273">
        <f t="shared" si="11"/>
        <v>1</v>
      </c>
      <c r="AH21" s="300">
        <f>IF('- K -'!F9&lt;&gt;"",'- K -'!F9,"")</f>
        <v>0</v>
      </c>
      <c r="AI21" s="274" t="str">
        <f>'- K -'!G9</f>
        <v>RD Congo</v>
      </c>
      <c r="AJ21" s="272"/>
      <c r="AK21" s="272"/>
      <c r="AL21" s="272" t="str">
        <f>'- L -'!C9</f>
        <v>Panamá</v>
      </c>
      <c r="AM21" s="300">
        <f>IF('- L -'!D9&lt;&gt;"",'- L -'!D9,"")</f>
        <v>1</v>
      </c>
      <c r="AN21" s="273">
        <f t="shared" si="12"/>
        <v>2</v>
      </c>
      <c r="AO21" s="300">
        <f>IF('- L -'!F9&lt;&gt;"",'- L -'!F9,"")</f>
        <v>3</v>
      </c>
      <c r="AP21" s="274" t="str">
        <f>'- L -'!G9</f>
        <v>Croacia</v>
      </c>
      <c r="AQ21" s="278"/>
      <c r="AR21" s="278"/>
      <c r="AS21" s="278"/>
      <c r="AT21" s="278"/>
      <c r="AU21" s="278"/>
      <c r="AV21" s="278"/>
      <c r="AW21" s="278"/>
      <c r="AX21" s="278"/>
      <c r="AZ21" s="278"/>
      <c r="BA21" s="278"/>
      <c r="BB21" s="278"/>
    </row>
    <row r="22" spans="1:54" s="277" customFormat="1" ht="9" customHeight="1" x14ac:dyDescent="0.2">
      <c r="A22" s="32"/>
      <c r="B22" s="278"/>
      <c r="C22" s="272" t="str">
        <f>'- G -'!C10</f>
        <v>Egipto</v>
      </c>
      <c r="D22" s="300">
        <f>IF('- G -'!D10&lt;&gt;"",'- G -'!D10,"")</f>
        <v>1</v>
      </c>
      <c r="E22" s="273" t="str">
        <f t="shared" si="7"/>
        <v>E</v>
      </c>
      <c r="F22" s="300">
        <f>IF('- G -'!F10&lt;&gt;"",'- G -'!F10,"")</f>
        <v>1</v>
      </c>
      <c r="G22" s="274" t="str">
        <f>'- G -'!G10</f>
        <v>Irán</v>
      </c>
      <c r="H22" s="272"/>
      <c r="I22" s="272"/>
      <c r="J22" s="272" t="str">
        <f>'- H -'!C10</f>
        <v>Cabo Verde</v>
      </c>
      <c r="K22" s="300">
        <f>IF('- H -'!D10&lt;&gt;"",'- H -'!D10,"")</f>
        <v>2</v>
      </c>
      <c r="L22" s="273">
        <f t="shared" si="8"/>
        <v>1</v>
      </c>
      <c r="M22" s="300">
        <f>IF('- H -'!F10&lt;&gt;"",'- H -'!F10,"")</f>
        <v>1</v>
      </c>
      <c r="N22" s="274" t="str">
        <f>'- H -'!G10</f>
        <v>Arabia Saudí</v>
      </c>
      <c r="O22" s="272"/>
      <c r="P22" s="272"/>
      <c r="Q22" s="272" t="str">
        <f>'- I -'!C10</f>
        <v>Noruega</v>
      </c>
      <c r="R22" s="300">
        <f>IF('- I -'!D10&lt;&gt;"",'- I -'!D10,"")</f>
        <v>1</v>
      </c>
      <c r="S22" s="273">
        <f t="shared" si="9"/>
        <v>2</v>
      </c>
      <c r="T22" s="300">
        <f>IF('- I -'!F10&lt;&gt;"",'- I -'!F10,"")</f>
        <v>3</v>
      </c>
      <c r="U22" s="274" t="str">
        <f>'- I -'!G10</f>
        <v>Francia</v>
      </c>
      <c r="V22" s="272"/>
      <c r="W22" s="272"/>
      <c r="X22" s="272" t="str">
        <f>'- J -'!C10</f>
        <v>Argelia</v>
      </c>
      <c r="Y22" s="300">
        <f>IF('- J -'!D10&lt;&gt;"",'- J -'!D10,"")</f>
        <v>0</v>
      </c>
      <c r="Z22" s="273">
        <f t="shared" si="10"/>
        <v>2</v>
      </c>
      <c r="AA22" s="300">
        <f>IF('- J -'!F10&lt;&gt;"",'- J -'!F10,"")</f>
        <v>2</v>
      </c>
      <c r="AB22" s="274" t="str">
        <f>'- J -'!G10</f>
        <v>Austria</v>
      </c>
      <c r="AC22" s="272"/>
      <c r="AD22" s="272"/>
      <c r="AE22" s="272" t="str">
        <f>'- K -'!C10</f>
        <v>Colombia</v>
      </c>
      <c r="AF22" s="300">
        <f>IF('- K -'!D10&lt;&gt;"",'- K -'!D10,"")</f>
        <v>1</v>
      </c>
      <c r="AG22" s="273">
        <f t="shared" si="11"/>
        <v>2</v>
      </c>
      <c r="AH22" s="300">
        <f>IF('- K -'!F10&lt;&gt;"",'- K -'!F10,"")</f>
        <v>2</v>
      </c>
      <c r="AI22" s="274" t="str">
        <f>'- K -'!G10</f>
        <v>Portugal</v>
      </c>
      <c r="AJ22" s="272"/>
      <c r="AK22" s="272"/>
      <c r="AL22" s="272" t="str">
        <f>'- L -'!C10</f>
        <v>Panamá</v>
      </c>
      <c r="AM22" s="300">
        <f>IF('- L -'!D10&lt;&gt;"",'- L -'!D10,"")</f>
        <v>0</v>
      </c>
      <c r="AN22" s="273">
        <f t="shared" si="12"/>
        <v>2</v>
      </c>
      <c r="AO22" s="300">
        <f>IF('- L -'!F10&lt;&gt;"",'- L -'!F10,"")</f>
        <v>3</v>
      </c>
      <c r="AP22" s="274" t="str">
        <f>'- L -'!G10</f>
        <v>Inglaterra</v>
      </c>
      <c r="AQ22" s="278"/>
      <c r="AR22" s="278"/>
      <c r="AS22" s="278"/>
      <c r="AT22" s="278"/>
      <c r="AU22" s="278"/>
      <c r="AV22" s="278"/>
      <c r="AW22" s="278"/>
      <c r="AX22" s="278"/>
      <c r="AZ22" s="278"/>
      <c r="BA22" s="278"/>
      <c r="BB22" s="278"/>
    </row>
    <row r="23" spans="1:54" s="277" customFormat="1" ht="9" customHeight="1" x14ac:dyDescent="0.2">
      <c r="A23" s="32"/>
      <c r="B23" s="278"/>
      <c r="C23" s="272" t="str">
        <f>'- G -'!C11</f>
        <v>Nueva Zelanda</v>
      </c>
      <c r="D23" s="301">
        <f>IF('- G -'!D11&lt;&gt;"",'- G -'!D11,"")</f>
        <v>1</v>
      </c>
      <c r="E23" s="273" t="str">
        <f t="shared" si="7"/>
        <v>E</v>
      </c>
      <c r="F23" s="301">
        <f>IF('- G -'!F11&lt;&gt;"",'- G -'!F11,"")</f>
        <v>1</v>
      </c>
      <c r="G23" s="274" t="str">
        <f>'- G -'!G11</f>
        <v>Bélgica</v>
      </c>
      <c r="H23" s="272"/>
      <c r="I23" s="272"/>
      <c r="J23" s="272" t="str">
        <f>'- H -'!C11</f>
        <v>Uruguay</v>
      </c>
      <c r="K23" s="301">
        <f>IF('- H -'!D11&lt;&gt;"",'- H -'!D11,"")</f>
        <v>0</v>
      </c>
      <c r="L23" s="273">
        <f t="shared" si="8"/>
        <v>2</v>
      </c>
      <c r="M23" s="301">
        <f>IF('- H -'!F11&lt;&gt;"",'- H -'!F11,"")</f>
        <v>1</v>
      </c>
      <c r="N23" s="274" t="str">
        <f>'- H -'!G11</f>
        <v>España</v>
      </c>
      <c r="O23" s="272"/>
      <c r="P23" s="272"/>
      <c r="Q23" s="272" t="str">
        <f>'- I -'!C11</f>
        <v>Senegal</v>
      </c>
      <c r="R23" s="301">
        <f>IF('- I -'!D11&lt;&gt;"",'- I -'!D11,"")</f>
        <v>2</v>
      </c>
      <c r="S23" s="273">
        <f t="shared" si="9"/>
        <v>1</v>
      </c>
      <c r="T23" s="301">
        <f>IF('- I -'!F11&lt;&gt;"",'- I -'!F11,"")</f>
        <v>1</v>
      </c>
      <c r="U23" s="274" t="str">
        <f>'- I -'!G11</f>
        <v>Irak</v>
      </c>
      <c r="V23" s="272"/>
      <c r="W23" s="272"/>
      <c r="X23" s="272" t="str">
        <f>'- J -'!C11</f>
        <v>Jordania</v>
      </c>
      <c r="Y23" s="301">
        <f>IF('- J -'!D11&lt;&gt;"",'- J -'!D11,"")</f>
        <v>1</v>
      </c>
      <c r="Z23" s="273">
        <f t="shared" si="10"/>
        <v>2</v>
      </c>
      <c r="AA23" s="301">
        <f>IF('- J -'!F11&lt;&gt;"",'- J -'!F11,"")</f>
        <v>3</v>
      </c>
      <c r="AB23" s="274" t="str">
        <f>'- J -'!G11</f>
        <v>Argentina</v>
      </c>
      <c r="AC23" s="272"/>
      <c r="AD23" s="272"/>
      <c r="AE23" s="272" t="str">
        <f>'- K -'!C11</f>
        <v>RD Congo</v>
      </c>
      <c r="AF23" s="301">
        <f>IF('- K -'!D11&lt;&gt;"",'- K -'!D11,"")</f>
        <v>1</v>
      </c>
      <c r="AG23" s="273">
        <f t="shared" si="11"/>
        <v>1</v>
      </c>
      <c r="AH23" s="301">
        <f>IF('- K -'!F11&lt;&gt;"",'- K -'!F11,"")</f>
        <v>0</v>
      </c>
      <c r="AI23" s="274" t="str">
        <f>'- K -'!G11</f>
        <v>Uzbekistán</v>
      </c>
      <c r="AJ23" s="272"/>
      <c r="AK23" s="272"/>
      <c r="AL23" s="272" t="str">
        <f>'- L -'!C11</f>
        <v>Croacia</v>
      </c>
      <c r="AM23" s="301">
        <f>IF('- L -'!D11&lt;&gt;"",'- L -'!D11,"")</f>
        <v>2</v>
      </c>
      <c r="AN23" s="273">
        <f t="shared" si="12"/>
        <v>1</v>
      </c>
      <c r="AO23" s="301">
        <f>IF('- L -'!F11&lt;&gt;"",'- L -'!F11,"")</f>
        <v>1</v>
      </c>
      <c r="AP23" s="274" t="str">
        <f>'- L -'!G11</f>
        <v>Ghana</v>
      </c>
      <c r="AQ23" s="278"/>
      <c r="AR23" s="278"/>
      <c r="AS23" s="278"/>
      <c r="AT23" s="278"/>
      <c r="AU23" s="278"/>
      <c r="AV23" s="278"/>
      <c r="AW23" s="278"/>
      <c r="AX23" s="278"/>
      <c r="AZ23" s="278"/>
      <c r="BA23" s="278"/>
      <c r="BB23" s="278"/>
    </row>
    <row r="24" spans="1:54" s="2" customFormat="1" ht="4.5" customHeight="1" x14ac:dyDescent="0.2">
      <c r="A24" s="32"/>
      <c r="B24" s="10"/>
      <c r="C24" s="4"/>
      <c r="D24" s="5"/>
      <c r="E24" s="12"/>
      <c r="F24" s="5"/>
      <c r="G24" s="6"/>
      <c r="H24" s="4"/>
      <c r="I24" s="4"/>
      <c r="J24" s="4"/>
      <c r="K24" s="5"/>
      <c r="L24" s="12"/>
      <c r="M24" s="5"/>
      <c r="N24" s="6"/>
      <c r="O24" s="4"/>
      <c r="P24" s="4"/>
      <c r="Q24" s="4"/>
      <c r="R24" s="5"/>
      <c r="S24" s="12"/>
      <c r="T24" s="5"/>
      <c r="U24" s="6"/>
      <c r="V24" s="4"/>
      <c r="W24" s="4"/>
      <c r="X24" s="4"/>
      <c r="Y24" s="5"/>
      <c r="Z24" s="12"/>
      <c r="AA24" s="5"/>
      <c r="AB24" s="6"/>
      <c r="AC24" s="4"/>
      <c r="AD24" s="4"/>
      <c r="AE24" s="4"/>
      <c r="AF24" s="5"/>
      <c r="AG24" s="12"/>
      <c r="AH24" s="5"/>
      <c r="AI24" s="6"/>
      <c r="AJ24" s="4"/>
      <c r="AK24" s="4"/>
      <c r="AL24" s="4"/>
      <c r="AM24" s="5"/>
      <c r="AN24" s="12"/>
      <c r="AO24" s="5"/>
      <c r="AP24" s="6"/>
      <c r="AQ24" s="10"/>
      <c r="AR24" s="10"/>
      <c r="AS24" s="10"/>
      <c r="AT24" s="10"/>
      <c r="AU24" s="278"/>
      <c r="AV24" s="278"/>
      <c r="AW24" s="278"/>
      <c r="AX24" s="278"/>
      <c r="AY24" s="277"/>
      <c r="AZ24" s="278"/>
      <c r="BA24" s="278"/>
      <c r="BB24" s="278"/>
    </row>
    <row r="25" spans="1:54" s="2" customFormat="1" ht="9" customHeight="1" x14ac:dyDescent="0.2">
      <c r="A25" s="32"/>
      <c r="B25" s="10"/>
      <c r="C25" s="295" t="s">
        <v>251</v>
      </c>
      <c r="D25" s="295"/>
      <c r="E25" s="295"/>
      <c r="F25" s="295"/>
      <c r="G25" s="295"/>
      <c r="J25" s="295" t="s">
        <v>34</v>
      </c>
      <c r="K25" s="295"/>
      <c r="L25" s="295"/>
      <c r="M25" s="295"/>
      <c r="N25" s="295"/>
      <c r="O25" s="271"/>
      <c r="P25" s="271"/>
      <c r="Q25" s="295" t="s">
        <v>0</v>
      </c>
      <c r="R25" s="295"/>
      <c r="S25" s="295"/>
      <c r="T25" s="295"/>
      <c r="U25" s="295"/>
      <c r="V25" s="271"/>
      <c r="W25" s="271"/>
      <c r="X25" s="295" t="s">
        <v>1</v>
      </c>
      <c r="Y25" s="295"/>
      <c r="Z25" s="295"/>
      <c r="AA25" s="295"/>
      <c r="AB25" s="295"/>
      <c r="AC25" s="271"/>
      <c r="AD25" s="271"/>
      <c r="AE25" s="295" t="s">
        <v>2</v>
      </c>
      <c r="AF25" s="295"/>
      <c r="AG25" s="295"/>
      <c r="AH25" s="295"/>
      <c r="AI25" s="295"/>
      <c r="AJ25" s="271"/>
      <c r="AK25" s="271"/>
      <c r="AL25" s="295"/>
      <c r="AM25" s="295"/>
      <c r="AN25" s="295"/>
      <c r="AO25" s="295"/>
      <c r="AP25" s="295"/>
      <c r="AQ25" s="10"/>
      <c r="AR25" s="10"/>
      <c r="AS25" s="10"/>
      <c r="AT25" s="10"/>
      <c r="AU25" s="278"/>
      <c r="AV25" s="278"/>
      <c r="AW25" s="278"/>
      <c r="AX25" s="278"/>
      <c r="AY25" s="277"/>
      <c r="AZ25" s="278"/>
      <c r="BA25" s="278"/>
      <c r="BB25" s="278"/>
    </row>
    <row r="26" spans="1:54" s="2" customFormat="1" ht="9" customHeight="1" x14ac:dyDescent="0.2">
      <c r="A26" s="32"/>
      <c r="B26" s="10"/>
      <c r="I26" s="277"/>
      <c r="J26" s="3"/>
      <c r="K26" s="3"/>
      <c r="M26" s="3"/>
      <c r="N26" s="3"/>
      <c r="AQ26" s="10"/>
      <c r="AR26" s="10"/>
      <c r="AS26" s="10"/>
      <c r="AT26" s="10"/>
      <c r="AU26" s="278"/>
      <c r="AV26" s="278"/>
      <c r="AW26" s="278"/>
      <c r="AX26" s="278"/>
      <c r="AY26" s="277"/>
      <c r="AZ26" s="278"/>
      <c r="BA26" s="278"/>
      <c r="BB26" s="278"/>
    </row>
    <row r="27" spans="1:54" s="2" customFormat="1" ht="9" customHeight="1" x14ac:dyDescent="0.2">
      <c r="A27" s="32"/>
      <c r="B27" s="10"/>
      <c r="C27" s="302" t="str">
        <f>'16vos de Final'!F6</f>
        <v>República Checa</v>
      </c>
      <c r="D27" s="303">
        <f>IF('16vos de Final'!G6&lt;&gt;"",'16vos de Final'!G6,"")</f>
        <v>1</v>
      </c>
      <c r="E27" s="281"/>
      <c r="F27" s="303">
        <f>IF('16vos de Final'!G8&lt;&gt;"",'16vos de Final'!G8,"")</f>
        <v>3</v>
      </c>
      <c r="G27" s="302" t="str">
        <f>'16vos de Final'!F8</f>
        <v>Canadá</v>
      </c>
      <c r="H27" s="304"/>
      <c r="I27" s="305"/>
      <c r="J27" s="279" t="str">
        <f>'Octavos de Final'!F6</f>
        <v>Canadá</v>
      </c>
      <c r="K27" s="280">
        <f>IF('Octavos de Final'!G6&lt;&gt;"",'Octavos de Final'!G6,"")</f>
        <v>2</v>
      </c>
      <c r="L27" s="281"/>
      <c r="M27" s="280">
        <f>IF('Octavos de Final'!G8&lt;&gt;"",'Octavos de Final'!G8,"")</f>
        <v>3</v>
      </c>
      <c r="N27" s="279" t="str">
        <f>'Octavos de Final'!F8</f>
        <v>Países Bajos</v>
      </c>
      <c r="O27" s="282"/>
      <c r="P27" s="277"/>
      <c r="Q27" s="277"/>
      <c r="R27" s="277"/>
      <c r="S27" s="277"/>
      <c r="T27" s="277"/>
      <c r="U27" s="277"/>
      <c r="V27" s="277"/>
      <c r="W27" s="277"/>
      <c r="X27" s="277"/>
      <c r="Y27" s="277"/>
      <c r="Z27" s="277"/>
      <c r="AA27" s="277"/>
      <c r="AB27" s="277"/>
      <c r="AC27" s="277"/>
      <c r="AD27" s="277"/>
      <c r="AE27" s="277"/>
      <c r="AF27" s="277"/>
      <c r="AG27" s="277"/>
      <c r="AH27" s="277"/>
      <c r="AI27" s="277"/>
      <c r="AJ27" s="277"/>
      <c r="AK27" s="277"/>
      <c r="AL27" s="277"/>
      <c r="AM27" s="277"/>
      <c r="AN27" s="277"/>
      <c r="AO27" s="277"/>
      <c r="AP27" s="277"/>
      <c r="AQ27" s="10"/>
      <c r="AR27" s="10"/>
      <c r="AS27" s="10"/>
      <c r="AT27" s="10"/>
      <c r="AU27" s="278"/>
      <c r="AV27" s="278"/>
      <c r="AW27" s="278"/>
      <c r="AX27" s="278"/>
      <c r="AY27" s="277"/>
      <c r="AZ27" s="278"/>
      <c r="BA27" s="278"/>
      <c r="BB27" s="278"/>
    </row>
    <row r="28" spans="1:54" s="2" customFormat="1" ht="9" customHeight="1" x14ac:dyDescent="0.2">
      <c r="A28" s="32"/>
      <c r="B28" s="10"/>
      <c r="C28" s="302" t="str">
        <f>'16vos de Final'!F18</f>
        <v>Países Bajos</v>
      </c>
      <c r="D28" s="303">
        <f>IF('16vos de Final'!G18&lt;&gt;"",'16vos de Final'!G18,"")</f>
        <v>4</v>
      </c>
      <c r="E28" s="281"/>
      <c r="F28" s="303">
        <f>IF('16vos de Final'!G20&lt;&gt;"",'16vos de Final'!G20,"")</f>
        <v>2</v>
      </c>
      <c r="G28" s="302" t="str">
        <f>'16vos de Final'!F20</f>
        <v>Escocia</v>
      </c>
      <c r="I28" s="277"/>
      <c r="J28" s="283"/>
      <c r="K28" s="284"/>
      <c r="L28" s="281"/>
      <c r="M28" s="284"/>
      <c r="N28" s="283"/>
      <c r="O28" s="285"/>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10"/>
      <c r="AR28" s="10"/>
      <c r="AS28" s="10"/>
      <c r="AT28" s="10"/>
      <c r="AU28" s="278"/>
      <c r="AV28" s="278"/>
      <c r="AW28" s="278"/>
      <c r="AX28" s="278"/>
      <c r="AY28" s="277"/>
      <c r="AZ28" s="278"/>
      <c r="BA28" s="278"/>
      <c r="BB28" s="278"/>
    </row>
    <row r="29" spans="1:54" s="2" customFormat="1" ht="9" customHeight="1" x14ac:dyDescent="0.2">
      <c r="A29" s="241"/>
      <c r="B29" s="10"/>
      <c r="I29" s="277"/>
      <c r="J29" s="281"/>
      <c r="K29" s="281"/>
      <c r="L29" s="281"/>
      <c r="M29" s="281"/>
      <c r="N29" s="281"/>
      <c r="O29" s="286"/>
      <c r="P29" s="282"/>
      <c r="Q29" s="279" t="str">
        <f>'Cuartos de Final'!F6</f>
        <v>Francia</v>
      </c>
      <c r="R29" s="280">
        <f>IF('Cuartos de Final'!G6&lt;&gt;"",'Cuartos de Final'!G6,"")</f>
        <v>2</v>
      </c>
      <c r="S29" s="281"/>
      <c r="T29" s="280">
        <f>IF('Cuartos de Final'!G8&lt;&gt;"",'Cuartos de Final'!G8,"")</f>
        <v>2</v>
      </c>
      <c r="U29" s="279" t="str">
        <f>'Cuartos de Final'!F8</f>
        <v>Países Bajos</v>
      </c>
      <c r="V29" s="282"/>
      <c r="W29" s="277"/>
      <c r="X29" s="277"/>
      <c r="Y29" s="277"/>
      <c r="Z29" s="277"/>
      <c r="AA29" s="277"/>
      <c r="AB29" s="277"/>
      <c r="AC29" s="277"/>
      <c r="AD29" s="277"/>
      <c r="AE29" s="277"/>
      <c r="AF29" s="277"/>
      <c r="AG29" s="277"/>
      <c r="AH29" s="277"/>
      <c r="AI29" s="287"/>
      <c r="AJ29" s="277"/>
      <c r="AK29" s="277"/>
      <c r="AL29" s="277"/>
      <c r="AM29" s="277"/>
      <c r="AN29" s="277"/>
      <c r="AO29" s="277"/>
      <c r="AP29" s="287"/>
      <c r="AQ29" s="10"/>
      <c r="AR29" s="10"/>
      <c r="AS29" s="10"/>
      <c r="AT29" s="10"/>
      <c r="AU29" s="278"/>
      <c r="AV29" s="278"/>
      <c r="AW29" s="278"/>
      <c r="AX29" s="278"/>
      <c r="AY29" s="277"/>
      <c r="AZ29" s="278"/>
      <c r="BA29" s="278"/>
      <c r="BB29" s="278"/>
    </row>
    <row r="30" spans="1:54" s="2" customFormat="1" ht="9" customHeight="1" x14ac:dyDescent="0.2">
      <c r="A30" s="241"/>
      <c r="B30" s="10"/>
      <c r="I30" s="277"/>
      <c r="J30" s="281"/>
      <c r="K30" s="281"/>
      <c r="L30" s="281"/>
      <c r="M30" s="281"/>
      <c r="N30" s="281"/>
      <c r="O30" s="286"/>
      <c r="P30" s="277"/>
      <c r="Q30" s="283"/>
      <c r="R30" s="284"/>
      <c r="S30" s="281"/>
      <c r="T30" s="284"/>
      <c r="U30" s="283"/>
      <c r="V30" s="285"/>
      <c r="W30" s="277"/>
      <c r="X30" s="277"/>
      <c r="Y30" s="277"/>
      <c r="Z30" s="277"/>
      <c r="AA30" s="277"/>
      <c r="AB30" s="277"/>
      <c r="AC30" s="277"/>
      <c r="AD30" s="277"/>
      <c r="AE30" s="277"/>
      <c r="AF30" s="277"/>
      <c r="AG30" s="277"/>
      <c r="AH30" s="277"/>
      <c r="AI30" s="277"/>
      <c r="AJ30" s="277"/>
      <c r="AK30" s="277"/>
      <c r="AL30" s="277"/>
      <c r="AM30" s="277"/>
      <c r="AN30" s="277"/>
      <c r="AO30" s="277"/>
      <c r="AP30" s="277"/>
      <c r="AQ30" s="10"/>
      <c r="AR30" s="10"/>
      <c r="AS30" s="10"/>
      <c r="AT30" s="10"/>
      <c r="AU30" s="278"/>
      <c r="AV30" s="278"/>
      <c r="AW30" s="278"/>
      <c r="AX30" s="278"/>
      <c r="AY30" s="277"/>
      <c r="AZ30" s="278"/>
      <c r="BA30" s="278"/>
      <c r="BB30" s="278"/>
    </row>
    <row r="31" spans="1:54" s="2" customFormat="1" ht="9" customHeight="1" x14ac:dyDescent="0.2">
      <c r="A31" s="241"/>
      <c r="B31" s="10"/>
      <c r="C31" s="302" t="str">
        <f>'16vos de Final'!F14</f>
        <v>Alemania</v>
      </c>
      <c r="D31" s="303">
        <f>IF('16vos de Final'!G14&lt;&gt;"",'16vos de Final'!G14,"")</f>
        <v>3</v>
      </c>
      <c r="E31" s="281"/>
      <c r="F31" s="303">
        <f>IF('16vos de Final'!G16&lt;&gt;"",'16vos de Final'!G16,"")</f>
        <v>1</v>
      </c>
      <c r="G31" s="302" t="str">
        <f>'16vos de Final'!F16</f>
        <v>Paraguay</v>
      </c>
      <c r="H31" s="304"/>
      <c r="I31" s="305"/>
      <c r="J31" s="279" t="str">
        <f>'Octavos de Final'!F10</f>
        <v>Alemania</v>
      </c>
      <c r="K31" s="280">
        <f>IF('Octavos de Final'!G10&lt;&gt;"",'Octavos de Final'!G10,"")</f>
        <v>2</v>
      </c>
      <c r="L31" s="281"/>
      <c r="M31" s="280">
        <f>IF('Octavos de Final'!G12&lt;&gt;"",'Octavos de Final'!G12,"")</f>
        <v>3</v>
      </c>
      <c r="N31" s="279" t="str">
        <f>'Octavos de Final'!F12</f>
        <v>Francia</v>
      </c>
      <c r="O31" s="290"/>
      <c r="P31" s="277"/>
      <c r="Q31" s="272"/>
      <c r="R31" s="281"/>
      <c r="S31" s="281"/>
      <c r="T31" s="281"/>
      <c r="U31" s="272"/>
      <c r="V31" s="286"/>
      <c r="W31" s="277"/>
      <c r="X31" s="277"/>
      <c r="Y31" s="277"/>
      <c r="Z31" s="277"/>
      <c r="AA31" s="277"/>
      <c r="AB31" s="277"/>
      <c r="AC31" s="277"/>
      <c r="AD31" s="277"/>
      <c r="AE31" s="277"/>
      <c r="AF31" s="277"/>
      <c r="AG31" s="277"/>
      <c r="AH31" s="277"/>
      <c r="AI31" s="277"/>
      <c r="AJ31" s="277"/>
      <c r="AK31" s="277"/>
      <c r="AL31" s="277"/>
      <c r="AM31" s="277"/>
      <c r="AN31" s="277"/>
      <c r="AO31" s="277"/>
      <c r="AP31" s="277"/>
      <c r="AQ31" s="10"/>
      <c r="AR31" s="10"/>
      <c r="AS31" s="10"/>
      <c r="AT31" s="10"/>
      <c r="AU31" s="278"/>
      <c r="AV31" s="278"/>
      <c r="AW31" s="278"/>
      <c r="AX31" s="278"/>
      <c r="AY31" s="277"/>
      <c r="AZ31" s="278"/>
      <c r="BA31" s="278"/>
      <c r="BB31" s="278"/>
    </row>
    <row r="32" spans="1:54" s="2" customFormat="1" ht="9" customHeight="1" x14ac:dyDescent="0.2">
      <c r="A32" s="241"/>
      <c r="B32" s="10"/>
      <c r="C32" s="302" t="str">
        <f>'16vos de Final'!F26</f>
        <v>Francia</v>
      </c>
      <c r="D32" s="303">
        <f>IF('16vos de Final'!G26&lt;&gt;"",'16vos de Final'!G26,"")</f>
        <v>4</v>
      </c>
      <c r="E32" s="281"/>
      <c r="F32" s="303">
        <f>IF('16vos de Final'!G28&lt;&gt;"",'16vos de Final'!G28,"")</f>
        <v>1</v>
      </c>
      <c r="G32" s="302" t="str">
        <f>'16vos de Final'!F28</f>
        <v>Suecia</v>
      </c>
      <c r="I32" s="277"/>
      <c r="J32" s="283"/>
      <c r="K32" s="284"/>
      <c r="L32" s="281"/>
      <c r="M32" s="284"/>
      <c r="N32" s="283"/>
      <c r="O32" s="277"/>
      <c r="P32" s="277"/>
      <c r="Q32" s="272"/>
      <c r="R32" s="281"/>
      <c r="S32" s="281"/>
      <c r="T32" s="281"/>
      <c r="U32" s="272"/>
      <c r="V32" s="286"/>
      <c r="W32" s="277"/>
      <c r="X32" s="277"/>
      <c r="Y32" s="277"/>
      <c r="Z32" s="277"/>
      <c r="AA32" s="277"/>
      <c r="AB32" s="277"/>
      <c r="AC32" s="277"/>
      <c r="AD32" s="277"/>
      <c r="AE32" s="277"/>
      <c r="AF32" s="277"/>
      <c r="AG32" s="277"/>
      <c r="AH32" s="277"/>
      <c r="AI32" s="277"/>
      <c r="AJ32" s="277"/>
      <c r="AK32" s="277"/>
      <c r="AL32" s="277"/>
      <c r="AM32" s="277"/>
      <c r="AN32" s="277"/>
      <c r="AO32" s="277"/>
      <c r="AP32" s="277"/>
      <c r="AQ32" s="10"/>
      <c r="AR32" s="10"/>
      <c r="AS32" s="10"/>
      <c r="AT32" s="10"/>
      <c r="AU32" s="278"/>
      <c r="AV32" s="278"/>
      <c r="AW32" s="278"/>
      <c r="AX32" s="278"/>
      <c r="AY32" s="277"/>
      <c r="AZ32" s="278"/>
      <c r="BA32" s="278"/>
      <c r="BB32" s="278"/>
    </row>
    <row r="33" spans="1:54" s="2" customFormat="1" ht="9" customHeight="1" x14ac:dyDescent="0.2">
      <c r="A33" s="241"/>
      <c r="B33" s="10"/>
      <c r="J33" s="281"/>
      <c r="K33" s="281"/>
      <c r="L33" s="281"/>
      <c r="M33" s="281"/>
      <c r="N33" s="281"/>
      <c r="O33" s="277"/>
      <c r="P33" s="277"/>
      <c r="Q33" s="272"/>
      <c r="R33" s="281"/>
      <c r="S33" s="281"/>
      <c r="T33" s="281"/>
      <c r="U33" s="272"/>
      <c r="V33" s="286"/>
      <c r="W33" s="282"/>
      <c r="X33" s="279" t="str">
        <f>Semifinal!F6</f>
        <v>Francia</v>
      </c>
      <c r="Y33" s="280">
        <f>IF(Semifinal!G6&lt;&gt;"",Semifinal!G6,"")</f>
        <v>4</v>
      </c>
      <c r="Z33" s="281"/>
      <c r="AA33" s="280">
        <f>IF(Semifinal!G8&lt;&gt;"",Semifinal!G8,"")</f>
        <v>3</v>
      </c>
      <c r="AB33" s="279" t="str">
        <f>Semifinal!F8</f>
        <v>España</v>
      </c>
      <c r="AC33" s="282"/>
      <c r="AD33" s="277"/>
      <c r="AE33" s="277"/>
      <c r="AF33" s="277"/>
      <c r="AG33" s="277"/>
      <c r="AH33" s="277"/>
      <c r="AI33" s="277"/>
      <c r="AJ33" s="277"/>
      <c r="AK33" s="277"/>
      <c r="AL33" s="277"/>
      <c r="AM33" s="277"/>
      <c r="AN33" s="277"/>
      <c r="AO33" s="277"/>
      <c r="AP33" s="277"/>
      <c r="AQ33" s="10"/>
      <c r="AR33" s="10"/>
      <c r="AS33" s="10"/>
      <c r="AT33" s="10"/>
      <c r="AU33" s="278"/>
      <c r="AV33" s="278"/>
      <c r="AW33" s="278"/>
      <c r="AX33" s="278"/>
      <c r="AY33" s="277"/>
      <c r="AZ33" s="278"/>
      <c r="BA33" s="278"/>
      <c r="BB33" s="278"/>
    </row>
    <row r="34" spans="1:54" s="2" customFormat="1" ht="9" customHeight="1" x14ac:dyDescent="0.2">
      <c r="A34" s="241"/>
      <c r="B34" s="10"/>
      <c r="J34" s="281"/>
      <c r="K34" s="281"/>
      <c r="L34" s="281"/>
      <c r="M34" s="281"/>
      <c r="N34" s="281"/>
      <c r="O34" s="277"/>
      <c r="P34" s="277"/>
      <c r="Q34" s="272"/>
      <c r="R34" s="281"/>
      <c r="S34" s="281"/>
      <c r="T34" s="281"/>
      <c r="U34" s="272"/>
      <c r="V34" s="286"/>
      <c r="W34" s="277"/>
      <c r="X34" s="283"/>
      <c r="Y34" s="284"/>
      <c r="Z34" s="281"/>
      <c r="AA34" s="284"/>
      <c r="AB34" s="283"/>
      <c r="AC34" s="285"/>
      <c r="AD34" s="277"/>
      <c r="AE34" s="277"/>
      <c r="AF34" s="277"/>
      <c r="AG34" s="277"/>
      <c r="AH34" s="277"/>
      <c r="AI34" s="277"/>
      <c r="AJ34" s="277"/>
      <c r="AK34" s="277"/>
      <c r="AL34" s="277"/>
      <c r="AM34" s="277"/>
      <c r="AN34" s="277"/>
      <c r="AO34" s="277"/>
      <c r="AP34" s="277"/>
      <c r="AQ34" s="10"/>
      <c r="AR34" s="10"/>
      <c r="AS34" s="10"/>
      <c r="AT34" s="10"/>
      <c r="AU34" s="278"/>
      <c r="AV34" s="278"/>
      <c r="AW34" s="278"/>
      <c r="AX34" s="278"/>
      <c r="AY34" s="277"/>
      <c r="AZ34" s="278"/>
      <c r="BA34" s="278"/>
      <c r="BB34" s="278"/>
    </row>
    <row r="35" spans="1:54" s="2" customFormat="1" ht="9" customHeight="1" x14ac:dyDescent="0.2">
      <c r="A35" s="241"/>
      <c r="B35" s="10"/>
      <c r="J35" s="288"/>
      <c r="K35" s="289"/>
      <c r="L35" s="281"/>
      <c r="M35" s="289"/>
      <c r="N35" s="288"/>
      <c r="O35" s="277"/>
      <c r="P35" s="277"/>
      <c r="Q35" s="272"/>
      <c r="R35" s="281"/>
      <c r="S35" s="281"/>
      <c r="T35" s="281"/>
      <c r="U35" s="272"/>
      <c r="V35" s="286"/>
      <c r="W35" s="277"/>
      <c r="X35" s="272"/>
      <c r="Y35" s="281"/>
      <c r="Z35" s="281"/>
      <c r="AA35" s="281"/>
      <c r="AB35" s="272"/>
      <c r="AC35" s="286"/>
      <c r="AD35" s="277"/>
      <c r="AE35" s="277"/>
      <c r="AF35" s="277"/>
      <c r="AG35" s="277"/>
      <c r="AH35" s="277"/>
      <c r="AI35" s="277"/>
      <c r="AJ35" s="277"/>
      <c r="AK35" s="277"/>
      <c r="AL35" s="277"/>
      <c r="AM35" s="277"/>
      <c r="AN35" s="277"/>
      <c r="AO35" s="277"/>
      <c r="AP35" s="277"/>
      <c r="AQ35" s="10"/>
      <c r="AR35" s="10"/>
      <c r="AS35" s="10"/>
      <c r="AT35" s="10"/>
      <c r="AU35" s="278"/>
      <c r="AV35" s="278"/>
      <c r="AW35" s="278"/>
      <c r="AX35" s="278"/>
      <c r="AY35" s="277"/>
      <c r="AZ35" s="278"/>
      <c r="BA35" s="278"/>
      <c r="BB35" s="278"/>
    </row>
    <row r="36" spans="1:54" s="2" customFormat="1" ht="9" customHeight="1" x14ac:dyDescent="0.2">
      <c r="A36" s="241"/>
      <c r="B36" s="10"/>
      <c r="C36" s="302" t="str">
        <f>'16vos de Final'!F50</f>
        <v>Colombia</v>
      </c>
      <c r="D36" s="303">
        <f>IF('16vos de Final'!G50&lt;&gt;"",'16vos de Final'!G50,"")</f>
        <v>2</v>
      </c>
      <c r="E36" s="281"/>
      <c r="F36" s="303">
        <f>IF('16vos de Final'!G52&lt;&gt;"",'16vos de Final'!G52,"")</f>
        <v>2</v>
      </c>
      <c r="G36" s="302" t="str">
        <f>'16vos de Final'!F52</f>
        <v>Croacia</v>
      </c>
      <c r="H36" s="304"/>
      <c r="I36" s="305"/>
      <c r="J36" s="279" t="str">
        <f>'Octavos de Final'!F22</f>
        <v>Croacia</v>
      </c>
      <c r="K36" s="280">
        <f>IF('Octavos de Final'!G22&lt;&gt;"",'Octavos de Final'!G22,"")</f>
        <v>2</v>
      </c>
      <c r="L36" s="281"/>
      <c r="M36" s="280">
        <f>IF('Octavos de Final'!G24&lt;&gt;"",'Octavos de Final'!G24,"")</f>
        <v>4</v>
      </c>
      <c r="N36" s="279" t="str">
        <f>'Octavos de Final'!F24</f>
        <v>España</v>
      </c>
      <c r="O36" s="282"/>
      <c r="P36" s="277"/>
      <c r="Q36" s="272"/>
      <c r="R36" s="281"/>
      <c r="S36" s="281"/>
      <c r="T36" s="281"/>
      <c r="U36" s="272"/>
      <c r="V36" s="286"/>
      <c r="W36" s="277"/>
      <c r="X36" s="272"/>
      <c r="Y36" s="281"/>
      <c r="Z36" s="281"/>
      <c r="AA36" s="281"/>
      <c r="AB36" s="272"/>
      <c r="AC36" s="286"/>
      <c r="AD36" s="277"/>
      <c r="AE36" s="277"/>
      <c r="AF36" s="277"/>
      <c r="AG36" s="277"/>
      <c r="AH36" s="277"/>
      <c r="AI36" s="277"/>
      <c r="AJ36" s="277"/>
      <c r="AK36" s="277"/>
      <c r="AL36" s="277"/>
      <c r="AM36" s="277"/>
      <c r="AN36" s="277"/>
      <c r="AO36" s="277"/>
      <c r="AP36" s="277"/>
      <c r="AQ36" s="10"/>
      <c r="AR36" s="10"/>
      <c r="AS36" s="10"/>
      <c r="AT36" s="10"/>
      <c r="AU36" s="10"/>
      <c r="AV36" s="10"/>
      <c r="AW36" s="10"/>
      <c r="AX36" s="10"/>
      <c r="AZ36" s="10"/>
      <c r="BA36" s="10"/>
      <c r="BB36" s="10"/>
    </row>
    <row r="37" spans="1:54" s="2" customFormat="1" ht="9" customHeight="1" x14ac:dyDescent="0.2">
      <c r="A37" s="241"/>
      <c r="B37" s="10"/>
      <c r="C37" s="302" t="str">
        <f>'16vos de Final'!F46</f>
        <v>España</v>
      </c>
      <c r="D37" s="303">
        <f>IF('16vos de Final'!G46&lt;&gt;"",'16vos de Final'!G46,"")</f>
        <v>4</v>
      </c>
      <c r="E37" s="281"/>
      <c r="F37" s="303">
        <f>IF('16vos de Final'!G48&lt;&gt;"",'16vos de Final'!G48,"")</f>
        <v>1</v>
      </c>
      <c r="G37" s="302" t="str">
        <f>'16vos de Final'!F48</f>
        <v>Austria</v>
      </c>
      <c r="I37" s="277"/>
      <c r="J37" s="283"/>
      <c r="K37" s="284"/>
      <c r="L37" s="281"/>
      <c r="M37" s="284"/>
      <c r="N37" s="283"/>
      <c r="O37" s="285"/>
      <c r="P37" s="277"/>
      <c r="Q37" s="272"/>
      <c r="R37" s="281"/>
      <c r="S37" s="281"/>
      <c r="T37" s="281"/>
      <c r="U37" s="272"/>
      <c r="V37" s="286"/>
      <c r="W37" s="277"/>
      <c r="X37" s="272"/>
      <c r="Y37" s="281"/>
      <c r="Z37" s="281"/>
      <c r="AA37" s="281"/>
      <c r="AB37" s="272"/>
      <c r="AC37" s="286"/>
      <c r="AD37" s="277"/>
      <c r="AE37" s="277"/>
      <c r="AF37" s="277"/>
      <c r="AG37" s="277"/>
      <c r="AH37" s="277"/>
      <c r="AI37" s="277"/>
      <c r="AJ37" s="277"/>
      <c r="AK37" s="277"/>
      <c r="AL37" s="277"/>
      <c r="AM37" s="277"/>
      <c r="AN37" s="277"/>
      <c r="AO37" s="277"/>
      <c r="AP37" s="277"/>
      <c r="AQ37" s="10"/>
      <c r="AR37" s="10"/>
      <c r="AS37" s="10"/>
      <c r="AT37" s="10"/>
      <c r="AU37" s="10"/>
      <c r="AV37" s="10"/>
      <c r="AW37" s="10"/>
      <c r="AX37" s="10"/>
      <c r="AZ37" s="10"/>
      <c r="BA37" s="10"/>
      <c r="BB37" s="10"/>
    </row>
    <row r="38" spans="1:54" s="2" customFormat="1" ht="9" customHeight="1" x14ac:dyDescent="0.2">
      <c r="A38" s="241"/>
      <c r="B38" s="10"/>
      <c r="J38" s="281"/>
      <c r="K38" s="281"/>
      <c r="L38" s="281"/>
      <c r="M38" s="281"/>
      <c r="N38" s="281"/>
      <c r="O38" s="286"/>
      <c r="P38" s="282"/>
      <c r="Q38" s="279" t="str">
        <f>'Cuartos de Final'!F10</f>
        <v>España</v>
      </c>
      <c r="R38" s="280">
        <f>IF('Cuartos de Final'!G10&lt;&gt;"",'Cuartos de Final'!G10,"")</f>
        <v>3</v>
      </c>
      <c r="S38" s="281"/>
      <c r="T38" s="280">
        <f>IF('Cuartos de Final'!G12&lt;&gt;"",'Cuartos de Final'!G12,"")</f>
        <v>2</v>
      </c>
      <c r="U38" s="279" t="str">
        <f>'Cuartos de Final'!F12</f>
        <v>Bélgica</v>
      </c>
      <c r="V38" s="290"/>
      <c r="W38" s="277"/>
      <c r="X38" s="272"/>
      <c r="Y38" s="281"/>
      <c r="Z38" s="281"/>
      <c r="AA38" s="281"/>
      <c r="AB38" s="272"/>
      <c r="AC38" s="286"/>
      <c r="AD38" s="277"/>
      <c r="AE38" s="337" t="s">
        <v>2</v>
      </c>
      <c r="AF38" s="338"/>
      <c r="AG38" s="338"/>
      <c r="AH38" s="338"/>
      <c r="AI38" s="339"/>
      <c r="AJ38" s="277"/>
      <c r="AK38" s="277"/>
      <c r="AL38" s="298" t="s">
        <v>71</v>
      </c>
      <c r="AM38" s="277"/>
      <c r="AN38" s="277"/>
      <c r="AO38" s="277"/>
      <c r="AP38" s="277"/>
      <c r="AQ38" s="10"/>
      <c r="AR38" s="10"/>
      <c r="AS38" s="10"/>
      <c r="AT38" s="10"/>
      <c r="AU38" s="10"/>
      <c r="AV38" s="10"/>
      <c r="AW38" s="10"/>
      <c r="AX38" s="10"/>
      <c r="AZ38" s="10"/>
      <c r="BA38" s="10"/>
      <c r="BB38" s="10"/>
    </row>
    <row r="39" spans="1:54" s="2" customFormat="1" ht="9" customHeight="1" x14ac:dyDescent="0.2">
      <c r="A39" s="241"/>
      <c r="B39" s="10"/>
      <c r="J39" s="281"/>
      <c r="K39" s="281"/>
      <c r="L39" s="281"/>
      <c r="M39" s="281"/>
      <c r="N39" s="281"/>
      <c r="O39" s="286"/>
      <c r="P39" s="277"/>
      <c r="Q39" s="283"/>
      <c r="R39" s="284"/>
      <c r="S39" s="281"/>
      <c r="T39" s="284"/>
      <c r="U39" s="283"/>
      <c r="V39" s="277"/>
      <c r="W39" s="277"/>
      <c r="X39" s="272"/>
      <c r="Y39" s="281"/>
      <c r="Z39" s="281"/>
      <c r="AA39" s="281"/>
      <c r="AB39" s="272"/>
      <c r="AC39" s="286"/>
      <c r="AD39" s="277"/>
      <c r="AE39" s="277"/>
      <c r="AF39" s="277"/>
      <c r="AG39" s="277"/>
      <c r="AH39" s="277"/>
      <c r="AI39" s="277"/>
      <c r="AJ39" s="277"/>
      <c r="AK39" s="277"/>
      <c r="AL39" s="277"/>
      <c r="AM39" s="277"/>
      <c r="AN39" s="277"/>
      <c r="AO39" s="277"/>
      <c r="AP39" s="277"/>
      <c r="AQ39" s="11"/>
      <c r="AR39" s="11"/>
      <c r="AS39" s="11"/>
      <c r="AT39" s="11"/>
      <c r="AU39" s="11"/>
      <c r="AV39" s="11"/>
      <c r="AW39" s="11"/>
      <c r="AX39" s="10"/>
      <c r="AZ39" s="11"/>
      <c r="BA39" s="11"/>
      <c r="BB39" s="10"/>
    </row>
    <row r="40" spans="1:54" s="2" customFormat="1" ht="9" customHeight="1" x14ac:dyDescent="0.2">
      <c r="A40" s="241"/>
      <c r="B40" s="10"/>
      <c r="C40" s="302" t="str">
        <f>'16vos de Final'!F42</f>
        <v>EE. UU.</v>
      </c>
      <c r="D40" s="303">
        <f>IF('16vos de Final'!G42&lt;&gt;"",'16vos de Final'!G42,"")</f>
        <v>1</v>
      </c>
      <c r="E40" s="281"/>
      <c r="F40" s="303">
        <f>IF('16vos de Final'!G44&lt;&gt;"",'16vos de Final'!G44,"")</f>
        <v>0</v>
      </c>
      <c r="G40" s="302" t="str">
        <f>'16vos de Final'!F44</f>
        <v>Bosnia</v>
      </c>
      <c r="H40" s="304"/>
      <c r="I40" s="305"/>
      <c r="J40" s="279" t="str">
        <f>'Octavos de Final'!F26</f>
        <v>EE. UU.</v>
      </c>
      <c r="K40" s="280">
        <f>IF('Octavos de Final'!G26&lt;&gt;"",'Octavos de Final'!G26,"")</f>
        <v>1</v>
      </c>
      <c r="L40" s="281"/>
      <c r="M40" s="280">
        <f>IF('Octavos de Final'!G28&lt;&gt;"",'Octavos de Final'!G28,"")</f>
        <v>3</v>
      </c>
      <c r="N40" s="279" t="str">
        <f>'Octavos de Final'!F28</f>
        <v>Bélgica</v>
      </c>
      <c r="O40" s="290"/>
      <c r="P40" s="277"/>
      <c r="Q40" s="272"/>
      <c r="R40" s="281"/>
      <c r="S40" s="281"/>
      <c r="T40" s="281"/>
      <c r="U40" s="272"/>
      <c r="V40" s="277"/>
      <c r="W40" s="277"/>
      <c r="X40" s="272"/>
      <c r="Y40" s="281"/>
      <c r="Z40" s="281"/>
      <c r="AA40" s="281"/>
      <c r="AB40" s="272"/>
      <c r="AC40" s="286"/>
      <c r="AD40" s="291"/>
      <c r="AE40" s="279" t="str">
        <f>FINAL!F13</f>
        <v>Francia</v>
      </c>
      <c r="AF40" s="280">
        <f>IF(FINAL!G13&lt;&gt;"",FINAL!G13,"")</f>
        <v>2</v>
      </c>
      <c r="AG40" s="281"/>
      <c r="AH40" s="280">
        <f>IF(FINAL!G15&lt;&gt;"",FINAL!G15,"")</f>
        <v>3</v>
      </c>
      <c r="AI40" s="279" t="str">
        <f>FINAL!F15</f>
        <v>Brasil</v>
      </c>
      <c r="AJ40" s="297"/>
      <c r="AK40" s="297"/>
      <c r="AL40" s="279" t="str">
        <f>FINAL!K14</f>
        <v>Brasil</v>
      </c>
      <c r="AM40" s="277"/>
      <c r="AN40" s="277"/>
      <c r="AO40" s="277"/>
      <c r="AP40" s="277"/>
      <c r="AQ40" s="11"/>
      <c r="AR40" s="11"/>
      <c r="AS40" s="11"/>
      <c r="AT40" s="11"/>
      <c r="AU40" s="11"/>
      <c r="AV40" s="11"/>
      <c r="AW40" s="11"/>
      <c r="AX40" s="10"/>
      <c r="AZ40" s="11"/>
      <c r="BA40" s="11"/>
      <c r="BB40" s="10"/>
    </row>
    <row r="41" spans="1:54" s="2" customFormat="1" ht="9" customHeight="1" x14ac:dyDescent="0.2">
      <c r="A41" s="241"/>
      <c r="B41" s="10"/>
      <c r="C41" s="302" t="str">
        <f>'16vos de Final'!F38</f>
        <v>Bélgica</v>
      </c>
      <c r="D41" s="303">
        <f>IF('16vos de Final'!G38&lt;&gt;"",'16vos de Final'!G38,"")</f>
        <v>3</v>
      </c>
      <c r="E41" s="281"/>
      <c r="F41" s="303">
        <f>IF('16vos de Final'!G40&lt;&gt;"",'16vos de Final'!G40,"")</f>
        <v>1</v>
      </c>
      <c r="G41" s="302" t="str">
        <f>'16vos de Final'!F40</f>
        <v>Korea</v>
      </c>
      <c r="I41" s="277"/>
      <c r="J41" s="283"/>
      <c r="K41" s="284"/>
      <c r="L41" s="281"/>
      <c r="M41" s="284"/>
      <c r="N41" s="283"/>
      <c r="O41" s="277"/>
      <c r="P41" s="277"/>
      <c r="Q41" s="272"/>
      <c r="R41" s="281"/>
      <c r="S41" s="281"/>
      <c r="T41" s="281"/>
      <c r="U41" s="272"/>
      <c r="V41" s="277"/>
      <c r="W41" s="277"/>
      <c r="X41" s="272"/>
      <c r="Y41" s="281"/>
      <c r="Z41" s="281"/>
      <c r="AA41" s="281"/>
      <c r="AB41" s="272"/>
      <c r="AC41" s="286"/>
      <c r="AD41" s="277"/>
      <c r="AE41" s="283"/>
      <c r="AF41" s="284"/>
      <c r="AG41" s="281"/>
      <c r="AH41" s="284"/>
      <c r="AI41" s="283"/>
      <c r="AJ41" s="277"/>
      <c r="AK41" s="277"/>
      <c r="AL41" s="283"/>
      <c r="AM41" s="277"/>
      <c r="AN41" s="277"/>
      <c r="AO41" s="277"/>
      <c r="AP41" s="277"/>
      <c r="AQ41" s="11"/>
      <c r="AR41" s="11"/>
      <c r="AS41" s="11"/>
      <c r="AT41" s="11"/>
      <c r="AU41" s="11"/>
      <c r="AV41" s="11"/>
      <c r="AW41" s="11"/>
      <c r="AX41" s="10"/>
      <c r="AZ41" s="11"/>
      <c r="BA41" s="11"/>
      <c r="BB41" s="10"/>
    </row>
    <row r="42" spans="1:54" s="2" customFormat="1" ht="9" customHeight="1" x14ac:dyDescent="0.2">
      <c r="A42" s="241"/>
      <c r="B42" s="10"/>
      <c r="J42" s="281"/>
      <c r="K42" s="281"/>
      <c r="L42" s="281"/>
      <c r="M42" s="281"/>
      <c r="N42" s="281"/>
      <c r="O42" s="277"/>
      <c r="P42" s="277"/>
      <c r="Q42" s="272"/>
      <c r="R42" s="281"/>
      <c r="S42" s="281"/>
      <c r="T42" s="281"/>
      <c r="U42" s="272"/>
      <c r="V42" s="277"/>
      <c r="W42" s="277"/>
      <c r="X42" s="272"/>
      <c r="Y42" s="281"/>
      <c r="Z42" s="281"/>
      <c r="AA42" s="281"/>
      <c r="AB42" s="272"/>
      <c r="AC42" s="286"/>
      <c r="AD42" s="277"/>
      <c r="AE42" s="277"/>
      <c r="AF42" s="292"/>
      <c r="AG42" s="292"/>
      <c r="AH42" s="292"/>
      <c r="AI42" s="277"/>
      <c r="AJ42" s="277"/>
      <c r="AK42" s="277"/>
      <c r="AL42" s="277"/>
      <c r="AM42" s="277"/>
      <c r="AN42" s="277"/>
      <c r="AO42" s="277"/>
      <c r="AP42" s="277"/>
      <c r="AQ42" s="11"/>
      <c r="AR42" s="11"/>
      <c r="AS42" s="11"/>
      <c r="AT42" s="11"/>
      <c r="AU42" s="11"/>
      <c r="AV42" s="11"/>
      <c r="AW42" s="11"/>
      <c r="AX42" s="10"/>
      <c r="AZ42" s="11"/>
      <c r="BA42" s="11"/>
      <c r="BB42" s="10"/>
    </row>
    <row r="43" spans="1:54" s="2" customFormat="1" ht="9" customHeight="1" x14ac:dyDescent="0.2">
      <c r="A43" s="241"/>
      <c r="B43" s="10"/>
      <c r="J43" s="281"/>
      <c r="K43" s="281"/>
      <c r="L43" s="281"/>
      <c r="M43" s="281"/>
      <c r="N43" s="281"/>
      <c r="O43" s="277"/>
      <c r="P43" s="277"/>
      <c r="Q43" s="272"/>
      <c r="R43" s="281"/>
      <c r="S43" s="281"/>
      <c r="T43" s="281"/>
      <c r="U43" s="272"/>
      <c r="V43" s="277"/>
      <c r="W43" s="277"/>
      <c r="X43" s="272"/>
      <c r="Y43" s="281"/>
      <c r="Z43" s="281"/>
      <c r="AA43" s="281"/>
      <c r="AB43" s="272"/>
      <c r="AC43" s="286"/>
      <c r="AD43" s="277"/>
      <c r="AE43" s="340" t="s">
        <v>41</v>
      </c>
      <c r="AF43" s="341"/>
      <c r="AG43" s="341"/>
      <c r="AH43" s="341"/>
      <c r="AI43" s="342"/>
      <c r="AJ43" s="277"/>
      <c r="AK43" s="277"/>
      <c r="AL43" s="11"/>
      <c r="AM43" s="277"/>
      <c r="AN43" s="277"/>
      <c r="AO43" s="277"/>
      <c r="AP43" s="277"/>
      <c r="AQ43" s="11"/>
      <c r="AR43" s="11"/>
      <c r="AS43" s="11"/>
      <c r="AT43" s="11"/>
      <c r="AU43" s="11"/>
      <c r="AV43" s="11"/>
      <c r="AW43" s="11"/>
      <c r="AX43" s="10"/>
      <c r="AZ43" s="11"/>
      <c r="BA43" s="11"/>
      <c r="BB43" s="10"/>
    </row>
    <row r="44" spans="1:54" s="2" customFormat="1" ht="9" customHeight="1" x14ac:dyDescent="0.2">
      <c r="A44" s="241"/>
      <c r="B44" s="10"/>
      <c r="J44" s="288"/>
      <c r="K44" s="289"/>
      <c r="L44" s="281"/>
      <c r="M44" s="289"/>
      <c r="N44" s="288"/>
      <c r="O44" s="277"/>
      <c r="P44" s="277"/>
      <c r="Q44" s="272"/>
      <c r="R44" s="281"/>
      <c r="S44" s="281"/>
      <c r="T44" s="281"/>
      <c r="U44" s="272"/>
      <c r="V44" s="277"/>
      <c r="W44" s="277"/>
      <c r="X44" s="272"/>
      <c r="Y44" s="281"/>
      <c r="Z44" s="281"/>
      <c r="AA44" s="281"/>
      <c r="AB44" s="272"/>
      <c r="AC44" s="286"/>
      <c r="AD44" s="277"/>
      <c r="AE44" s="277"/>
      <c r="AF44" s="292"/>
      <c r="AG44" s="292"/>
      <c r="AH44" s="292"/>
      <c r="AI44" s="277"/>
      <c r="AJ44" s="277"/>
      <c r="AK44" s="277"/>
      <c r="AL44" s="298" t="s">
        <v>99</v>
      </c>
      <c r="AM44" s="277"/>
      <c r="AN44" s="277"/>
      <c r="AO44" s="277"/>
      <c r="AP44" s="277"/>
      <c r="AQ44" s="11"/>
      <c r="AR44" s="11"/>
      <c r="AS44" s="11"/>
      <c r="AT44" s="11"/>
      <c r="AU44" s="11"/>
      <c r="AV44" s="11"/>
      <c r="AW44" s="11"/>
      <c r="AX44" s="10"/>
      <c r="AZ44" s="11"/>
      <c r="BA44" s="11"/>
      <c r="BB44" s="10"/>
    </row>
    <row r="45" spans="1:54" s="2" customFormat="1" ht="9" customHeight="1" x14ac:dyDescent="0.2">
      <c r="A45" s="241"/>
      <c r="B45" s="10"/>
      <c r="C45" s="302" t="str">
        <f>'16vos de Final'!F10</f>
        <v>Brasil</v>
      </c>
      <c r="D45" s="303">
        <f>IF('16vos de Final'!G10&lt;&gt;"",'16vos de Final'!G10,"")</f>
        <v>2</v>
      </c>
      <c r="E45" s="281"/>
      <c r="F45" s="303">
        <f>IF('16vos de Final'!G12&lt;&gt;"",'16vos de Final'!G12,"")</f>
        <v>1</v>
      </c>
      <c r="G45" s="302" t="str">
        <f>'16vos de Final'!F12</f>
        <v>Japón</v>
      </c>
      <c r="H45" s="304"/>
      <c r="I45" s="305"/>
      <c r="J45" s="279" t="str">
        <f>'Octavos de Final'!F14</f>
        <v>Brasil</v>
      </c>
      <c r="K45" s="280">
        <f>IF('Octavos de Final'!G14&lt;&gt;"",'Octavos de Final'!G14,"")</f>
        <v>2</v>
      </c>
      <c r="L45" s="281"/>
      <c r="M45" s="280">
        <f>IF('Octavos de Final'!G16&lt;&gt;"",'Octavos de Final'!G16,"")</f>
        <v>1</v>
      </c>
      <c r="N45" s="279" t="str">
        <f>'Octavos de Final'!F16</f>
        <v>Noruega</v>
      </c>
      <c r="O45" s="282"/>
      <c r="P45" s="277"/>
      <c r="Q45" s="272"/>
      <c r="R45" s="281"/>
      <c r="S45" s="281"/>
      <c r="T45" s="281"/>
      <c r="U45" s="272"/>
      <c r="V45" s="277"/>
      <c r="W45" s="277"/>
      <c r="X45" s="272"/>
      <c r="Y45" s="281"/>
      <c r="Z45" s="281"/>
      <c r="AA45" s="281"/>
      <c r="AB45" s="272"/>
      <c r="AC45" s="286"/>
      <c r="AD45" s="291"/>
      <c r="AE45" s="279" t="str">
        <f>FINAL!F6</f>
        <v>España</v>
      </c>
      <c r="AF45" s="280">
        <f>IF(FINAL!G6&lt;&gt;"",FINAL!G6,"")</f>
        <v>1</v>
      </c>
      <c r="AG45" s="281"/>
      <c r="AH45" s="280">
        <f>IF(FINAL!G8&lt;&gt;"",FINAL!G8,"")</f>
        <v>1</v>
      </c>
      <c r="AI45" s="279" t="str">
        <f>FINAL!F8</f>
        <v>Argentina</v>
      </c>
      <c r="AJ45" s="297"/>
      <c r="AK45" s="297"/>
      <c r="AL45" s="279" t="str">
        <f>FINAL!K7</f>
        <v>Argentina</v>
      </c>
      <c r="AM45" s="277"/>
      <c r="AN45" s="277"/>
      <c r="AO45" s="277"/>
      <c r="AP45" s="277"/>
      <c r="AQ45" s="11"/>
      <c r="AR45" s="11"/>
      <c r="AS45" s="11"/>
      <c r="AT45" s="11"/>
      <c r="AU45" s="11"/>
      <c r="AV45" s="11"/>
      <c r="AW45" s="11"/>
      <c r="AX45" s="10"/>
      <c r="AZ45" s="11"/>
      <c r="BA45" s="11"/>
      <c r="BB45" s="10"/>
    </row>
    <row r="46" spans="1:54" s="2" customFormat="1" ht="9" customHeight="1" x14ac:dyDescent="0.2">
      <c r="A46" s="241"/>
      <c r="B46" s="10"/>
      <c r="C46" s="302" t="str">
        <f>'16vos de Final'!F22</f>
        <v>Ecuador</v>
      </c>
      <c r="D46" s="303">
        <f>IF('16vos de Final'!G22&lt;&gt;"",'16vos de Final'!G22,"")</f>
        <v>1</v>
      </c>
      <c r="E46" s="281"/>
      <c r="F46" s="303">
        <f>IF('16vos de Final'!G24&lt;&gt;"",'16vos de Final'!G24,"")</f>
        <v>1</v>
      </c>
      <c r="G46" s="302" t="str">
        <f>'16vos de Final'!F24</f>
        <v>Noruega</v>
      </c>
      <c r="I46" s="277"/>
      <c r="J46" s="283"/>
      <c r="K46" s="284"/>
      <c r="L46" s="281"/>
      <c r="M46" s="284"/>
      <c r="N46" s="283"/>
      <c r="O46" s="285"/>
      <c r="P46" s="277"/>
      <c r="Q46" s="272"/>
      <c r="R46" s="281"/>
      <c r="S46" s="281"/>
      <c r="T46" s="281"/>
      <c r="U46" s="272"/>
      <c r="V46" s="277"/>
      <c r="W46" s="277"/>
      <c r="X46" s="272"/>
      <c r="Y46" s="281"/>
      <c r="Z46" s="281"/>
      <c r="AA46" s="281"/>
      <c r="AB46" s="272"/>
      <c r="AC46" s="286"/>
      <c r="AD46" s="277"/>
      <c r="AE46" s="283"/>
      <c r="AF46" s="284"/>
      <c r="AG46" s="281"/>
      <c r="AH46" s="284"/>
      <c r="AI46" s="283"/>
      <c r="AJ46" s="277"/>
      <c r="AK46" s="277"/>
      <c r="AL46" s="283"/>
      <c r="AM46" s="277"/>
      <c r="AN46" s="277"/>
      <c r="AO46" s="277"/>
      <c r="AP46" s="277"/>
      <c r="AQ46" s="11"/>
      <c r="AR46" s="11"/>
      <c r="AS46" s="11"/>
      <c r="AT46" s="11"/>
      <c r="AU46" s="11"/>
      <c r="AV46" s="11"/>
      <c r="AW46" s="11"/>
      <c r="AX46" s="10"/>
      <c r="AZ46" s="11"/>
      <c r="BA46" s="11"/>
      <c r="BB46" s="10"/>
    </row>
    <row r="47" spans="1:54" s="2" customFormat="1" ht="9" customHeight="1" x14ac:dyDescent="0.2">
      <c r="A47" s="241"/>
      <c r="B47" s="10"/>
      <c r="J47" s="281"/>
      <c r="K47" s="281"/>
      <c r="L47" s="281"/>
      <c r="M47" s="281"/>
      <c r="N47" s="281"/>
      <c r="O47" s="286"/>
      <c r="P47" s="282"/>
      <c r="Q47" s="279" t="str">
        <f>'Cuartos de Final'!F14</f>
        <v>Brasil</v>
      </c>
      <c r="R47" s="280">
        <f>IF('Cuartos de Final'!G14&lt;&gt;"",'Cuartos de Final'!G14,"")</f>
        <v>3</v>
      </c>
      <c r="S47" s="281"/>
      <c r="T47" s="280">
        <f>IF('Cuartos de Final'!G16&lt;&gt;"",'Cuartos de Final'!G16,"")</f>
        <v>1</v>
      </c>
      <c r="U47" s="279" t="str">
        <f>'Cuartos de Final'!F16</f>
        <v>Inglaterra</v>
      </c>
      <c r="V47" s="282"/>
      <c r="W47" s="277"/>
      <c r="X47" s="272"/>
      <c r="Y47" s="281"/>
      <c r="Z47" s="281"/>
      <c r="AA47" s="281"/>
      <c r="AB47" s="272"/>
      <c r="AC47" s="286"/>
      <c r="AD47" s="277"/>
      <c r="AE47" s="277"/>
      <c r="AF47" s="277"/>
      <c r="AG47" s="277"/>
      <c r="AH47" s="277"/>
      <c r="AI47" s="277"/>
      <c r="AJ47" s="277"/>
      <c r="AK47" s="277"/>
      <c r="AL47" s="277"/>
      <c r="AM47" s="277"/>
      <c r="AN47" s="277"/>
      <c r="AO47" s="277"/>
      <c r="AP47" s="277"/>
      <c r="AQ47" s="11"/>
      <c r="AR47" s="11"/>
      <c r="AS47" s="11"/>
      <c r="AT47" s="11"/>
      <c r="AU47" s="11"/>
      <c r="AV47" s="11"/>
      <c r="AW47" s="11"/>
      <c r="AX47" s="10"/>
      <c r="AZ47" s="11"/>
      <c r="BA47" s="11"/>
      <c r="BB47" s="10"/>
    </row>
    <row r="48" spans="1:54" s="2" customFormat="1" ht="9" customHeight="1" x14ac:dyDescent="0.2">
      <c r="A48" s="241"/>
      <c r="B48" s="10"/>
      <c r="J48" s="281"/>
      <c r="K48" s="281"/>
      <c r="L48" s="281"/>
      <c r="M48" s="281"/>
      <c r="N48" s="281"/>
      <c r="O48" s="286"/>
      <c r="P48" s="277"/>
      <c r="Q48" s="283"/>
      <c r="R48" s="284"/>
      <c r="S48" s="281"/>
      <c r="T48" s="284"/>
      <c r="U48" s="283"/>
      <c r="V48" s="285"/>
      <c r="W48" s="277"/>
      <c r="X48" s="272"/>
      <c r="Y48" s="281"/>
      <c r="Z48" s="281"/>
      <c r="AA48" s="281"/>
      <c r="AB48" s="272"/>
      <c r="AC48" s="286"/>
      <c r="AD48" s="277"/>
      <c r="AE48" s="277"/>
      <c r="AF48" s="277"/>
      <c r="AG48" s="277"/>
      <c r="AH48" s="277"/>
      <c r="AI48" s="277"/>
      <c r="AJ48" s="277"/>
      <c r="AK48" s="277"/>
      <c r="AL48" s="277"/>
      <c r="AM48" s="277"/>
      <c r="AN48" s="277"/>
      <c r="AO48" s="277"/>
      <c r="AP48" s="277"/>
      <c r="AQ48" s="11"/>
      <c r="AR48" s="11"/>
      <c r="AS48" s="11"/>
      <c r="AT48" s="11"/>
      <c r="AU48" s="11"/>
      <c r="AV48" s="11"/>
      <c r="AW48" s="11"/>
      <c r="AX48" s="10"/>
      <c r="AZ48" s="11"/>
      <c r="BA48" s="11"/>
      <c r="BB48" s="10"/>
    </row>
    <row r="49" spans="1:54" s="2" customFormat="1" ht="9" customHeight="1" x14ac:dyDescent="0.2">
      <c r="A49" s="241"/>
      <c r="B49" s="10"/>
      <c r="C49" s="302" t="str">
        <f>'16vos de Final'!F30</f>
        <v>México</v>
      </c>
      <c r="D49" s="303">
        <f>IF('16vos de Final'!G30&lt;&gt;"",'16vos de Final'!G30,"")</f>
        <v>2</v>
      </c>
      <c r="E49" s="281"/>
      <c r="F49" s="303">
        <f>IF('16vos de Final'!G32&lt;&gt;"",'16vos de Final'!G32,"")</f>
        <v>3</v>
      </c>
      <c r="G49" s="302" t="str">
        <f>'16vos de Final'!F32</f>
        <v>Marruecos</v>
      </c>
      <c r="H49" s="304"/>
      <c r="I49" s="305"/>
      <c r="J49" s="279" t="str">
        <f>'Octavos de Final'!F18</f>
        <v>Marruecos</v>
      </c>
      <c r="K49" s="280">
        <f>IF('Octavos de Final'!G18&lt;&gt;"",'Octavos de Final'!G18,"")</f>
        <v>1</v>
      </c>
      <c r="L49" s="281"/>
      <c r="M49" s="280">
        <f>IF('Octavos de Final'!G20&lt;&gt;"",'Octavos de Final'!G20,"")</f>
        <v>3</v>
      </c>
      <c r="N49" s="279" t="str">
        <f>'Octavos de Final'!F20</f>
        <v>Inglaterra</v>
      </c>
      <c r="O49" s="290"/>
      <c r="P49" s="277"/>
      <c r="Q49" s="272"/>
      <c r="R49" s="281"/>
      <c r="S49" s="281"/>
      <c r="T49" s="281"/>
      <c r="U49" s="272"/>
      <c r="V49" s="286"/>
      <c r="W49" s="277"/>
      <c r="X49" s="272"/>
      <c r="Y49" s="281"/>
      <c r="Z49" s="281"/>
      <c r="AA49" s="281"/>
      <c r="AB49" s="272"/>
      <c r="AC49" s="286"/>
      <c r="AD49" s="277"/>
      <c r="AE49" s="277"/>
      <c r="AF49" s="277"/>
      <c r="AG49" s="277"/>
      <c r="AH49" s="277"/>
      <c r="AI49" s="277"/>
      <c r="AJ49" s="277"/>
      <c r="AK49" s="277"/>
      <c r="AL49" s="277"/>
      <c r="AM49" s="277"/>
      <c r="AN49" s="277"/>
      <c r="AO49" s="277"/>
      <c r="AP49" s="277"/>
      <c r="AQ49" s="11"/>
      <c r="AR49" s="11"/>
      <c r="AS49" s="11"/>
      <c r="AT49" s="11"/>
      <c r="AU49" s="11"/>
      <c r="AV49" s="11"/>
      <c r="AW49" s="11"/>
      <c r="AX49" s="10"/>
      <c r="AZ49" s="11"/>
      <c r="BA49" s="11"/>
      <c r="BB49" s="10"/>
    </row>
    <row r="50" spans="1:54" s="2" customFormat="1" ht="9" customHeight="1" x14ac:dyDescent="0.2">
      <c r="A50" s="241"/>
      <c r="B50" s="10"/>
      <c r="C50" s="302" t="str">
        <f>'16vos de Final'!F34</f>
        <v>Inglaterra</v>
      </c>
      <c r="D50" s="303">
        <f>IF('16vos de Final'!G34&lt;&gt;"",'16vos de Final'!G34,"")</f>
        <v>2</v>
      </c>
      <c r="E50" s="281"/>
      <c r="F50" s="303">
        <f>IF('16vos de Final'!G36&lt;&gt;"",'16vos de Final'!G36,"")</f>
        <v>1</v>
      </c>
      <c r="G50" s="302" t="str">
        <f>'16vos de Final'!F36</f>
        <v>Senegal</v>
      </c>
      <c r="I50" s="277"/>
      <c r="J50" s="283"/>
      <c r="K50" s="284"/>
      <c r="L50" s="281"/>
      <c r="M50" s="284"/>
      <c r="N50" s="283"/>
      <c r="O50" s="277"/>
      <c r="P50" s="277"/>
      <c r="Q50" s="272"/>
      <c r="R50" s="281"/>
      <c r="S50" s="281"/>
      <c r="T50" s="281"/>
      <c r="U50" s="272"/>
      <c r="V50" s="286"/>
      <c r="W50" s="277"/>
      <c r="X50" s="272"/>
      <c r="Y50" s="281"/>
      <c r="Z50" s="281"/>
      <c r="AA50" s="281"/>
      <c r="AB50" s="272"/>
      <c r="AC50" s="286"/>
      <c r="AD50" s="277"/>
      <c r="AE50" s="277"/>
      <c r="AF50" s="277"/>
      <c r="AG50" s="277"/>
      <c r="AH50" s="277"/>
      <c r="AI50" s="277"/>
      <c r="AJ50" s="277"/>
      <c r="AK50" s="277"/>
      <c r="AL50" s="277"/>
      <c r="AM50" s="277"/>
      <c r="AN50" s="277"/>
      <c r="AO50" s="277"/>
      <c r="AP50" s="277"/>
      <c r="AQ50" s="11"/>
      <c r="AR50" s="11"/>
      <c r="AS50" s="11"/>
      <c r="AT50" s="11"/>
      <c r="AU50" s="11"/>
      <c r="AV50" s="11"/>
      <c r="AW50" s="11"/>
      <c r="AX50" s="10"/>
      <c r="AZ50" s="11"/>
      <c r="BA50" s="11"/>
      <c r="BB50" s="10"/>
    </row>
    <row r="51" spans="1:54" s="2" customFormat="1" ht="9" customHeight="1" x14ac:dyDescent="0.15">
      <c r="A51" s="241"/>
      <c r="B51" s="10"/>
      <c r="J51" s="281"/>
      <c r="K51" s="281"/>
      <c r="L51" s="281"/>
      <c r="M51" s="281"/>
      <c r="N51" s="281"/>
      <c r="O51" s="277"/>
      <c r="P51" s="277"/>
      <c r="Q51" s="272"/>
      <c r="R51" s="281"/>
      <c r="S51" s="281"/>
      <c r="T51" s="281"/>
      <c r="U51" s="272"/>
      <c r="V51" s="286"/>
      <c r="W51" s="282"/>
      <c r="X51" s="279" t="str">
        <f>Semifinal!F10</f>
        <v>Brasil</v>
      </c>
      <c r="Y51" s="280">
        <f>IF(Semifinal!G10&lt;&gt;"",Semifinal!G10,"")</f>
        <v>3</v>
      </c>
      <c r="Z51" s="281"/>
      <c r="AA51" s="280">
        <f>IF(Semifinal!G12&lt;&gt;"",Semifinal!G12,"")</f>
        <v>2</v>
      </c>
      <c r="AB51" s="279" t="str">
        <f>Semifinal!F12</f>
        <v>Argentina</v>
      </c>
      <c r="AC51" s="290"/>
      <c r="AD51" s="277"/>
      <c r="AE51" s="277"/>
      <c r="AF51" s="277"/>
      <c r="AG51" s="277"/>
      <c r="AH51" s="277"/>
      <c r="AI51" s="293"/>
      <c r="AJ51" s="277"/>
      <c r="AK51" s="277"/>
      <c r="AL51" s="277"/>
      <c r="AM51" s="277"/>
      <c r="AN51" s="277"/>
      <c r="AO51" s="277"/>
      <c r="AP51" s="293"/>
      <c r="AQ51" s="11"/>
      <c r="AR51" s="11"/>
      <c r="AS51" s="11"/>
      <c r="AT51" s="11"/>
      <c r="AU51" s="11"/>
      <c r="AV51" s="11"/>
      <c r="AW51" s="11"/>
      <c r="AX51" s="10"/>
      <c r="AZ51" s="11"/>
      <c r="BA51" s="11"/>
      <c r="BB51" s="10"/>
    </row>
    <row r="52" spans="1:54" s="2" customFormat="1" ht="9" customHeight="1" x14ac:dyDescent="0.15">
      <c r="A52" s="241"/>
      <c r="B52" s="10"/>
      <c r="J52" s="281"/>
      <c r="K52" s="281"/>
      <c r="L52" s="281"/>
      <c r="M52" s="281"/>
      <c r="N52" s="281"/>
      <c r="O52" s="277"/>
      <c r="P52" s="277"/>
      <c r="Q52" s="272"/>
      <c r="R52" s="281"/>
      <c r="S52" s="281"/>
      <c r="T52" s="281"/>
      <c r="U52" s="272"/>
      <c r="V52" s="286"/>
      <c r="W52" s="277"/>
      <c r="X52" s="283"/>
      <c r="Y52" s="284"/>
      <c r="Z52" s="281"/>
      <c r="AA52" s="284"/>
      <c r="AB52" s="283"/>
      <c r="AC52" s="277"/>
      <c r="AD52" s="277"/>
      <c r="AE52" s="277"/>
      <c r="AF52" s="277"/>
      <c r="AG52" s="277"/>
      <c r="AH52" s="277"/>
      <c r="AI52" s="293"/>
      <c r="AJ52" s="277"/>
      <c r="AK52" s="277"/>
      <c r="AL52" s="277"/>
      <c r="AM52" s="277"/>
      <c r="AN52" s="277"/>
      <c r="AO52" s="277"/>
      <c r="AP52" s="293"/>
      <c r="AQ52" s="11"/>
      <c r="AR52" s="11"/>
      <c r="AS52" s="11"/>
      <c r="AT52" s="11"/>
      <c r="AU52" s="11"/>
      <c r="AV52" s="11"/>
      <c r="AW52" s="11"/>
      <c r="AX52" s="10"/>
      <c r="AZ52" s="11"/>
      <c r="BA52" s="11"/>
      <c r="BB52" s="10"/>
    </row>
    <row r="53" spans="1:54" s="2" customFormat="1" ht="9" customHeight="1" x14ac:dyDescent="0.2">
      <c r="A53" s="241"/>
      <c r="B53" s="10"/>
      <c r="J53" s="288"/>
      <c r="K53" s="289"/>
      <c r="L53" s="281"/>
      <c r="M53" s="289"/>
      <c r="N53" s="288"/>
      <c r="O53" s="277"/>
      <c r="P53" s="277"/>
      <c r="Q53" s="272"/>
      <c r="R53" s="281"/>
      <c r="S53" s="281"/>
      <c r="T53" s="281"/>
      <c r="U53" s="272"/>
      <c r="V53" s="286"/>
      <c r="W53" s="277"/>
      <c r="X53" s="277"/>
      <c r="Y53" s="277"/>
      <c r="Z53" s="277"/>
      <c r="AA53" s="277"/>
      <c r="AB53" s="277"/>
      <c r="AC53" s="277"/>
      <c r="AD53" s="277"/>
      <c r="AE53" s="277"/>
      <c r="AF53" s="277"/>
      <c r="AG53" s="277"/>
      <c r="AH53" s="277"/>
      <c r="AI53" s="294"/>
      <c r="AJ53" s="277"/>
      <c r="AK53" s="277"/>
      <c r="AL53" s="277"/>
      <c r="AM53" s="277"/>
      <c r="AN53" s="277"/>
      <c r="AO53" s="277"/>
      <c r="AP53" s="294"/>
      <c r="AQ53" s="11"/>
      <c r="AR53" s="11"/>
      <c r="AS53" s="11"/>
      <c r="AT53" s="11"/>
      <c r="AU53" s="11"/>
      <c r="AV53" s="11"/>
      <c r="AW53" s="11"/>
      <c r="AX53" s="10"/>
      <c r="AZ53" s="11"/>
      <c r="BA53" s="11"/>
      <c r="BB53" s="10"/>
    </row>
    <row r="54" spans="1:54" s="2" customFormat="1" ht="9" customHeight="1" x14ac:dyDescent="0.2">
      <c r="A54" s="241"/>
      <c r="B54" s="10"/>
      <c r="C54" s="302" t="str">
        <f>'16vos de Final'!F62</f>
        <v>Argentina</v>
      </c>
      <c r="D54" s="303">
        <f>IF('16vos de Final'!G62&lt;&gt;"",'16vos de Final'!G62,"")</f>
        <v>3</v>
      </c>
      <c r="E54" s="281"/>
      <c r="F54" s="303">
        <f>IF('16vos de Final'!G64&lt;&gt;"",'16vos de Final'!G64,"")</f>
        <v>1</v>
      </c>
      <c r="G54" s="302" t="str">
        <f>'16vos de Final'!F64</f>
        <v>Uruguay</v>
      </c>
      <c r="H54" s="304"/>
      <c r="I54" s="305"/>
      <c r="J54" s="279" t="str">
        <f>'Octavos de Final'!F30</f>
        <v>Argentina</v>
      </c>
      <c r="K54" s="280">
        <f>IF('Octavos de Final'!G30&lt;&gt;"",'Octavos de Final'!G30,"")</f>
        <v>3</v>
      </c>
      <c r="L54" s="281"/>
      <c r="M54" s="280">
        <f>IF('Octavos de Final'!G32&lt;&gt;"",'Octavos de Final'!G32,"")</f>
        <v>2</v>
      </c>
      <c r="N54" s="279" t="str">
        <f>'Octavos de Final'!F32</f>
        <v>Turquía</v>
      </c>
      <c r="O54" s="282"/>
      <c r="P54" s="277"/>
      <c r="Q54" s="272"/>
      <c r="R54" s="281"/>
      <c r="S54" s="281"/>
      <c r="T54" s="281"/>
      <c r="U54" s="272"/>
      <c r="V54" s="286"/>
      <c r="W54" s="277"/>
      <c r="X54" s="277"/>
      <c r="Y54" s="277"/>
      <c r="Z54" s="277"/>
      <c r="AA54" s="277"/>
      <c r="AB54" s="277"/>
      <c r="AC54" s="277"/>
      <c r="AD54" s="277"/>
      <c r="AE54" s="277"/>
      <c r="AF54" s="277"/>
      <c r="AG54" s="277"/>
      <c r="AH54" s="277"/>
      <c r="AI54" s="277"/>
      <c r="AJ54" s="277"/>
      <c r="AK54" s="277"/>
      <c r="AL54" s="277"/>
      <c r="AM54" s="277"/>
      <c r="AN54" s="277"/>
      <c r="AO54" s="277"/>
      <c r="AP54" s="277"/>
      <c r="AS54" s="11"/>
      <c r="AX54" s="10"/>
      <c r="BB54" s="10"/>
    </row>
    <row r="55" spans="1:54" s="2" customFormat="1" ht="9" customHeight="1" x14ac:dyDescent="0.2">
      <c r="A55" s="241"/>
      <c r="B55" s="10"/>
      <c r="C55" s="302" t="str">
        <f>'16vos de Final'!F58</f>
        <v>Turquía</v>
      </c>
      <c r="D55" s="303">
        <f>IF('16vos de Final'!G58&lt;&gt;"",'16vos de Final'!G58,"")</f>
        <v>3</v>
      </c>
      <c r="E55" s="281"/>
      <c r="F55" s="303">
        <f>IF('16vos de Final'!G60&lt;&gt;"",'16vos de Final'!G60,"")</f>
        <v>1</v>
      </c>
      <c r="G55" s="302" t="str">
        <f>'16vos de Final'!F60</f>
        <v>Egipto</v>
      </c>
      <c r="I55" s="277"/>
      <c r="J55" s="283"/>
      <c r="K55" s="284"/>
      <c r="L55" s="281"/>
      <c r="M55" s="284"/>
      <c r="N55" s="283"/>
      <c r="O55" s="285"/>
      <c r="P55" s="277"/>
      <c r="Q55" s="272"/>
      <c r="R55" s="281"/>
      <c r="S55" s="281"/>
      <c r="T55" s="281"/>
      <c r="U55" s="272"/>
      <c r="V55" s="286"/>
      <c r="W55" s="277"/>
      <c r="X55" s="277"/>
      <c r="Y55" s="277"/>
      <c r="Z55" s="277"/>
      <c r="AA55" s="277"/>
      <c r="AB55" s="277"/>
      <c r="AC55" s="277"/>
      <c r="AD55" s="277"/>
      <c r="AE55" s="277"/>
      <c r="AF55" s="277"/>
      <c r="AG55" s="277"/>
      <c r="AH55" s="277"/>
      <c r="AI55" s="277"/>
      <c r="AJ55" s="277"/>
      <c r="AK55" s="277"/>
      <c r="AL55" s="277"/>
      <c r="AM55" s="277"/>
      <c r="AN55" s="277"/>
      <c r="AO55" s="277"/>
      <c r="AP55" s="277"/>
      <c r="AS55" s="11"/>
      <c r="AX55" s="10"/>
      <c r="BB55" s="10"/>
    </row>
    <row r="56" spans="1:54" s="2" customFormat="1" ht="9" customHeight="1" x14ac:dyDescent="0.2">
      <c r="A56" s="241"/>
      <c r="B56" s="10"/>
      <c r="J56" s="281"/>
      <c r="K56" s="281"/>
      <c r="L56" s="281"/>
      <c r="M56" s="281"/>
      <c r="N56" s="281"/>
      <c r="O56" s="286"/>
      <c r="P56" s="282"/>
      <c r="Q56" s="279" t="str">
        <f>'Cuartos de Final'!F18</f>
        <v>Argentina</v>
      </c>
      <c r="R56" s="280">
        <f>IF('Cuartos de Final'!G18&lt;&gt;"",'Cuartos de Final'!G18,"")</f>
        <v>2</v>
      </c>
      <c r="S56" s="281"/>
      <c r="T56" s="280">
        <f>IF('Cuartos de Final'!G20&lt;&gt;"",'Cuartos de Final'!G20,"")</f>
        <v>2</v>
      </c>
      <c r="U56" s="279" t="str">
        <f>'Cuartos de Final'!F20</f>
        <v>Portugal</v>
      </c>
      <c r="V56" s="290"/>
      <c r="W56" s="277"/>
      <c r="X56" s="277"/>
      <c r="Y56" s="277"/>
      <c r="Z56" s="277"/>
      <c r="AA56" s="277"/>
      <c r="AB56" s="277"/>
      <c r="AC56" s="277"/>
      <c r="AD56" s="277"/>
      <c r="AE56" s="277"/>
      <c r="AF56" s="277"/>
      <c r="AG56" s="277"/>
      <c r="AH56" s="277"/>
      <c r="AI56" s="277"/>
      <c r="AJ56" s="277"/>
      <c r="AK56" s="277"/>
      <c r="AL56" s="277"/>
      <c r="AM56" s="277"/>
      <c r="AN56" s="277"/>
      <c r="AO56" s="277"/>
      <c r="AP56" s="277"/>
      <c r="AS56" s="11"/>
      <c r="AX56" s="10"/>
      <c r="BB56" s="10"/>
    </row>
    <row r="57" spans="1:54" s="2" customFormat="1" ht="9" customHeight="1" x14ac:dyDescent="0.2">
      <c r="A57" s="241"/>
      <c r="B57" s="10"/>
      <c r="J57" s="281"/>
      <c r="K57" s="281"/>
      <c r="L57" s="281"/>
      <c r="M57" s="281"/>
      <c r="N57" s="281"/>
      <c r="O57" s="286"/>
      <c r="P57" s="277"/>
      <c r="Q57" s="283"/>
      <c r="R57" s="283"/>
      <c r="S57" s="281"/>
      <c r="T57" s="283"/>
      <c r="U57" s="283"/>
      <c r="V57" s="277"/>
      <c r="W57" s="277"/>
      <c r="X57" s="277"/>
      <c r="Y57" s="277"/>
      <c r="Z57" s="277"/>
      <c r="AA57" s="277"/>
      <c r="AB57" s="277"/>
      <c r="AC57" s="277"/>
      <c r="AD57" s="277"/>
      <c r="AE57" s="277"/>
      <c r="AF57" s="277"/>
      <c r="AG57" s="277"/>
      <c r="AH57" s="277"/>
      <c r="AI57" s="277"/>
      <c r="AJ57" s="277"/>
      <c r="AK57" s="277"/>
      <c r="AL57" s="277"/>
      <c r="AM57" s="277"/>
      <c r="AN57" s="277"/>
      <c r="AO57" s="277"/>
      <c r="AP57" s="277"/>
      <c r="AS57" s="11"/>
      <c r="AX57" s="10"/>
      <c r="BB57" s="10"/>
    </row>
    <row r="58" spans="1:54" s="2" customFormat="1" ht="9" customHeight="1" x14ac:dyDescent="0.2">
      <c r="A58" s="241"/>
      <c r="B58" s="10"/>
      <c r="C58" s="302" t="str">
        <f>'16vos de Final'!F54</f>
        <v>Suiza</v>
      </c>
      <c r="D58" s="303">
        <f>IF('16vos de Final'!G54&lt;&gt;"",'16vos de Final'!G54,"")</f>
        <v>2</v>
      </c>
      <c r="E58" s="281"/>
      <c r="F58" s="303">
        <f>IF('16vos de Final'!G56&lt;&gt;"",'16vos de Final'!G56,"")</f>
        <v>0</v>
      </c>
      <c r="G58" s="302" t="str">
        <f>'16vos de Final'!F56</f>
        <v>Irán</v>
      </c>
      <c r="H58" s="304"/>
      <c r="I58" s="305"/>
      <c r="J58" s="279" t="str">
        <f>'Octavos de Final'!F34</f>
        <v>Suiza</v>
      </c>
      <c r="K58" s="280">
        <f>IF('Octavos de Final'!G34&lt;&gt;"",'Octavos de Final'!G34,"")</f>
        <v>1</v>
      </c>
      <c r="L58" s="281"/>
      <c r="M58" s="280">
        <f>IF('Octavos de Final'!G36&lt;&gt;"",'Octavos de Final'!G36,"")</f>
        <v>2</v>
      </c>
      <c r="N58" s="279" t="str">
        <f>'Octavos de Final'!F36</f>
        <v>Portugal</v>
      </c>
      <c r="O58" s="290"/>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S58" s="11"/>
      <c r="AX58" s="10"/>
      <c r="BB58" s="10"/>
    </row>
    <row r="59" spans="1:54" s="2" customFormat="1" ht="9" customHeight="1" x14ac:dyDescent="0.2">
      <c r="A59" s="241"/>
      <c r="B59" s="10"/>
      <c r="C59" s="302" t="str">
        <f>'16vos de Final'!F66</f>
        <v>Portugal</v>
      </c>
      <c r="D59" s="303">
        <f>IF('16vos de Final'!G66&lt;&gt;"",'16vos de Final'!G66,"")</f>
        <v>2</v>
      </c>
      <c r="E59" s="281"/>
      <c r="F59" s="303">
        <f>IF('16vos de Final'!G68&lt;&gt;"",'16vos de Final'!G68,"")</f>
        <v>0</v>
      </c>
      <c r="G59" s="302" t="str">
        <f>'16vos de Final'!F68</f>
        <v>Costa de Marfil</v>
      </c>
      <c r="I59" s="277"/>
      <c r="J59" s="283"/>
      <c r="K59" s="283"/>
      <c r="L59" s="281"/>
      <c r="M59" s="283"/>
      <c r="N59" s="283"/>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S59" s="11"/>
      <c r="AX59" s="10"/>
      <c r="BB59" s="10"/>
    </row>
    <row r="60" spans="1:54" s="2" customFormat="1" ht="9" customHeight="1" x14ac:dyDescent="0.2">
      <c r="A60" s="241"/>
      <c r="B60" s="10"/>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c r="AL60" s="276"/>
      <c r="AM60" s="276"/>
      <c r="AN60" s="276"/>
      <c r="AO60" s="276"/>
      <c r="AP60" s="276"/>
      <c r="AS60" s="11"/>
      <c r="AX60" s="10"/>
      <c r="BB60" s="10"/>
    </row>
    <row r="61" spans="1:54" s="2" customFormat="1" ht="9" customHeight="1" x14ac:dyDescent="0.2">
      <c r="A61" s="241"/>
      <c r="B61" s="10"/>
      <c r="C61" s="379" t="s">
        <v>251</v>
      </c>
      <c r="D61" s="380"/>
      <c r="E61" s="380"/>
      <c r="F61" s="380"/>
      <c r="G61" s="380"/>
      <c r="H61" s="380"/>
      <c r="I61" s="380"/>
      <c r="J61" s="379" t="s">
        <v>58</v>
      </c>
      <c r="K61" s="381"/>
      <c r="L61" s="382"/>
      <c r="M61" s="382"/>
      <c r="N61" s="382"/>
      <c r="O61" s="382"/>
      <c r="P61" s="382"/>
      <c r="Q61" s="379" t="s">
        <v>96</v>
      </c>
      <c r="R61" s="381"/>
      <c r="S61" s="382"/>
      <c r="T61" s="382"/>
      <c r="U61" s="382"/>
      <c r="V61" s="382"/>
      <c r="W61" s="382"/>
      <c r="X61" s="379" t="s">
        <v>60</v>
      </c>
      <c r="Y61" s="381"/>
      <c r="Z61" s="382"/>
      <c r="AA61" s="382"/>
      <c r="AB61" s="382"/>
      <c r="AC61" s="382"/>
      <c r="AD61" s="382"/>
      <c r="AE61" s="379" t="s">
        <v>61</v>
      </c>
      <c r="AF61" s="381"/>
      <c r="AG61" s="382"/>
      <c r="AH61" s="382"/>
      <c r="AI61" s="382"/>
      <c r="AJ61" s="382"/>
      <c r="AK61" s="382"/>
      <c r="AL61" s="379"/>
      <c r="AM61" s="381"/>
      <c r="AN61" s="382"/>
      <c r="AO61" s="382"/>
      <c r="AP61" s="382"/>
      <c r="AQ61" s="383"/>
      <c r="AR61" s="12"/>
      <c r="AS61" s="384"/>
      <c r="AT61" s="384"/>
      <c r="AU61" s="384"/>
      <c r="AV61" s="384"/>
      <c r="AW61" s="384"/>
      <c r="AX61" s="380"/>
      <c r="AZ61" s="11"/>
      <c r="BA61" s="11"/>
      <c r="BB61" s="10"/>
    </row>
    <row r="62" spans="1:54" s="2" customFormat="1" ht="9" customHeight="1" x14ac:dyDescent="0.2">
      <c r="A62" s="241"/>
      <c r="B62" s="10"/>
      <c r="C62" s="380"/>
      <c r="D62" s="380"/>
      <c r="E62" s="380"/>
      <c r="F62" s="380"/>
      <c r="G62" s="380"/>
      <c r="H62" s="380"/>
      <c r="I62" s="380"/>
      <c r="J62" s="381"/>
      <c r="K62" s="381"/>
      <c r="L62" s="382"/>
      <c r="M62" s="382"/>
      <c r="N62" s="382"/>
      <c r="O62" s="382"/>
      <c r="P62" s="382"/>
      <c r="Q62" s="381"/>
      <c r="R62" s="381"/>
      <c r="S62" s="382"/>
      <c r="T62" s="382"/>
      <c r="U62" s="382"/>
      <c r="V62" s="382"/>
      <c r="W62" s="382"/>
      <c r="X62" s="381"/>
      <c r="Y62" s="381"/>
      <c r="Z62" s="382"/>
      <c r="AA62" s="382"/>
      <c r="AB62" s="382"/>
      <c r="AC62" s="382"/>
      <c r="AD62" s="382"/>
      <c r="AE62" s="381"/>
      <c r="AF62" s="381"/>
      <c r="AG62" s="382"/>
      <c r="AH62" s="382"/>
      <c r="AI62" s="382"/>
      <c r="AJ62" s="382"/>
      <c r="AK62" s="382"/>
      <c r="AL62" s="381"/>
      <c r="AM62" s="381"/>
      <c r="AN62" s="382"/>
      <c r="AO62" s="382"/>
      <c r="AP62" s="382"/>
      <c r="AQ62" s="383"/>
      <c r="AR62" s="12"/>
      <c r="AS62" s="384"/>
      <c r="AT62" s="384"/>
      <c r="AU62" s="384"/>
      <c r="AV62" s="384"/>
      <c r="AW62" s="384"/>
      <c r="AX62" s="380"/>
      <c r="AZ62" s="11"/>
      <c r="BA62" s="11"/>
      <c r="BB62" s="10"/>
    </row>
    <row r="63" spans="1:54" s="2" customFormat="1" ht="9" customHeight="1" x14ac:dyDescent="0.2">
      <c r="A63" s="241"/>
      <c r="B63" s="10"/>
      <c r="C63" s="385" t="s">
        <v>59</v>
      </c>
      <c r="D63" s="380"/>
      <c r="E63" s="380"/>
      <c r="F63" s="380"/>
      <c r="G63" s="380"/>
      <c r="H63" s="380"/>
      <c r="I63" s="380"/>
      <c r="J63" s="385" t="s">
        <v>59</v>
      </c>
      <c r="K63" s="386"/>
      <c r="L63" s="382"/>
      <c r="M63" s="382"/>
      <c r="N63" s="382"/>
      <c r="O63" s="382"/>
      <c r="P63" s="382"/>
      <c r="Q63" s="385" t="s">
        <v>59</v>
      </c>
      <c r="R63" s="386"/>
      <c r="S63" s="382"/>
      <c r="T63" s="382"/>
      <c r="U63" s="382"/>
      <c r="V63" s="382"/>
      <c r="W63" s="382"/>
      <c r="X63" s="385" t="s">
        <v>59</v>
      </c>
      <c r="Y63" s="386"/>
      <c r="Z63" s="382"/>
      <c r="AA63" s="382"/>
      <c r="AB63" s="382"/>
      <c r="AC63" s="382"/>
      <c r="AD63" s="382"/>
      <c r="AE63" s="385" t="s">
        <v>59</v>
      </c>
      <c r="AF63" s="386"/>
      <c r="AG63" s="382"/>
      <c r="AH63" s="382"/>
      <c r="AI63" s="382"/>
      <c r="AJ63" s="382"/>
      <c r="AK63" s="382"/>
      <c r="AL63" s="385"/>
      <c r="AM63" s="386"/>
      <c r="AN63" s="382"/>
      <c r="AO63" s="382"/>
      <c r="AP63" s="382"/>
      <c r="AQ63" s="383"/>
      <c r="AR63" s="12"/>
      <c r="AS63" s="384"/>
      <c r="AT63" s="384"/>
      <c r="AU63" s="384"/>
      <c r="AV63" s="384"/>
      <c r="AW63" s="384"/>
      <c r="AX63" s="380"/>
      <c r="AZ63" s="11"/>
      <c r="BA63" s="11"/>
      <c r="BB63" s="10"/>
    </row>
    <row r="64" spans="1:54" s="2" customFormat="1" ht="9" customHeight="1" x14ac:dyDescent="0.2">
      <c r="A64" s="241"/>
      <c r="B64" s="10"/>
      <c r="C64" s="387" t="str">
        <f>C27&amp;G27</f>
        <v>República ChecaCanadá</v>
      </c>
      <c r="D64" s="273">
        <f>D27</f>
        <v>1</v>
      </c>
      <c r="E64" s="382"/>
      <c r="F64" s="273">
        <f>F27</f>
        <v>3</v>
      </c>
      <c r="G64" s="382"/>
      <c r="H64" s="380"/>
      <c r="I64" s="380"/>
      <c r="J64" s="387" t="str">
        <f>J27&amp;N27</f>
        <v>CanadáPaíses Bajos</v>
      </c>
      <c r="K64" s="273">
        <f>K27</f>
        <v>2</v>
      </c>
      <c r="L64" s="382"/>
      <c r="M64" s="273">
        <f>M27</f>
        <v>3</v>
      </c>
      <c r="N64" s="382"/>
      <c r="O64" s="382"/>
      <c r="P64" s="382"/>
      <c r="Q64" s="387" t="str">
        <f>Q29&amp;U29</f>
        <v>FranciaPaíses Bajos</v>
      </c>
      <c r="R64" s="273">
        <f>R29</f>
        <v>2</v>
      </c>
      <c r="S64" s="382"/>
      <c r="T64" s="273">
        <f>T29</f>
        <v>2</v>
      </c>
      <c r="U64" s="382"/>
      <c r="V64" s="382"/>
      <c r="W64" s="382"/>
      <c r="X64" s="387" t="str">
        <f>X33&amp;AB33</f>
        <v>FranciaEspaña</v>
      </c>
      <c r="Y64" s="387">
        <f>Y33</f>
        <v>4</v>
      </c>
      <c r="Z64" s="382"/>
      <c r="AA64" s="387">
        <f>AA33</f>
        <v>3</v>
      </c>
      <c r="AB64" s="382"/>
      <c r="AC64" s="382"/>
      <c r="AD64" s="382"/>
      <c r="AE64" s="387" t="str">
        <f>AE45&amp;AI45</f>
        <v>EspañaArgentina</v>
      </c>
      <c r="AF64" s="387">
        <f>AF45</f>
        <v>1</v>
      </c>
      <c r="AG64" s="382"/>
      <c r="AH64" s="387">
        <f>AH45</f>
        <v>1</v>
      </c>
      <c r="AI64" s="382"/>
      <c r="AJ64" s="382"/>
      <c r="AK64" s="382"/>
      <c r="AL64" s="387"/>
      <c r="AM64" s="387"/>
      <c r="AN64" s="382"/>
      <c r="AO64" s="387"/>
      <c r="AP64" s="382"/>
      <c r="AQ64" s="384"/>
      <c r="AR64" s="384"/>
      <c r="AS64" s="384"/>
      <c r="AT64" s="384"/>
      <c r="AU64" s="384"/>
      <c r="AV64" s="384"/>
      <c r="AW64" s="384"/>
      <c r="AX64" s="380"/>
      <c r="AZ64" s="11"/>
      <c r="BA64" s="11"/>
      <c r="BB64" s="10"/>
    </row>
    <row r="65" spans="1:54" s="2" customFormat="1" ht="9" customHeight="1" x14ac:dyDescent="0.2">
      <c r="A65" s="241"/>
      <c r="B65" s="10"/>
      <c r="C65" s="387" t="str">
        <f>C28&amp;G28</f>
        <v>Países BajosEscocia</v>
      </c>
      <c r="D65" s="273">
        <f>D28</f>
        <v>4</v>
      </c>
      <c r="E65" s="382"/>
      <c r="F65" s="273">
        <f>F28</f>
        <v>2</v>
      </c>
      <c r="G65" s="382"/>
      <c r="H65" s="380"/>
      <c r="I65" s="380"/>
      <c r="J65" s="387" t="str">
        <f>J31&amp;N31</f>
        <v>AlemaniaFrancia</v>
      </c>
      <c r="K65" s="273">
        <f>K31</f>
        <v>2</v>
      </c>
      <c r="L65" s="382"/>
      <c r="M65" s="273">
        <f>M31</f>
        <v>3</v>
      </c>
      <c r="N65" s="382"/>
      <c r="O65" s="382"/>
      <c r="P65" s="382"/>
      <c r="Q65" s="387" t="str">
        <f>Q38&amp;U38</f>
        <v>EspañaBélgica</v>
      </c>
      <c r="R65" s="273">
        <f>R38</f>
        <v>3</v>
      </c>
      <c r="S65" s="382"/>
      <c r="T65" s="273">
        <f>T38</f>
        <v>2</v>
      </c>
      <c r="U65" s="382"/>
      <c r="V65" s="382"/>
      <c r="W65" s="382"/>
      <c r="X65" s="387" t="str">
        <f>X51&amp;AB51</f>
        <v>BrasilArgentina</v>
      </c>
      <c r="Y65" s="387">
        <f>Y51</f>
        <v>3</v>
      </c>
      <c r="Z65" s="382"/>
      <c r="AA65" s="387">
        <f>AA51</f>
        <v>2</v>
      </c>
      <c r="AB65" s="382"/>
      <c r="AC65" s="382"/>
      <c r="AD65" s="382"/>
      <c r="AE65" s="387" t="str">
        <f>AI45&amp;AE45</f>
        <v>ArgentinaEspaña</v>
      </c>
      <c r="AF65" s="387">
        <f>AH45</f>
        <v>1</v>
      </c>
      <c r="AG65" s="382"/>
      <c r="AH65" s="387">
        <f>AF45</f>
        <v>1</v>
      </c>
      <c r="AI65" s="382"/>
      <c r="AJ65" s="382"/>
      <c r="AK65" s="382"/>
      <c r="AL65" s="387"/>
      <c r="AM65" s="387"/>
      <c r="AN65" s="382"/>
      <c r="AO65" s="387"/>
      <c r="AP65" s="382"/>
      <c r="AQ65" s="384"/>
      <c r="AR65" s="384"/>
      <c r="AS65" s="384"/>
      <c r="AT65" s="384"/>
      <c r="AU65" s="384"/>
      <c r="AV65" s="384"/>
      <c r="AW65" s="384"/>
      <c r="AX65" s="380"/>
      <c r="AZ65" s="11"/>
      <c r="BA65" s="11"/>
      <c r="BB65" s="10"/>
    </row>
    <row r="66" spans="1:54" s="2" customFormat="1" ht="9" customHeight="1" x14ac:dyDescent="0.2">
      <c r="A66" s="241"/>
      <c r="B66" s="10"/>
      <c r="C66" s="387" t="str">
        <f>C31&amp;G31</f>
        <v>AlemaniaParaguay</v>
      </c>
      <c r="D66" s="273">
        <f>D31</f>
        <v>3</v>
      </c>
      <c r="E66" s="382"/>
      <c r="F66" s="273">
        <f>F31</f>
        <v>1</v>
      </c>
      <c r="G66" s="382"/>
      <c r="H66" s="380"/>
      <c r="I66" s="380"/>
      <c r="J66" s="387" t="str">
        <f>J36&amp;N36</f>
        <v>CroaciaEspaña</v>
      </c>
      <c r="K66" s="273">
        <f>K36</f>
        <v>2</v>
      </c>
      <c r="L66" s="382"/>
      <c r="M66" s="273">
        <f>M36</f>
        <v>4</v>
      </c>
      <c r="N66" s="382"/>
      <c r="O66" s="382"/>
      <c r="P66" s="382"/>
      <c r="Q66" s="387" t="str">
        <f>Q47&amp;U47</f>
        <v>BrasilInglaterra</v>
      </c>
      <c r="R66" s="273">
        <f>R47</f>
        <v>3</v>
      </c>
      <c r="S66" s="382"/>
      <c r="T66" s="273">
        <f>T47</f>
        <v>1</v>
      </c>
      <c r="U66" s="382"/>
      <c r="V66" s="382"/>
      <c r="W66" s="382"/>
      <c r="X66" s="387"/>
      <c r="Y66" s="273"/>
      <c r="Z66" s="382"/>
      <c r="AA66" s="382"/>
      <c r="AB66" s="382"/>
      <c r="AC66" s="382"/>
      <c r="AD66" s="382"/>
      <c r="AE66" s="387"/>
      <c r="AF66" s="273"/>
      <c r="AG66" s="382"/>
      <c r="AH66" s="382"/>
      <c r="AI66" s="388" t="s">
        <v>97</v>
      </c>
      <c r="AJ66" s="382"/>
      <c r="AK66" s="382"/>
      <c r="AL66" s="387" t="str">
        <f>IF(AL40=AE40,AI40,AE40)</f>
        <v>Francia</v>
      </c>
      <c r="AM66" s="273"/>
      <c r="AN66" s="382"/>
      <c r="AO66" s="382"/>
      <c r="AP66" s="388"/>
      <c r="AQ66" s="384"/>
      <c r="AR66" s="384"/>
      <c r="AS66" s="384"/>
      <c r="AT66" s="384"/>
      <c r="AU66" s="384"/>
      <c r="AV66" s="384"/>
      <c r="AW66" s="384"/>
      <c r="AX66" s="380"/>
      <c r="AZ66" s="11"/>
      <c r="BA66" s="11"/>
      <c r="BB66" s="10"/>
    </row>
    <row r="67" spans="1:54" s="2" customFormat="1" ht="9" customHeight="1" x14ac:dyDescent="0.2">
      <c r="A67" s="241"/>
      <c r="B67" s="10"/>
      <c r="C67" s="387" t="str">
        <f t="shared" ref="C67" si="13">C32&amp;G32</f>
        <v>FranciaSuecia</v>
      </c>
      <c r="D67" s="273">
        <f t="shared" ref="D67" si="14">D32</f>
        <v>4</v>
      </c>
      <c r="E67" s="382"/>
      <c r="F67" s="273">
        <f t="shared" ref="F67" si="15">F32</f>
        <v>1</v>
      </c>
      <c r="G67" s="382"/>
      <c r="H67" s="380"/>
      <c r="I67" s="380"/>
      <c r="J67" s="387" t="str">
        <f>J40&amp;N40</f>
        <v>EE. UU.Bélgica</v>
      </c>
      <c r="K67" s="273">
        <f>K40</f>
        <v>1</v>
      </c>
      <c r="L67" s="382"/>
      <c r="M67" s="273">
        <f>M40</f>
        <v>3</v>
      </c>
      <c r="N67" s="382"/>
      <c r="O67" s="382"/>
      <c r="P67" s="382"/>
      <c r="Q67" s="387" t="str">
        <f>Q56&amp;U56</f>
        <v>ArgentinaPortugal</v>
      </c>
      <c r="R67" s="273">
        <f>R56</f>
        <v>2</v>
      </c>
      <c r="S67" s="382"/>
      <c r="T67" s="273">
        <f>T56</f>
        <v>2</v>
      </c>
      <c r="U67" s="382"/>
      <c r="V67" s="382"/>
      <c r="W67" s="382"/>
      <c r="X67" s="387" t="str">
        <f>AB33&amp;X33</f>
        <v>EspañaFrancia</v>
      </c>
      <c r="Y67" s="387">
        <f>AA33</f>
        <v>3</v>
      </c>
      <c r="Z67" s="382"/>
      <c r="AA67" s="387">
        <f>Y33</f>
        <v>4</v>
      </c>
      <c r="AB67" s="382"/>
      <c r="AC67" s="382"/>
      <c r="AD67" s="382"/>
      <c r="AE67" s="382"/>
      <c r="AF67" s="382"/>
      <c r="AG67" s="382"/>
      <c r="AH67" s="382"/>
      <c r="AI67" s="388" t="s">
        <v>98</v>
      </c>
      <c r="AJ67" s="382"/>
      <c r="AK67" s="382"/>
      <c r="AL67" s="382" t="str">
        <f>IF(AL45=AE45,AI45,AE45)</f>
        <v>España</v>
      </c>
      <c r="AM67" s="382"/>
      <c r="AN67" s="382"/>
      <c r="AO67" s="382"/>
      <c r="AP67" s="388"/>
      <c r="AQ67" s="384"/>
      <c r="AR67" s="384"/>
      <c r="AS67" s="384"/>
      <c r="AT67" s="384"/>
      <c r="AU67" s="384"/>
      <c r="AV67" s="384"/>
      <c r="AW67" s="384"/>
      <c r="AX67" s="380"/>
      <c r="AZ67" s="11"/>
      <c r="BA67" s="11"/>
      <c r="BB67" s="10"/>
    </row>
    <row r="68" spans="1:54" s="2" customFormat="1" ht="9" customHeight="1" x14ac:dyDescent="0.2">
      <c r="A68" s="241"/>
      <c r="B68" s="10"/>
      <c r="C68" s="387" t="str">
        <f>C36&amp;G36</f>
        <v>ColombiaCroacia</v>
      </c>
      <c r="D68" s="273">
        <f>D36</f>
        <v>2</v>
      </c>
      <c r="E68" s="382"/>
      <c r="F68" s="273">
        <f>F36</f>
        <v>2</v>
      </c>
      <c r="G68" s="382"/>
      <c r="H68" s="380"/>
      <c r="I68" s="380"/>
      <c r="J68" s="387" t="str">
        <f>J45&amp;N45</f>
        <v>BrasilNoruega</v>
      </c>
      <c r="K68" s="273">
        <f>K45</f>
        <v>2</v>
      </c>
      <c r="L68" s="382"/>
      <c r="M68" s="273">
        <f>M45</f>
        <v>1</v>
      </c>
      <c r="N68" s="382"/>
      <c r="O68" s="382"/>
      <c r="P68" s="382"/>
      <c r="Q68" s="387"/>
      <c r="R68" s="273"/>
      <c r="S68" s="382"/>
      <c r="T68" s="382"/>
      <c r="U68" s="382"/>
      <c r="V68" s="382"/>
      <c r="W68" s="382"/>
      <c r="X68" s="387" t="str">
        <f>AB51&amp;X51</f>
        <v>ArgentinaBrasil</v>
      </c>
      <c r="Y68" s="387">
        <f>AA51</f>
        <v>2</v>
      </c>
      <c r="Z68" s="382"/>
      <c r="AA68" s="387">
        <f>Y51</f>
        <v>3</v>
      </c>
      <c r="AB68" s="382"/>
      <c r="AC68" s="382"/>
      <c r="AD68" s="382"/>
      <c r="AE68" s="382"/>
      <c r="AF68" s="382"/>
      <c r="AG68" s="382"/>
      <c r="AH68" s="382"/>
      <c r="AI68" s="382"/>
      <c r="AJ68" s="382"/>
      <c r="AK68" s="382"/>
      <c r="AL68" s="382"/>
      <c r="AM68" s="382"/>
      <c r="AN68" s="382"/>
      <c r="AO68" s="382"/>
      <c r="AP68" s="382"/>
      <c r="AQ68" s="384"/>
      <c r="AR68" s="384"/>
      <c r="AS68" s="384"/>
      <c r="AT68" s="384"/>
      <c r="AU68" s="384"/>
      <c r="AV68" s="384"/>
      <c r="AW68" s="384"/>
      <c r="AX68" s="380"/>
      <c r="AZ68" s="11"/>
      <c r="BA68" s="11"/>
      <c r="BB68" s="10"/>
    </row>
    <row r="69" spans="1:54" s="2" customFormat="1" ht="9" customHeight="1" x14ac:dyDescent="0.2">
      <c r="A69" s="241"/>
      <c r="B69" s="10"/>
      <c r="C69" s="387" t="str">
        <f>C37&amp;G37</f>
        <v>EspañaAustria</v>
      </c>
      <c r="D69" s="273">
        <f>D37</f>
        <v>4</v>
      </c>
      <c r="E69" s="382"/>
      <c r="F69" s="273">
        <f>F37</f>
        <v>1</v>
      </c>
      <c r="G69" s="382"/>
      <c r="H69" s="380"/>
      <c r="I69" s="380"/>
      <c r="J69" s="387" t="str">
        <f>J49&amp;N49</f>
        <v>MarruecosInglaterra</v>
      </c>
      <c r="K69" s="273">
        <f>K49</f>
        <v>1</v>
      </c>
      <c r="L69" s="382"/>
      <c r="M69" s="273">
        <f>M49</f>
        <v>3</v>
      </c>
      <c r="N69" s="382"/>
      <c r="O69" s="382"/>
      <c r="P69" s="382"/>
      <c r="Q69" s="387" t="str">
        <f>U29&amp;Q29</f>
        <v>Países BajosFrancia</v>
      </c>
      <c r="R69" s="273">
        <f>T29</f>
        <v>2</v>
      </c>
      <c r="S69" s="382"/>
      <c r="T69" s="273">
        <f>R29</f>
        <v>2</v>
      </c>
      <c r="U69" s="382"/>
      <c r="V69" s="382"/>
      <c r="W69" s="382"/>
      <c r="X69" s="387"/>
      <c r="Y69" s="273"/>
      <c r="Z69" s="382"/>
      <c r="AA69" s="382"/>
      <c r="AB69" s="382"/>
      <c r="AC69" s="382"/>
      <c r="AD69" s="382"/>
      <c r="AE69" s="382"/>
      <c r="AF69" s="382"/>
      <c r="AG69" s="382"/>
      <c r="AH69" s="382"/>
      <c r="AI69" s="382"/>
      <c r="AJ69" s="382"/>
      <c r="AK69" s="382"/>
      <c r="AL69" s="382"/>
      <c r="AM69" s="382"/>
      <c r="AN69" s="382"/>
      <c r="AO69" s="382"/>
      <c r="AP69" s="382"/>
      <c r="AQ69" s="384"/>
      <c r="AR69" s="384"/>
      <c r="AS69" s="384"/>
      <c r="AT69" s="384"/>
      <c r="AU69" s="384"/>
      <c r="AV69" s="384"/>
      <c r="AW69" s="384"/>
      <c r="AX69" s="380"/>
      <c r="AZ69" s="11"/>
      <c r="BA69" s="11"/>
      <c r="BB69" s="10"/>
    </row>
    <row r="70" spans="1:54" s="2" customFormat="1" ht="9" customHeight="1" x14ac:dyDescent="0.2">
      <c r="A70" s="241"/>
      <c r="B70" s="10"/>
      <c r="C70" s="387" t="str">
        <f>C40&amp;G40</f>
        <v>EE. UU.Bosnia</v>
      </c>
      <c r="D70" s="273">
        <f>D40</f>
        <v>1</v>
      </c>
      <c r="E70" s="382"/>
      <c r="F70" s="273">
        <f>F40</f>
        <v>0</v>
      </c>
      <c r="G70" s="382"/>
      <c r="H70" s="380"/>
      <c r="I70" s="380"/>
      <c r="J70" s="387" t="str">
        <f>J54&amp;N54</f>
        <v>ArgentinaTurquía</v>
      </c>
      <c r="K70" s="273">
        <f>K54</f>
        <v>3</v>
      </c>
      <c r="L70" s="382"/>
      <c r="M70" s="273">
        <f>M54</f>
        <v>2</v>
      </c>
      <c r="N70" s="382"/>
      <c r="O70" s="382"/>
      <c r="P70" s="382"/>
      <c r="Q70" s="387" t="str">
        <f>U38&amp;Q38</f>
        <v>BélgicaEspaña</v>
      </c>
      <c r="R70" s="273">
        <f>T38</f>
        <v>2</v>
      </c>
      <c r="S70" s="382"/>
      <c r="T70" s="273">
        <f>R38</f>
        <v>3</v>
      </c>
      <c r="U70" s="382"/>
      <c r="V70" s="382"/>
      <c r="W70" s="382"/>
      <c r="X70" s="387"/>
      <c r="Y70" s="273"/>
      <c r="Z70" s="382"/>
      <c r="AA70" s="382"/>
      <c r="AB70" s="382"/>
      <c r="AC70" s="382"/>
      <c r="AD70" s="382"/>
      <c r="AE70" s="382"/>
      <c r="AF70" s="382"/>
      <c r="AG70" s="382"/>
      <c r="AH70" s="382"/>
      <c r="AI70" s="382"/>
      <c r="AJ70" s="382"/>
      <c r="AK70" s="382"/>
      <c r="AL70" s="382"/>
      <c r="AM70" s="382"/>
      <c r="AN70" s="382"/>
      <c r="AO70" s="382"/>
      <c r="AP70" s="382"/>
      <c r="AQ70" s="384"/>
      <c r="AR70" s="384"/>
      <c r="AS70" s="384"/>
      <c r="AT70" s="384"/>
      <c r="AU70" s="384"/>
      <c r="AV70" s="384"/>
      <c r="AW70" s="384"/>
      <c r="AX70" s="380"/>
      <c r="AZ70" s="11"/>
      <c r="BA70" s="11"/>
      <c r="BB70" s="10"/>
    </row>
    <row r="71" spans="1:54" s="2" customFormat="1" ht="9" customHeight="1" x14ac:dyDescent="0.2">
      <c r="A71" s="241"/>
      <c r="B71" s="10"/>
      <c r="C71" s="387" t="str">
        <f>C41&amp;G41</f>
        <v>BélgicaKorea</v>
      </c>
      <c r="D71" s="273">
        <f>D41</f>
        <v>3</v>
      </c>
      <c r="E71" s="382"/>
      <c r="F71" s="273">
        <f>F41</f>
        <v>1</v>
      </c>
      <c r="G71" s="382"/>
      <c r="H71" s="380"/>
      <c r="I71" s="380"/>
      <c r="J71" s="387" t="str">
        <f>J58&amp;N58</f>
        <v>SuizaPortugal</v>
      </c>
      <c r="K71" s="273">
        <f>K58</f>
        <v>1</v>
      </c>
      <c r="L71" s="382"/>
      <c r="M71" s="273">
        <f>M58</f>
        <v>2</v>
      </c>
      <c r="N71" s="382"/>
      <c r="O71" s="382"/>
      <c r="P71" s="382"/>
      <c r="Q71" s="387" t="str">
        <f>U47&amp;Q47</f>
        <v>InglaterraBrasil</v>
      </c>
      <c r="R71" s="273">
        <f>T47</f>
        <v>1</v>
      </c>
      <c r="S71" s="382"/>
      <c r="T71" s="273">
        <f>R47</f>
        <v>3</v>
      </c>
      <c r="U71" s="382"/>
      <c r="V71" s="382"/>
      <c r="W71" s="382"/>
      <c r="X71" s="387"/>
      <c r="Y71" s="273"/>
      <c r="Z71" s="382"/>
      <c r="AA71" s="382"/>
      <c r="AB71" s="382"/>
      <c r="AC71" s="382"/>
      <c r="AD71" s="382"/>
      <c r="AE71" s="382"/>
      <c r="AF71" s="382"/>
      <c r="AG71" s="382"/>
      <c r="AH71" s="382"/>
      <c r="AI71" s="382"/>
      <c r="AJ71" s="382"/>
      <c r="AK71" s="382"/>
      <c r="AL71" s="382"/>
      <c r="AM71" s="382"/>
      <c r="AN71" s="382"/>
      <c r="AO71" s="382"/>
      <c r="AP71" s="382"/>
      <c r="AQ71" s="384"/>
      <c r="AR71" s="384"/>
      <c r="AS71" s="384"/>
      <c r="AT71" s="384"/>
      <c r="AU71" s="384"/>
      <c r="AV71" s="384"/>
      <c r="AW71" s="384"/>
      <c r="AX71" s="380"/>
      <c r="AZ71" s="11"/>
      <c r="BA71" s="11"/>
      <c r="BB71" s="10"/>
    </row>
    <row r="72" spans="1:54" s="2" customFormat="1" ht="9" customHeight="1" x14ac:dyDescent="0.2">
      <c r="A72" s="241"/>
      <c r="B72" s="10"/>
      <c r="C72" s="387" t="str">
        <f>C45&amp;G45</f>
        <v>BrasilJapón</v>
      </c>
      <c r="D72" s="273">
        <f>D45</f>
        <v>2</v>
      </c>
      <c r="E72" s="382"/>
      <c r="F72" s="273">
        <f>F45</f>
        <v>1</v>
      </c>
      <c r="G72" s="382"/>
      <c r="H72" s="380"/>
      <c r="I72" s="380"/>
      <c r="J72" s="387"/>
      <c r="K72" s="273"/>
      <c r="L72" s="382"/>
      <c r="M72" s="273"/>
      <c r="N72" s="382"/>
      <c r="O72" s="382"/>
      <c r="P72" s="382"/>
      <c r="Q72" s="387" t="str">
        <f>U56&amp;Q56</f>
        <v>PortugalArgentina</v>
      </c>
      <c r="R72" s="273">
        <f>T56</f>
        <v>2</v>
      </c>
      <c r="S72" s="382"/>
      <c r="T72" s="273">
        <f>R56</f>
        <v>2</v>
      </c>
      <c r="U72" s="382"/>
      <c r="V72" s="382"/>
      <c r="W72" s="382"/>
      <c r="X72" s="382"/>
      <c r="Y72" s="382"/>
      <c r="Z72" s="382"/>
      <c r="AA72" s="382"/>
      <c r="AB72" s="382"/>
      <c r="AC72" s="382"/>
      <c r="AD72" s="382"/>
      <c r="AE72" s="382"/>
      <c r="AF72" s="382"/>
      <c r="AG72" s="382"/>
      <c r="AH72" s="382"/>
      <c r="AI72" s="382"/>
      <c r="AJ72" s="382"/>
      <c r="AK72" s="382"/>
      <c r="AL72" s="382"/>
      <c r="AM72" s="382"/>
      <c r="AN72" s="382"/>
      <c r="AO72" s="382"/>
      <c r="AP72" s="382"/>
      <c r="AQ72" s="384"/>
      <c r="AR72" s="384"/>
      <c r="AS72" s="384"/>
      <c r="AT72" s="384"/>
      <c r="AU72" s="384"/>
      <c r="AV72" s="384"/>
      <c r="AW72" s="384"/>
      <c r="AX72" s="380"/>
      <c r="AZ72" s="11"/>
      <c r="BA72" s="11"/>
      <c r="BB72" s="10"/>
    </row>
    <row r="73" spans="1:54" s="2" customFormat="1" ht="9" customHeight="1" x14ac:dyDescent="0.2">
      <c r="A73" s="241"/>
      <c r="B73" s="10"/>
      <c r="C73" s="387" t="str">
        <f>C46&amp;G46</f>
        <v>EcuadorNoruega</v>
      </c>
      <c r="D73" s="273">
        <f>D46</f>
        <v>1</v>
      </c>
      <c r="E73" s="382"/>
      <c r="F73" s="273">
        <f>F46</f>
        <v>1</v>
      </c>
      <c r="G73" s="382"/>
      <c r="H73" s="380"/>
      <c r="I73" s="380"/>
      <c r="J73" s="387" t="str">
        <f>N27&amp;J27</f>
        <v>Países BajosCanadá</v>
      </c>
      <c r="K73" s="273">
        <f>M27</f>
        <v>3</v>
      </c>
      <c r="L73" s="382"/>
      <c r="M73" s="273">
        <f>K27</f>
        <v>2</v>
      </c>
      <c r="N73" s="382"/>
      <c r="O73" s="382"/>
      <c r="P73" s="382"/>
      <c r="Q73" s="382"/>
      <c r="R73" s="382"/>
      <c r="S73" s="382"/>
      <c r="T73" s="382"/>
      <c r="U73" s="382"/>
      <c r="V73" s="382"/>
      <c r="W73" s="382"/>
      <c r="X73" s="382"/>
      <c r="Y73" s="382"/>
      <c r="Z73" s="382"/>
      <c r="AA73" s="382"/>
      <c r="AB73" s="382"/>
      <c r="AC73" s="382"/>
      <c r="AD73" s="382"/>
      <c r="AE73" s="379" t="s">
        <v>35</v>
      </c>
      <c r="AF73" s="381"/>
      <c r="AG73" s="381"/>
      <c r="AH73" s="382"/>
      <c r="AI73" s="382"/>
      <c r="AJ73" s="382"/>
      <c r="AK73" s="382"/>
      <c r="AL73" s="379"/>
      <c r="AM73" s="381"/>
      <c r="AN73" s="381"/>
      <c r="AO73" s="382"/>
      <c r="AP73" s="382"/>
      <c r="AQ73" s="384"/>
      <c r="AR73" s="384"/>
      <c r="AS73" s="384"/>
      <c r="AT73" s="384"/>
      <c r="AU73" s="384"/>
      <c r="AV73" s="384"/>
      <c r="AW73" s="384"/>
      <c r="AX73" s="380"/>
      <c r="AZ73" s="11"/>
      <c r="BA73" s="11"/>
      <c r="BB73" s="10"/>
    </row>
    <row r="74" spans="1:54" s="2" customFormat="1" ht="9" customHeight="1" x14ac:dyDescent="0.2">
      <c r="A74" s="241"/>
      <c r="B74" s="10"/>
      <c r="C74" s="387" t="str">
        <f>C49&amp;G49</f>
        <v>MéxicoMarruecos</v>
      </c>
      <c r="D74" s="273">
        <f>D49</f>
        <v>2</v>
      </c>
      <c r="E74" s="382"/>
      <c r="F74" s="273">
        <f>F49</f>
        <v>3</v>
      </c>
      <c r="G74" s="382"/>
      <c r="H74" s="380"/>
      <c r="I74" s="380"/>
      <c r="J74" s="387" t="str">
        <f>N31&amp;J31</f>
        <v>FranciaAlemania</v>
      </c>
      <c r="K74" s="273">
        <f>M31</f>
        <v>3</v>
      </c>
      <c r="L74" s="382"/>
      <c r="M74" s="273">
        <f>K31</f>
        <v>2</v>
      </c>
      <c r="N74" s="382"/>
      <c r="O74" s="382"/>
      <c r="P74" s="382"/>
      <c r="Q74" s="382"/>
      <c r="R74" s="382"/>
      <c r="S74" s="382"/>
      <c r="T74" s="382"/>
      <c r="U74" s="382"/>
      <c r="V74" s="382"/>
      <c r="W74" s="382"/>
      <c r="X74" s="382"/>
      <c r="Y74" s="382"/>
      <c r="Z74" s="382"/>
      <c r="AA74" s="382"/>
      <c r="AB74" s="382"/>
      <c r="AC74" s="382"/>
      <c r="AD74" s="382"/>
      <c r="AE74" s="381"/>
      <c r="AF74" s="381"/>
      <c r="AG74" s="381"/>
      <c r="AH74" s="382"/>
      <c r="AI74" s="382"/>
      <c r="AJ74" s="382"/>
      <c r="AK74" s="382"/>
      <c r="AL74" s="381"/>
      <c r="AM74" s="381"/>
      <c r="AN74" s="381"/>
      <c r="AO74" s="382"/>
      <c r="AP74" s="382"/>
      <c r="AQ74" s="384"/>
      <c r="AR74" s="384"/>
      <c r="AS74" s="384"/>
      <c r="AT74" s="384"/>
      <c r="AU74" s="384"/>
      <c r="AV74" s="384"/>
      <c r="AW74" s="384"/>
      <c r="AX74" s="380"/>
      <c r="AZ74" s="11"/>
      <c r="BA74" s="11"/>
      <c r="BB74" s="10"/>
    </row>
    <row r="75" spans="1:54" s="2" customFormat="1" ht="9" customHeight="1" x14ac:dyDescent="0.2">
      <c r="A75" s="241"/>
      <c r="B75" s="10"/>
      <c r="C75" s="387" t="str">
        <f>C50&amp;G50</f>
        <v>InglaterraSenegal</v>
      </c>
      <c r="D75" s="273">
        <f>D50</f>
        <v>2</v>
      </c>
      <c r="E75" s="382"/>
      <c r="F75" s="273">
        <f>F50</f>
        <v>1</v>
      </c>
      <c r="G75" s="382"/>
      <c r="H75" s="380"/>
      <c r="I75" s="380"/>
      <c r="J75" s="387" t="str">
        <f>N36&amp;J36</f>
        <v>EspañaCroacia</v>
      </c>
      <c r="K75" s="273">
        <f>M36</f>
        <v>4</v>
      </c>
      <c r="L75" s="382"/>
      <c r="M75" s="273">
        <f>K36</f>
        <v>2</v>
      </c>
      <c r="N75" s="382"/>
      <c r="O75" s="382"/>
      <c r="P75" s="382"/>
      <c r="Q75" s="382"/>
      <c r="R75" s="382"/>
      <c r="S75" s="382"/>
      <c r="T75" s="382"/>
      <c r="U75" s="382"/>
      <c r="V75" s="382"/>
      <c r="W75" s="382"/>
      <c r="X75" s="382"/>
      <c r="Y75" s="382"/>
      <c r="Z75" s="382"/>
      <c r="AA75" s="382"/>
      <c r="AB75" s="382"/>
      <c r="AC75" s="382"/>
      <c r="AD75" s="382"/>
      <c r="AE75" s="385" t="s">
        <v>59</v>
      </c>
      <c r="AF75" s="386"/>
      <c r="AG75" s="381"/>
      <c r="AH75" s="382"/>
      <c r="AI75" s="382"/>
      <c r="AJ75" s="382"/>
      <c r="AK75" s="382"/>
      <c r="AL75" s="385"/>
      <c r="AM75" s="386"/>
      <c r="AN75" s="381"/>
      <c r="AO75" s="382"/>
      <c r="AP75" s="382"/>
      <c r="AQ75" s="384"/>
      <c r="AR75" s="384"/>
      <c r="AS75" s="384"/>
      <c r="AT75" s="384"/>
      <c r="AU75" s="384"/>
      <c r="AV75" s="384"/>
      <c r="AW75" s="384"/>
      <c r="AX75" s="380"/>
      <c r="AZ75" s="11"/>
      <c r="BA75" s="11"/>
      <c r="BB75" s="10"/>
    </row>
    <row r="76" spans="1:54" s="2" customFormat="1" ht="9" customHeight="1" x14ac:dyDescent="0.2">
      <c r="A76" s="241"/>
      <c r="B76" s="10"/>
      <c r="C76" s="387" t="str">
        <f>C54&amp;G54</f>
        <v>ArgentinaUruguay</v>
      </c>
      <c r="D76" s="273">
        <f>D54</f>
        <v>3</v>
      </c>
      <c r="E76" s="382"/>
      <c r="F76" s="273">
        <f>F54</f>
        <v>1</v>
      </c>
      <c r="G76" s="382"/>
      <c r="H76" s="380"/>
      <c r="I76" s="380"/>
      <c r="J76" s="387" t="str">
        <f>N40&amp;J40</f>
        <v>BélgicaEE. UU.</v>
      </c>
      <c r="K76" s="273">
        <f>M40</f>
        <v>3</v>
      </c>
      <c r="L76" s="382"/>
      <c r="M76" s="273">
        <f>K40</f>
        <v>1</v>
      </c>
      <c r="N76" s="382"/>
      <c r="O76" s="382"/>
      <c r="P76" s="382"/>
      <c r="Q76" s="382"/>
      <c r="R76" s="382"/>
      <c r="S76" s="382"/>
      <c r="T76" s="382"/>
      <c r="U76" s="382"/>
      <c r="V76" s="382"/>
      <c r="W76" s="382"/>
      <c r="X76" s="382"/>
      <c r="Y76" s="382"/>
      <c r="Z76" s="382"/>
      <c r="AA76" s="382"/>
      <c r="AB76" s="382"/>
      <c r="AC76" s="382"/>
      <c r="AD76" s="382"/>
      <c r="AE76" s="387" t="str">
        <f>AE40&amp;AI40</f>
        <v>FranciaBrasil</v>
      </c>
      <c r="AF76" s="387">
        <f>AF40</f>
        <v>2</v>
      </c>
      <c r="AG76" s="381"/>
      <c r="AH76" s="387">
        <f>AH40</f>
        <v>3</v>
      </c>
      <c r="AI76" s="382"/>
      <c r="AJ76" s="382"/>
      <c r="AK76" s="382"/>
      <c r="AL76" s="387"/>
      <c r="AM76" s="387"/>
      <c r="AN76" s="381"/>
      <c r="AO76" s="387"/>
      <c r="AP76" s="382"/>
      <c r="AQ76" s="384"/>
      <c r="AR76" s="384"/>
      <c r="AS76" s="384"/>
      <c r="AT76" s="384"/>
      <c r="AU76" s="384"/>
      <c r="AV76" s="384"/>
      <c r="AW76" s="384"/>
      <c r="AX76" s="380"/>
      <c r="AZ76" s="11"/>
      <c r="BA76" s="11"/>
      <c r="BB76" s="10"/>
    </row>
    <row r="77" spans="1:54" s="2" customFormat="1" ht="9" customHeight="1" x14ac:dyDescent="0.2">
      <c r="A77" s="241"/>
      <c r="B77" s="10"/>
      <c r="C77" s="387" t="str">
        <f>C55&amp;G55</f>
        <v>TurquíaEgipto</v>
      </c>
      <c r="D77" s="273">
        <f>D55</f>
        <v>3</v>
      </c>
      <c r="E77" s="382"/>
      <c r="F77" s="273">
        <f>F55</f>
        <v>1</v>
      </c>
      <c r="G77" s="382"/>
      <c r="H77" s="380"/>
      <c r="I77" s="380"/>
      <c r="J77" s="387" t="str">
        <f>N45&amp;J45</f>
        <v>NoruegaBrasil</v>
      </c>
      <c r="K77" s="273">
        <f>M45</f>
        <v>1</v>
      </c>
      <c r="L77" s="382"/>
      <c r="M77" s="273">
        <f>K45</f>
        <v>2</v>
      </c>
      <c r="N77" s="382"/>
      <c r="O77" s="382"/>
      <c r="P77" s="382"/>
      <c r="Q77" s="382"/>
      <c r="R77" s="382"/>
      <c r="S77" s="382"/>
      <c r="T77" s="382"/>
      <c r="U77" s="382"/>
      <c r="V77" s="382"/>
      <c r="W77" s="382"/>
      <c r="X77" s="382"/>
      <c r="Y77" s="382"/>
      <c r="Z77" s="382"/>
      <c r="AA77" s="382"/>
      <c r="AB77" s="382"/>
      <c r="AC77" s="382"/>
      <c r="AD77" s="382"/>
      <c r="AE77" s="387" t="str">
        <f>AI40&amp;AE40</f>
        <v>BrasilFrancia</v>
      </c>
      <c r="AF77" s="387">
        <f>AH40</f>
        <v>3</v>
      </c>
      <c r="AG77" s="381"/>
      <c r="AH77" s="387">
        <f>AF40</f>
        <v>2</v>
      </c>
      <c r="AI77" s="382"/>
      <c r="AJ77" s="382"/>
      <c r="AK77" s="382"/>
      <c r="AL77" s="387"/>
      <c r="AM77" s="387"/>
      <c r="AN77" s="381"/>
      <c r="AO77" s="387"/>
      <c r="AP77" s="382"/>
      <c r="AQ77" s="384"/>
      <c r="AR77" s="384"/>
      <c r="AS77" s="384"/>
      <c r="AT77" s="384"/>
      <c r="AU77" s="384"/>
      <c r="AV77" s="384"/>
      <c r="AW77" s="384"/>
      <c r="AX77" s="380"/>
      <c r="AZ77" s="11"/>
      <c r="BA77" s="11"/>
      <c r="BB77" s="10"/>
    </row>
    <row r="78" spans="1:54" s="2" customFormat="1" ht="9" customHeight="1" x14ac:dyDescent="0.2">
      <c r="A78" s="241"/>
      <c r="B78" s="10"/>
      <c r="C78" s="387" t="str">
        <f>C58&amp;G58</f>
        <v>SuizaIrán</v>
      </c>
      <c r="D78" s="273">
        <f>D58</f>
        <v>2</v>
      </c>
      <c r="E78" s="382"/>
      <c r="F78" s="273">
        <f>F58</f>
        <v>0</v>
      </c>
      <c r="G78" s="382"/>
      <c r="H78" s="380"/>
      <c r="I78" s="380"/>
      <c r="J78" s="387" t="str">
        <f>N49&amp;J49</f>
        <v>InglaterraMarruecos</v>
      </c>
      <c r="K78" s="273">
        <f>M49</f>
        <v>3</v>
      </c>
      <c r="L78" s="382"/>
      <c r="M78" s="273">
        <f>K49</f>
        <v>1</v>
      </c>
      <c r="N78" s="382"/>
      <c r="O78" s="382"/>
      <c r="P78" s="382"/>
      <c r="Q78" s="382"/>
      <c r="R78" s="382"/>
      <c r="S78" s="382"/>
      <c r="T78" s="382"/>
      <c r="U78" s="382"/>
      <c r="V78" s="382"/>
      <c r="W78" s="382"/>
      <c r="X78" s="382"/>
      <c r="Y78" s="382"/>
      <c r="Z78" s="382"/>
      <c r="AA78" s="382"/>
      <c r="AB78" s="382"/>
      <c r="AC78" s="382"/>
      <c r="AD78" s="382"/>
      <c r="AE78" s="387"/>
      <c r="AF78" s="273"/>
      <c r="AG78" s="381"/>
      <c r="AH78" s="382"/>
      <c r="AI78" s="382"/>
      <c r="AJ78" s="382"/>
      <c r="AK78" s="382"/>
      <c r="AL78" s="387"/>
      <c r="AM78" s="273"/>
      <c r="AN78" s="381"/>
      <c r="AO78" s="382"/>
      <c r="AP78" s="382"/>
      <c r="AQ78" s="384"/>
      <c r="AR78" s="384"/>
      <c r="AS78" s="384"/>
      <c r="AT78" s="384"/>
      <c r="AU78" s="384"/>
      <c r="AV78" s="384"/>
      <c r="AW78" s="384"/>
      <c r="AX78" s="380"/>
      <c r="AZ78" s="11"/>
      <c r="BA78" s="11"/>
      <c r="BB78" s="10"/>
    </row>
    <row r="79" spans="1:54" s="2" customFormat="1" ht="9" customHeight="1" x14ac:dyDescent="0.2">
      <c r="A79" s="241"/>
      <c r="B79" s="10"/>
      <c r="C79" s="387" t="str">
        <f>C59&amp;G59</f>
        <v>PortugalCosta de Marfil</v>
      </c>
      <c r="D79" s="273">
        <f>D59</f>
        <v>2</v>
      </c>
      <c r="E79" s="382"/>
      <c r="F79" s="273">
        <f>F59</f>
        <v>0</v>
      </c>
      <c r="G79" s="382"/>
      <c r="H79" s="380"/>
      <c r="I79" s="380"/>
      <c r="J79" s="387" t="str">
        <f>N54&amp;J54</f>
        <v>TurquíaArgentina</v>
      </c>
      <c r="K79" s="273">
        <f>M54</f>
        <v>2</v>
      </c>
      <c r="L79" s="382"/>
      <c r="M79" s="273">
        <f>K54</f>
        <v>3</v>
      </c>
      <c r="N79" s="382"/>
      <c r="O79" s="382"/>
      <c r="P79" s="382"/>
      <c r="Q79" s="382"/>
      <c r="R79" s="382"/>
      <c r="S79" s="382"/>
      <c r="T79" s="382"/>
      <c r="U79" s="382"/>
      <c r="V79" s="382"/>
      <c r="W79" s="382"/>
      <c r="X79" s="382"/>
      <c r="Y79" s="382"/>
      <c r="Z79" s="382"/>
      <c r="AA79" s="382"/>
      <c r="AB79" s="382"/>
      <c r="AC79" s="382"/>
      <c r="AD79" s="382"/>
      <c r="AE79" s="387"/>
      <c r="AF79" s="387"/>
      <c r="AG79" s="381"/>
      <c r="AH79" s="382"/>
      <c r="AI79" s="382"/>
      <c r="AJ79" s="382"/>
      <c r="AK79" s="382"/>
      <c r="AL79" s="387"/>
      <c r="AM79" s="387"/>
      <c r="AN79" s="381"/>
      <c r="AO79" s="382"/>
      <c r="AP79" s="382"/>
      <c r="AQ79" s="384"/>
      <c r="AR79" s="384"/>
      <c r="AS79" s="384"/>
      <c r="AT79" s="384"/>
      <c r="AU79" s="384"/>
      <c r="AV79" s="384"/>
      <c r="AW79" s="384"/>
      <c r="AX79" s="380"/>
      <c r="AZ79" s="11"/>
      <c r="BA79" s="11"/>
      <c r="BB79" s="10"/>
    </row>
    <row r="80" spans="1:54" s="2" customFormat="1" ht="9" customHeight="1" x14ac:dyDescent="0.2">
      <c r="A80" s="241"/>
      <c r="B80" s="10"/>
      <c r="C80" s="387"/>
      <c r="D80" s="273"/>
      <c r="E80" s="382"/>
      <c r="F80" s="273"/>
      <c r="G80" s="382"/>
      <c r="H80" s="380"/>
      <c r="I80" s="380"/>
      <c r="J80" s="387" t="str">
        <f>N58&amp;J58</f>
        <v>PortugalSuiza</v>
      </c>
      <c r="K80" s="273">
        <f>M58</f>
        <v>2</v>
      </c>
      <c r="L80" s="382"/>
      <c r="M80" s="273">
        <f>K58</f>
        <v>1</v>
      </c>
      <c r="N80" s="382"/>
      <c r="O80" s="382"/>
      <c r="P80" s="382"/>
      <c r="Q80" s="382"/>
      <c r="R80" s="382"/>
      <c r="S80" s="382"/>
      <c r="T80" s="382"/>
      <c r="U80" s="382"/>
      <c r="V80" s="382"/>
      <c r="W80" s="382"/>
      <c r="X80" s="382"/>
      <c r="Y80" s="382"/>
      <c r="Z80" s="382"/>
      <c r="AA80" s="382"/>
      <c r="AB80" s="382"/>
      <c r="AC80" s="382"/>
      <c r="AD80" s="382"/>
      <c r="AE80" s="382"/>
      <c r="AF80" s="382"/>
      <c r="AG80" s="382"/>
      <c r="AH80" s="382"/>
      <c r="AI80" s="382"/>
      <c r="AJ80" s="382"/>
      <c r="AK80" s="382"/>
      <c r="AL80" s="382"/>
      <c r="AM80" s="382"/>
      <c r="AN80" s="382"/>
      <c r="AO80" s="382"/>
      <c r="AP80" s="382"/>
      <c r="AQ80" s="380"/>
      <c r="AR80" s="380"/>
      <c r="AS80" s="380"/>
      <c r="AT80" s="380"/>
      <c r="AU80" s="380"/>
      <c r="AV80" s="380"/>
      <c r="AW80" s="380"/>
      <c r="AX80" s="380"/>
      <c r="AZ80" s="10"/>
      <c r="BA80" s="10"/>
      <c r="BB80" s="10"/>
    </row>
    <row r="81" spans="1:50" s="2" customFormat="1" ht="9" customHeight="1" x14ac:dyDescent="0.2">
      <c r="A81" s="241"/>
      <c r="C81" s="387" t="str">
        <f>G27&amp;C27</f>
        <v>CanadáRepública Checa</v>
      </c>
      <c r="D81" s="273">
        <f>F27</f>
        <v>3</v>
      </c>
      <c r="E81" s="382"/>
      <c r="F81" s="273">
        <f>D27</f>
        <v>1</v>
      </c>
      <c r="G81" s="382"/>
      <c r="H81" s="380"/>
      <c r="I81" s="380"/>
      <c r="J81" s="381"/>
      <c r="K81" s="381"/>
      <c r="L81" s="382"/>
      <c r="M81" s="382"/>
      <c r="N81" s="382"/>
      <c r="O81" s="382"/>
      <c r="P81" s="382"/>
      <c r="Q81" s="382"/>
      <c r="R81" s="382"/>
      <c r="S81" s="382"/>
      <c r="T81" s="382"/>
      <c r="U81" s="382"/>
      <c r="V81" s="382"/>
      <c r="W81" s="382"/>
      <c r="X81" s="382"/>
      <c r="Y81" s="382"/>
      <c r="Z81" s="382"/>
      <c r="AA81" s="382"/>
      <c r="AB81" s="382"/>
      <c r="AC81" s="382"/>
      <c r="AD81" s="382"/>
      <c r="AE81" s="382"/>
      <c r="AF81" s="382"/>
      <c r="AG81" s="382"/>
      <c r="AH81" s="382"/>
      <c r="AI81" s="382"/>
      <c r="AJ81" s="382"/>
      <c r="AK81" s="382"/>
      <c r="AL81" s="382"/>
      <c r="AM81" s="382"/>
      <c r="AN81" s="382"/>
      <c r="AO81" s="382"/>
      <c r="AP81" s="382"/>
      <c r="AQ81" s="380"/>
      <c r="AR81" s="380"/>
      <c r="AS81" s="380"/>
      <c r="AT81" s="380"/>
      <c r="AU81" s="380"/>
      <c r="AV81" s="380"/>
      <c r="AW81" s="380"/>
      <c r="AX81" s="380"/>
    </row>
    <row r="82" spans="1:50" s="2" customFormat="1" ht="9" customHeight="1" x14ac:dyDescent="0.2">
      <c r="A82" s="241"/>
      <c r="C82" s="387" t="str">
        <f>G28&amp;C28</f>
        <v>EscociaPaíses Bajos</v>
      </c>
      <c r="D82" s="273">
        <f>F28</f>
        <v>2</v>
      </c>
      <c r="E82" s="382"/>
      <c r="F82" s="273">
        <f>D28</f>
        <v>4</v>
      </c>
      <c r="G82" s="382"/>
      <c r="H82" s="380"/>
      <c r="I82" s="380"/>
      <c r="J82" s="382"/>
      <c r="K82" s="382"/>
      <c r="L82" s="382"/>
      <c r="M82" s="382"/>
      <c r="N82" s="382"/>
      <c r="O82" s="382"/>
      <c r="P82" s="382"/>
      <c r="Q82" s="382"/>
      <c r="R82" s="382"/>
      <c r="S82" s="382"/>
      <c r="T82" s="382"/>
      <c r="U82" s="382"/>
      <c r="V82" s="382"/>
      <c r="W82" s="382"/>
      <c r="X82" s="382"/>
      <c r="Y82" s="382"/>
      <c r="Z82" s="382"/>
      <c r="AA82" s="382"/>
      <c r="AB82" s="382"/>
      <c r="AC82" s="382"/>
      <c r="AD82" s="382"/>
      <c r="AE82" s="382"/>
      <c r="AF82" s="382"/>
      <c r="AG82" s="382"/>
      <c r="AH82" s="382"/>
      <c r="AI82" s="382"/>
      <c r="AJ82" s="382"/>
      <c r="AK82" s="382"/>
      <c r="AL82" s="382"/>
      <c r="AM82" s="382"/>
      <c r="AN82" s="382"/>
      <c r="AO82" s="382"/>
      <c r="AP82" s="382"/>
      <c r="AQ82" s="380"/>
      <c r="AR82" s="380"/>
      <c r="AS82" s="380"/>
      <c r="AT82" s="380"/>
      <c r="AU82" s="380"/>
      <c r="AV82" s="380"/>
      <c r="AW82" s="380"/>
      <c r="AX82" s="380"/>
    </row>
    <row r="83" spans="1:50" s="2" customFormat="1" ht="9" customHeight="1" x14ac:dyDescent="0.2">
      <c r="A83" s="241"/>
      <c r="C83" s="387" t="str">
        <f>G31&amp;C31</f>
        <v>ParaguayAlemania</v>
      </c>
      <c r="D83" s="273">
        <f>F31</f>
        <v>1</v>
      </c>
      <c r="E83" s="382"/>
      <c r="F83" s="273">
        <f>D31</f>
        <v>3</v>
      </c>
      <c r="G83" s="382"/>
      <c r="H83" s="380"/>
      <c r="I83" s="380"/>
      <c r="J83" s="382"/>
      <c r="K83" s="382"/>
      <c r="L83" s="382"/>
      <c r="M83" s="382"/>
      <c r="N83" s="382"/>
      <c r="O83" s="382"/>
      <c r="P83" s="382"/>
      <c r="Q83" s="382"/>
      <c r="R83" s="382"/>
      <c r="S83" s="382"/>
      <c r="T83" s="382"/>
      <c r="U83" s="382"/>
      <c r="V83" s="382"/>
      <c r="W83" s="382"/>
      <c r="X83" s="382"/>
      <c r="Y83" s="382"/>
      <c r="Z83" s="382"/>
      <c r="AA83" s="382"/>
      <c r="AB83" s="382"/>
      <c r="AC83" s="382"/>
      <c r="AD83" s="382"/>
      <c r="AE83" s="382"/>
      <c r="AF83" s="382"/>
      <c r="AG83" s="382"/>
      <c r="AH83" s="382"/>
      <c r="AI83" s="382"/>
      <c r="AJ83" s="382"/>
      <c r="AK83" s="382"/>
      <c r="AL83" s="382"/>
      <c r="AM83" s="382"/>
      <c r="AN83" s="382"/>
      <c r="AO83" s="382"/>
      <c r="AP83" s="382"/>
      <c r="AQ83" s="380"/>
      <c r="AR83" s="380"/>
      <c r="AS83" s="380"/>
      <c r="AT83" s="380"/>
      <c r="AU83" s="380"/>
      <c r="AV83" s="380"/>
      <c r="AW83" s="380"/>
      <c r="AX83" s="380"/>
    </row>
    <row r="84" spans="1:50" s="2" customFormat="1" ht="9" customHeight="1" x14ac:dyDescent="0.2">
      <c r="A84" s="241"/>
      <c r="C84" s="387" t="str">
        <f>G32&amp;C32</f>
        <v>SueciaFrancia</v>
      </c>
      <c r="D84" s="273">
        <f>F32</f>
        <v>1</v>
      </c>
      <c r="E84" s="382"/>
      <c r="F84" s="273">
        <f>D32</f>
        <v>4</v>
      </c>
      <c r="G84" s="382"/>
      <c r="H84" s="380"/>
      <c r="I84" s="380"/>
      <c r="J84" s="382"/>
      <c r="K84" s="382"/>
      <c r="L84" s="382"/>
      <c r="M84" s="382"/>
      <c r="N84" s="382"/>
      <c r="O84" s="382"/>
      <c r="P84" s="382"/>
      <c r="Q84" s="382"/>
      <c r="R84" s="382"/>
      <c r="S84" s="382"/>
      <c r="T84" s="382"/>
      <c r="U84" s="382"/>
      <c r="V84" s="382"/>
      <c r="W84" s="382"/>
      <c r="X84" s="382"/>
      <c r="Y84" s="382"/>
      <c r="Z84" s="382"/>
      <c r="AA84" s="382"/>
      <c r="AB84" s="382"/>
      <c r="AC84" s="382"/>
      <c r="AD84" s="382"/>
      <c r="AE84" s="382"/>
      <c r="AF84" s="382"/>
      <c r="AG84" s="382"/>
      <c r="AH84" s="382"/>
      <c r="AI84" s="382"/>
      <c r="AJ84" s="382"/>
      <c r="AK84" s="382"/>
      <c r="AL84" s="382"/>
      <c r="AM84" s="382"/>
      <c r="AN84" s="382"/>
      <c r="AO84" s="382"/>
      <c r="AP84" s="382"/>
      <c r="AQ84" s="380"/>
      <c r="AR84" s="380"/>
      <c r="AS84" s="380"/>
      <c r="AT84" s="380"/>
      <c r="AU84" s="380"/>
      <c r="AV84" s="380"/>
      <c r="AW84" s="380"/>
      <c r="AX84" s="380"/>
    </row>
    <row r="85" spans="1:50" s="2" customFormat="1" ht="9" customHeight="1" x14ac:dyDescent="0.2">
      <c r="A85" s="241"/>
      <c r="C85" s="387" t="str">
        <f>G36&amp;C36</f>
        <v>CroaciaColombia</v>
      </c>
      <c r="D85" s="273">
        <f>F36</f>
        <v>2</v>
      </c>
      <c r="E85" s="382"/>
      <c r="F85" s="273">
        <f>D36</f>
        <v>2</v>
      </c>
      <c r="G85" s="382"/>
      <c r="H85" s="380"/>
      <c r="I85" s="380"/>
      <c r="J85" s="382"/>
      <c r="K85" s="382"/>
      <c r="L85" s="382"/>
      <c r="M85" s="382"/>
      <c r="N85" s="382"/>
      <c r="O85" s="382"/>
      <c r="P85" s="382"/>
      <c r="Q85" s="382"/>
      <c r="R85" s="382"/>
      <c r="S85" s="382"/>
      <c r="T85" s="382"/>
      <c r="U85" s="382"/>
      <c r="V85" s="382"/>
      <c r="W85" s="382"/>
      <c r="X85" s="382"/>
      <c r="Y85" s="382"/>
      <c r="Z85" s="382"/>
      <c r="AA85" s="382"/>
      <c r="AB85" s="382"/>
      <c r="AC85" s="382"/>
      <c r="AD85" s="382"/>
      <c r="AE85" s="382"/>
      <c r="AF85" s="382"/>
      <c r="AG85" s="382"/>
      <c r="AH85" s="382"/>
      <c r="AI85" s="382"/>
      <c r="AJ85" s="382"/>
      <c r="AK85" s="382"/>
      <c r="AL85" s="382"/>
      <c r="AM85" s="382"/>
      <c r="AN85" s="382"/>
      <c r="AO85" s="382"/>
      <c r="AP85" s="382"/>
      <c r="AQ85" s="380"/>
      <c r="AR85" s="380"/>
      <c r="AS85" s="380"/>
      <c r="AT85" s="380"/>
      <c r="AU85" s="380"/>
      <c r="AV85" s="380"/>
      <c r="AW85" s="380"/>
      <c r="AX85" s="380"/>
    </row>
    <row r="86" spans="1:50" s="2" customFormat="1" ht="9" customHeight="1" x14ac:dyDescent="0.2">
      <c r="A86" s="241"/>
      <c r="C86" s="387" t="str">
        <f>G37&amp;C37</f>
        <v>AustriaEspaña</v>
      </c>
      <c r="D86" s="273">
        <f>F37</f>
        <v>1</v>
      </c>
      <c r="E86" s="382"/>
      <c r="F86" s="273">
        <f>D37</f>
        <v>4</v>
      </c>
      <c r="G86" s="382"/>
      <c r="H86" s="382"/>
      <c r="I86" s="382"/>
      <c r="J86" s="382"/>
      <c r="K86" s="382"/>
      <c r="L86" s="382"/>
      <c r="M86" s="382"/>
      <c r="N86" s="382"/>
      <c r="O86" s="382"/>
      <c r="P86" s="382"/>
      <c r="Q86" s="382"/>
      <c r="R86" s="382"/>
      <c r="S86" s="382"/>
      <c r="T86" s="382"/>
      <c r="U86" s="382"/>
      <c r="V86" s="382"/>
      <c r="W86" s="382"/>
      <c r="X86" s="382"/>
      <c r="Y86" s="382"/>
      <c r="Z86" s="382"/>
      <c r="AA86" s="382"/>
      <c r="AB86" s="382"/>
      <c r="AC86" s="382"/>
      <c r="AD86" s="382"/>
      <c r="AE86" s="382"/>
      <c r="AF86" s="382"/>
      <c r="AG86" s="382"/>
      <c r="AH86" s="382"/>
      <c r="AI86" s="382"/>
      <c r="AJ86" s="382"/>
      <c r="AK86" s="382"/>
      <c r="AL86" s="382"/>
      <c r="AM86" s="382"/>
      <c r="AN86" s="382"/>
      <c r="AO86" s="382"/>
      <c r="AP86" s="382"/>
      <c r="AQ86" s="380"/>
      <c r="AR86" s="380"/>
      <c r="AS86" s="380"/>
      <c r="AT86" s="380"/>
      <c r="AU86" s="380"/>
      <c r="AV86" s="380"/>
      <c r="AW86" s="380"/>
      <c r="AX86" s="380"/>
    </row>
    <row r="87" spans="1:50" s="2" customFormat="1" ht="9" customHeight="1" x14ac:dyDescent="0.2">
      <c r="A87" s="241"/>
      <c r="C87" s="387" t="str">
        <f>G40&amp;C40</f>
        <v>BosniaEE. UU.</v>
      </c>
      <c r="D87" s="273">
        <f>F40</f>
        <v>0</v>
      </c>
      <c r="E87" s="382"/>
      <c r="F87" s="273">
        <f>D40</f>
        <v>1</v>
      </c>
      <c r="G87" s="382"/>
      <c r="H87" s="382"/>
      <c r="I87" s="382"/>
      <c r="J87" s="382"/>
      <c r="K87" s="382"/>
      <c r="L87" s="382"/>
      <c r="M87" s="382"/>
      <c r="N87" s="382"/>
      <c r="O87" s="382"/>
      <c r="P87" s="382"/>
      <c r="Q87" s="382"/>
      <c r="R87" s="382"/>
      <c r="S87" s="382"/>
      <c r="T87" s="382"/>
      <c r="U87" s="382"/>
      <c r="V87" s="382"/>
      <c r="W87" s="382"/>
      <c r="X87" s="382"/>
      <c r="Y87" s="382"/>
      <c r="Z87" s="382"/>
      <c r="AA87" s="382"/>
      <c r="AB87" s="382"/>
      <c r="AC87" s="382"/>
      <c r="AD87" s="382"/>
      <c r="AE87" s="382"/>
      <c r="AF87" s="382"/>
      <c r="AG87" s="382"/>
      <c r="AH87" s="382"/>
      <c r="AI87" s="382"/>
      <c r="AJ87" s="382"/>
      <c r="AK87" s="382"/>
      <c r="AL87" s="382"/>
      <c r="AM87" s="382"/>
      <c r="AN87" s="382"/>
      <c r="AO87" s="382"/>
      <c r="AP87" s="382"/>
      <c r="AQ87" s="380"/>
      <c r="AR87" s="380"/>
      <c r="AS87" s="380"/>
      <c r="AT87" s="380"/>
      <c r="AU87" s="380"/>
      <c r="AV87" s="380"/>
      <c r="AW87" s="380"/>
      <c r="AX87" s="380"/>
    </row>
    <row r="88" spans="1:50" s="2" customFormat="1" ht="9" customHeight="1" x14ac:dyDescent="0.2">
      <c r="A88" s="241"/>
      <c r="C88" s="387" t="str">
        <f>G41&amp;C41</f>
        <v>KoreaBélgica</v>
      </c>
      <c r="D88" s="273">
        <f>F41</f>
        <v>1</v>
      </c>
      <c r="E88" s="382"/>
      <c r="F88" s="273">
        <f>D41</f>
        <v>3</v>
      </c>
      <c r="G88" s="382"/>
      <c r="H88" s="382"/>
      <c r="I88" s="382"/>
      <c r="J88" s="382"/>
      <c r="K88" s="382"/>
      <c r="L88" s="382"/>
      <c r="M88" s="382"/>
      <c r="N88" s="382"/>
      <c r="O88" s="382"/>
      <c r="P88" s="382"/>
      <c r="Q88" s="382"/>
      <c r="R88" s="382"/>
      <c r="S88" s="382"/>
      <c r="T88" s="382"/>
      <c r="U88" s="382"/>
      <c r="V88" s="382"/>
      <c r="W88" s="382"/>
      <c r="X88" s="382"/>
      <c r="Y88" s="382"/>
      <c r="Z88" s="382"/>
      <c r="AA88" s="382"/>
      <c r="AB88" s="382"/>
      <c r="AC88" s="382"/>
      <c r="AD88" s="382"/>
      <c r="AE88" s="382"/>
      <c r="AF88" s="382"/>
      <c r="AG88" s="382"/>
      <c r="AH88" s="382"/>
      <c r="AI88" s="382"/>
      <c r="AJ88" s="382"/>
      <c r="AK88" s="382"/>
      <c r="AL88" s="382"/>
      <c r="AM88" s="382"/>
      <c r="AN88" s="382"/>
      <c r="AO88" s="382"/>
      <c r="AP88" s="382"/>
      <c r="AQ88" s="380"/>
      <c r="AR88" s="380"/>
      <c r="AS88" s="380"/>
      <c r="AT88" s="380"/>
      <c r="AU88" s="380"/>
      <c r="AV88" s="380"/>
      <c r="AW88" s="380"/>
      <c r="AX88" s="380"/>
    </row>
    <row r="89" spans="1:50" s="2" customFormat="1" ht="9" customHeight="1" x14ac:dyDescent="0.2">
      <c r="A89" s="241"/>
      <c r="C89" s="387" t="str">
        <f>G45&amp;C45</f>
        <v>JapónBrasil</v>
      </c>
      <c r="D89" s="273">
        <f>F45</f>
        <v>1</v>
      </c>
      <c r="E89" s="382"/>
      <c r="F89" s="273">
        <f>D45</f>
        <v>2</v>
      </c>
      <c r="G89" s="382"/>
      <c r="H89" s="382"/>
      <c r="I89" s="382"/>
      <c r="J89" s="382"/>
      <c r="K89" s="382"/>
      <c r="L89" s="382"/>
      <c r="M89" s="382"/>
      <c r="N89" s="382"/>
      <c r="O89" s="382"/>
      <c r="P89" s="382"/>
      <c r="Q89" s="382"/>
      <c r="R89" s="382"/>
      <c r="S89" s="382"/>
      <c r="T89" s="382"/>
      <c r="U89" s="382"/>
      <c r="V89" s="382"/>
      <c r="W89" s="382"/>
      <c r="X89" s="382"/>
      <c r="Y89" s="382"/>
      <c r="Z89" s="382"/>
      <c r="AA89" s="382"/>
      <c r="AB89" s="382"/>
      <c r="AC89" s="382"/>
      <c r="AD89" s="382"/>
      <c r="AE89" s="382"/>
      <c r="AF89" s="382"/>
      <c r="AG89" s="382"/>
      <c r="AH89" s="382"/>
      <c r="AI89" s="382"/>
      <c r="AJ89" s="382"/>
      <c r="AK89" s="382"/>
      <c r="AL89" s="382"/>
      <c r="AM89" s="382"/>
      <c r="AN89" s="382"/>
      <c r="AO89" s="382"/>
      <c r="AP89" s="382"/>
      <c r="AQ89" s="380"/>
      <c r="AR89" s="380"/>
      <c r="AS89" s="380"/>
      <c r="AT89" s="380"/>
      <c r="AU89" s="380"/>
      <c r="AV89" s="380"/>
      <c r="AW89" s="380"/>
      <c r="AX89" s="380"/>
    </row>
    <row r="90" spans="1:50" s="2" customFormat="1" ht="9" customHeight="1" x14ac:dyDescent="0.2">
      <c r="A90" s="241"/>
      <c r="C90" s="387" t="str">
        <f>G46&amp;C46</f>
        <v>NoruegaEcuador</v>
      </c>
      <c r="D90" s="273">
        <f>F46</f>
        <v>1</v>
      </c>
      <c r="E90" s="382"/>
      <c r="F90" s="273">
        <f>D46</f>
        <v>1</v>
      </c>
      <c r="G90" s="382"/>
      <c r="H90" s="382"/>
      <c r="I90" s="382"/>
      <c r="J90" s="382"/>
      <c r="K90" s="382"/>
      <c r="L90" s="382"/>
      <c r="M90" s="382"/>
      <c r="N90" s="382"/>
      <c r="O90" s="382"/>
      <c r="P90" s="382"/>
      <c r="Q90" s="382"/>
      <c r="R90" s="382"/>
      <c r="S90" s="382"/>
      <c r="T90" s="382"/>
      <c r="U90" s="382"/>
      <c r="V90" s="382"/>
      <c r="W90" s="382"/>
      <c r="X90" s="382"/>
      <c r="Y90" s="382"/>
      <c r="Z90" s="382"/>
      <c r="AA90" s="382"/>
      <c r="AB90" s="382"/>
      <c r="AC90" s="382"/>
      <c r="AD90" s="382"/>
      <c r="AE90" s="382"/>
      <c r="AF90" s="382"/>
      <c r="AG90" s="382"/>
      <c r="AH90" s="382"/>
      <c r="AI90" s="382"/>
      <c r="AJ90" s="382"/>
      <c r="AK90" s="382"/>
      <c r="AL90" s="382"/>
      <c r="AM90" s="382"/>
      <c r="AN90" s="382"/>
      <c r="AO90" s="382"/>
      <c r="AP90" s="382"/>
      <c r="AQ90" s="380"/>
      <c r="AR90" s="380"/>
      <c r="AS90" s="380"/>
      <c r="AT90" s="380"/>
      <c r="AU90" s="380"/>
      <c r="AV90" s="380"/>
      <c r="AW90" s="380"/>
      <c r="AX90" s="380"/>
    </row>
    <row r="91" spans="1:50" s="2" customFormat="1" ht="9" customHeight="1" x14ac:dyDescent="0.2">
      <c r="A91" s="241"/>
      <c r="C91" s="387" t="str">
        <f>G49&amp;C49</f>
        <v>MarruecosMéxico</v>
      </c>
      <c r="D91" s="273">
        <f>F49</f>
        <v>3</v>
      </c>
      <c r="E91" s="382"/>
      <c r="F91" s="273">
        <f>D49</f>
        <v>2</v>
      </c>
      <c r="G91" s="382"/>
      <c r="H91" s="382"/>
      <c r="I91" s="382"/>
      <c r="J91" s="382"/>
      <c r="K91" s="382"/>
      <c r="L91" s="382"/>
      <c r="M91" s="382"/>
      <c r="N91" s="382"/>
      <c r="O91" s="382"/>
      <c r="P91" s="382"/>
      <c r="Q91" s="382"/>
      <c r="R91" s="382"/>
      <c r="S91" s="382"/>
      <c r="T91" s="382"/>
      <c r="U91" s="382"/>
      <c r="V91" s="382"/>
      <c r="W91" s="382"/>
      <c r="X91" s="382"/>
      <c r="Y91" s="382"/>
      <c r="Z91" s="382"/>
      <c r="AA91" s="382"/>
      <c r="AB91" s="382"/>
      <c r="AC91" s="382"/>
      <c r="AD91" s="382"/>
      <c r="AE91" s="382"/>
      <c r="AF91" s="382"/>
      <c r="AG91" s="382"/>
      <c r="AH91" s="382"/>
      <c r="AI91" s="382"/>
      <c r="AJ91" s="382"/>
      <c r="AK91" s="382"/>
      <c r="AL91" s="382"/>
      <c r="AM91" s="382"/>
      <c r="AN91" s="382"/>
      <c r="AO91" s="382"/>
      <c r="AP91" s="382"/>
      <c r="AQ91" s="380"/>
      <c r="AR91" s="380"/>
      <c r="AS91" s="380"/>
      <c r="AT91" s="380"/>
      <c r="AU91" s="380"/>
      <c r="AV91" s="380"/>
      <c r="AW91" s="380"/>
      <c r="AX91" s="380"/>
    </row>
    <row r="92" spans="1:50" s="2" customFormat="1" ht="9" customHeight="1" x14ac:dyDescent="0.2">
      <c r="A92" s="241"/>
      <c r="C92" s="387" t="str">
        <f>G50&amp;C50</f>
        <v>SenegalInglaterra</v>
      </c>
      <c r="D92" s="273">
        <f>F50</f>
        <v>1</v>
      </c>
      <c r="E92" s="382"/>
      <c r="F92" s="273">
        <f>D50</f>
        <v>2</v>
      </c>
      <c r="G92" s="382"/>
      <c r="H92" s="382"/>
      <c r="I92" s="382"/>
      <c r="J92" s="382"/>
      <c r="K92" s="382"/>
      <c r="L92" s="382"/>
      <c r="M92" s="382"/>
      <c r="N92" s="382"/>
      <c r="O92" s="382"/>
      <c r="P92" s="382"/>
      <c r="Q92" s="382"/>
      <c r="R92" s="382"/>
      <c r="S92" s="382"/>
      <c r="T92" s="382"/>
      <c r="U92" s="382"/>
      <c r="V92" s="382"/>
      <c r="W92" s="382"/>
      <c r="X92" s="382"/>
      <c r="Y92" s="382"/>
      <c r="Z92" s="382"/>
      <c r="AA92" s="382"/>
      <c r="AB92" s="382"/>
      <c r="AC92" s="382"/>
      <c r="AD92" s="382"/>
      <c r="AE92" s="382"/>
      <c r="AF92" s="382"/>
      <c r="AG92" s="382"/>
      <c r="AH92" s="382"/>
      <c r="AI92" s="382"/>
      <c r="AJ92" s="382"/>
      <c r="AK92" s="382"/>
      <c r="AL92" s="382"/>
      <c r="AM92" s="382"/>
      <c r="AN92" s="382"/>
      <c r="AO92" s="382"/>
      <c r="AP92" s="382"/>
      <c r="AQ92" s="380"/>
      <c r="AR92" s="380"/>
      <c r="AS92" s="380"/>
      <c r="AT92" s="380"/>
      <c r="AU92" s="380"/>
      <c r="AV92" s="380"/>
      <c r="AW92" s="380"/>
      <c r="AX92" s="380"/>
    </row>
    <row r="93" spans="1:50" ht="9" customHeight="1" x14ac:dyDescent="0.2">
      <c r="C93" s="387" t="str">
        <f>G54&amp;C54</f>
        <v>UruguayArgentina</v>
      </c>
      <c r="D93" s="273">
        <f>F54</f>
        <v>1</v>
      </c>
      <c r="E93" s="382"/>
      <c r="F93" s="273">
        <f>D54</f>
        <v>3</v>
      </c>
      <c r="G93" s="382"/>
      <c r="H93" s="382"/>
      <c r="I93" s="382"/>
      <c r="J93" s="382"/>
      <c r="K93" s="382"/>
      <c r="L93" s="382"/>
      <c r="M93" s="382"/>
      <c r="N93" s="382"/>
      <c r="O93" s="382"/>
      <c r="P93" s="382"/>
      <c r="Q93" s="382"/>
      <c r="R93" s="382"/>
      <c r="S93" s="382"/>
      <c r="T93" s="382"/>
      <c r="U93" s="382"/>
      <c r="V93" s="382"/>
      <c r="W93" s="382"/>
      <c r="X93" s="382"/>
      <c r="Y93" s="382"/>
      <c r="Z93" s="382"/>
      <c r="AA93" s="382"/>
      <c r="AB93" s="382"/>
      <c r="AC93" s="382"/>
      <c r="AD93" s="382"/>
      <c r="AE93" s="382"/>
      <c r="AF93" s="382"/>
      <c r="AG93" s="382"/>
      <c r="AH93" s="382"/>
      <c r="AI93" s="382"/>
      <c r="AJ93" s="382"/>
      <c r="AK93" s="382"/>
      <c r="AL93" s="382"/>
      <c r="AM93" s="382"/>
      <c r="AN93" s="382"/>
      <c r="AO93" s="382"/>
      <c r="AP93" s="382"/>
      <c r="AQ93" s="389"/>
      <c r="AR93" s="389"/>
      <c r="AS93" s="389"/>
      <c r="AT93" s="389"/>
      <c r="AU93" s="389"/>
      <c r="AV93" s="389"/>
      <c r="AW93" s="389"/>
      <c r="AX93" s="389"/>
    </row>
    <row r="94" spans="1:50" ht="9" customHeight="1" x14ac:dyDescent="0.2">
      <c r="C94" s="387" t="str">
        <f>G55&amp;C55</f>
        <v>EgiptoTurquía</v>
      </c>
      <c r="D94" s="273">
        <f>F55</f>
        <v>1</v>
      </c>
      <c r="E94" s="382"/>
      <c r="F94" s="273">
        <f>D55</f>
        <v>3</v>
      </c>
      <c r="G94" s="382"/>
      <c r="H94" s="382"/>
      <c r="I94" s="382"/>
      <c r="J94" s="382"/>
      <c r="K94" s="382"/>
      <c r="L94" s="382"/>
      <c r="M94" s="382"/>
      <c r="N94" s="382"/>
      <c r="O94" s="382"/>
      <c r="P94" s="382"/>
      <c r="Q94" s="382"/>
      <c r="R94" s="382"/>
      <c r="S94" s="382"/>
      <c r="T94" s="382"/>
      <c r="U94" s="382"/>
      <c r="V94" s="382"/>
      <c r="W94" s="382"/>
      <c r="X94" s="382"/>
      <c r="Y94" s="382"/>
      <c r="Z94" s="382"/>
      <c r="AA94" s="382"/>
      <c r="AB94" s="382"/>
      <c r="AC94" s="382"/>
      <c r="AD94" s="382"/>
      <c r="AE94" s="382"/>
      <c r="AF94" s="382"/>
      <c r="AG94" s="382"/>
      <c r="AH94" s="382"/>
      <c r="AI94" s="382"/>
      <c r="AJ94" s="382"/>
      <c r="AK94" s="382"/>
      <c r="AL94" s="382"/>
      <c r="AM94" s="382"/>
      <c r="AN94" s="382"/>
      <c r="AO94" s="382"/>
      <c r="AP94" s="382"/>
      <c r="AQ94" s="389"/>
      <c r="AR94" s="389"/>
      <c r="AS94" s="389"/>
      <c r="AT94" s="389"/>
      <c r="AU94" s="389"/>
      <c r="AV94" s="389"/>
      <c r="AW94" s="389"/>
      <c r="AX94" s="389"/>
    </row>
    <row r="95" spans="1:50" ht="9" customHeight="1" x14ac:dyDescent="0.2">
      <c r="C95" s="387" t="str">
        <f>G58&amp;C58</f>
        <v>IránSuiza</v>
      </c>
      <c r="D95" s="273">
        <f>F58</f>
        <v>0</v>
      </c>
      <c r="E95" s="382"/>
      <c r="F95" s="273">
        <f>D58</f>
        <v>2</v>
      </c>
      <c r="G95" s="382"/>
      <c r="H95" s="382"/>
      <c r="I95" s="382"/>
      <c r="J95" s="382"/>
      <c r="K95" s="382"/>
      <c r="L95" s="382"/>
      <c r="M95" s="382"/>
      <c r="N95" s="382"/>
      <c r="O95" s="382"/>
      <c r="P95" s="382"/>
      <c r="Q95" s="382"/>
      <c r="R95" s="382"/>
      <c r="S95" s="382"/>
      <c r="T95" s="382"/>
      <c r="U95" s="382"/>
      <c r="V95" s="382"/>
      <c r="W95" s="382"/>
      <c r="X95" s="382"/>
      <c r="Y95" s="382"/>
      <c r="Z95" s="382"/>
      <c r="AA95" s="382"/>
      <c r="AB95" s="382"/>
      <c r="AC95" s="382"/>
      <c r="AD95" s="382"/>
      <c r="AE95" s="382"/>
      <c r="AF95" s="382"/>
      <c r="AG95" s="382"/>
      <c r="AH95" s="382"/>
      <c r="AI95" s="382"/>
      <c r="AJ95" s="382"/>
      <c r="AK95" s="382"/>
      <c r="AL95" s="382"/>
      <c r="AM95" s="382"/>
      <c r="AN95" s="382"/>
      <c r="AO95" s="382"/>
      <c r="AP95" s="382"/>
      <c r="AQ95" s="389"/>
      <c r="AR95" s="389"/>
      <c r="AS95" s="389"/>
      <c r="AT95" s="389"/>
      <c r="AU95" s="389"/>
      <c r="AV95" s="389"/>
      <c r="AW95" s="389"/>
      <c r="AX95" s="389"/>
    </row>
    <row r="96" spans="1:50" ht="9" customHeight="1" x14ac:dyDescent="0.2">
      <c r="C96" s="387" t="str">
        <f>G59&amp;C59</f>
        <v>Costa de MarfilPortugal</v>
      </c>
      <c r="D96" s="273">
        <f>F59</f>
        <v>0</v>
      </c>
      <c r="E96" s="382"/>
      <c r="F96" s="273">
        <f>D59</f>
        <v>2</v>
      </c>
      <c r="G96" s="382"/>
      <c r="H96" s="382"/>
      <c r="I96" s="382"/>
      <c r="J96" s="382"/>
      <c r="K96" s="382"/>
      <c r="L96" s="382"/>
      <c r="M96" s="382"/>
      <c r="N96" s="382"/>
      <c r="O96" s="382"/>
      <c r="P96" s="382"/>
      <c r="Q96" s="382"/>
      <c r="R96" s="382"/>
      <c r="S96" s="382"/>
      <c r="T96" s="382"/>
      <c r="U96" s="382"/>
      <c r="V96" s="382"/>
      <c r="W96" s="382"/>
      <c r="X96" s="382"/>
      <c r="Y96" s="382"/>
      <c r="Z96" s="382"/>
      <c r="AA96" s="382"/>
      <c r="AB96" s="382"/>
      <c r="AC96" s="382"/>
      <c r="AD96" s="382"/>
      <c r="AE96" s="382"/>
      <c r="AF96" s="382"/>
      <c r="AG96" s="382"/>
      <c r="AH96" s="382"/>
      <c r="AI96" s="382"/>
      <c r="AJ96" s="382"/>
      <c r="AK96" s="382"/>
      <c r="AL96" s="382"/>
      <c r="AM96" s="382"/>
      <c r="AN96" s="382"/>
      <c r="AO96" s="382"/>
      <c r="AP96" s="382"/>
      <c r="AQ96" s="389"/>
      <c r="AR96" s="389"/>
      <c r="AS96" s="389"/>
      <c r="AT96" s="389"/>
      <c r="AU96" s="389"/>
      <c r="AV96" s="389"/>
      <c r="AW96" s="389"/>
      <c r="AX96" s="389"/>
    </row>
    <row r="97" spans="3:50" ht="9" customHeight="1" x14ac:dyDescent="0.2">
      <c r="C97" s="387"/>
      <c r="D97" s="273"/>
      <c r="E97" s="382"/>
      <c r="F97" s="273"/>
      <c r="G97" s="382"/>
      <c r="H97" s="382"/>
      <c r="I97" s="382"/>
      <c r="J97" s="382"/>
      <c r="K97" s="382"/>
      <c r="L97" s="382"/>
      <c r="M97" s="382"/>
      <c r="N97" s="382"/>
      <c r="O97" s="382"/>
      <c r="P97" s="382"/>
      <c r="Q97" s="382"/>
      <c r="R97" s="382"/>
      <c r="S97" s="382"/>
      <c r="T97" s="382"/>
      <c r="U97" s="382"/>
      <c r="V97" s="382"/>
      <c r="W97" s="382"/>
      <c r="X97" s="382"/>
      <c r="Y97" s="382"/>
      <c r="Z97" s="382"/>
      <c r="AA97" s="382"/>
      <c r="AB97" s="382"/>
      <c r="AC97" s="382"/>
      <c r="AD97" s="382"/>
      <c r="AE97" s="382"/>
      <c r="AF97" s="382"/>
      <c r="AG97" s="382"/>
      <c r="AH97" s="382"/>
      <c r="AI97" s="382"/>
      <c r="AJ97" s="382"/>
      <c r="AK97" s="382"/>
      <c r="AL97" s="382"/>
      <c r="AM97" s="382"/>
      <c r="AN97" s="382"/>
      <c r="AO97" s="382"/>
      <c r="AP97" s="382"/>
      <c r="AQ97" s="389"/>
      <c r="AR97" s="389"/>
      <c r="AS97" s="389"/>
      <c r="AT97" s="389"/>
      <c r="AU97" s="389"/>
      <c r="AV97" s="389"/>
      <c r="AW97" s="389"/>
      <c r="AX97" s="389"/>
    </row>
    <row r="98" spans="3:50" ht="9" customHeight="1" x14ac:dyDescent="0.2">
      <c r="C98" s="387"/>
      <c r="D98" s="273"/>
      <c r="E98" s="382"/>
      <c r="F98" s="273"/>
      <c r="G98" s="382"/>
      <c r="H98" s="389"/>
      <c r="I98" s="389"/>
      <c r="J98" s="389"/>
      <c r="K98" s="389"/>
      <c r="L98" s="389"/>
      <c r="M98" s="389"/>
      <c r="N98" s="389"/>
      <c r="O98" s="389"/>
      <c r="P98" s="389"/>
      <c r="Q98" s="389"/>
      <c r="R98" s="389"/>
      <c r="S98" s="389"/>
      <c r="T98" s="389"/>
      <c r="U98" s="389"/>
      <c r="V98" s="389"/>
      <c r="W98" s="389"/>
      <c r="X98" s="389"/>
      <c r="Y98" s="389"/>
      <c r="Z98" s="389"/>
      <c r="AA98" s="389"/>
      <c r="AB98" s="389"/>
      <c r="AC98" s="389"/>
      <c r="AD98" s="389"/>
      <c r="AE98" s="389"/>
      <c r="AF98" s="389"/>
      <c r="AG98" s="389"/>
      <c r="AH98" s="389"/>
      <c r="AI98" s="389"/>
      <c r="AJ98" s="389"/>
      <c r="AK98" s="389"/>
      <c r="AL98" s="389"/>
      <c r="AM98" s="389"/>
      <c r="AN98" s="389"/>
      <c r="AO98" s="389"/>
      <c r="AP98" s="389"/>
      <c r="AQ98" s="389"/>
      <c r="AR98" s="389"/>
      <c r="AS98" s="389"/>
      <c r="AT98" s="389"/>
      <c r="AU98" s="389"/>
      <c r="AV98" s="389"/>
      <c r="AW98" s="389"/>
      <c r="AX98" s="389"/>
    </row>
    <row r="99" spans="3:50" ht="9" customHeight="1" x14ac:dyDescent="0.2">
      <c r="C99" s="387"/>
      <c r="D99" s="273"/>
      <c r="E99" s="382"/>
      <c r="F99" s="273"/>
      <c r="G99" s="382"/>
      <c r="H99" s="389"/>
      <c r="I99" s="389"/>
      <c r="J99" s="389"/>
      <c r="K99" s="389"/>
      <c r="L99" s="389"/>
      <c r="M99" s="389"/>
      <c r="N99" s="389"/>
      <c r="O99" s="389"/>
      <c r="P99" s="389"/>
      <c r="Q99" s="389"/>
      <c r="R99" s="389"/>
      <c r="S99" s="389"/>
      <c r="T99" s="389"/>
      <c r="U99" s="389"/>
      <c r="V99" s="389"/>
      <c r="W99" s="389"/>
      <c r="X99" s="389"/>
      <c r="Y99" s="389"/>
      <c r="Z99" s="389"/>
      <c r="AA99" s="389"/>
      <c r="AB99" s="389"/>
      <c r="AC99" s="389"/>
      <c r="AD99" s="389"/>
      <c r="AE99" s="389"/>
      <c r="AF99" s="389"/>
      <c r="AG99" s="389"/>
      <c r="AH99" s="389"/>
      <c r="AI99" s="389"/>
      <c r="AJ99" s="389"/>
      <c r="AK99" s="389"/>
      <c r="AL99" s="389"/>
      <c r="AM99" s="389"/>
      <c r="AN99" s="389"/>
      <c r="AO99" s="389"/>
      <c r="AP99" s="389"/>
      <c r="AQ99" s="389"/>
      <c r="AR99" s="389"/>
      <c r="AS99" s="389"/>
      <c r="AT99" s="389"/>
      <c r="AU99" s="389"/>
      <c r="AV99" s="389"/>
      <c r="AW99" s="389"/>
      <c r="AX99" s="389"/>
    </row>
    <row r="100" spans="3:50" ht="9" customHeight="1" x14ac:dyDescent="0.2">
      <c r="C100" s="387"/>
      <c r="D100" s="273"/>
      <c r="E100" s="382"/>
      <c r="F100" s="273"/>
      <c r="G100" s="382"/>
      <c r="H100" s="389"/>
      <c r="I100" s="389"/>
      <c r="J100" s="389"/>
      <c r="K100" s="389"/>
      <c r="L100" s="389"/>
      <c r="M100" s="389"/>
      <c r="N100" s="389"/>
      <c r="O100" s="389"/>
      <c r="P100" s="389"/>
      <c r="Q100" s="389"/>
      <c r="R100" s="389"/>
      <c r="S100" s="389"/>
      <c r="T100" s="389"/>
      <c r="U100" s="389"/>
      <c r="V100" s="389"/>
      <c r="W100" s="389"/>
      <c r="X100" s="389"/>
      <c r="Y100" s="389"/>
      <c r="Z100" s="389"/>
      <c r="AA100" s="389"/>
      <c r="AB100" s="389"/>
      <c r="AC100" s="389"/>
      <c r="AD100" s="389"/>
      <c r="AE100" s="389"/>
      <c r="AF100" s="389"/>
      <c r="AG100" s="389"/>
      <c r="AH100" s="389"/>
      <c r="AI100" s="389"/>
      <c r="AJ100" s="389"/>
      <c r="AK100" s="389"/>
      <c r="AL100" s="389"/>
      <c r="AM100" s="389"/>
      <c r="AN100" s="389"/>
      <c r="AO100" s="389"/>
      <c r="AP100" s="389"/>
      <c r="AQ100" s="389"/>
      <c r="AR100" s="389"/>
      <c r="AS100" s="389"/>
      <c r="AT100" s="389"/>
      <c r="AU100" s="389"/>
      <c r="AV100" s="389"/>
      <c r="AW100" s="389"/>
      <c r="AX100" s="389"/>
    </row>
    <row r="101" spans="3:50" ht="9" customHeight="1" x14ac:dyDescent="0.2">
      <c r="C101" s="387"/>
      <c r="D101" s="273"/>
      <c r="E101" s="382"/>
      <c r="F101" s="273"/>
      <c r="G101" s="382"/>
      <c r="H101" s="389"/>
      <c r="I101" s="389"/>
      <c r="J101" s="389"/>
      <c r="K101" s="389"/>
      <c r="L101" s="389"/>
      <c r="M101" s="389"/>
      <c r="N101" s="389"/>
      <c r="O101" s="389"/>
      <c r="P101" s="389"/>
      <c r="Q101" s="389"/>
      <c r="R101" s="389"/>
      <c r="S101" s="389"/>
      <c r="T101" s="389"/>
      <c r="U101" s="389"/>
      <c r="V101" s="389"/>
      <c r="W101" s="389"/>
      <c r="X101" s="389"/>
      <c r="Y101" s="389"/>
      <c r="Z101" s="389"/>
      <c r="AA101" s="389"/>
      <c r="AB101" s="389"/>
      <c r="AC101" s="389"/>
      <c r="AD101" s="389"/>
      <c r="AE101" s="389"/>
      <c r="AF101" s="389"/>
      <c r="AG101" s="389"/>
      <c r="AH101" s="389"/>
      <c r="AI101" s="389"/>
      <c r="AJ101" s="389"/>
      <c r="AK101" s="389"/>
      <c r="AL101" s="389"/>
      <c r="AM101" s="389"/>
      <c r="AN101" s="389"/>
      <c r="AO101" s="389"/>
      <c r="AP101" s="389"/>
      <c r="AQ101" s="389"/>
      <c r="AR101" s="389"/>
      <c r="AS101" s="389"/>
      <c r="AT101" s="389"/>
      <c r="AU101" s="389"/>
      <c r="AV101" s="389"/>
      <c r="AW101" s="389"/>
      <c r="AX101" s="389"/>
    </row>
    <row r="102" spans="3:50" ht="9" customHeight="1" x14ac:dyDescent="0.2">
      <c r="C102" s="387"/>
      <c r="D102" s="273"/>
      <c r="E102" s="382"/>
      <c r="F102" s="273"/>
      <c r="G102" s="382"/>
      <c r="H102" s="389"/>
      <c r="I102" s="389"/>
      <c r="J102" s="389"/>
      <c r="K102" s="389"/>
      <c r="L102" s="389"/>
      <c r="M102" s="389"/>
      <c r="N102" s="389"/>
      <c r="O102" s="389"/>
      <c r="P102" s="389"/>
      <c r="Q102" s="389"/>
      <c r="R102" s="389"/>
      <c r="S102" s="389"/>
      <c r="T102" s="389"/>
      <c r="U102" s="389"/>
      <c r="V102" s="389"/>
      <c r="W102" s="389"/>
      <c r="X102" s="389"/>
      <c r="Y102" s="389"/>
      <c r="Z102" s="389"/>
      <c r="AA102" s="389"/>
      <c r="AB102" s="389"/>
      <c r="AC102" s="389"/>
      <c r="AD102" s="389"/>
      <c r="AE102" s="389"/>
      <c r="AF102" s="389"/>
      <c r="AG102" s="389"/>
      <c r="AH102" s="389"/>
      <c r="AI102" s="389"/>
      <c r="AJ102" s="389"/>
      <c r="AK102" s="389"/>
      <c r="AL102" s="389"/>
      <c r="AM102" s="389"/>
      <c r="AN102" s="389"/>
      <c r="AO102" s="389"/>
      <c r="AP102" s="389"/>
      <c r="AQ102" s="389"/>
      <c r="AR102" s="389"/>
      <c r="AS102" s="389"/>
      <c r="AT102" s="389"/>
      <c r="AU102" s="389"/>
      <c r="AV102" s="389"/>
      <c r="AW102" s="389"/>
      <c r="AX102" s="389"/>
    </row>
    <row r="103" spans="3:50" ht="9" customHeight="1" x14ac:dyDescent="0.2">
      <c r="C103" s="387"/>
      <c r="D103" s="273"/>
      <c r="E103" s="382"/>
      <c r="F103" s="273"/>
      <c r="G103" s="382"/>
      <c r="H103" s="389"/>
      <c r="I103" s="389"/>
      <c r="J103" s="389"/>
      <c r="K103" s="389"/>
      <c r="L103" s="389"/>
      <c r="M103" s="389"/>
      <c r="N103" s="389"/>
      <c r="O103" s="389"/>
      <c r="P103" s="389"/>
      <c r="Q103" s="389"/>
      <c r="R103" s="389"/>
      <c r="S103" s="389"/>
      <c r="T103" s="389"/>
      <c r="U103" s="389"/>
      <c r="V103" s="389"/>
      <c r="W103" s="389"/>
      <c r="X103" s="389"/>
      <c r="Y103" s="389"/>
      <c r="Z103" s="389"/>
      <c r="AA103" s="389"/>
      <c r="AB103" s="389"/>
      <c r="AC103" s="389"/>
      <c r="AD103" s="389"/>
      <c r="AE103" s="389"/>
      <c r="AF103" s="389"/>
      <c r="AG103" s="389"/>
      <c r="AH103" s="389"/>
      <c r="AI103" s="389"/>
      <c r="AJ103" s="389"/>
      <c r="AK103" s="389"/>
      <c r="AL103" s="389"/>
      <c r="AM103" s="389"/>
      <c r="AN103" s="389"/>
      <c r="AO103" s="389"/>
      <c r="AP103" s="389"/>
      <c r="AQ103" s="389"/>
      <c r="AR103" s="389"/>
      <c r="AS103" s="389"/>
      <c r="AT103" s="389"/>
      <c r="AU103" s="389"/>
      <c r="AV103" s="389"/>
      <c r="AW103" s="389"/>
      <c r="AX103" s="389"/>
    </row>
    <row r="104" spans="3:50" ht="9" customHeight="1" x14ac:dyDescent="0.2">
      <c r="C104" s="387"/>
      <c r="D104" s="273"/>
      <c r="E104" s="382"/>
      <c r="F104" s="273"/>
      <c r="G104" s="382"/>
      <c r="H104" s="389"/>
      <c r="I104" s="389"/>
      <c r="J104" s="389"/>
      <c r="K104" s="389"/>
      <c r="L104" s="389"/>
      <c r="M104" s="389"/>
      <c r="N104" s="389"/>
      <c r="O104" s="389"/>
      <c r="P104" s="389"/>
      <c r="Q104" s="389"/>
      <c r="R104" s="389"/>
      <c r="S104" s="389"/>
      <c r="T104" s="389"/>
      <c r="U104" s="389"/>
      <c r="V104" s="389"/>
      <c r="W104" s="389"/>
      <c r="X104" s="389"/>
      <c r="Y104" s="389"/>
      <c r="Z104" s="389"/>
      <c r="AA104" s="389"/>
      <c r="AB104" s="389"/>
      <c r="AC104" s="389"/>
      <c r="AD104" s="389"/>
      <c r="AE104" s="389"/>
      <c r="AF104" s="389"/>
      <c r="AG104" s="389"/>
      <c r="AH104" s="389"/>
      <c r="AI104" s="389"/>
      <c r="AJ104" s="389"/>
      <c r="AK104" s="389"/>
      <c r="AL104" s="389"/>
      <c r="AM104" s="389"/>
      <c r="AN104" s="389"/>
      <c r="AO104" s="389"/>
      <c r="AP104" s="389"/>
      <c r="AQ104" s="389"/>
      <c r="AR104" s="389"/>
      <c r="AS104" s="389"/>
      <c r="AT104" s="389"/>
      <c r="AU104" s="389"/>
      <c r="AV104" s="389"/>
      <c r="AW104" s="389"/>
      <c r="AX104" s="389"/>
    </row>
    <row r="105" spans="3:50" ht="9" customHeight="1" x14ac:dyDescent="0.2">
      <c r="C105" s="387"/>
      <c r="D105" s="273"/>
      <c r="E105" s="382"/>
      <c r="F105" s="273"/>
      <c r="G105" s="382"/>
      <c r="H105" s="389"/>
      <c r="I105" s="389"/>
      <c r="J105" s="389"/>
      <c r="K105" s="389"/>
      <c r="L105" s="389"/>
      <c r="M105" s="389"/>
      <c r="N105" s="389"/>
      <c r="O105" s="389"/>
      <c r="P105" s="389"/>
      <c r="Q105" s="389"/>
      <c r="R105" s="389"/>
      <c r="S105" s="389"/>
      <c r="T105" s="389"/>
      <c r="U105" s="389"/>
      <c r="V105" s="389"/>
      <c r="W105" s="389"/>
      <c r="X105" s="389"/>
      <c r="Y105" s="389"/>
      <c r="Z105" s="389"/>
      <c r="AA105" s="389"/>
      <c r="AB105" s="389"/>
      <c r="AC105" s="389"/>
      <c r="AD105" s="389"/>
      <c r="AE105" s="389"/>
      <c r="AF105" s="389"/>
      <c r="AG105" s="389"/>
      <c r="AH105" s="389"/>
      <c r="AI105" s="389"/>
      <c r="AJ105" s="389"/>
      <c r="AK105" s="389"/>
      <c r="AL105" s="389"/>
      <c r="AM105" s="389"/>
      <c r="AN105" s="389"/>
      <c r="AO105" s="389"/>
      <c r="AP105" s="389"/>
      <c r="AQ105" s="389"/>
      <c r="AR105" s="389"/>
      <c r="AS105" s="389"/>
      <c r="AT105" s="389"/>
      <c r="AU105" s="389"/>
      <c r="AV105" s="389"/>
      <c r="AW105" s="389"/>
      <c r="AX105" s="389"/>
    </row>
    <row r="106" spans="3:50" x14ac:dyDescent="0.2">
      <c r="C106" s="389"/>
      <c r="D106" s="389"/>
      <c r="E106" s="389"/>
      <c r="F106" s="389"/>
      <c r="G106" s="389"/>
      <c r="H106" s="389"/>
      <c r="I106" s="389"/>
      <c r="J106" s="389"/>
      <c r="K106" s="389"/>
      <c r="L106" s="389"/>
      <c r="M106" s="389"/>
      <c r="N106" s="389"/>
      <c r="O106" s="389"/>
      <c r="P106" s="389"/>
      <c r="Q106" s="389"/>
      <c r="R106" s="389"/>
      <c r="S106" s="389"/>
      <c r="T106" s="389"/>
      <c r="U106" s="389"/>
      <c r="V106" s="389"/>
      <c r="W106" s="389"/>
      <c r="X106" s="389"/>
      <c r="Y106" s="389"/>
      <c r="Z106" s="389"/>
      <c r="AA106" s="389"/>
      <c r="AB106" s="389"/>
      <c r="AC106" s="389"/>
      <c r="AD106" s="389"/>
      <c r="AE106" s="389"/>
      <c r="AF106" s="389"/>
      <c r="AG106" s="389"/>
      <c r="AH106" s="389"/>
      <c r="AI106" s="389"/>
      <c r="AJ106" s="389"/>
      <c r="AK106" s="389"/>
      <c r="AL106" s="389"/>
      <c r="AM106" s="389"/>
      <c r="AN106" s="389"/>
      <c r="AO106" s="389"/>
      <c r="AP106" s="389"/>
      <c r="AQ106" s="389"/>
      <c r="AR106" s="389"/>
      <c r="AS106" s="389"/>
      <c r="AT106" s="389"/>
      <c r="AU106" s="389"/>
      <c r="AV106" s="389"/>
      <c r="AW106" s="389"/>
      <c r="AX106" s="389"/>
    </row>
    <row r="107" spans="3:50" x14ac:dyDescent="0.2">
      <c r="C107" s="389"/>
      <c r="D107" s="389"/>
      <c r="E107" s="389"/>
      <c r="F107" s="389"/>
      <c r="G107" s="389"/>
      <c r="H107" s="389"/>
      <c r="I107" s="389"/>
      <c r="J107" s="389"/>
      <c r="K107" s="389"/>
      <c r="L107" s="389"/>
      <c r="M107" s="389"/>
      <c r="N107" s="389"/>
      <c r="O107" s="389"/>
      <c r="P107" s="389"/>
      <c r="Q107" s="389"/>
      <c r="R107" s="389"/>
      <c r="S107" s="389"/>
      <c r="T107" s="389"/>
      <c r="U107" s="389"/>
      <c r="V107" s="389"/>
      <c r="W107" s="389"/>
      <c r="X107" s="389"/>
      <c r="Y107" s="389"/>
      <c r="Z107" s="389"/>
      <c r="AA107" s="389"/>
      <c r="AB107" s="389"/>
      <c r="AC107" s="389"/>
      <c r="AD107" s="389"/>
      <c r="AE107" s="389"/>
      <c r="AF107" s="389"/>
      <c r="AG107" s="389"/>
      <c r="AH107" s="389"/>
      <c r="AI107" s="389"/>
      <c r="AJ107" s="389"/>
      <c r="AK107" s="389"/>
      <c r="AL107" s="389"/>
      <c r="AM107" s="389"/>
      <c r="AN107" s="389"/>
      <c r="AO107" s="389"/>
      <c r="AP107" s="389"/>
      <c r="AQ107" s="389"/>
      <c r="AR107" s="389"/>
      <c r="AS107" s="389"/>
      <c r="AT107" s="389"/>
      <c r="AU107" s="389"/>
      <c r="AV107" s="389"/>
      <c r="AW107" s="389"/>
      <c r="AX107" s="389"/>
    </row>
    <row r="108" spans="3:50" x14ac:dyDescent="0.2">
      <c r="C108" s="389"/>
      <c r="D108" s="389"/>
      <c r="E108" s="389"/>
      <c r="F108" s="389"/>
      <c r="G108" s="389"/>
      <c r="H108" s="389"/>
      <c r="I108" s="389"/>
      <c r="J108" s="389"/>
      <c r="K108" s="389"/>
      <c r="L108" s="389"/>
      <c r="M108" s="389"/>
      <c r="N108" s="389"/>
      <c r="O108" s="389"/>
      <c r="P108" s="389"/>
      <c r="Q108" s="389"/>
      <c r="R108" s="389"/>
      <c r="S108" s="389"/>
      <c r="T108" s="389"/>
      <c r="U108" s="389"/>
      <c r="V108" s="389"/>
      <c r="W108" s="389"/>
      <c r="X108" s="389"/>
      <c r="Y108" s="389"/>
      <c r="Z108" s="389"/>
      <c r="AA108" s="389"/>
      <c r="AB108" s="389"/>
      <c r="AC108" s="389"/>
      <c r="AD108" s="389"/>
      <c r="AE108" s="389"/>
      <c r="AF108" s="389"/>
      <c r="AG108" s="389"/>
      <c r="AH108" s="389"/>
      <c r="AI108" s="389"/>
      <c r="AJ108" s="389"/>
      <c r="AK108" s="389"/>
      <c r="AL108" s="389"/>
      <c r="AM108" s="389"/>
      <c r="AN108" s="389"/>
      <c r="AO108" s="389"/>
      <c r="AP108" s="389"/>
      <c r="AQ108" s="389"/>
      <c r="AR108" s="389"/>
      <c r="AS108" s="389"/>
      <c r="AT108" s="389"/>
      <c r="AU108" s="389"/>
      <c r="AV108" s="389"/>
      <c r="AW108" s="389"/>
      <c r="AX108" s="389"/>
    </row>
    <row r="109" spans="3:50" x14ac:dyDescent="0.2">
      <c r="C109" s="389"/>
      <c r="D109" s="389"/>
      <c r="E109" s="389"/>
      <c r="F109" s="389"/>
      <c r="G109" s="389"/>
      <c r="H109" s="389"/>
      <c r="I109" s="389"/>
      <c r="J109" s="389"/>
      <c r="K109" s="389"/>
      <c r="L109" s="389"/>
      <c r="M109" s="389"/>
      <c r="N109" s="389"/>
      <c r="O109" s="389"/>
      <c r="P109" s="389"/>
      <c r="Q109" s="389"/>
      <c r="R109" s="389"/>
      <c r="S109" s="389"/>
      <c r="T109" s="389"/>
      <c r="U109" s="389"/>
      <c r="V109" s="389"/>
      <c r="W109" s="389"/>
      <c r="X109" s="389"/>
      <c r="Y109" s="389"/>
      <c r="Z109" s="389"/>
      <c r="AA109" s="389"/>
      <c r="AB109" s="389"/>
      <c r="AC109" s="389"/>
      <c r="AD109" s="389"/>
      <c r="AE109" s="389"/>
      <c r="AF109" s="389"/>
      <c r="AG109" s="389"/>
      <c r="AH109" s="389"/>
      <c r="AI109" s="389"/>
      <c r="AJ109" s="389"/>
      <c r="AK109" s="389"/>
      <c r="AL109" s="389"/>
      <c r="AM109" s="389"/>
      <c r="AN109" s="389"/>
      <c r="AO109" s="389"/>
      <c r="AP109" s="389"/>
      <c r="AQ109" s="389"/>
      <c r="AR109" s="389"/>
      <c r="AS109" s="389"/>
      <c r="AT109" s="389"/>
      <c r="AU109" s="389"/>
      <c r="AV109" s="389"/>
      <c r="AW109" s="389"/>
      <c r="AX109" s="389"/>
    </row>
    <row r="110" spans="3:50" x14ac:dyDescent="0.2">
      <c r="C110" s="389"/>
      <c r="D110" s="389"/>
      <c r="E110" s="389"/>
      <c r="F110" s="389"/>
      <c r="G110" s="389"/>
      <c r="H110" s="389"/>
      <c r="I110" s="389"/>
      <c r="J110" s="389"/>
      <c r="K110" s="389"/>
      <c r="L110" s="389"/>
      <c r="M110" s="389"/>
      <c r="N110" s="389"/>
      <c r="O110" s="389"/>
      <c r="P110" s="389"/>
      <c r="Q110" s="389"/>
      <c r="R110" s="389"/>
      <c r="S110" s="389"/>
      <c r="T110" s="389"/>
      <c r="U110" s="389"/>
      <c r="V110" s="389"/>
      <c r="W110" s="389"/>
      <c r="X110" s="389"/>
      <c r="Y110" s="389"/>
      <c r="Z110" s="389"/>
      <c r="AA110" s="389"/>
      <c r="AB110" s="389"/>
      <c r="AC110" s="389"/>
      <c r="AD110" s="389"/>
      <c r="AE110" s="389"/>
      <c r="AF110" s="389"/>
      <c r="AG110" s="389"/>
      <c r="AH110" s="389"/>
      <c r="AI110" s="389"/>
      <c r="AJ110" s="389"/>
      <c r="AK110" s="389"/>
      <c r="AL110" s="389"/>
      <c r="AM110" s="389"/>
      <c r="AN110" s="389"/>
      <c r="AO110" s="389"/>
      <c r="AP110" s="389"/>
      <c r="AQ110" s="389"/>
      <c r="AR110" s="389"/>
      <c r="AS110" s="389"/>
      <c r="AT110" s="389"/>
      <c r="AU110" s="389"/>
      <c r="AV110" s="389"/>
      <c r="AW110" s="389"/>
      <c r="AX110" s="389"/>
    </row>
    <row r="111" spans="3:50" x14ac:dyDescent="0.2">
      <c r="C111" s="389"/>
      <c r="D111" s="389"/>
      <c r="E111" s="389"/>
      <c r="F111" s="389"/>
      <c r="G111" s="389"/>
      <c r="H111" s="389"/>
      <c r="I111" s="389"/>
      <c r="J111" s="389"/>
      <c r="K111" s="389"/>
      <c r="L111" s="389"/>
      <c r="M111" s="389"/>
      <c r="N111" s="389"/>
      <c r="O111" s="389"/>
      <c r="P111" s="389"/>
      <c r="Q111" s="389"/>
      <c r="R111" s="389"/>
      <c r="S111" s="389"/>
      <c r="T111" s="389"/>
      <c r="U111" s="389"/>
      <c r="V111" s="389"/>
      <c r="W111" s="389"/>
      <c r="X111" s="389"/>
      <c r="Y111" s="389"/>
      <c r="Z111" s="389"/>
      <c r="AA111" s="389"/>
      <c r="AB111" s="389"/>
      <c r="AC111" s="389"/>
      <c r="AD111" s="389"/>
      <c r="AE111" s="389"/>
      <c r="AF111" s="389"/>
      <c r="AG111" s="389"/>
      <c r="AH111" s="389"/>
      <c r="AI111" s="389"/>
      <c r="AJ111" s="389"/>
      <c r="AK111" s="389"/>
      <c r="AL111" s="389"/>
      <c r="AM111" s="389"/>
      <c r="AN111" s="389"/>
      <c r="AO111" s="389"/>
      <c r="AP111" s="389"/>
      <c r="AQ111" s="389"/>
      <c r="AR111" s="389"/>
      <c r="AS111" s="389"/>
      <c r="AT111" s="389"/>
      <c r="AU111" s="389"/>
      <c r="AV111" s="389"/>
      <c r="AW111" s="389"/>
      <c r="AX111" s="389"/>
    </row>
    <row r="112" spans="3:50" x14ac:dyDescent="0.2">
      <c r="C112" s="389"/>
      <c r="D112" s="389"/>
      <c r="E112" s="389"/>
      <c r="F112" s="389"/>
      <c r="G112" s="389"/>
      <c r="H112" s="389"/>
      <c r="I112" s="389"/>
      <c r="J112" s="389"/>
      <c r="K112" s="389"/>
      <c r="L112" s="389"/>
      <c r="M112" s="389"/>
      <c r="N112" s="389"/>
      <c r="O112" s="389"/>
      <c r="P112" s="389"/>
      <c r="Q112" s="389"/>
      <c r="R112" s="389"/>
      <c r="S112" s="389"/>
      <c r="T112" s="389"/>
      <c r="U112" s="389"/>
      <c r="V112" s="389"/>
      <c r="W112" s="389"/>
      <c r="X112" s="389"/>
      <c r="Y112" s="389"/>
      <c r="Z112" s="389"/>
      <c r="AA112" s="389"/>
      <c r="AB112" s="389"/>
      <c r="AC112" s="389"/>
      <c r="AD112" s="389"/>
      <c r="AE112" s="389"/>
      <c r="AF112" s="389"/>
      <c r="AG112" s="389"/>
      <c r="AH112" s="389"/>
      <c r="AI112" s="389"/>
      <c r="AJ112" s="389"/>
      <c r="AK112" s="389"/>
      <c r="AL112" s="389"/>
      <c r="AM112" s="389"/>
      <c r="AN112" s="389"/>
      <c r="AO112" s="389"/>
      <c r="AP112" s="389"/>
      <c r="AQ112" s="389"/>
      <c r="AR112" s="389"/>
      <c r="AS112" s="389"/>
      <c r="AT112" s="389"/>
      <c r="AU112" s="389"/>
      <c r="AV112" s="389"/>
      <c r="AW112" s="389"/>
      <c r="AX112" s="389"/>
    </row>
    <row r="113" spans="3:50" x14ac:dyDescent="0.2">
      <c r="C113" s="389"/>
      <c r="D113" s="389"/>
      <c r="E113" s="389"/>
      <c r="F113" s="389"/>
      <c r="G113" s="389"/>
      <c r="H113" s="389"/>
      <c r="I113" s="389"/>
      <c r="J113" s="389"/>
      <c r="K113" s="389"/>
      <c r="L113" s="389"/>
      <c r="M113" s="389"/>
      <c r="N113" s="389"/>
      <c r="O113" s="389"/>
      <c r="P113" s="389"/>
      <c r="Q113" s="389"/>
      <c r="R113" s="389"/>
      <c r="S113" s="389"/>
      <c r="T113" s="389"/>
      <c r="U113" s="389"/>
      <c r="V113" s="389"/>
      <c r="W113" s="389"/>
      <c r="X113" s="389"/>
      <c r="Y113" s="389"/>
      <c r="Z113" s="389"/>
      <c r="AA113" s="389"/>
      <c r="AB113" s="389"/>
      <c r="AC113" s="389"/>
      <c r="AD113" s="389"/>
      <c r="AE113" s="389"/>
      <c r="AF113" s="389"/>
      <c r="AG113" s="389"/>
      <c r="AH113" s="389"/>
      <c r="AI113" s="389"/>
      <c r="AJ113" s="389"/>
      <c r="AK113" s="389"/>
      <c r="AL113" s="389"/>
      <c r="AM113" s="389"/>
      <c r="AN113" s="389"/>
      <c r="AO113" s="389"/>
      <c r="AP113" s="389"/>
      <c r="AQ113" s="389"/>
      <c r="AR113" s="389"/>
      <c r="AS113" s="389"/>
      <c r="AT113" s="389"/>
      <c r="AU113" s="389"/>
      <c r="AV113" s="389"/>
      <c r="AW113" s="389"/>
      <c r="AX113" s="389"/>
    </row>
    <row r="114" spans="3:50" x14ac:dyDescent="0.2">
      <c r="C114" s="389"/>
      <c r="D114" s="389"/>
      <c r="E114" s="389"/>
      <c r="F114" s="389"/>
      <c r="G114" s="389"/>
      <c r="H114" s="389"/>
      <c r="I114" s="389"/>
      <c r="J114" s="389"/>
      <c r="K114" s="389"/>
      <c r="L114" s="389"/>
      <c r="M114" s="389"/>
      <c r="N114" s="389"/>
      <c r="O114" s="389"/>
      <c r="P114" s="389"/>
      <c r="Q114" s="389"/>
      <c r="R114" s="389"/>
      <c r="S114" s="389"/>
      <c r="T114" s="389"/>
      <c r="U114" s="389"/>
      <c r="V114" s="389"/>
      <c r="W114" s="389"/>
      <c r="X114" s="389"/>
      <c r="Y114" s="389"/>
      <c r="Z114" s="389"/>
      <c r="AA114" s="389"/>
      <c r="AB114" s="389"/>
      <c r="AC114" s="389"/>
      <c r="AD114" s="389"/>
      <c r="AE114" s="389"/>
      <c r="AF114" s="389"/>
      <c r="AG114" s="389"/>
      <c r="AH114" s="389"/>
      <c r="AI114" s="389"/>
      <c r="AJ114" s="389"/>
      <c r="AK114" s="389"/>
      <c r="AL114" s="389"/>
      <c r="AM114" s="389"/>
      <c r="AN114" s="389"/>
      <c r="AO114" s="389"/>
      <c r="AP114" s="389"/>
      <c r="AQ114" s="389"/>
      <c r="AR114" s="389"/>
      <c r="AS114" s="389"/>
      <c r="AT114" s="389"/>
      <c r="AU114" s="389"/>
      <c r="AV114" s="389"/>
      <c r="AW114" s="389"/>
      <c r="AX114" s="389"/>
    </row>
    <row r="115" spans="3:50" x14ac:dyDescent="0.2">
      <c r="C115" s="389"/>
      <c r="D115" s="389"/>
      <c r="E115" s="389"/>
      <c r="F115" s="389"/>
      <c r="G115" s="389"/>
      <c r="H115" s="389"/>
      <c r="I115" s="389"/>
      <c r="J115" s="389"/>
      <c r="K115" s="389"/>
      <c r="L115" s="389"/>
      <c r="M115" s="389"/>
      <c r="N115" s="389"/>
      <c r="O115" s="389"/>
      <c r="P115" s="389"/>
      <c r="Q115" s="389"/>
      <c r="R115" s="389"/>
      <c r="S115" s="389"/>
      <c r="T115" s="389"/>
      <c r="U115" s="389"/>
      <c r="V115" s="389"/>
      <c r="W115" s="389"/>
      <c r="X115" s="389"/>
      <c r="Y115" s="389"/>
      <c r="Z115" s="389"/>
      <c r="AA115" s="389"/>
      <c r="AB115" s="389"/>
      <c r="AC115" s="389"/>
      <c r="AD115" s="389"/>
      <c r="AE115" s="389"/>
      <c r="AF115" s="389"/>
      <c r="AG115" s="389"/>
      <c r="AH115" s="389"/>
      <c r="AI115" s="389"/>
      <c r="AJ115" s="389"/>
      <c r="AK115" s="389"/>
      <c r="AL115" s="389"/>
      <c r="AM115" s="389"/>
      <c r="AN115" s="389"/>
      <c r="AO115" s="389"/>
      <c r="AP115" s="389"/>
      <c r="AQ115" s="389"/>
      <c r="AR115" s="389"/>
      <c r="AS115" s="389"/>
      <c r="AT115" s="389"/>
      <c r="AU115" s="389"/>
      <c r="AV115" s="389"/>
      <c r="AW115" s="389"/>
      <c r="AX115" s="389"/>
    </row>
    <row r="116" spans="3:50" x14ac:dyDescent="0.2">
      <c r="C116" s="389"/>
      <c r="D116" s="389"/>
      <c r="E116" s="389"/>
      <c r="F116" s="389"/>
      <c r="G116" s="389"/>
      <c r="H116" s="389"/>
      <c r="I116" s="389"/>
      <c r="J116" s="389"/>
      <c r="K116" s="389"/>
      <c r="L116" s="389"/>
      <c r="M116" s="389"/>
      <c r="N116" s="389"/>
      <c r="O116" s="389"/>
      <c r="P116" s="389"/>
      <c r="Q116" s="389"/>
      <c r="R116" s="389"/>
      <c r="S116" s="389"/>
      <c r="T116" s="389"/>
      <c r="U116" s="389"/>
      <c r="V116" s="389"/>
      <c r="W116" s="389"/>
      <c r="X116" s="389"/>
      <c r="Y116" s="389"/>
      <c r="Z116" s="389"/>
      <c r="AA116" s="389"/>
      <c r="AB116" s="389"/>
      <c r="AC116" s="389"/>
      <c r="AD116" s="389"/>
      <c r="AE116" s="389"/>
      <c r="AF116" s="389"/>
      <c r="AG116" s="389"/>
      <c r="AH116" s="389"/>
      <c r="AI116" s="389"/>
      <c r="AJ116" s="389"/>
      <c r="AK116" s="389"/>
      <c r="AL116" s="389"/>
      <c r="AM116" s="389"/>
      <c r="AN116" s="389"/>
      <c r="AO116" s="389"/>
      <c r="AP116" s="389"/>
      <c r="AQ116" s="389"/>
      <c r="AR116" s="389"/>
      <c r="AS116" s="389"/>
      <c r="AT116" s="389"/>
      <c r="AU116" s="389"/>
      <c r="AV116" s="389"/>
      <c r="AW116" s="389"/>
      <c r="AX116" s="389"/>
    </row>
    <row r="117" spans="3:50" x14ac:dyDescent="0.2">
      <c r="C117" s="389"/>
      <c r="D117" s="389"/>
      <c r="E117" s="389"/>
      <c r="F117" s="389"/>
      <c r="G117" s="389"/>
      <c r="H117" s="389"/>
      <c r="I117" s="389"/>
      <c r="J117" s="389"/>
      <c r="K117" s="389"/>
      <c r="L117" s="389"/>
      <c r="M117" s="389"/>
      <c r="N117" s="389"/>
      <c r="O117" s="389"/>
      <c r="P117" s="389"/>
      <c r="Q117" s="389"/>
      <c r="R117" s="389"/>
      <c r="S117" s="389"/>
      <c r="T117" s="389"/>
      <c r="U117" s="389"/>
      <c r="V117" s="389"/>
      <c r="W117" s="389"/>
      <c r="X117" s="389"/>
      <c r="Y117" s="389"/>
      <c r="Z117" s="389"/>
      <c r="AA117" s="389"/>
      <c r="AB117" s="389"/>
      <c r="AC117" s="389"/>
      <c r="AD117" s="389"/>
      <c r="AE117" s="389"/>
      <c r="AF117" s="389"/>
      <c r="AG117" s="389"/>
      <c r="AH117" s="389"/>
      <c r="AI117" s="389"/>
      <c r="AJ117" s="389"/>
      <c r="AK117" s="389"/>
      <c r="AL117" s="389"/>
      <c r="AM117" s="389"/>
      <c r="AN117" s="389"/>
      <c r="AO117" s="389"/>
      <c r="AP117" s="389"/>
      <c r="AQ117" s="389"/>
      <c r="AR117" s="389"/>
      <c r="AS117" s="389"/>
      <c r="AT117" s="389"/>
      <c r="AU117" s="389"/>
      <c r="AV117" s="389"/>
      <c r="AW117" s="389"/>
      <c r="AX117" s="389"/>
    </row>
    <row r="118" spans="3:50" x14ac:dyDescent="0.2">
      <c r="C118" s="389"/>
      <c r="D118" s="389"/>
      <c r="E118" s="389"/>
      <c r="F118" s="389"/>
      <c r="G118" s="389"/>
      <c r="H118" s="389"/>
      <c r="I118" s="389"/>
      <c r="J118" s="389"/>
      <c r="K118" s="389"/>
      <c r="L118" s="389"/>
      <c r="M118" s="389"/>
      <c r="N118" s="389"/>
      <c r="O118" s="389"/>
      <c r="P118" s="389"/>
      <c r="Q118" s="389"/>
      <c r="R118" s="389"/>
      <c r="S118" s="389"/>
      <c r="T118" s="389"/>
      <c r="U118" s="389"/>
      <c r="V118" s="389"/>
      <c r="W118" s="389"/>
      <c r="X118" s="389"/>
      <c r="Y118" s="389"/>
      <c r="Z118" s="389"/>
      <c r="AA118" s="389"/>
      <c r="AB118" s="389"/>
      <c r="AC118" s="389"/>
      <c r="AD118" s="389"/>
      <c r="AE118" s="389"/>
      <c r="AF118" s="389"/>
      <c r="AG118" s="389"/>
      <c r="AH118" s="389"/>
      <c r="AI118" s="389"/>
      <c r="AJ118" s="389"/>
      <c r="AK118" s="389"/>
      <c r="AL118" s="389"/>
      <c r="AM118" s="389"/>
      <c r="AN118" s="389"/>
      <c r="AO118" s="389"/>
      <c r="AP118" s="389"/>
      <c r="AQ118" s="389"/>
      <c r="AR118" s="389"/>
      <c r="AS118" s="389"/>
      <c r="AT118" s="389"/>
      <c r="AU118" s="389"/>
      <c r="AV118" s="389"/>
      <c r="AW118" s="389"/>
      <c r="AX118" s="389"/>
    </row>
    <row r="119" spans="3:50" x14ac:dyDescent="0.2">
      <c r="C119" s="389"/>
      <c r="D119" s="389"/>
      <c r="E119" s="389"/>
      <c r="F119" s="389"/>
      <c r="G119" s="389"/>
      <c r="H119" s="389"/>
      <c r="I119" s="389"/>
      <c r="J119" s="389"/>
      <c r="K119" s="389"/>
      <c r="L119" s="389"/>
      <c r="M119" s="389"/>
      <c r="N119" s="389"/>
      <c r="O119" s="389"/>
      <c r="P119" s="389"/>
      <c r="Q119" s="389"/>
      <c r="R119" s="389"/>
      <c r="S119" s="389"/>
      <c r="T119" s="389"/>
      <c r="U119" s="389"/>
      <c r="V119" s="389"/>
      <c r="W119" s="389"/>
      <c r="X119" s="389"/>
      <c r="Y119" s="389"/>
      <c r="Z119" s="389"/>
      <c r="AA119" s="389"/>
      <c r="AB119" s="389"/>
      <c r="AC119" s="389"/>
      <c r="AD119" s="389"/>
      <c r="AE119" s="389"/>
      <c r="AF119" s="389"/>
      <c r="AG119" s="389"/>
      <c r="AH119" s="389"/>
      <c r="AI119" s="389"/>
      <c r="AJ119" s="389"/>
      <c r="AK119" s="389"/>
      <c r="AL119" s="389"/>
      <c r="AM119" s="389"/>
      <c r="AN119" s="389"/>
      <c r="AO119" s="389"/>
      <c r="AP119" s="389"/>
      <c r="AQ119" s="389"/>
      <c r="AR119" s="389"/>
      <c r="AS119" s="389"/>
      <c r="AT119" s="389"/>
      <c r="AU119" s="389"/>
      <c r="AV119" s="389"/>
      <c r="AW119" s="389"/>
      <c r="AX119" s="389"/>
    </row>
    <row r="120" spans="3:50" x14ac:dyDescent="0.2">
      <c r="C120" s="389"/>
      <c r="D120" s="389"/>
      <c r="E120" s="389"/>
      <c r="F120" s="389"/>
      <c r="G120" s="389"/>
      <c r="H120" s="389"/>
      <c r="I120" s="389"/>
      <c r="J120" s="389"/>
      <c r="K120" s="389"/>
      <c r="L120" s="389"/>
      <c r="M120" s="389"/>
      <c r="N120" s="389"/>
      <c r="O120" s="389"/>
      <c r="P120" s="389"/>
      <c r="Q120" s="389"/>
      <c r="R120" s="389"/>
      <c r="S120" s="389"/>
      <c r="T120" s="389"/>
      <c r="U120" s="389"/>
      <c r="V120" s="389"/>
      <c r="W120" s="389"/>
      <c r="X120" s="389"/>
      <c r="Y120" s="389"/>
      <c r="Z120" s="389"/>
      <c r="AA120" s="389"/>
      <c r="AB120" s="389"/>
      <c r="AC120" s="389"/>
      <c r="AD120" s="389"/>
      <c r="AE120" s="389"/>
      <c r="AF120" s="389"/>
      <c r="AG120" s="389"/>
      <c r="AH120" s="389"/>
      <c r="AI120" s="389"/>
      <c r="AJ120" s="389"/>
      <c r="AK120" s="389"/>
      <c r="AL120" s="389"/>
      <c r="AM120" s="389"/>
      <c r="AN120" s="389"/>
      <c r="AO120" s="389"/>
      <c r="AP120" s="389"/>
      <c r="AQ120" s="389"/>
      <c r="AR120" s="389"/>
      <c r="AS120" s="389"/>
      <c r="AT120" s="389"/>
      <c r="AU120" s="389"/>
      <c r="AV120" s="389"/>
      <c r="AW120" s="389"/>
      <c r="AX120" s="389"/>
    </row>
    <row r="121" spans="3:50" x14ac:dyDescent="0.2">
      <c r="C121" s="389"/>
      <c r="D121" s="389"/>
      <c r="E121" s="389"/>
      <c r="F121" s="389"/>
      <c r="G121" s="389"/>
      <c r="H121" s="389"/>
      <c r="I121" s="389"/>
      <c r="J121" s="389"/>
      <c r="K121" s="389"/>
      <c r="L121" s="389"/>
      <c r="M121" s="389"/>
      <c r="N121" s="389"/>
      <c r="O121" s="389"/>
      <c r="P121" s="389"/>
      <c r="Q121" s="389"/>
      <c r="R121" s="389"/>
      <c r="S121" s="389"/>
      <c r="T121" s="389"/>
      <c r="U121" s="389"/>
      <c r="V121" s="389"/>
      <c r="W121" s="389"/>
      <c r="X121" s="389"/>
      <c r="Y121" s="389"/>
      <c r="Z121" s="389"/>
      <c r="AA121" s="389"/>
      <c r="AB121" s="389"/>
      <c r="AC121" s="389"/>
      <c r="AD121" s="389"/>
      <c r="AE121" s="389"/>
      <c r="AF121" s="389"/>
      <c r="AG121" s="389"/>
      <c r="AH121" s="389"/>
      <c r="AI121" s="389"/>
      <c r="AJ121" s="389"/>
      <c r="AK121" s="389"/>
      <c r="AL121" s="389"/>
      <c r="AM121" s="389"/>
      <c r="AN121" s="389"/>
      <c r="AO121" s="389"/>
      <c r="AP121" s="389"/>
      <c r="AQ121" s="389"/>
      <c r="AR121" s="389"/>
      <c r="AS121" s="389"/>
      <c r="AT121" s="389"/>
      <c r="AU121" s="389"/>
      <c r="AV121" s="389"/>
      <c r="AW121" s="389"/>
      <c r="AX121" s="389"/>
    </row>
    <row r="122" spans="3:50" x14ac:dyDescent="0.2">
      <c r="C122" s="389"/>
      <c r="D122" s="389"/>
      <c r="E122" s="389"/>
      <c r="F122" s="389"/>
      <c r="G122" s="389"/>
      <c r="H122" s="389"/>
      <c r="I122" s="389"/>
      <c r="J122" s="389"/>
      <c r="K122" s="389"/>
      <c r="L122" s="389"/>
      <c r="M122" s="389"/>
      <c r="N122" s="389"/>
      <c r="O122" s="389"/>
      <c r="P122" s="389"/>
      <c r="Q122" s="389"/>
      <c r="R122" s="389"/>
      <c r="S122" s="389"/>
      <c r="T122" s="389"/>
      <c r="U122" s="389"/>
      <c r="V122" s="389"/>
      <c r="W122" s="389"/>
      <c r="X122" s="389"/>
      <c r="Y122" s="389"/>
      <c r="Z122" s="389"/>
      <c r="AA122" s="389"/>
      <c r="AB122" s="389"/>
      <c r="AC122" s="389"/>
      <c r="AD122" s="389"/>
      <c r="AE122" s="389"/>
      <c r="AF122" s="389"/>
      <c r="AG122" s="389"/>
      <c r="AH122" s="389"/>
      <c r="AI122" s="389"/>
      <c r="AJ122" s="389"/>
      <c r="AK122" s="389"/>
      <c r="AL122" s="389"/>
      <c r="AM122" s="389"/>
      <c r="AN122" s="389"/>
      <c r="AO122" s="389"/>
      <c r="AP122" s="389"/>
      <c r="AQ122" s="389"/>
      <c r="AR122" s="389"/>
      <c r="AS122" s="389"/>
      <c r="AT122" s="389"/>
      <c r="AU122" s="389"/>
      <c r="AV122" s="389"/>
      <c r="AW122" s="389"/>
      <c r="AX122" s="389"/>
    </row>
    <row r="123" spans="3:50" x14ac:dyDescent="0.2">
      <c r="C123" s="389"/>
      <c r="D123" s="389"/>
      <c r="E123" s="389"/>
      <c r="F123" s="389"/>
      <c r="G123" s="389"/>
      <c r="H123" s="389"/>
      <c r="I123" s="389"/>
      <c r="J123" s="389"/>
      <c r="K123" s="389"/>
      <c r="L123" s="389"/>
      <c r="M123" s="389"/>
      <c r="N123" s="389"/>
      <c r="O123" s="389"/>
      <c r="P123" s="389"/>
      <c r="Q123" s="389"/>
      <c r="R123" s="389"/>
      <c r="S123" s="389"/>
      <c r="T123" s="389"/>
      <c r="U123" s="389"/>
      <c r="V123" s="389"/>
      <c r="W123" s="389"/>
      <c r="X123" s="389"/>
      <c r="Y123" s="389"/>
      <c r="Z123" s="389"/>
      <c r="AA123" s="389"/>
      <c r="AB123" s="389"/>
      <c r="AC123" s="389"/>
      <c r="AD123" s="389"/>
      <c r="AE123" s="389"/>
      <c r="AF123" s="389"/>
      <c r="AG123" s="389"/>
      <c r="AH123" s="389"/>
      <c r="AI123" s="389"/>
      <c r="AJ123" s="389"/>
      <c r="AK123" s="389"/>
      <c r="AL123" s="389"/>
      <c r="AM123" s="389"/>
      <c r="AN123" s="389"/>
      <c r="AO123" s="389"/>
      <c r="AP123" s="389"/>
      <c r="AQ123" s="389"/>
      <c r="AR123" s="389"/>
      <c r="AS123" s="389"/>
      <c r="AT123" s="389"/>
      <c r="AU123" s="389"/>
      <c r="AV123" s="389"/>
      <c r="AW123" s="389"/>
      <c r="AX123" s="389"/>
    </row>
    <row r="124" spans="3:50" x14ac:dyDescent="0.2">
      <c r="C124" s="389"/>
      <c r="D124" s="389"/>
      <c r="E124" s="389"/>
      <c r="F124" s="389"/>
      <c r="G124" s="389"/>
      <c r="H124" s="389"/>
      <c r="I124" s="389"/>
      <c r="J124" s="389"/>
      <c r="K124" s="389"/>
      <c r="L124" s="389"/>
      <c r="M124" s="389"/>
      <c r="N124" s="389"/>
      <c r="O124" s="389"/>
      <c r="P124" s="389"/>
      <c r="Q124" s="389"/>
      <c r="R124" s="389"/>
      <c r="S124" s="389"/>
      <c r="T124" s="389"/>
      <c r="U124" s="389"/>
      <c r="V124" s="389"/>
      <c r="W124" s="389"/>
      <c r="X124" s="389"/>
      <c r="Y124" s="389"/>
      <c r="Z124" s="389"/>
      <c r="AA124" s="389"/>
      <c r="AB124" s="389"/>
      <c r="AC124" s="389"/>
      <c r="AD124" s="389"/>
      <c r="AE124" s="389"/>
      <c r="AF124" s="389"/>
      <c r="AG124" s="389"/>
      <c r="AH124" s="389"/>
      <c r="AI124" s="389"/>
      <c r="AJ124" s="389"/>
      <c r="AK124" s="389"/>
      <c r="AL124" s="389"/>
      <c r="AM124" s="389"/>
      <c r="AN124" s="389"/>
      <c r="AO124" s="389"/>
      <c r="AP124" s="389"/>
      <c r="AQ124" s="389"/>
      <c r="AR124" s="389"/>
      <c r="AS124" s="389"/>
      <c r="AT124" s="389"/>
      <c r="AU124" s="389"/>
      <c r="AV124" s="389"/>
      <c r="AW124" s="389"/>
      <c r="AX124" s="389"/>
    </row>
    <row r="125" spans="3:50" x14ac:dyDescent="0.2">
      <c r="C125" s="389"/>
      <c r="D125" s="389"/>
      <c r="E125" s="389"/>
      <c r="F125" s="389"/>
      <c r="G125" s="389"/>
      <c r="H125" s="389"/>
      <c r="I125" s="389"/>
      <c r="J125" s="389"/>
      <c r="K125" s="389"/>
      <c r="L125" s="389"/>
      <c r="M125" s="389"/>
      <c r="N125" s="389"/>
      <c r="O125" s="389"/>
      <c r="P125" s="389"/>
      <c r="Q125" s="389"/>
      <c r="R125" s="389"/>
      <c r="S125" s="389"/>
      <c r="T125" s="389"/>
      <c r="U125" s="389"/>
      <c r="V125" s="389"/>
      <c r="W125" s="389"/>
      <c r="X125" s="389"/>
      <c r="Y125" s="389"/>
      <c r="Z125" s="389"/>
      <c r="AA125" s="389"/>
      <c r="AB125" s="389"/>
      <c r="AC125" s="389"/>
      <c r="AD125" s="389"/>
      <c r="AE125" s="389"/>
      <c r="AF125" s="389"/>
      <c r="AG125" s="389"/>
      <c r="AH125" s="389"/>
      <c r="AI125" s="389"/>
      <c r="AJ125" s="389"/>
      <c r="AK125" s="389"/>
      <c r="AL125" s="389"/>
      <c r="AM125" s="389"/>
      <c r="AN125" s="389"/>
      <c r="AO125" s="389"/>
      <c r="AP125" s="389"/>
      <c r="AQ125" s="389"/>
      <c r="AR125" s="389"/>
      <c r="AS125" s="389"/>
      <c r="AT125" s="389"/>
      <c r="AU125" s="389"/>
      <c r="AV125" s="389"/>
      <c r="AW125" s="389"/>
      <c r="AX125" s="389"/>
    </row>
    <row r="126" spans="3:50" x14ac:dyDescent="0.2">
      <c r="C126" s="389"/>
      <c r="D126" s="389"/>
      <c r="E126" s="389"/>
      <c r="F126" s="389"/>
      <c r="G126" s="389"/>
      <c r="H126" s="389"/>
      <c r="I126" s="389"/>
      <c r="J126" s="389"/>
      <c r="K126" s="389"/>
      <c r="L126" s="389"/>
      <c r="M126" s="389"/>
      <c r="N126" s="389"/>
      <c r="O126" s="389"/>
      <c r="P126" s="389"/>
      <c r="Q126" s="389"/>
      <c r="R126" s="389"/>
      <c r="S126" s="389"/>
      <c r="T126" s="389"/>
      <c r="U126" s="389"/>
      <c r="V126" s="389"/>
      <c r="W126" s="389"/>
      <c r="X126" s="389"/>
      <c r="Y126" s="389"/>
      <c r="Z126" s="389"/>
      <c r="AA126" s="389"/>
      <c r="AB126" s="389"/>
      <c r="AC126" s="389"/>
      <c r="AD126" s="389"/>
      <c r="AE126" s="389"/>
      <c r="AF126" s="389"/>
      <c r="AG126" s="389"/>
      <c r="AH126" s="389"/>
      <c r="AI126" s="389"/>
      <c r="AJ126" s="389"/>
      <c r="AK126" s="389"/>
      <c r="AL126" s="389"/>
      <c r="AM126" s="389"/>
      <c r="AN126" s="389"/>
      <c r="AO126" s="389"/>
      <c r="AP126" s="389"/>
      <c r="AQ126" s="389"/>
      <c r="AR126" s="389"/>
      <c r="AS126" s="389"/>
      <c r="AT126" s="389"/>
      <c r="AU126" s="389"/>
      <c r="AV126" s="389"/>
      <c r="AW126" s="389"/>
      <c r="AX126" s="389"/>
    </row>
    <row r="127" spans="3:50" x14ac:dyDescent="0.2">
      <c r="C127" s="389"/>
      <c r="D127" s="389"/>
      <c r="E127" s="389"/>
      <c r="F127" s="389"/>
      <c r="G127" s="389"/>
      <c r="H127" s="389"/>
      <c r="I127" s="389"/>
      <c r="J127" s="389"/>
      <c r="K127" s="389"/>
      <c r="L127" s="389"/>
      <c r="M127" s="389"/>
      <c r="N127" s="389"/>
      <c r="O127" s="389"/>
      <c r="P127" s="389"/>
      <c r="Q127" s="389"/>
      <c r="R127" s="389"/>
      <c r="S127" s="389"/>
      <c r="T127" s="389"/>
      <c r="U127" s="389"/>
      <c r="V127" s="389"/>
      <c r="W127" s="389"/>
      <c r="X127" s="389"/>
      <c r="Y127" s="389"/>
      <c r="Z127" s="389"/>
      <c r="AA127" s="389"/>
      <c r="AB127" s="389"/>
      <c r="AC127" s="389"/>
      <c r="AD127" s="389"/>
      <c r="AE127" s="389"/>
      <c r="AF127" s="389"/>
      <c r="AG127" s="389"/>
      <c r="AH127" s="389"/>
      <c r="AI127" s="389"/>
      <c r="AJ127" s="389"/>
      <c r="AK127" s="389"/>
      <c r="AL127" s="389"/>
      <c r="AM127" s="389"/>
      <c r="AN127" s="389"/>
      <c r="AO127" s="389"/>
      <c r="AP127" s="389"/>
      <c r="AQ127" s="389"/>
      <c r="AR127" s="389"/>
      <c r="AS127" s="389"/>
      <c r="AT127" s="389"/>
      <c r="AU127" s="389"/>
      <c r="AV127" s="389"/>
      <c r="AW127" s="389"/>
      <c r="AX127" s="389"/>
    </row>
    <row r="128" spans="3:50" x14ac:dyDescent="0.2">
      <c r="C128" s="389"/>
      <c r="D128" s="389"/>
      <c r="E128" s="389"/>
      <c r="F128" s="389"/>
      <c r="G128" s="389"/>
      <c r="H128" s="389"/>
      <c r="I128" s="389"/>
      <c r="J128" s="389"/>
      <c r="K128" s="389"/>
      <c r="L128" s="389"/>
      <c r="M128" s="389"/>
      <c r="N128" s="389"/>
      <c r="O128" s="389"/>
      <c r="P128" s="389"/>
      <c r="Q128" s="389"/>
      <c r="R128" s="389"/>
      <c r="S128" s="389"/>
      <c r="T128" s="389"/>
      <c r="U128" s="389"/>
      <c r="V128" s="389"/>
      <c r="W128" s="389"/>
      <c r="X128" s="389"/>
      <c r="Y128" s="389"/>
      <c r="Z128" s="389"/>
      <c r="AA128" s="389"/>
      <c r="AB128" s="389"/>
      <c r="AC128" s="389"/>
      <c r="AD128" s="389"/>
      <c r="AE128" s="389"/>
      <c r="AF128" s="389"/>
      <c r="AG128" s="389"/>
      <c r="AH128" s="389"/>
      <c r="AI128" s="389"/>
      <c r="AJ128" s="389"/>
      <c r="AK128" s="389"/>
      <c r="AL128" s="389"/>
      <c r="AM128" s="389"/>
      <c r="AN128" s="389"/>
      <c r="AO128" s="389"/>
      <c r="AP128" s="389"/>
      <c r="AQ128" s="389"/>
      <c r="AR128" s="389"/>
      <c r="AS128" s="389"/>
      <c r="AT128" s="389"/>
      <c r="AU128" s="389"/>
      <c r="AV128" s="389"/>
      <c r="AW128" s="389"/>
      <c r="AX128" s="389"/>
    </row>
    <row r="129" spans="3:50" x14ac:dyDescent="0.2">
      <c r="C129" s="389"/>
      <c r="D129" s="389"/>
      <c r="E129" s="389"/>
      <c r="F129" s="389"/>
      <c r="G129" s="389"/>
      <c r="H129" s="389"/>
      <c r="I129" s="389"/>
      <c r="J129" s="389"/>
      <c r="K129" s="389"/>
      <c r="L129" s="389"/>
      <c r="M129" s="389"/>
      <c r="N129" s="389"/>
      <c r="O129" s="389"/>
      <c r="P129" s="389"/>
      <c r="Q129" s="389"/>
      <c r="R129" s="389"/>
      <c r="S129" s="389"/>
      <c r="T129" s="389"/>
      <c r="U129" s="389"/>
      <c r="V129" s="389"/>
      <c r="W129" s="389"/>
      <c r="X129" s="389"/>
      <c r="Y129" s="389"/>
      <c r="Z129" s="389"/>
      <c r="AA129" s="389"/>
      <c r="AB129" s="389"/>
      <c r="AC129" s="389"/>
      <c r="AD129" s="389"/>
      <c r="AE129" s="389"/>
      <c r="AF129" s="389"/>
      <c r="AG129" s="389"/>
      <c r="AH129" s="389"/>
      <c r="AI129" s="389"/>
      <c r="AJ129" s="389"/>
      <c r="AK129" s="389"/>
      <c r="AL129" s="389"/>
      <c r="AM129" s="389"/>
      <c r="AN129" s="389"/>
      <c r="AO129" s="389"/>
      <c r="AP129" s="389"/>
      <c r="AQ129" s="389"/>
      <c r="AR129" s="389"/>
      <c r="AS129" s="389"/>
      <c r="AT129" s="389"/>
      <c r="AU129" s="389"/>
      <c r="AV129" s="389"/>
      <c r="AW129" s="389"/>
      <c r="AX129" s="389"/>
    </row>
    <row r="130" spans="3:50" x14ac:dyDescent="0.2">
      <c r="C130" s="389"/>
      <c r="D130" s="389"/>
      <c r="E130" s="389"/>
      <c r="F130" s="389"/>
      <c r="G130" s="389"/>
      <c r="H130" s="389"/>
      <c r="I130" s="389"/>
      <c r="J130" s="389"/>
      <c r="K130" s="389"/>
      <c r="L130" s="389"/>
      <c r="M130" s="389"/>
      <c r="N130" s="389"/>
      <c r="O130" s="389"/>
      <c r="P130" s="389"/>
      <c r="Q130" s="389"/>
      <c r="R130" s="389"/>
      <c r="S130" s="389"/>
      <c r="T130" s="389"/>
      <c r="U130" s="389"/>
      <c r="V130" s="389"/>
      <c r="W130" s="389"/>
      <c r="X130" s="389"/>
      <c r="Y130" s="389"/>
      <c r="Z130" s="389"/>
      <c r="AA130" s="389"/>
      <c r="AB130" s="389"/>
      <c r="AC130" s="389"/>
      <c r="AD130" s="389"/>
      <c r="AE130" s="389"/>
      <c r="AF130" s="389"/>
      <c r="AG130" s="389"/>
      <c r="AH130" s="389"/>
      <c r="AI130" s="389"/>
      <c r="AJ130" s="389"/>
      <c r="AK130" s="389"/>
      <c r="AL130" s="389"/>
      <c r="AM130" s="389"/>
      <c r="AN130" s="389"/>
      <c r="AO130" s="389"/>
      <c r="AP130" s="389"/>
      <c r="AQ130" s="389"/>
      <c r="AR130" s="389"/>
      <c r="AS130" s="389"/>
      <c r="AT130" s="389"/>
      <c r="AU130" s="389"/>
      <c r="AV130" s="389"/>
      <c r="AW130" s="389"/>
      <c r="AX130" s="389"/>
    </row>
    <row r="131" spans="3:50" x14ac:dyDescent="0.2">
      <c r="C131" s="389"/>
      <c r="D131" s="389"/>
      <c r="E131" s="389"/>
      <c r="F131" s="389"/>
      <c r="G131" s="389"/>
      <c r="H131" s="389"/>
      <c r="I131" s="389"/>
      <c r="J131" s="389"/>
      <c r="K131" s="389"/>
      <c r="L131" s="389"/>
      <c r="M131" s="389"/>
      <c r="N131" s="389"/>
      <c r="O131" s="389"/>
      <c r="P131" s="389"/>
      <c r="Q131" s="389"/>
      <c r="R131" s="389"/>
      <c r="S131" s="389"/>
      <c r="T131" s="389"/>
      <c r="U131" s="389"/>
      <c r="V131" s="389"/>
      <c r="W131" s="389"/>
      <c r="X131" s="389"/>
      <c r="Y131" s="389"/>
      <c r="Z131" s="389"/>
      <c r="AA131" s="389"/>
      <c r="AB131" s="389"/>
      <c r="AC131" s="389"/>
      <c r="AD131" s="389"/>
      <c r="AE131" s="389"/>
      <c r="AF131" s="389"/>
      <c r="AG131" s="389"/>
      <c r="AH131" s="389"/>
      <c r="AI131" s="389"/>
      <c r="AJ131" s="389"/>
      <c r="AK131" s="389"/>
      <c r="AL131" s="389"/>
      <c r="AM131" s="389"/>
      <c r="AN131" s="389"/>
      <c r="AO131" s="389"/>
      <c r="AP131" s="389"/>
      <c r="AQ131" s="389"/>
      <c r="AR131" s="389"/>
      <c r="AS131" s="389"/>
      <c r="AT131" s="389"/>
      <c r="AU131" s="389"/>
      <c r="AV131" s="389"/>
      <c r="AW131" s="389"/>
      <c r="AX131" s="389"/>
    </row>
    <row r="132" spans="3:50" x14ac:dyDescent="0.2">
      <c r="C132" s="389"/>
      <c r="D132" s="389"/>
      <c r="E132" s="389"/>
      <c r="F132" s="389"/>
      <c r="G132" s="389"/>
      <c r="H132" s="389"/>
      <c r="I132" s="389"/>
      <c r="J132" s="389"/>
      <c r="K132" s="389"/>
      <c r="L132" s="389"/>
      <c r="M132" s="389"/>
      <c r="N132" s="389"/>
      <c r="O132" s="389"/>
      <c r="P132" s="389"/>
      <c r="Q132" s="389"/>
      <c r="R132" s="389"/>
      <c r="S132" s="389"/>
      <c r="T132" s="389"/>
      <c r="U132" s="389"/>
      <c r="V132" s="389"/>
      <c r="W132" s="389"/>
      <c r="X132" s="389"/>
      <c r="Y132" s="389"/>
      <c r="Z132" s="389"/>
      <c r="AA132" s="389"/>
      <c r="AB132" s="389"/>
      <c r="AC132" s="389"/>
      <c r="AD132" s="389"/>
      <c r="AE132" s="389"/>
      <c r="AF132" s="389"/>
      <c r="AG132" s="389"/>
      <c r="AH132" s="389"/>
      <c r="AI132" s="389"/>
      <c r="AJ132" s="389"/>
      <c r="AK132" s="389"/>
      <c r="AL132" s="389"/>
      <c r="AM132" s="389"/>
      <c r="AN132" s="389"/>
      <c r="AO132" s="389"/>
      <c r="AP132" s="389"/>
      <c r="AQ132" s="389"/>
      <c r="AR132" s="389"/>
      <c r="AS132" s="389"/>
      <c r="AT132" s="389"/>
      <c r="AU132" s="389"/>
      <c r="AV132" s="389"/>
      <c r="AW132" s="389"/>
      <c r="AX132" s="389"/>
    </row>
    <row r="133" spans="3:50" x14ac:dyDescent="0.2">
      <c r="C133" s="389"/>
      <c r="D133" s="389"/>
      <c r="E133" s="389"/>
      <c r="F133" s="389"/>
      <c r="G133" s="389"/>
      <c r="H133" s="389"/>
      <c r="I133" s="389"/>
      <c r="J133" s="389"/>
      <c r="K133" s="389"/>
      <c r="L133" s="389"/>
      <c r="M133" s="389"/>
      <c r="N133" s="389"/>
      <c r="O133" s="389"/>
      <c r="P133" s="389"/>
      <c r="Q133" s="389"/>
      <c r="R133" s="389"/>
      <c r="S133" s="389"/>
      <c r="T133" s="389"/>
      <c r="U133" s="389"/>
      <c r="V133" s="389"/>
      <c r="W133" s="389"/>
      <c r="X133" s="389"/>
      <c r="Y133" s="389"/>
      <c r="Z133" s="389"/>
      <c r="AA133" s="389"/>
      <c r="AB133" s="389"/>
      <c r="AC133" s="389"/>
      <c r="AD133" s="389"/>
      <c r="AE133" s="389"/>
      <c r="AF133" s="389"/>
      <c r="AG133" s="389"/>
      <c r="AH133" s="389"/>
      <c r="AI133" s="389"/>
      <c r="AJ133" s="389"/>
      <c r="AK133" s="389"/>
      <c r="AL133" s="389"/>
      <c r="AM133" s="389"/>
      <c r="AN133" s="389"/>
      <c r="AO133" s="389"/>
      <c r="AP133" s="389"/>
      <c r="AQ133" s="389"/>
      <c r="AR133" s="389"/>
      <c r="AS133" s="389"/>
      <c r="AT133" s="389"/>
      <c r="AU133" s="389"/>
      <c r="AV133" s="389"/>
      <c r="AW133" s="389"/>
      <c r="AX133" s="389"/>
    </row>
    <row r="134" spans="3:50" x14ac:dyDescent="0.2">
      <c r="C134" s="389"/>
      <c r="D134" s="389"/>
      <c r="E134" s="389"/>
      <c r="F134" s="389"/>
      <c r="G134" s="389"/>
      <c r="H134" s="389"/>
      <c r="I134" s="389"/>
      <c r="J134" s="389"/>
      <c r="K134" s="389"/>
      <c r="L134" s="389"/>
      <c r="M134" s="389"/>
      <c r="N134" s="389"/>
      <c r="O134" s="389"/>
      <c r="P134" s="389"/>
      <c r="Q134" s="389"/>
      <c r="R134" s="389"/>
      <c r="S134" s="389"/>
      <c r="T134" s="389"/>
      <c r="U134" s="389"/>
      <c r="V134" s="389"/>
      <c r="W134" s="389"/>
      <c r="X134" s="389"/>
      <c r="Y134" s="389"/>
      <c r="Z134" s="389"/>
      <c r="AA134" s="389"/>
      <c r="AB134" s="389"/>
      <c r="AC134" s="389"/>
      <c r="AD134" s="389"/>
      <c r="AE134" s="389"/>
      <c r="AF134" s="389"/>
      <c r="AG134" s="389"/>
      <c r="AH134" s="389"/>
      <c r="AI134" s="389"/>
      <c r="AJ134" s="389"/>
      <c r="AK134" s="389"/>
      <c r="AL134" s="389"/>
      <c r="AM134" s="389"/>
      <c r="AN134" s="389"/>
      <c r="AO134" s="389"/>
      <c r="AP134" s="389"/>
      <c r="AQ134" s="389"/>
      <c r="AR134" s="389"/>
      <c r="AS134" s="389"/>
      <c r="AT134" s="389"/>
      <c r="AU134" s="389"/>
      <c r="AV134" s="389"/>
      <c r="AW134" s="389"/>
      <c r="AX134" s="389"/>
    </row>
    <row r="135" spans="3:50" x14ac:dyDescent="0.2">
      <c r="C135" s="389"/>
      <c r="D135" s="389"/>
      <c r="E135" s="389"/>
      <c r="F135" s="389"/>
      <c r="G135" s="389"/>
      <c r="H135" s="389"/>
      <c r="I135" s="389"/>
      <c r="J135" s="389"/>
      <c r="K135" s="389"/>
      <c r="L135" s="389"/>
      <c r="M135" s="389"/>
      <c r="N135" s="389"/>
      <c r="O135" s="389"/>
      <c r="P135" s="389"/>
      <c r="Q135" s="389"/>
      <c r="R135" s="389"/>
      <c r="S135" s="389"/>
      <c r="T135" s="389"/>
      <c r="U135" s="389"/>
      <c r="V135" s="389"/>
      <c r="W135" s="389"/>
      <c r="X135" s="389"/>
      <c r="Y135" s="389"/>
      <c r="Z135" s="389"/>
      <c r="AA135" s="389"/>
      <c r="AB135" s="389"/>
      <c r="AC135" s="389"/>
      <c r="AD135" s="389"/>
      <c r="AE135" s="389"/>
      <c r="AF135" s="389"/>
      <c r="AG135" s="389"/>
      <c r="AH135" s="389"/>
      <c r="AI135" s="389"/>
      <c r="AJ135" s="389"/>
      <c r="AK135" s="389"/>
      <c r="AL135" s="389"/>
      <c r="AM135" s="389"/>
      <c r="AN135" s="389"/>
      <c r="AO135" s="389"/>
      <c r="AP135" s="389"/>
      <c r="AQ135" s="389"/>
      <c r="AR135" s="389"/>
      <c r="AS135" s="389"/>
      <c r="AT135" s="389"/>
      <c r="AU135" s="389"/>
      <c r="AV135" s="389"/>
      <c r="AW135" s="389"/>
      <c r="AX135" s="389"/>
    </row>
    <row r="136" spans="3:50" x14ac:dyDescent="0.2">
      <c r="C136" s="389"/>
      <c r="D136" s="389"/>
      <c r="E136" s="389"/>
      <c r="F136" s="389"/>
      <c r="G136" s="389"/>
      <c r="H136" s="389"/>
      <c r="I136" s="389"/>
      <c r="J136" s="389"/>
      <c r="K136" s="389"/>
      <c r="L136" s="389"/>
      <c r="M136" s="389"/>
      <c r="N136" s="389"/>
      <c r="O136" s="389"/>
      <c r="P136" s="389"/>
      <c r="Q136" s="389"/>
      <c r="R136" s="389"/>
      <c r="S136" s="389"/>
      <c r="T136" s="389"/>
      <c r="U136" s="389"/>
      <c r="V136" s="389"/>
      <c r="W136" s="389"/>
      <c r="X136" s="389"/>
      <c r="Y136" s="389"/>
      <c r="Z136" s="389"/>
      <c r="AA136" s="389"/>
      <c r="AB136" s="389"/>
      <c r="AC136" s="389"/>
      <c r="AD136" s="389"/>
      <c r="AE136" s="389"/>
      <c r="AF136" s="389"/>
      <c r="AG136" s="389"/>
      <c r="AH136" s="389"/>
      <c r="AI136" s="389"/>
      <c r="AJ136" s="389"/>
      <c r="AK136" s="389"/>
      <c r="AL136" s="389"/>
      <c r="AM136" s="389"/>
      <c r="AN136" s="389"/>
      <c r="AO136" s="389"/>
      <c r="AP136" s="389"/>
      <c r="AQ136" s="389"/>
      <c r="AR136" s="389"/>
      <c r="AS136" s="389"/>
      <c r="AT136" s="389"/>
      <c r="AU136" s="389"/>
      <c r="AV136" s="389"/>
      <c r="AW136" s="389"/>
      <c r="AX136" s="389"/>
    </row>
    <row r="137" spans="3:50" x14ac:dyDescent="0.2">
      <c r="C137" s="389"/>
      <c r="D137" s="389"/>
      <c r="E137" s="389"/>
      <c r="F137" s="389"/>
      <c r="G137" s="389"/>
      <c r="H137" s="389"/>
      <c r="I137" s="389"/>
      <c r="J137" s="389"/>
      <c r="K137" s="389"/>
      <c r="L137" s="389"/>
      <c r="M137" s="389"/>
      <c r="N137" s="389"/>
      <c r="O137" s="389"/>
      <c r="P137" s="389"/>
      <c r="Q137" s="389"/>
      <c r="R137" s="389"/>
      <c r="S137" s="389"/>
      <c r="T137" s="389"/>
      <c r="U137" s="389"/>
      <c r="V137" s="389"/>
      <c r="W137" s="389"/>
      <c r="X137" s="389"/>
      <c r="Y137" s="389"/>
      <c r="Z137" s="389"/>
      <c r="AA137" s="389"/>
      <c r="AB137" s="389"/>
      <c r="AC137" s="389"/>
      <c r="AD137" s="389"/>
      <c r="AE137" s="389"/>
      <c r="AF137" s="389"/>
      <c r="AG137" s="389"/>
      <c r="AH137" s="389"/>
      <c r="AI137" s="389"/>
      <c r="AJ137" s="389"/>
      <c r="AK137" s="389"/>
      <c r="AL137" s="389"/>
      <c r="AM137" s="389"/>
      <c r="AN137" s="389"/>
      <c r="AO137" s="389"/>
      <c r="AP137" s="389"/>
      <c r="AQ137" s="389"/>
      <c r="AR137" s="389"/>
      <c r="AS137" s="389"/>
      <c r="AT137" s="389"/>
      <c r="AU137" s="389"/>
      <c r="AV137" s="389"/>
      <c r="AW137" s="389"/>
      <c r="AX137" s="389"/>
    </row>
  </sheetData>
  <sheetProtection algorithmName="SHA-512" hashValue="KcUX2qjgRgRLyKuN1pyvE8Zm23kw4Y4t355BuMB+ddfUgQdbPKePTRreh9UdG2HQB3B/yG1pFkxAm30ceBjT1Q==" saltValue="PJnA7Rn5UAuD9cze4WxqWw==" spinCount="100000" sheet="1" objects="1" scenarios="1"/>
  <phoneticPr fontId="20" type="noConversion"/>
  <conditionalFormatting sqref="AW8:AW11 BA11:BA14">
    <cfRule type="expression" dxfId="4" priority="3">
      <formula>AS8="x"</formula>
    </cfRule>
  </conditionalFormatting>
  <conditionalFormatting sqref="BA8:BA10">
    <cfRule type="expression" dxfId="3" priority="241">
      <formula>AS12="x"</formula>
    </cfRule>
  </conditionalFormatting>
  <printOptions horizontalCentered="1" verticalCentered="1"/>
  <pageMargins left="0.44" right="0.24" top="0.52" bottom="0.52" header="0" footer="0"/>
  <pageSetup paperSize="9" scale="83" orientation="landscape" r:id="rId1"/>
  <headerFooter alignWithMargins="0"/>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3"/>
  <dimension ref="A2:K118"/>
  <sheetViews>
    <sheetView showGridLines="0" topLeftCell="XEP1" zoomScaleNormal="100" workbookViewId="0">
      <selection activeCell="XFD1" sqref="XFD1"/>
    </sheetView>
  </sheetViews>
  <sheetFormatPr defaultColWidth="11.42578125" defaultRowHeight="12.75" x14ac:dyDescent="0.2"/>
  <cols>
    <col min="1" max="2" width="14" customWidth="1"/>
    <col min="4" max="4" width="18.5703125" style="1" customWidth="1"/>
    <col min="5" max="5" width="8.7109375" style="1" customWidth="1"/>
    <col min="6" max="6" width="6" customWidth="1"/>
    <col min="8" max="8" width="33.42578125" customWidth="1"/>
  </cols>
  <sheetData>
    <row r="2" spans="1:7" ht="119.25" customHeight="1" x14ac:dyDescent="0.2">
      <c r="A2" s="8" t="s">
        <v>70</v>
      </c>
      <c r="B2" s="9"/>
    </row>
    <row r="3" spans="1:7" ht="104.25" customHeight="1" x14ac:dyDescent="0.2">
      <c r="A3" s="8">
        <v>1</v>
      </c>
      <c r="B3" s="9"/>
    </row>
    <row r="4" spans="1:7" ht="104.25" customHeight="1" x14ac:dyDescent="0.2">
      <c r="A4" s="8">
        <v>2</v>
      </c>
      <c r="B4" s="9"/>
    </row>
    <row r="5" spans="1:7" ht="104.25" customHeight="1" x14ac:dyDescent="0.2">
      <c r="A5" s="8">
        <v>3</v>
      </c>
      <c r="B5" s="9"/>
      <c r="G5" s="60" t="s">
        <v>229</v>
      </c>
    </row>
    <row r="6" spans="1:7" ht="30" customHeight="1" x14ac:dyDescent="0.2">
      <c r="D6" s="8" t="s">
        <v>39</v>
      </c>
      <c r="G6" s="362">
        <v>16</v>
      </c>
    </row>
    <row r="7" spans="1:7" ht="30" customHeight="1" x14ac:dyDescent="0.2">
      <c r="D7" s="8" t="s">
        <v>140</v>
      </c>
      <c r="G7" s="362">
        <v>60</v>
      </c>
    </row>
    <row r="8" spans="1:7" ht="30" customHeight="1" x14ac:dyDescent="0.2">
      <c r="D8" s="8" t="s">
        <v>120</v>
      </c>
      <c r="G8" s="362">
        <v>22</v>
      </c>
    </row>
    <row r="9" spans="1:7" ht="30" customHeight="1" x14ac:dyDescent="0.2">
      <c r="D9" s="8" t="s">
        <v>346</v>
      </c>
      <c r="G9" s="362">
        <v>43</v>
      </c>
    </row>
    <row r="10" spans="1:7" ht="30" customHeight="1" x14ac:dyDescent="0.2">
      <c r="D10" s="1" t="s">
        <v>115</v>
      </c>
      <c r="E10"/>
      <c r="G10" s="362">
        <v>29</v>
      </c>
    </row>
    <row r="11" spans="1:7" ht="30" customHeight="1" x14ac:dyDescent="0.2">
      <c r="D11" s="1" t="s">
        <v>141</v>
      </c>
      <c r="E11"/>
      <c r="G11" s="362">
        <v>56</v>
      </c>
    </row>
    <row r="12" spans="1:7" ht="30" customHeight="1" x14ac:dyDescent="0.2">
      <c r="D12" s="1" t="s">
        <v>118</v>
      </c>
      <c r="E12"/>
      <c r="G12" s="362">
        <v>18</v>
      </c>
    </row>
    <row r="13" spans="1:7" ht="30" customHeight="1" x14ac:dyDescent="0.2">
      <c r="D13" s="1" t="s">
        <v>347</v>
      </c>
      <c r="E13"/>
      <c r="G13" s="362">
        <v>71</v>
      </c>
    </row>
    <row r="14" spans="1:7" ht="30" customHeight="1" x14ac:dyDescent="0.2">
      <c r="D14" s="1" t="s">
        <v>117</v>
      </c>
      <c r="G14" s="362">
        <v>5</v>
      </c>
    </row>
    <row r="15" spans="1:7" ht="30" customHeight="1" x14ac:dyDescent="0.2">
      <c r="D15" s="1" t="s">
        <v>116</v>
      </c>
      <c r="G15" s="362">
        <v>8</v>
      </c>
    </row>
    <row r="16" spans="1:7" ht="30" customHeight="1" x14ac:dyDescent="0.2">
      <c r="D16" s="1" t="s">
        <v>142</v>
      </c>
      <c r="G16" s="362">
        <v>83</v>
      </c>
    </row>
    <row r="17" spans="4:7" ht="30" customHeight="1" x14ac:dyDescent="0.2">
      <c r="D17" s="1" t="s">
        <v>143</v>
      </c>
      <c r="G17" s="362">
        <v>38</v>
      </c>
    </row>
    <row r="18" spans="4:7" ht="30" customHeight="1" x14ac:dyDescent="0.2">
      <c r="D18" s="1" t="s">
        <v>144</v>
      </c>
      <c r="G18" s="362">
        <v>15</v>
      </c>
    </row>
    <row r="19" spans="4:7" ht="30" customHeight="1" x14ac:dyDescent="0.2">
      <c r="D19" s="1" t="s">
        <v>145</v>
      </c>
      <c r="G19" s="362">
        <v>40</v>
      </c>
    </row>
    <row r="20" spans="4:7" ht="30" customHeight="1" x14ac:dyDescent="0.2">
      <c r="D20" s="1" t="s">
        <v>113</v>
      </c>
      <c r="G20" s="362">
        <v>27</v>
      </c>
    </row>
    <row r="21" spans="4:7" ht="30" customHeight="1" x14ac:dyDescent="0.2">
      <c r="D21" s="1" t="s">
        <v>344</v>
      </c>
      <c r="G21" s="362" t="s">
        <v>345</v>
      </c>
    </row>
    <row r="22" spans="4:7" ht="30" customHeight="1" x14ac:dyDescent="0.2">
      <c r="D22" s="1" t="s">
        <v>33</v>
      </c>
      <c r="G22" s="362">
        <v>10</v>
      </c>
    </row>
    <row r="23" spans="4:7" ht="30" customHeight="1" x14ac:dyDescent="0.2">
      <c r="D23" s="1" t="s">
        <v>146</v>
      </c>
      <c r="G23" s="362">
        <v>81</v>
      </c>
    </row>
    <row r="24" spans="4:7" ht="30" customHeight="1" x14ac:dyDescent="0.2">
      <c r="D24" s="1" t="s">
        <v>147</v>
      </c>
      <c r="G24" s="362">
        <v>37</v>
      </c>
    </row>
    <row r="25" spans="4:7" ht="30" customHeight="1" x14ac:dyDescent="0.2">
      <c r="D25" s="1" t="s">
        <v>111</v>
      </c>
      <c r="G25" s="362">
        <v>23</v>
      </c>
    </row>
    <row r="26" spans="4:7" ht="30" customHeight="1" x14ac:dyDescent="0.2">
      <c r="D26" s="1" t="s">
        <v>112</v>
      </c>
      <c r="G26" s="362">
        <v>7</v>
      </c>
    </row>
    <row r="27" spans="4:7" ht="30" customHeight="1" x14ac:dyDescent="0.2">
      <c r="D27" s="8" t="s">
        <v>40</v>
      </c>
      <c r="G27" s="362">
        <v>19</v>
      </c>
    </row>
    <row r="28" spans="4:7" ht="30" customHeight="1" x14ac:dyDescent="0.2">
      <c r="D28" s="1" t="s">
        <v>75</v>
      </c>
      <c r="G28" s="362">
        <v>47</v>
      </c>
    </row>
    <row r="29" spans="4:7" ht="30" customHeight="1" x14ac:dyDescent="0.2">
      <c r="D29" s="1" t="s">
        <v>343</v>
      </c>
      <c r="G29" s="362">
        <v>42</v>
      </c>
    </row>
    <row r="30" spans="4:7" ht="30" customHeight="1" x14ac:dyDescent="0.2">
      <c r="D30" s="1" t="s">
        <v>57</v>
      </c>
      <c r="G30" s="362">
        <v>9</v>
      </c>
    </row>
    <row r="31" spans="4:7" ht="30" customHeight="1" x14ac:dyDescent="0.2">
      <c r="D31" s="1" t="s">
        <v>148</v>
      </c>
      <c r="G31" s="362">
        <v>31</v>
      </c>
    </row>
    <row r="32" spans="4:7" ht="30" customHeight="1" x14ac:dyDescent="0.2">
      <c r="D32" s="1" t="s">
        <v>56</v>
      </c>
      <c r="G32" s="362">
        <v>20</v>
      </c>
    </row>
    <row r="33" spans="4:7" ht="30" customHeight="1" x14ac:dyDescent="0.2">
      <c r="D33" s="8" t="s">
        <v>149</v>
      </c>
      <c r="G33" s="362">
        <v>85</v>
      </c>
    </row>
    <row r="34" spans="4:7" ht="30" customHeight="1" x14ac:dyDescent="0.2">
      <c r="D34" s="1" t="s">
        <v>114</v>
      </c>
      <c r="G34" s="362">
        <v>1</v>
      </c>
    </row>
    <row r="35" spans="4:7" ht="30" customHeight="1" x14ac:dyDescent="0.2">
      <c r="D35" s="8" t="s">
        <v>150</v>
      </c>
      <c r="G35" s="362">
        <v>67</v>
      </c>
    </row>
    <row r="36" spans="4:7" ht="30" customHeight="1" x14ac:dyDescent="0.2">
      <c r="D36" s="1" t="s">
        <v>151</v>
      </c>
      <c r="G36" s="362">
        <v>61</v>
      </c>
    </row>
    <row r="37" spans="4:7" ht="30" customHeight="1" x14ac:dyDescent="0.2">
      <c r="D37" s="8" t="s">
        <v>119</v>
      </c>
      <c r="G37" s="362">
        <v>17</v>
      </c>
    </row>
    <row r="38" spans="4:7" ht="30" customHeight="1" x14ac:dyDescent="0.2">
      <c r="D38" s="8" t="s">
        <v>349</v>
      </c>
      <c r="G38" s="362">
        <v>58</v>
      </c>
    </row>
    <row r="39" spans="4:7" ht="30" customHeight="1" x14ac:dyDescent="0.2">
      <c r="D39" s="8" t="s">
        <v>153</v>
      </c>
      <c r="G39" s="362">
        <v>3</v>
      </c>
    </row>
    <row r="40" spans="4:7" ht="30" customHeight="1" x14ac:dyDescent="0.2">
      <c r="D40" s="8" t="s">
        <v>154</v>
      </c>
      <c r="G40" s="362">
        <v>12</v>
      </c>
    </row>
    <row r="41" spans="4:7" ht="30" customHeight="1" x14ac:dyDescent="0.2">
      <c r="D41" s="8" t="s">
        <v>155</v>
      </c>
      <c r="G41" s="362">
        <v>32</v>
      </c>
    </row>
    <row r="42" spans="4:7" ht="30" customHeight="1" x14ac:dyDescent="0.2">
      <c r="D42" s="8" t="s">
        <v>156</v>
      </c>
      <c r="G42" s="362">
        <v>2</v>
      </c>
    </row>
    <row r="43" spans="4:7" ht="30" customHeight="1" x14ac:dyDescent="0.2">
      <c r="D43" s="8" t="s">
        <v>157</v>
      </c>
      <c r="G43" s="362">
        <v>28</v>
      </c>
    </row>
    <row r="44" spans="4:7" ht="30" customHeight="1" x14ac:dyDescent="0.2">
      <c r="D44" s="8" t="s">
        <v>158</v>
      </c>
      <c r="G44" s="362">
        <v>24</v>
      </c>
    </row>
    <row r="45" spans="4:7" ht="30" customHeight="1" x14ac:dyDescent="0.2">
      <c r="D45" s="8" t="s">
        <v>159</v>
      </c>
      <c r="G45" s="362">
        <v>64</v>
      </c>
    </row>
    <row r="46" spans="4:7" ht="30" customHeight="1" x14ac:dyDescent="0.2">
      <c r="D46" s="8" t="s">
        <v>348</v>
      </c>
      <c r="G46" s="362">
        <v>48</v>
      </c>
    </row>
    <row r="47" spans="4:7" ht="30" customHeight="1" x14ac:dyDescent="0.2">
      <c r="D47" s="8" t="s">
        <v>160</v>
      </c>
      <c r="G47" s="362">
        <v>6</v>
      </c>
    </row>
    <row r="48" spans="4:7" ht="30" customHeight="1" x14ac:dyDescent="0.2">
      <c r="D48" s="8" t="s">
        <v>161</v>
      </c>
      <c r="G48" s="362">
        <v>52</v>
      </c>
    </row>
    <row r="49" spans="4:11" ht="30" customHeight="1" x14ac:dyDescent="0.2">
      <c r="D49" s="8" t="s">
        <v>162</v>
      </c>
      <c r="G49" s="362">
        <v>14</v>
      </c>
    </row>
    <row r="50" spans="4:11" ht="30" customHeight="1" x14ac:dyDescent="0.2">
      <c r="D50" s="8" t="s">
        <v>163</v>
      </c>
      <c r="G50" s="362">
        <v>4</v>
      </c>
    </row>
    <row r="51" spans="4:11" ht="30" customHeight="1" x14ac:dyDescent="0.2">
      <c r="D51" s="8" t="s">
        <v>164</v>
      </c>
      <c r="G51" s="362">
        <v>11</v>
      </c>
    </row>
    <row r="52" spans="4:11" ht="30" customHeight="1" x14ac:dyDescent="0.2">
      <c r="D52" s="8" t="s">
        <v>165</v>
      </c>
      <c r="G52" s="362">
        <v>72</v>
      </c>
    </row>
    <row r="53" spans="4:11" ht="30" customHeight="1" x14ac:dyDescent="0.2">
      <c r="D53" s="8" t="s">
        <v>166</v>
      </c>
      <c r="G53" s="362">
        <v>33</v>
      </c>
    </row>
    <row r="54" spans="4:11" ht="30" customHeight="1" x14ac:dyDescent="0.2">
      <c r="D54" s="8" t="s">
        <v>71</v>
      </c>
      <c r="E54" s="346"/>
      <c r="G54" s="55"/>
    </row>
    <row r="55" spans="4:11" ht="30" customHeight="1" x14ac:dyDescent="0.2">
      <c r="D55" s="8" t="s">
        <v>73</v>
      </c>
    </row>
    <row r="56" spans="4:11" ht="30" customHeight="1" x14ac:dyDescent="0.2">
      <c r="D56" s="8" t="s">
        <v>74</v>
      </c>
    </row>
    <row r="57" spans="4:11" ht="30" customHeight="1" x14ac:dyDescent="0.2">
      <c r="D57" s="8" t="s">
        <v>80</v>
      </c>
      <c r="G57" t="s">
        <v>72</v>
      </c>
      <c r="H57" s="247" t="s">
        <v>237</v>
      </c>
      <c r="J57" s="9"/>
      <c r="K57" s="232" t="s">
        <v>236</v>
      </c>
    </row>
    <row r="58" spans="4:11" ht="30" customHeight="1" x14ac:dyDescent="0.2">
      <c r="D58" s="8" t="s">
        <v>81</v>
      </c>
      <c r="G58">
        <v>1</v>
      </c>
    </row>
    <row r="59" spans="4:11" ht="30" customHeight="1" x14ac:dyDescent="0.2">
      <c r="D59" s="8" t="s">
        <v>82</v>
      </c>
      <c r="G59">
        <v>2</v>
      </c>
    </row>
    <row r="60" spans="4:11" ht="30" customHeight="1" x14ac:dyDescent="0.2">
      <c r="D60" s="8" t="s">
        <v>83</v>
      </c>
      <c r="G60">
        <v>3</v>
      </c>
    </row>
    <row r="61" spans="4:11" ht="30" customHeight="1" x14ac:dyDescent="0.2">
      <c r="D61" s="8" t="s">
        <v>84</v>
      </c>
    </row>
    <row r="62" spans="4:11" ht="30" customHeight="1" x14ac:dyDescent="0.2">
      <c r="D62" s="8" t="s">
        <v>85</v>
      </c>
    </row>
    <row r="63" spans="4:11" ht="30" customHeight="1" x14ac:dyDescent="0.2">
      <c r="D63" s="8" t="s">
        <v>86</v>
      </c>
    </row>
    <row r="64" spans="4:11" ht="30" customHeight="1" x14ac:dyDescent="0.2">
      <c r="D64" s="8" t="s">
        <v>87</v>
      </c>
    </row>
    <row r="65" spans="4:4" ht="30" customHeight="1" x14ac:dyDescent="0.2">
      <c r="D65" s="8" t="s">
        <v>88</v>
      </c>
    </row>
    <row r="66" spans="4:4" ht="30" customHeight="1" x14ac:dyDescent="0.2">
      <c r="D66" s="8" t="s">
        <v>89</v>
      </c>
    </row>
    <row r="67" spans="4:4" ht="30" customHeight="1" x14ac:dyDescent="0.2">
      <c r="D67" s="8" t="s">
        <v>90</v>
      </c>
    </row>
    <row r="68" spans="4:4" ht="30" customHeight="1" x14ac:dyDescent="0.2">
      <c r="D68" s="8" t="s">
        <v>91</v>
      </c>
    </row>
    <row r="69" spans="4:4" ht="30" customHeight="1" x14ac:dyDescent="0.2">
      <c r="D69" s="8" t="s">
        <v>222</v>
      </c>
    </row>
    <row r="70" spans="4:4" ht="30" customHeight="1" x14ac:dyDescent="0.2">
      <c r="D70" s="8" t="s">
        <v>223</v>
      </c>
    </row>
    <row r="71" spans="4:4" ht="30" customHeight="1" x14ac:dyDescent="0.2">
      <c r="D71" s="8" t="s">
        <v>224</v>
      </c>
    </row>
    <row r="72" spans="4:4" ht="30" customHeight="1" x14ac:dyDescent="0.2">
      <c r="D72" s="8" t="s">
        <v>225</v>
      </c>
    </row>
    <row r="73" spans="4:4" ht="30" customHeight="1" x14ac:dyDescent="0.2">
      <c r="D73" s="8" t="s">
        <v>73</v>
      </c>
    </row>
    <row r="74" spans="4:4" ht="30" customHeight="1" x14ac:dyDescent="0.2">
      <c r="D74" s="8" t="s">
        <v>74</v>
      </c>
    </row>
    <row r="75" spans="4:4" ht="30" customHeight="1" x14ac:dyDescent="0.2">
      <c r="D75" s="8" t="s">
        <v>214</v>
      </c>
    </row>
    <row r="76" spans="4:4" ht="30" customHeight="1" x14ac:dyDescent="0.2">
      <c r="D76" s="8" t="s">
        <v>215</v>
      </c>
    </row>
    <row r="77" spans="4:4" ht="30" customHeight="1" x14ac:dyDescent="0.2">
      <c r="D77" s="8" t="s">
        <v>216</v>
      </c>
    </row>
    <row r="78" spans="4:4" ht="30" customHeight="1" x14ac:dyDescent="0.2">
      <c r="D78" s="8" t="s">
        <v>217</v>
      </c>
    </row>
    <row r="79" spans="4:4" ht="30" customHeight="1" x14ac:dyDescent="0.2">
      <c r="D79" s="8" t="s">
        <v>218</v>
      </c>
    </row>
    <row r="80" spans="4:4" ht="30" customHeight="1" x14ac:dyDescent="0.2">
      <c r="D80" s="8" t="s">
        <v>219</v>
      </c>
    </row>
    <row r="81" spans="4:4" ht="30" customHeight="1" x14ac:dyDescent="0.2">
      <c r="D81" s="8" t="s">
        <v>220</v>
      </c>
    </row>
    <row r="82" spans="4:4" ht="30" customHeight="1" x14ac:dyDescent="0.2">
      <c r="D82" s="8" t="s">
        <v>221</v>
      </c>
    </row>
    <row r="83" spans="4:4" ht="30" customHeight="1" x14ac:dyDescent="0.2">
      <c r="D83" s="8" t="s">
        <v>231</v>
      </c>
    </row>
    <row r="84" spans="4:4" ht="30" customHeight="1" x14ac:dyDescent="0.2">
      <c r="D84" s="8" t="s">
        <v>232</v>
      </c>
    </row>
    <row r="85" spans="4:4" ht="17.100000000000001" customHeight="1" x14ac:dyDescent="0.2">
      <c r="D85" s="1" t="s">
        <v>233</v>
      </c>
    </row>
    <row r="86" spans="4:4" ht="17.100000000000001" customHeight="1" x14ac:dyDescent="0.2">
      <c r="D86" s="1" t="s">
        <v>234</v>
      </c>
    </row>
    <row r="87" spans="4:4" ht="17.100000000000001" customHeight="1" x14ac:dyDescent="0.2">
      <c r="D87" s="1" t="s">
        <v>123</v>
      </c>
    </row>
    <row r="88" spans="4:4" ht="17.100000000000001" customHeight="1" x14ac:dyDescent="0.2">
      <c r="D88" s="1" t="s">
        <v>128</v>
      </c>
    </row>
    <row r="89" spans="4:4" ht="17.100000000000001" customHeight="1" x14ac:dyDescent="0.2">
      <c r="D89" s="1" t="s">
        <v>126</v>
      </c>
    </row>
    <row r="90" spans="4:4" ht="17.100000000000001" customHeight="1" x14ac:dyDescent="0.2">
      <c r="D90" s="1" t="s">
        <v>130</v>
      </c>
    </row>
    <row r="91" spans="4:4" ht="17.100000000000001" customHeight="1" x14ac:dyDescent="0.2">
      <c r="D91" s="1" t="s">
        <v>132</v>
      </c>
    </row>
    <row r="92" spans="4:4" ht="17.100000000000001" customHeight="1" x14ac:dyDescent="0.2">
      <c r="D92" s="1" t="s">
        <v>136</v>
      </c>
    </row>
    <row r="93" spans="4:4" ht="17.100000000000001" customHeight="1" x14ac:dyDescent="0.2">
      <c r="D93" s="1" t="s">
        <v>134</v>
      </c>
    </row>
    <row r="94" spans="4:4" ht="17.100000000000001" customHeight="1" x14ac:dyDescent="0.2">
      <c r="D94" s="1" t="s">
        <v>138</v>
      </c>
    </row>
    <row r="95" spans="4:4" ht="17.100000000000001" customHeight="1" x14ac:dyDescent="0.2">
      <c r="D95" s="1" t="s">
        <v>206</v>
      </c>
    </row>
    <row r="96" spans="4:4" ht="17.100000000000001" customHeight="1" x14ac:dyDescent="0.2">
      <c r="D96" s="1" t="s">
        <v>212</v>
      </c>
    </row>
    <row r="97" spans="4:4" ht="17.100000000000001" customHeight="1" x14ac:dyDescent="0.2">
      <c r="D97" s="1" t="s">
        <v>213</v>
      </c>
    </row>
    <row r="98" spans="4:4" ht="17.100000000000001" customHeight="1" x14ac:dyDescent="0.2">
      <c r="D98" s="1" t="s">
        <v>207</v>
      </c>
    </row>
    <row r="99" spans="4:4" ht="17.100000000000001" customHeight="1" x14ac:dyDescent="0.2">
      <c r="D99" s="1" t="s">
        <v>129</v>
      </c>
    </row>
    <row r="100" spans="4:4" ht="17.100000000000001" customHeight="1" x14ac:dyDescent="0.2">
      <c r="D100" s="1" t="s">
        <v>125</v>
      </c>
    </row>
    <row r="101" spans="4:4" ht="17.100000000000001" customHeight="1" x14ac:dyDescent="0.2">
      <c r="D101" s="1" t="s">
        <v>131</v>
      </c>
    </row>
    <row r="102" spans="4:4" ht="17.100000000000001" customHeight="1" x14ac:dyDescent="0.2">
      <c r="D102" s="1" t="s">
        <v>127</v>
      </c>
    </row>
    <row r="103" spans="4:4" ht="17.100000000000001" customHeight="1" x14ac:dyDescent="0.2">
      <c r="D103" s="1" t="s">
        <v>137</v>
      </c>
    </row>
    <row r="104" spans="4:4" ht="17.100000000000001" customHeight="1" x14ac:dyDescent="0.2">
      <c r="D104" s="1" t="s">
        <v>133</v>
      </c>
    </row>
    <row r="105" spans="4:4" ht="17.100000000000001" customHeight="1" x14ac:dyDescent="0.2">
      <c r="D105" s="1" t="s">
        <v>139</v>
      </c>
    </row>
    <row r="106" spans="4:4" ht="17.100000000000001" customHeight="1" x14ac:dyDescent="0.2">
      <c r="D106" s="1" t="s">
        <v>135</v>
      </c>
    </row>
    <row r="107" spans="4:4" ht="17.100000000000001" customHeight="1" x14ac:dyDescent="0.2">
      <c r="D107" s="1" t="s">
        <v>205</v>
      </c>
    </row>
    <row r="108" spans="4:4" ht="17.100000000000001" customHeight="1" x14ac:dyDescent="0.2">
      <c r="D108" s="1" t="s">
        <v>208</v>
      </c>
    </row>
    <row r="109" spans="4:4" ht="17.100000000000001" customHeight="1" x14ac:dyDescent="0.2">
      <c r="D109" s="1" t="s">
        <v>211</v>
      </c>
    </row>
    <row r="110" spans="4:4" ht="17.100000000000001" customHeight="1" x14ac:dyDescent="0.2">
      <c r="D110" s="1" t="s">
        <v>210</v>
      </c>
    </row>
    <row r="111" spans="4:4" ht="17.100000000000001" customHeight="1" x14ac:dyDescent="0.2">
      <c r="D111" s="8" t="s">
        <v>321</v>
      </c>
    </row>
    <row r="112" spans="4:4" ht="17.100000000000001" customHeight="1" x14ac:dyDescent="0.2">
      <c r="D112" s="1" t="s">
        <v>240</v>
      </c>
    </row>
    <row r="113" spans="4:4" ht="17.100000000000001" customHeight="1" x14ac:dyDescent="0.2">
      <c r="D113" s="1" t="s">
        <v>244</v>
      </c>
    </row>
    <row r="114" spans="4:4" ht="17.100000000000001" customHeight="1" x14ac:dyDescent="0.2">
      <c r="D114" s="1" t="s">
        <v>245</v>
      </c>
    </row>
    <row r="115" spans="4:4" x14ac:dyDescent="0.2">
      <c r="D115" s="1" t="s">
        <v>241</v>
      </c>
    </row>
    <row r="116" spans="4:4" x14ac:dyDescent="0.2">
      <c r="D116" s="1" t="s">
        <v>242</v>
      </c>
    </row>
    <row r="117" spans="4:4" x14ac:dyDescent="0.2">
      <c r="D117" s="1" t="s">
        <v>246</v>
      </c>
    </row>
    <row r="118" spans="4:4" x14ac:dyDescent="0.2">
      <c r="D118" s="1" t="s">
        <v>243</v>
      </c>
    </row>
  </sheetData>
  <sheetProtection algorithmName="SHA-512" hashValue="m6ROJrn2FMeN61mOSHTxahrmpnHDoRAhsFlBSmYMdjfuqrbD8CyZVKWU8hBHnC3r212uM8GR2HPy9eAbExWvCQ==" saltValue="MDLx+tbDqb8+IGbkFdG0uw==" spinCount="100000" sheet="1" objects="1" scenarios="1" selectLockedCells="1"/>
  <pageMargins left="0.7" right="0.7" top="0.75" bottom="0.75" header="0.3" footer="0.3"/>
  <pageSetup orientation="portrait" verticalDpi="597"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A9B7-6B4A-4109-BAAE-2500443928B5}">
  <sheetPr codeName="Hoja28"/>
  <dimension ref="A3:AV514"/>
  <sheetViews>
    <sheetView showGridLines="0" topLeftCell="XEJ1" zoomScale="75" zoomScaleNormal="75" workbookViewId="0">
      <selection activeCell="XFD1" sqref="XFD1"/>
    </sheetView>
  </sheetViews>
  <sheetFormatPr defaultColWidth="11.42578125" defaultRowHeight="12.75" x14ac:dyDescent="0.2"/>
  <cols>
    <col min="3" max="3" width="20.5703125" customWidth="1"/>
    <col min="4" max="12" width="3.5703125" customWidth="1"/>
    <col min="13" max="13" width="8.5703125" bestFit="1" customWidth="1"/>
    <col min="14" max="17" width="7.140625" customWidth="1"/>
    <col min="18" max="18" width="6.28515625" customWidth="1"/>
    <col min="24" max="24" width="7.7109375" customWidth="1"/>
    <col min="25" max="32" width="4.7109375" customWidth="1"/>
    <col min="33" max="40" width="5.5703125" customWidth="1"/>
  </cols>
  <sheetData>
    <row r="3" spans="1:23" ht="33.950000000000003" customHeight="1" x14ac:dyDescent="0.2">
      <c r="A3" s="57" t="s">
        <v>204</v>
      </c>
      <c r="B3" s="249" t="s">
        <v>183</v>
      </c>
      <c r="C3" s="249" t="s">
        <v>194</v>
      </c>
      <c r="D3" s="249"/>
      <c r="E3" s="250" t="s">
        <v>13</v>
      </c>
      <c r="F3" s="250" t="s">
        <v>14</v>
      </c>
      <c r="G3" s="250" t="s">
        <v>15</v>
      </c>
      <c r="H3" s="250" t="s">
        <v>16</v>
      </c>
      <c r="I3" s="250" t="s">
        <v>17</v>
      </c>
      <c r="J3" s="250" t="s">
        <v>18</v>
      </c>
      <c r="K3" s="250" t="s">
        <v>19</v>
      </c>
      <c r="L3" s="250" t="s">
        <v>20</v>
      </c>
      <c r="M3" s="249" t="s">
        <v>189</v>
      </c>
      <c r="N3" s="35" t="s">
        <v>190</v>
      </c>
      <c r="O3" s="36" t="s">
        <v>191</v>
      </c>
      <c r="P3" s="36" t="s">
        <v>192</v>
      </c>
      <c r="Q3" s="36" t="s">
        <v>193</v>
      </c>
      <c r="S3" s="58" t="s">
        <v>48</v>
      </c>
      <c r="T3" s="59" t="s">
        <v>187</v>
      </c>
      <c r="U3" s="59" t="s">
        <v>188</v>
      </c>
      <c r="V3" s="59" t="s">
        <v>17</v>
      </c>
      <c r="W3" s="59" t="s">
        <v>189</v>
      </c>
    </row>
    <row r="4" spans="1:23" x14ac:dyDescent="0.2">
      <c r="N4" s="37">
        <v>-1</v>
      </c>
      <c r="O4" s="37">
        <v>-3</v>
      </c>
      <c r="P4" s="37">
        <v>-4</v>
      </c>
      <c r="Q4" s="37">
        <v>-5</v>
      </c>
    </row>
    <row r="5" spans="1:23" x14ac:dyDescent="0.2">
      <c r="A5" s="56">
        <f t="shared" ref="A5:A16" si="0">RANK(S5,$S$5:$S$16,0)</f>
        <v>1</v>
      </c>
      <c r="B5" s="38" t="s">
        <v>25</v>
      </c>
      <c r="C5" s="39" t="str">
        <f>'- A -'!H$19</f>
        <v>Korea</v>
      </c>
      <c r="D5" s="39"/>
      <c r="E5" s="251">
        <f>'- A -'!I$19</f>
        <v>3</v>
      </c>
      <c r="F5" s="251">
        <f>'- A -'!J$19</f>
        <v>1</v>
      </c>
      <c r="G5" s="251">
        <f>'- A -'!K$19</f>
        <v>1</v>
      </c>
      <c r="H5" s="251">
        <f>'- A -'!L$19</f>
        <v>1</v>
      </c>
      <c r="I5" s="251">
        <f>'- A -'!M$19</f>
        <v>3</v>
      </c>
      <c r="J5" s="251">
        <f>'- A -'!N$19</f>
        <v>3</v>
      </c>
      <c r="K5" s="251">
        <f>'- A -'!O$19</f>
        <v>0</v>
      </c>
      <c r="L5" s="251">
        <f>'- A -'!P$19</f>
        <v>4</v>
      </c>
      <c r="M5" s="40">
        <f t="shared" ref="M5:M16" si="1">SUMPRODUCT($N$4:$Q$4,N5:Q5)</f>
        <v>0</v>
      </c>
      <c r="N5" s="61"/>
      <c r="O5" s="41"/>
      <c r="P5" s="41"/>
      <c r="Q5" s="42"/>
      <c r="S5" s="52">
        <f>SUM(T5:W5)</f>
        <v>40003000</v>
      </c>
      <c r="T5" s="55">
        <f>(L5*10000000)</f>
        <v>40000000</v>
      </c>
      <c r="U5" s="55">
        <f>K5*100000</f>
        <v>0</v>
      </c>
      <c r="V5" s="55">
        <f>I5*1000</f>
        <v>3000</v>
      </c>
      <c r="W5" s="55">
        <f>M5*10</f>
        <v>0</v>
      </c>
    </row>
    <row r="6" spans="1:23" x14ac:dyDescent="0.2">
      <c r="A6" s="56">
        <f t="shared" si="0"/>
        <v>7</v>
      </c>
      <c r="B6" s="43" t="s">
        <v>26</v>
      </c>
      <c r="C6" t="str">
        <f>'- B -'!H$19</f>
        <v>Bosnia</v>
      </c>
      <c r="E6" s="34">
        <f>'- B -'!I$19</f>
        <v>3</v>
      </c>
      <c r="F6" s="34">
        <f>'- B -'!J$19</f>
        <v>1</v>
      </c>
      <c r="G6" s="34">
        <f>'- B -'!K$19</f>
        <v>0</v>
      </c>
      <c r="H6" s="34">
        <f>'- B -'!L$19</f>
        <v>2</v>
      </c>
      <c r="I6" s="34">
        <f>'- B -'!M$19</f>
        <v>3</v>
      </c>
      <c r="J6" s="34">
        <f>'- B -'!N$19</f>
        <v>4</v>
      </c>
      <c r="K6" s="34">
        <f>'- B -'!O$19</f>
        <v>-1</v>
      </c>
      <c r="L6" s="34">
        <f>'- B -'!P$19</f>
        <v>3</v>
      </c>
      <c r="M6" s="44">
        <f t="shared" si="1"/>
        <v>0</v>
      </c>
      <c r="N6" s="62"/>
      <c r="O6" s="45"/>
      <c r="P6" s="45"/>
      <c r="Q6" s="46"/>
      <c r="S6" s="53">
        <f t="shared" ref="S6:S16" si="2">SUM(T6:W6)</f>
        <v>29903000</v>
      </c>
      <c r="T6" s="55">
        <f t="shared" ref="T6:T16" si="3">(L6*10000000)</f>
        <v>30000000</v>
      </c>
      <c r="U6" s="55">
        <f t="shared" ref="U6:U16" si="4">K6*100000</f>
        <v>-100000</v>
      </c>
      <c r="V6" s="55">
        <f t="shared" ref="V6:V16" si="5">I6*1000</f>
        <v>3000</v>
      </c>
      <c r="W6" s="55">
        <f t="shared" ref="W6:W16" si="6">M6*10</f>
        <v>0</v>
      </c>
    </row>
    <row r="7" spans="1:23" x14ac:dyDescent="0.2">
      <c r="A7" s="56">
        <f t="shared" si="0"/>
        <v>2</v>
      </c>
      <c r="B7" s="43" t="s">
        <v>27</v>
      </c>
      <c r="C7" t="str">
        <f>'- C -'!H$19</f>
        <v>Marruecos</v>
      </c>
      <c r="E7" s="34">
        <f>'- C -'!I$19</f>
        <v>3</v>
      </c>
      <c r="F7" s="34">
        <f>'- C -'!J$19</f>
        <v>1</v>
      </c>
      <c r="G7" s="34">
        <f>'- C -'!K$19</f>
        <v>1</v>
      </c>
      <c r="H7" s="34">
        <f>'- C -'!L$19</f>
        <v>1</v>
      </c>
      <c r="I7" s="34">
        <f>'- C -'!M$19</f>
        <v>2</v>
      </c>
      <c r="J7" s="34">
        <f>'- C -'!N$19</f>
        <v>2</v>
      </c>
      <c r="K7" s="34">
        <f>'- C -'!O$19</f>
        <v>0</v>
      </c>
      <c r="L7" s="34">
        <f>'- C -'!P$19</f>
        <v>4</v>
      </c>
      <c r="M7" s="44">
        <f t="shared" si="1"/>
        <v>0</v>
      </c>
      <c r="N7" s="62"/>
      <c r="O7" s="45"/>
      <c r="P7" s="45"/>
      <c r="Q7" s="46"/>
      <c r="S7" s="53">
        <f t="shared" si="2"/>
        <v>40002000</v>
      </c>
      <c r="T7" s="55">
        <f t="shared" si="3"/>
        <v>40000000</v>
      </c>
      <c r="U7" s="55">
        <f t="shared" si="4"/>
        <v>0</v>
      </c>
      <c r="V7" s="55">
        <f t="shared" si="5"/>
        <v>2000</v>
      </c>
      <c r="W7" s="55">
        <f t="shared" si="6"/>
        <v>0</v>
      </c>
    </row>
    <row r="8" spans="1:23" x14ac:dyDescent="0.2">
      <c r="A8" s="56">
        <f t="shared" si="0"/>
        <v>6</v>
      </c>
      <c r="B8" s="43" t="s">
        <v>28</v>
      </c>
      <c r="C8" t="str">
        <f>'- D -'!H$19</f>
        <v>Paraguay</v>
      </c>
      <c r="E8" s="34">
        <f>'- D -'!I$19</f>
        <v>3</v>
      </c>
      <c r="F8" s="34">
        <f>'- D -'!J$19</f>
        <v>1</v>
      </c>
      <c r="G8" s="34">
        <f>'- D -'!K$19</f>
        <v>0</v>
      </c>
      <c r="H8" s="34">
        <f>'- D -'!L$19</f>
        <v>2</v>
      </c>
      <c r="I8" s="34">
        <f>'- D -'!M$19</f>
        <v>2</v>
      </c>
      <c r="J8" s="34">
        <f>'- D -'!N$19</f>
        <v>2</v>
      </c>
      <c r="K8" s="34">
        <f>'- D -'!O$19</f>
        <v>0</v>
      </c>
      <c r="L8" s="34">
        <f>'- D -'!P$19</f>
        <v>3</v>
      </c>
      <c r="M8" s="44">
        <f t="shared" si="1"/>
        <v>0</v>
      </c>
      <c r="N8" s="62"/>
      <c r="O8" s="45"/>
      <c r="P8" s="45"/>
      <c r="Q8" s="46"/>
      <c r="S8" s="53">
        <f t="shared" si="2"/>
        <v>30002000</v>
      </c>
      <c r="T8" s="55">
        <f t="shared" si="3"/>
        <v>30000000</v>
      </c>
      <c r="U8" s="55">
        <f t="shared" si="4"/>
        <v>0</v>
      </c>
      <c r="V8" s="55">
        <f t="shared" si="5"/>
        <v>2000</v>
      </c>
      <c r="W8" s="55">
        <f t="shared" si="6"/>
        <v>0</v>
      </c>
    </row>
    <row r="9" spans="1:23" x14ac:dyDescent="0.2">
      <c r="A9" s="56">
        <f t="shared" si="0"/>
        <v>5</v>
      </c>
      <c r="B9" s="43" t="s">
        <v>15</v>
      </c>
      <c r="C9" t="str">
        <f>'- E -'!H$19</f>
        <v>Costa de Marfil</v>
      </c>
      <c r="E9" s="34">
        <f>'- E -'!I$19</f>
        <v>3</v>
      </c>
      <c r="F9" s="34">
        <f>'- E -'!J$19</f>
        <v>1</v>
      </c>
      <c r="G9" s="34">
        <f>'- E -'!K$19</f>
        <v>1</v>
      </c>
      <c r="H9" s="34">
        <f>'- E -'!L$19</f>
        <v>1</v>
      </c>
      <c r="I9" s="34">
        <f>'- E -'!M$19</f>
        <v>3</v>
      </c>
      <c r="J9" s="34">
        <f>'- E -'!N$19</f>
        <v>5</v>
      </c>
      <c r="K9" s="34">
        <f>'- E -'!O$19</f>
        <v>-2</v>
      </c>
      <c r="L9" s="34">
        <f>'- E -'!P$19</f>
        <v>4</v>
      </c>
      <c r="M9" s="44">
        <f t="shared" si="1"/>
        <v>0</v>
      </c>
      <c r="N9" s="62"/>
      <c r="O9" s="45"/>
      <c r="P9" s="45"/>
      <c r="Q9" s="46"/>
      <c r="S9" s="53">
        <f t="shared" si="2"/>
        <v>39803000</v>
      </c>
      <c r="T9" s="55">
        <f t="shared" si="3"/>
        <v>40000000</v>
      </c>
      <c r="U9" s="55">
        <f t="shared" si="4"/>
        <v>-200000</v>
      </c>
      <c r="V9" s="55">
        <f t="shared" si="5"/>
        <v>3000</v>
      </c>
      <c r="W9" s="55">
        <f t="shared" si="6"/>
        <v>0</v>
      </c>
    </row>
    <row r="10" spans="1:23" x14ac:dyDescent="0.2">
      <c r="A10" s="56">
        <f t="shared" si="0"/>
        <v>7</v>
      </c>
      <c r="B10" s="43" t="s">
        <v>31</v>
      </c>
      <c r="C10" t="str">
        <f>'- F -'!H$19</f>
        <v>Suecia</v>
      </c>
      <c r="E10" s="34">
        <f>'- F -'!I$19</f>
        <v>3</v>
      </c>
      <c r="F10" s="34">
        <f>'- F -'!J$19</f>
        <v>1</v>
      </c>
      <c r="G10" s="34">
        <f>'- F -'!K$19</f>
        <v>0</v>
      </c>
      <c r="H10" s="34">
        <f>'- F -'!L$19</f>
        <v>2</v>
      </c>
      <c r="I10" s="34">
        <f>'- F -'!M$19</f>
        <v>3</v>
      </c>
      <c r="J10" s="34">
        <f>'- F -'!N$19</f>
        <v>4</v>
      </c>
      <c r="K10" s="34">
        <f>'- F -'!O$19</f>
        <v>-1</v>
      </c>
      <c r="L10" s="34">
        <f>'- F -'!P$19</f>
        <v>3</v>
      </c>
      <c r="M10" s="44">
        <f t="shared" si="1"/>
        <v>0</v>
      </c>
      <c r="N10" s="62"/>
      <c r="O10" s="45"/>
      <c r="P10" s="45"/>
      <c r="Q10" s="46"/>
      <c r="S10" s="53">
        <f t="shared" si="2"/>
        <v>29903000</v>
      </c>
      <c r="T10" s="55">
        <f t="shared" si="3"/>
        <v>30000000</v>
      </c>
      <c r="U10" s="55">
        <f t="shared" si="4"/>
        <v>-100000</v>
      </c>
      <c r="V10" s="55">
        <f t="shared" si="5"/>
        <v>3000</v>
      </c>
      <c r="W10" s="55">
        <f t="shared" si="6"/>
        <v>0</v>
      </c>
    </row>
    <row r="11" spans="1:23" x14ac:dyDescent="0.2">
      <c r="A11" s="56">
        <f t="shared" si="0"/>
        <v>2</v>
      </c>
      <c r="B11" s="43" t="s">
        <v>14</v>
      </c>
      <c r="C11" t="str">
        <f>'- G -'!H$19</f>
        <v>Irán</v>
      </c>
      <c r="E11" s="34">
        <f>'- G -'!I$19</f>
        <v>3</v>
      </c>
      <c r="F11" s="34">
        <f>'- G -'!J$19</f>
        <v>1</v>
      </c>
      <c r="G11" s="34">
        <f>'- G -'!K$19</f>
        <v>1</v>
      </c>
      <c r="H11" s="34">
        <f>'- G -'!L$19</f>
        <v>1</v>
      </c>
      <c r="I11" s="34">
        <f>'- G -'!M$19</f>
        <v>2</v>
      </c>
      <c r="J11" s="34">
        <f>'- G -'!N$19</f>
        <v>2</v>
      </c>
      <c r="K11" s="34">
        <f>'- G -'!O$19</f>
        <v>0</v>
      </c>
      <c r="L11" s="34">
        <f>'- G -'!P$19</f>
        <v>4</v>
      </c>
      <c r="M11" s="44">
        <f t="shared" si="1"/>
        <v>0</v>
      </c>
      <c r="N11" s="62"/>
      <c r="O11" s="45"/>
      <c r="P11" s="45"/>
      <c r="Q11" s="46"/>
      <c r="S11" s="53">
        <f t="shared" si="2"/>
        <v>40002000</v>
      </c>
      <c r="T11" s="55">
        <f t="shared" si="3"/>
        <v>40000000</v>
      </c>
      <c r="U11" s="55">
        <f t="shared" si="4"/>
        <v>0</v>
      </c>
      <c r="V11" s="55">
        <f t="shared" si="5"/>
        <v>2000</v>
      </c>
      <c r="W11" s="55">
        <f t="shared" si="6"/>
        <v>0</v>
      </c>
    </row>
    <row r="12" spans="1:23" x14ac:dyDescent="0.2">
      <c r="A12" s="56">
        <f t="shared" si="0"/>
        <v>11</v>
      </c>
      <c r="B12" s="43" t="s">
        <v>32</v>
      </c>
      <c r="C12" t="str">
        <f>'- H -'!H$19</f>
        <v>Cabo Verde</v>
      </c>
      <c r="E12" s="34">
        <f>'- H -'!I$19</f>
        <v>3</v>
      </c>
      <c r="F12" s="34">
        <f>'- H -'!J$19</f>
        <v>1</v>
      </c>
      <c r="G12" s="34">
        <f>'- H -'!K$19</f>
        <v>0</v>
      </c>
      <c r="H12" s="34">
        <f>'- H -'!L$19</f>
        <v>2</v>
      </c>
      <c r="I12" s="34">
        <f>'- H -'!M$19</f>
        <v>2</v>
      </c>
      <c r="J12" s="34">
        <f>'- H -'!N$19</f>
        <v>8</v>
      </c>
      <c r="K12" s="34">
        <f>'- H -'!O$19</f>
        <v>-6</v>
      </c>
      <c r="L12" s="34">
        <f>'- H -'!P$19</f>
        <v>3</v>
      </c>
      <c r="M12" s="44">
        <f t="shared" si="1"/>
        <v>0</v>
      </c>
      <c r="N12" s="62"/>
      <c r="O12" s="45"/>
      <c r="P12" s="45"/>
      <c r="Q12" s="46"/>
      <c r="S12" s="53">
        <f t="shared" si="2"/>
        <v>29402000</v>
      </c>
      <c r="T12" s="55">
        <f t="shared" si="3"/>
        <v>30000000</v>
      </c>
      <c r="U12" s="55">
        <f t="shared" si="4"/>
        <v>-600000</v>
      </c>
      <c r="V12" s="55">
        <f t="shared" si="5"/>
        <v>2000</v>
      </c>
      <c r="W12" s="55">
        <f t="shared" si="6"/>
        <v>0</v>
      </c>
    </row>
    <row r="13" spans="1:23" x14ac:dyDescent="0.2">
      <c r="A13" s="56">
        <f t="shared" si="0"/>
        <v>4</v>
      </c>
      <c r="B13" s="43" t="s">
        <v>184</v>
      </c>
      <c r="C13" t="str">
        <f>'- I -'!H$19</f>
        <v>Senegal</v>
      </c>
      <c r="E13" s="34">
        <f>'- I -'!I$19</f>
        <v>3</v>
      </c>
      <c r="F13" s="34">
        <f>'- I -'!J$19</f>
        <v>1</v>
      </c>
      <c r="G13" s="34">
        <f>'- I -'!K$19</f>
        <v>1</v>
      </c>
      <c r="H13" s="34">
        <f>'- I -'!L$19</f>
        <v>1</v>
      </c>
      <c r="I13" s="34">
        <f>'- I -'!M$19</f>
        <v>3</v>
      </c>
      <c r="J13" s="34">
        <f>'- I -'!N$19</f>
        <v>4</v>
      </c>
      <c r="K13" s="34">
        <f>'- I -'!O$19</f>
        <v>-1</v>
      </c>
      <c r="L13" s="34">
        <f>'- I -'!P$19</f>
        <v>4</v>
      </c>
      <c r="M13" s="44">
        <f t="shared" si="1"/>
        <v>0</v>
      </c>
      <c r="N13" s="62"/>
      <c r="O13" s="45"/>
      <c r="P13" s="45"/>
      <c r="Q13" s="46"/>
      <c r="S13" s="53">
        <f t="shared" si="2"/>
        <v>39903000</v>
      </c>
      <c r="T13" s="55">
        <f t="shared" si="3"/>
        <v>40000000</v>
      </c>
      <c r="U13" s="55">
        <f t="shared" si="4"/>
        <v>-100000</v>
      </c>
      <c r="V13" s="55">
        <f t="shared" si="5"/>
        <v>3000</v>
      </c>
      <c r="W13" s="55">
        <f t="shared" si="6"/>
        <v>0</v>
      </c>
    </row>
    <row r="14" spans="1:23" x14ac:dyDescent="0.2">
      <c r="A14" s="56">
        <f t="shared" si="0"/>
        <v>12</v>
      </c>
      <c r="B14" s="43" t="s">
        <v>13</v>
      </c>
      <c r="C14" t="str">
        <f>'- J -'!H$19</f>
        <v>Jordania</v>
      </c>
      <c r="E14" s="34">
        <f>'- J -'!I$19</f>
        <v>3</v>
      </c>
      <c r="F14" s="34">
        <f>'- J -'!J$19</f>
        <v>0</v>
      </c>
      <c r="G14" s="34">
        <f>'- J -'!K$19</f>
        <v>1</v>
      </c>
      <c r="H14" s="34">
        <f>'- J -'!L$19</f>
        <v>2</v>
      </c>
      <c r="I14" s="34">
        <f>'- J -'!M$19</f>
        <v>3</v>
      </c>
      <c r="J14" s="34">
        <f>'- J -'!N$19</f>
        <v>6</v>
      </c>
      <c r="K14" s="34">
        <f>'- J -'!O$19</f>
        <v>-3</v>
      </c>
      <c r="L14" s="34">
        <f>'- J -'!P$19</f>
        <v>1</v>
      </c>
      <c r="M14" s="44">
        <f t="shared" si="1"/>
        <v>0</v>
      </c>
      <c r="N14" s="62"/>
      <c r="O14" s="45"/>
      <c r="P14" s="45"/>
      <c r="Q14" s="46"/>
      <c r="S14" s="53">
        <f t="shared" si="2"/>
        <v>9703000</v>
      </c>
      <c r="T14" s="55">
        <f t="shared" si="3"/>
        <v>10000000</v>
      </c>
      <c r="U14" s="55">
        <f t="shared" si="4"/>
        <v>-300000</v>
      </c>
      <c r="V14" s="55">
        <f t="shared" si="5"/>
        <v>3000</v>
      </c>
      <c r="W14" s="55">
        <f t="shared" si="6"/>
        <v>0</v>
      </c>
    </row>
    <row r="15" spans="1:23" x14ac:dyDescent="0.2">
      <c r="A15" s="56">
        <f t="shared" si="0"/>
        <v>10</v>
      </c>
      <c r="B15" s="43" t="s">
        <v>185</v>
      </c>
      <c r="C15" t="str">
        <f>'- K -'!H$19</f>
        <v>RD Congo</v>
      </c>
      <c r="E15" s="34">
        <f>'- K -'!I$19</f>
        <v>3</v>
      </c>
      <c r="F15" s="34">
        <f>'- K -'!J$19</f>
        <v>1</v>
      </c>
      <c r="G15" s="34">
        <f>'- K -'!K$19</f>
        <v>0</v>
      </c>
      <c r="H15" s="34">
        <f>'- K -'!L$19</f>
        <v>2</v>
      </c>
      <c r="I15" s="34">
        <f>'- K -'!M$19</f>
        <v>1</v>
      </c>
      <c r="J15" s="34">
        <f>'- K -'!N$19</f>
        <v>6</v>
      </c>
      <c r="K15" s="34">
        <f>'- K -'!O$19</f>
        <v>-5</v>
      </c>
      <c r="L15" s="34">
        <f>'- K -'!P$19</f>
        <v>3</v>
      </c>
      <c r="M15" s="44">
        <f t="shared" si="1"/>
        <v>0</v>
      </c>
      <c r="N15" s="62"/>
      <c r="O15" s="45"/>
      <c r="P15" s="45"/>
      <c r="Q15" s="46"/>
      <c r="S15" s="53">
        <f t="shared" si="2"/>
        <v>29501000</v>
      </c>
      <c r="T15" s="55">
        <f t="shared" si="3"/>
        <v>30000000</v>
      </c>
      <c r="U15" s="55">
        <f t="shared" si="4"/>
        <v>-500000</v>
      </c>
      <c r="V15" s="55">
        <f t="shared" si="5"/>
        <v>1000</v>
      </c>
      <c r="W15" s="55">
        <f t="shared" si="6"/>
        <v>0</v>
      </c>
    </row>
    <row r="16" spans="1:23" x14ac:dyDescent="0.2">
      <c r="A16" s="56">
        <f t="shared" si="0"/>
        <v>9</v>
      </c>
      <c r="B16" s="47" t="s">
        <v>186</v>
      </c>
      <c r="C16" s="48" t="str">
        <f>'- L -'!H$19</f>
        <v>Ghana</v>
      </c>
      <c r="D16" s="48"/>
      <c r="E16" s="59">
        <f>'- L -'!I$19</f>
        <v>3</v>
      </c>
      <c r="F16" s="59">
        <f>'- L -'!J$19</f>
        <v>1</v>
      </c>
      <c r="G16" s="59">
        <f>'- L -'!K$19</f>
        <v>0</v>
      </c>
      <c r="H16" s="59">
        <f>'- L -'!L$19</f>
        <v>2</v>
      </c>
      <c r="I16" s="59">
        <f>'- L -'!M$19</f>
        <v>2</v>
      </c>
      <c r="J16" s="59">
        <f>'- L -'!N$19</f>
        <v>4</v>
      </c>
      <c r="K16" s="59">
        <f>'- L -'!O$19</f>
        <v>-2</v>
      </c>
      <c r="L16" s="59">
        <f>'- L -'!P$19</f>
        <v>3</v>
      </c>
      <c r="M16" s="49">
        <f t="shared" si="1"/>
        <v>0</v>
      </c>
      <c r="N16" s="63"/>
      <c r="O16" s="50"/>
      <c r="P16" s="50"/>
      <c r="Q16" s="51"/>
      <c r="S16" s="54">
        <f t="shared" si="2"/>
        <v>29802000</v>
      </c>
      <c r="T16" s="55">
        <f t="shared" si="3"/>
        <v>30000000</v>
      </c>
      <c r="U16" s="55">
        <f t="shared" si="4"/>
        <v>-200000</v>
      </c>
      <c r="V16" s="55">
        <f t="shared" si="5"/>
        <v>2000</v>
      </c>
      <c r="W16" s="55">
        <f t="shared" si="6"/>
        <v>0</v>
      </c>
    </row>
    <row r="17" spans="1:48" x14ac:dyDescent="0.2">
      <c r="AO17" s="34">
        <v>18</v>
      </c>
      <c r="AP17" s="34">
        <f>AO17+1</f>
        <v>19</v>
      </c>
      <c r="AQ17" s="34">
        <f t="shared" ref="AQ17:AV17" si="7">AP17+1</f>
        <v>20</v>
      </c>
      <c r="AR17" s="34">
        <f t="shared" si="7"/>
        <v>21</v>
      </c>
      <c r="AS17" s="34">
        <f t="shared" si="7"/>
        <v>22</v>
      </c>
      <c r="AT17" s="34">
        <f t="shared" si="7"/>
        <v>23</v>
      </c>
      <c r="AU17" s="34">
        <f t="shared" si="7"/>
        <v>24</v>
      </c>
      <c r="AV17" s="34">
        <f t="shared" si="7"/>
        <v>25</v>
      </c>
    </row>
    <row r="18" spans="1:48" x14ac:dyDescent="0.2">
      <c r="X18">
        <f>COUNTIF(X20:X514,"x")</f>
        <v>1</v>
      </c>
      <c r="AO18" s="34"/>
      <c r="AP18" s="34"/>
      <c r="AQ18" s="34"/>
      <c r="AR18" s="34"/>
      <c r="AS18" s="34"/>
      <c r="AT18" s="34"/>
      <c r="AU18" s="34"/>
      <c r="AV18" s="34"/>
    </row>
    <row r="19" spans="1:48" ht="15" x14ac:dyDescent="0.25">
      <c r="B19" s="174" t="s">
        <v>195</v>
      </c>
      <c r="C19" s="175"/>
      <c r="D19" s="175"/>
      <c r="E19" s="250" t="s">
        <v>13</v>
      </c>
      <c r="F19" s="250" t="s">
        <v>14</v>
      </c>
      <c r="G19" s="250" t="s">
        <v>15</v>
      </c>
      <c r="H19" s="250" t="s">
        <v>16</v>
      </c>
      <c r="I19" s="250" t="s">
        <v>17</v>
      </c>
      <c r="J19" s="250" t="s">
        <v>18</v>
      </c>
      <c r="K19" s="250" t="s">
        <v>19</v>
      </c>
      <c r="L19" s="250" t="s">
        <v>20</v>
      </c>
      <c r="Y19" s="67" t="s">
        <v>198</v>
      </c>
      <c r="Z19" s="67" t="s">
        <v>202</v>
      </c>
      <c r="AA19" s="67" t="s">
        <v>200</v>
      </c>
      <c r="AB19" s="67" t="s">
        <v>196</v>
      </c>
      <c r="AC19" s="67" t="s">
        <v>201</v>
      </c>
      <c r="AD19" s="67" t="s">
        <v>197</v>
      </c>
      <c r="AE19" s="67" t="s">
        <v>203</v>
      </c>
      <c r="AF19" s="67" t="s">
        <v>199</v>
      </c>
      <c r="AO19" s="70" t="s">
        <v>198</v>
      </c>
      <c r="AP19" s="70" t="s">
        <v>202</v>
      </c>
      <c r="AQ19" s="70" t="s">
        <v>200</v>
      </c>
      <c r="AR19" s="70" t="s">
        <v>196</v>
      </c>
      <c r="AS19" s="70" t="s">
        <v>201</v>
      </c>
      <c r="AT19" s="70" t="s">
        <v>197</v>
      </c>
      <c r="AU19" s="70" t="s">
        <v>203</v>
      </c>
      <c r="AV19" s="70" t="s">
        <v>199</v>
      </c>
    </row>
    <row r="20" spans="1:48" x14ac:dyDescent="0.2">
      <c r="X20" s="64" t="str">
        <f>IF(SUM(AG20:AN20)=8,"X","")</f>
        <v/>
      </c>
      <c r="Y20" s="68" t="s">
        <v>15</v>
      </c>
      <c r="Z20" s="68" t="s">
        <v>13</v>
      </c>
      <c r="AA20" s="68" t="s">
        <v>184</v>
      </c>
      <c r="AB20" s="68" t="s">
        <v>31</v>
      </c>
      <c r="AC20" s="68" t="s">
        <v>32</v>
      </c>
      <c r="AD20" s="68" t="s">
        <v>14</v>
      </c>
      <c r="AE20" s="68" t="s">
        <v>186</v>
      </c>
      <c r="AF20" s="68" t="s">
        <v>185</v>
      </c>
      <c r="AG20">
        <f>IFERROR(VLOOKUP(Y20,$B$21:$T$28,19,0),0)</f>
        <v>1</v>
      </c>
      <c r="AH20">
        <f t="shared" ref="AH20:AH83" si="8">IFERROR(VLOOKUP(Z20,$B$21:$T$28,19,0),0)</f>
        <v>0</v>
      </c>
      <c r="AI20">
        <f t="shared" ref="AI20:AI83" si="9">IFERROR(VLOOKUP(AA20,$B$21:$T$28,19,0),0)</f>
        <v>1</v>
      </c>
      <c r="AJ20">
        <f t="shared" ref="AJ20:AJ83" si="10">IFERROR(VLOOKUP(AB20,$B$21:$T$28,19,0),0)</f>
        <v>1</v>
      </c>
      <c r="AK20">
        <f t="shared" ref="AK20:AK83" si="11">IFERROR(VLOOKUP(AC20,$B$21:$T$28,19,0),0)</f>
        <v>0</v>
      </c>
      <c r="AL20">
        <f t="shared" ref="AL20:AL83" si="12">IFERROR(VLOOKUP(AD20,$B$21:$T$28,19,0),0)</f>
        <v>1</v>
      </c>
      <c r="AM20">
        <f t="shared" ref="AM20:AM83" si="13">IFERROR(VLOOKUP(AE20,$B$21:$T$28,19,0),0)</f>
        <v>0</v>
      </c>
      <c r="AN20">
        <f t="shared" ref="AN20:AN83" si="14">IFERROR(VLOOKUP(AF20,$B$21:$T$28,19,0),0)</f>
        <v>0</v>
      </c>
      <c r="AO20" s="69" t="str">
        <f t="shared" ref="AO20:AO83" si="15">VLOOKUP(Y20,$B$21:$C$28,2,0)</f>
        <v>Costa de Marfil</v>
      </c>
      <c r="AP20" s="69" t="e">
        <f t="shared" ref="AP20:AP83" si="16">VLOOKUP(Z20,$B$21:$C$28,2,0)</f>
        <v>#N/A</v>
      </c>
      <c r="AQ20" s="69" t="str">
        <f t="shared" ref="AQ20:AQ83" si="17">VLOOKUP(AA20,$B$21:$C$28,2,0)</f>
        <v>Senegal</v>
      </c>
      <c r="AR20" s="69" t="str">
        <f t="shared" ref="AR20:AR83" si="18">VLOOKUP(AB20,$B$21:$C$28,2,0)</f>
        <v>Suecia</v>
      </c>
      <c r="AS20" s="69" t="e">
        <f t="shared" ref="AS20:AS83" si="19">VLOOKUP(AC20,$B$21:$C$28,2,0)</f>
        <v>#N/A</v>
      </c>
      <c r="AT20" s="69" t="str">
        <f t="shared" ref="AT20:AT83" si="20">VLOOKUP(AD20,$B$21:$C$28,2,0)</f>
        <v>Irán</v>
      </c>
      <c r="AU20" s="69" t="e">
        <f t="shared" ref="AU20:AU83" si="21">VLOOKUP(AE20,$B$21:$C$28,2,0)</f>
        <v>#N/A</v>
      </c>
      <c r="AV20" s="69" t="e">
        <f t="shared" ref="AV20:AV83" si="22">VLOOKUP(AF20,$B$21:$C$28,2,0)</f>
        <v>#N/A</v>
      </c>
    </row>
    <row r="21" spans="1:48" x14ac:dyDescent="0.2">
      <c r="A21" s="56">
        <v>1</v>
      </c>
      <c r="B21" s="176" t="str" cm="1">
        <f t="array" ref="B21:S32">_xlfn._xlws.SORT(B5:S16,18,-1,0)</f>
        <v>A</v>
      </c>
      <c r="C21" s="252" t="str">
        <v>Korea</v>
      </c>
      <c r="D21" s="64">
        <v>0</v>
      </c>
      <c r="E21" s="176">
        <v>3</v>
      </c>
      <c r="F21" s="176">
        <v>1</v>
      </c>
      <c r="G21" s="176">
        <v>1</v>
      </c>
      <c r="H21" s="176">
        <v>1</v>
      </c>
      <c r="I21" s="176">
        <v>3</v>
      </c>
      <c r="J21" s="176">
        <v>3</v>
      </c>
      <c r="K21" s="176">
        <v>0</v>
      </c>
      <c r="L21" s="176">
        <v>4</v>
      </c>
      <c r="M21" s="336">
        <v>0</v>
      </c>
      <c r="N21" s="336">
        <v>0</v>
      </c>
      <c r="O21" s="336">
        <v>0</v>
      </c>
      <c r="P21" s="336">
        <v>0</v>
      </c>
      <c r="Q21" s="336">
        <v>0</v>
      </c>
      <c r="R21" s="336">
        <v>0</v>
      </c>
      <c r="S21" s="52">
        <v>40003000</v>
      </c>
      <c r="T21" s="34">
        <v>1</v>
      </c>
      <c r="X21" s="64" t="str">
        <f t="shared" ref="X21:X84" si="23">IF(SUM(AG21:AN21)=8,"X","")</f>
        <v/>
      </c>
      <c r="Y21" s="68" t="s">
        <v>32</v>
      </c>
      <c r="Z21" s="68" t="s">
        <v>14</v>
      </c>
      <c r="AA21" s="68" t="s">
        <v>184</v>
      </c>
      <c r="AB21" s="68" t="s">
        <v>28</v>
      </c>
      <c r="AC21" s="68" t="s">
        <v>13</v>
      </c>
      <c r="AD21" s="68" t="s">
        <v>31</v>
      </c>
      <c r="AE21" s="68" t="s">
        <v>186</v>
      </c>
      <c r="AF21" s="68" t="s">
        <v>185</v>
      </c>
      <c r="AG21">
        <f t="shared" ref="AG21:AG84" si="24">IFERROR(VLOOKUP(Y21,$B$21:$T$28,19,0),0)</f>
        <v>0</v>
      </c>
      <c r="AH21">
        <f t="shared" si="8"/>
        <v>1</v>
      </c>
      <c r="AI21">
        <f t="shared" si="9"/>
        <v>1</v>
      </c>
      <c r="AJ21">
        <f t="shared" si="10"/>
        <v>1</v>
      </c>
      <c r="AK21">
        <f t="shared" si="11"/>
        <v>0</v>
      </c>
      <c r="AL21">
        <f t="shared" si="12"/>
        <v>1</v>
      </c>
      <c r="AM21">
        <f t="shared" si="13"/>
        <v>0</v>
      </c>
      <c r="AN21">
        <f t="shared" si="14"/>
        <v>0</v>
      </c>
      <c r="AO21" s="69" t="e">
        <f t="shared" si="15"/>
        <v>#N/A</v>
      </c>
      <c r="AP21" s="69" t="str">
        <f t="shared" si="16"/>
        <v>Irán</v>
      </c>
      <c r="AQ21" s="69" t="str">
        <f t="shared" si="17"/>
        <v>Senegal</v>
      </c>
      <c r="AR21" s="69" t="str">
        <f t="shared" si="18"/>
        <v>Paraguay</v>
      </c>
      <c r="AS21" s="69" t="e">
        <f t="shared" si="19"/>
        <v>#N/A</v>
      </c>
      <c r="AT21" s="69" t="str">
        <f t="shared" si="20"/>
        <v>Suecia</v>
      </c>
      <c r="AU21" s="69" t="e">
        <f t="shared" si="21"/>
        <v>#N/A</v>
      </c>
      <c r="AV21" s="69" t="e">
        <f t="shared" si="22"/>
        <v>#N/A</v>
      </c>
    </row>
    <row r="22" spans="1:48" x14ac:dyDescent="0.2">
      <c r="A22" s="56">
        <f>A21+1</f>
        <v>2</v>
      </c>
      <c r="B22" s="176" t="str">
        <v>C</v>
      </c>
      <c r="C22" s="252" t="str">
        <v>Marruecos</v>
      </c>
      <c r="D22" s="64">
        <v>0</v>
      </c>
      <c r="E22" s="176">
        <v>3</v>
      </c>
      <c r="F22" s="176">
        <v>1</v>
      </c>
      <c r="G22" s="176">
        <v>1</v>
      </c>
      <c r="H22" s="176">
        <v>1</v>
      </c>
      <c r="I22" s="176">
        <v>2</v>
      </c>
      <c r="J22" s="176">
        <v>2</v>
      </c>
      <c r="K22" s="176">
        <v>0</v>
      </c>
      <c r="L22" s="176">
        <v>4</v>
      </c>
      <c r="M22" s="336">
        <v>0</v>
      </c>
      <c r="N22" s="336">
        <v>0</v>
      </c>
      <c r="O22" s="336">
        <v>0</v>
      </c>
      <c r="P22" s="336">
        <v>0</v>
      </c>
      <c r="Q22" s="336">
        <v>0</v>
      </c>
      <c r="R22" s="336">
        <v>0</v>
      </c>
      <c r="S22" s="53">
        <v>40002000</v>
      </c>
      <c r="T22" s="34">
        <v>1</v>
      </c>
      <c r="X22" s="64" t="str">
        <f t="shared" si="23"/>
        <v/>
      </c>
      <c r="Y22" s="68" t="s">
        <v>15</v>
      </c>
      <c r="Z22" s="68" t="s">
        <v>13</v>
      </c>
      <c r="AA22" s="68" t="s">
        <v>184</v>
      </c>
      <c r="AB22" s="68" t="s">
        <v>28</v>
      </c>
      <c r="AC22" s="68" t="s">
        <v>32</v>
      </c>
      <c r="AD22" s="68" t="s">
        <v>14</v>
      </c>
      <c r="AE22" s="68" t="s">
        <v>186</v>
      </c>
      <c r="AF22" s="68" t="s">
        <v>185</v>
      </c>
      <c r="AG22">
        <f t="shared" si="24"/>
        <v>1</v>
      </c>
      <c r="AH22">
        <f t="shared" si="8"/>
        <v>0</v>
      </c>
      <c r="AI22">
        <f t="shared" si="9"/>
        <v>1</v>
      </c>
      <c r="AJ22">
        <f t="shared" si="10"/>
        <v>1</v>
      </c>
      <c r="AK22">
        <f t="shared" si="11"/>
        <v>0</v>
      </c>
      <c r="AL22">
        <f t="shared" si="12"/>
        <v>1</v>
      </c>
      <c r="AM22">
        <f t="shared" si="13"/>
        <v>0</v>
      </c>
      <c r="AN22">
        <f t="shared" si="14"/>
        <v>0</v>
      </c>
      <c r="AO22" s="69" t="str">
        <f t="shared" si="15"/>
        <v>Costa de Marfil</v>
      </c>
      <c r="AP22" s="69" t="e">
        <f t="shared" si="16"/>
        <v>#N/A</v>
      </c>
      <c r="AQ22" s="69" t="str">
        <f t="shared" si="17"/>
        <v>Senegal</v>
      </c>
      <c r="AR22" s="69" t="str">
        <f t="shared" si="18"/>
        <v>Paraguay</v>
      </c>
      <c r="AS22" s="69" t="e">
        <f t="shared" si="19"/>
        <v>#N/A</v>
      </c>
      <c r="AT22" s="69" t="str">
        <f t="shared" si="20"/>
        <v>Irán</v>
      </c>
      <c r="AU22" s="69" t="e">
        <f t="shared" si="21"/>
        <v>#N/A</v>
      </c>
      <c r="AV22" s="69" t="e">
        <f t="shared" si="22"/>
        <v>#N/A</v>
      </c>
    </row>
    <row r="23" spans="1:48" x14ac:dyDescent="0.2">
      <c r="A23" s="56">
        <f t="shared" ref="A23:A32" si="25">A22+1</f>
        <v>3</v>
      </c>
      <c r="B23" s="176" t="str">
        <v>G</v>
      </c>
      <c r="C23" s="252" t="str">
        <v>Irán</v>
      </c>
      <c r="D23" s="64">
        <v>0</v>
      </c>
      <c r="E23" s="176">
        <v>3</v>
      </c>
      <c r="F23" s="176">
        <v>1</v>
      </c>
      <c r="G23" s="176">
        <v>1</v>
      </c>
      <c r="H23" s="176">
        <v>1</v>
      </c>
      <c r="I23" s="176">
        <v>2</v>
      </c>
      <c r="J23" s="176">
        <v>2</v>
      </c>
      <c r="K23" s="176">
        <v>0</v>
      </c>
      <c r="L23" s="176">
        <v>4</v>
      </c>
      <c r="M23" s="336">
        <v>0</v>
      </c>
      <c r="N23" s="336">
        <v>0</v>
      </c>
      <c r="O23" s="336">
        <v>0</v>
      </c>
      <c r="P23" s="336">
        <v>0</v>
      </c>
      <c r="Q23" s="336">
        <v>0</v>
      </c>
      <c r="R23" s="336">
        <v>0</v>
      </c>
      <c r="S23" s="53">
        <v>40002000</v>
      </c>
      <c r="T23" s="34">
        <v>1</v>
      </c>
      <c r="X23" s="64" t="str">
        <f t="shared" si="23"/>
        <v/>
      </c>
      <c r="Y23" s="68" t="s">
        <v>15</v>
      </c>
      <c r="Z23" s="68" t="s">
        <v>13</v>
      </c>
      <c r="AA23" s="68" t="s">
        <v>184</v>
      </c>
      <c r="AB23" s="68" t="s">
        <v>28</v>
      </c>
      <c r="AC23" s="68" t="s">
        <v>32</v>
      </c>
      <c r="AD23" s="68" t="s">
        <v>31</v>
      </c>
      <c r="AE23" s="68" t="s">
        <v>186</v>
      </c>
      <c r="AF23" s="68" t="s">
        <v>185</v>
      </c>
      <c r="AG23">
        <f t="shared" si="24"/>
        <v>1</v>
      </c>
      <c r="AH23">
        <f t="shared" si="8"/>
        <v>0</v>
      </c>
      <c r="AI23">
        <f t="shared" si="9"/>
        <v>1</v>
      </c>
      <c r="AJ23">
        <f t="shared" si="10"/>
        <v>1</v>
      </c>
      <c r="AK23">
        <f t="shared" si="11"/>
        <v>0</v>
      </c>
      <c r="AL23">
        <f t="shared" si="12"/>
        <v>1</v>
      </c>
      <c r="AM23">
        <f t="shared" si="13"/>
        <v>0</v>
      </c>
      <c r="AN23">
        <f t="shared" si="14"/>
        <v>0</v>
      </c>
      <c r="AO23" s="69" t="str">
        <f t="shared" si="15"/>
        <v>Costa de Marfil</v>
      </c>
      <c r="AP23" s="69" t="e">
        <f t="shared" si="16"/>
        <v>#N/A</v>
      </c>
      <c r="AQ23" s="69" t="str">
        <f t="shared" si="17"/>
        <v>Senegal</v>
      </c>
      <c r="AR23" s="69" t="str">
        <f t="shared" si="18"/>
        <v>Paraguay</v>
      </c>
      <c r="AS23" s="69" t="e">
        <f t="shared" si="19"/>
        <v>#N/A</v>
      </c>
      <c r="AT23" s="69" t="str">
        <f t="shared" si="20"/>
        <v>Suecia</v>
      </c>
      <c r="AU23" s="69" t="e">
        <f t="shared" si="21"/>
        <v>#N/A</v>
      </c>
      <c r="AV23" s="69" t="e">
        <f t="shared" si="22"/>
        <v>#N/A</v>
      </c>
    </row>
    <row r="24" spans="1:48" x14ac:dyDescent="0.2">
      <c r="A24" s="56">
        <f t="shared" si="25"/>
        <v>4</v>
      </c>
      <c r="B24" s="176" t="str">
        <v>I</v>
      </c>
      <c r="C24" s="252" t="str">
        <v>Senegal</v>
      </c>
      <c r="D24" s="64">
        <v>0</v>
      </c>
      <c r="E24" s="176">
        <v>3</v>
      </c>
      <c r="F24" s="176">
        <v>1</v>
      </c>
      <c r="G24" s="176">
        <v>1</v>
      </c>
      <c r="H24" s="176">
        <v>1</v>
      </c>
      <c r="I24" s="176">
        <v>3</v>
      </c>
      <c r="J24" s="176">
        <v>4</v>
      </c>
      <c r="K24" s="176">
        <v>-1</v>
      </c>
      <c r="L24" s="176">
        <v>4</v>
      </c>
      <c r="M24" s="336">
        <v>0</v>
      </c>
      <c r="N24" s="336">
        <v>0</v>
      </c>
      <c r="O24" s="336">
        <v>0</v>
      </c>
      <c r="P24" s="336">
        <v>0</v>
      </c>
      <c r="Q24" s="336">
        <v>0</v>
      </c>
      <c r="R24" s="336">
        <v>0</v>
      </c>
      <c r="S24" s="53">
        <v>39903000</v>
      </c>
      <c r="T24" s="34">
        <v>1</v>
      </c>
      <c r="X24" s="64" t="str">
        <f t="shared" si="23"/>
        <v/>
      </c>
      <c r="Y24" s="68" t="s">
        <v>15</v>
      </c>
      <c r="Z24" s="68" t="s">
        <v>14</v>
      </c>
      <c r="AA24" s="68" t="s">
        <v>184</v>
      </c>
      <c r="AB24" s="68" t="s">
        <v>28</v>
      </c>
      <c r="AC24" s="68" t="s">
        <v>13</v>
      </c>
      <c r="AD24" s="68" t="s">
        <v>31</v>
      </c>
      <c r="AE24" s="68" t="s">
        <v>186</v>
      </c>
      <c r="AF24" s="68" t="s">
        <v>185</v>
      </c>
      <c r="AG24">
        <f t="shared" si="24"/>
        <v>1</v>
      </c>
      <c r="AH24">
        <f t="shared" si="8"/>
        <v>1</v>
      </c>
      <c r="AI24">
        <f t="shared" si="9"/>
        <v>1</v>
      </c>
      <c r="AJ24">
        <f t="shared" si="10"/>
        <v>1</v>
      </c>
      <c r="AK24">
        <f t="shared" si="11"/>
        <v>0</v>
      </c>
      <c r="AL24">
        <f t="shared" si="12"/>
        <v>1</v>
      </c>
      <c r="AM24">
        <f t="shared" si="13"/>
        <v>0</v>
      </c>
      <c r="AN24">
        <f t="shared" si="14"/>
        <v>0</v>
      </c>
      <c r="AO24" s="69" t="str">
        <f t="shared" si="15"/>
        <v>Costa de Marfil</v>
      </c>
      <c r="AP24" s="69" t="str">
        <f t="shared" si="16"/>
        <v>Irán</v>
      </c>
      <c r="AQ24" s="69" t="str">
        <f t="shared" si="17"/>
        <v>Senegal</v>
      </c>
      <c r="AR24" s="69" t="str">
        <f t="shared" si="18"/>
        <v>Paraguay</v>
      </c>
      <c r="AS24" s="69" t="e">
        <f t="shared" si="19"/>
        <v>#N/A</v>
      </c>
      <c r="AT24" s="69" t="str">
        <f t="shared" si="20"/>
        <v>Suecia</v>
      </c>
      <c r="AU24" s="69" t="e">
        <f t="shared" si="21"/>
        <v>#N/A</v>
      </c>
      <c r="AV24" s="69" t="e">
        <f t="shared" si="22"/>
        <v>#N/A</v>
      </c>
    </row>
    <row r="25" spans="1:48" x14ac:dyDescent="0.2">
      <c r="A25" s="56">
        <f t="shared" si="25"/>
        <v>5</v>
      </c>
      <c r="B25" s="176" t="str">
        <v>E</v>
      </c>
      <c r="C25" s="252" t="str">
        <v>Costa de Marfil</v>
      </c>
      <c r="D25" s="64">
        <v>0</v>
      </c>
      <c r="E25" s="176">
        <v>3</v>
      </c>
      <c r="F25" s="176">
        <v>1</v>
      </c>
      <c r="G25" s="176">
        <v>1</v>
      </c>
      <c r="H25" s="176">
        <v>1</v>
      </c>
      <c r="I25" s="176">
        <v>3</v>
      </c>
      <c r="J25" s="176">
        <v>5</v>
      </c>
      <c r="K25" s="176">
        <v>-2</v>
      </c>
      <c r="L25" s="176">
        <v>4</v>
      </c>
      <c r="M25" s="336">
        <v>0</v>
      </c>
      <c r="N25" s="336">
        <v>0</v>
      </c>
      <c r="O25" s="336">
        <v>0</v>
      </c>
      <c r="P25" s="336">
        <v>0</v>
      </c>
      <c r="Q25" s="336">
        <v>0</v>
      </c>
      <c r="R25" s="336">
        <v>0</v>
      </c>
      <c r="S25" s="53">
        <v>39803000</v>
      </c>
      <c r="T25" s="34">
        <v>1</v>
      </c>
      <c r="X25" s="64" t="str">
        <f t="shared" si="23"/>
        <v/>
      </c>
      <c r="Y25" s="68" t="s">
        <v>15</v>
      </c>
      <c r="Z25" s="68" t="s">
        <v>14</v>
      </c>
      <c r="AA25" s="68" t="s">
        <v>13</v>
      </c>
      <c r="AB25" s="68" t="s">
        <v>28</v>
      </c>
      <c r="AC25" s="68" t="s">
        <v>32</v>
      </c>
      <c r="AD25" s="68" t="s">
        <v>31</v>
      </c>
      <c r="AE25" s="68" t="s">
        <v>186</v>
      </c>
      <c r="AF25" s="68" t="s">
        <v>185</v>
      </c>
      <c r="AG25">
        <f t="shared" si="24"/>
        <v>1</v>
      </c>
      <c r="AH25">
        <f t="shared" si="8"/>
        <v>1</v>
      </c>
      <c r="AI25">
        <f t="shared" si="9"/>
        <v>0</v>
      </c>
      <c r="AJ25">
        <f t="shared" si="10"/>
        <v>1</v>
      </c>
      <c r="AK25">
        <f t="shared" si="11"/>
        <v>0</v>
      </c>
      <c r="AL25">
        <f t="shared" si="12"/>
        <v>1</v>
      </c>
      <c r="AM25">
        <f t="shared" si="13"/>
        <v>0</v>
      </c>
      <c r="AN25">
        <f t="shared" si="14"/>
        <v>0</v>
      </c>
      <c r="AO25" s="69" t="str">
        <f t="shared" si="15"/>
        <v>Costa de Marfil</v>
      </c>
      <c r="AP25" s="69" t="str">
        <f t="shared" si="16"/>
        <v>Irán</v>
      </c>
      <c r="AQ25" s="69" t="e">
        <f t="shared" si="17"/>
        <v>#N/A</v>
      </c>
      <c r="AR25" s="69" t="str">
        <f t="shared" si="18"/>
        <v>Paraguay</v>
      </c>
      <c r="AS25" s="69" t="e">
        <f t="shared" si="19"/>
        <v>#N/A</v>
      </c>
      <c r="AT25" s="69" t="str">
        <f t="shared" si="20"/>
        <v>Suecia</v>
      </c>
      <c r="AU25" s="69" t="e">
        <f t="shared" si="21"/>
        <v>#N/A</v>
      </c>
      <c r="AV25" s="69" t="e">
        <f t="shared" si="22"/>
        <v>#N/A</v>
      </c>
    </row>
    <row r="26" spans="1:48" x14ac:dyDescent="0.2">
      <c r="A26" s="56">
        <f t="shared" si="25"/>
        <v>6</v>
      </c>
      <c r="B26" s="176" t="str">
        <v>D</v>
      </c>
      <c r="C26" s="252" t="str">
        <v>Paraguay</v>
      </c>
      <c r="D26" s="64">
        <v>0</v>
      </c>
      <c r="E26" s="176">
        <v>3</v>
      </c>
      <c r="F26" s="176">
        <v>1</v>
      </c>
      <c r="G26" s="176">
        <v>0</v>
      </c>
      <c r="H26" s="176">
        <v>2</v>
      </c>
      <c r="I26" s="176">
        <v>2</v>
      </c>
      <c r="J26" s="176">
        <v>2</v>
      </c>
      <c r="K26" s="176">
        <v>0</v>
      </c>
      <c r="L26" s="176">
        <v>3</v>
      </c>
      <c r="M26" s="336">
        <v>0</v>
      </c>
      <c r="N26" s="336">
        <v>0</v>
      </c>
      <c r="O26" s="336">
        <v>0</v>
      </c>
      <c r="P26" s="336">
        <v>0</v>
      </c>
      <c r="Q26" s="336">
        <v>0</v>
      </c>
      <c r="R26" s="336">
        <v>0</v>
      </c>
      <c r="S26" s="53">
        <v>30002000</v>
      </c>
      <c r="T26" s="34">
        <v>1</v>
      </c>
      <c r="X26" s="64" t="str">
        <f t="shared" si="23"/>
        <v/>
      </c>
      <c r="Y26" s="68" t="s">
        <v>15</v>
      </c>
      <c r="Z26" s="68" t="s">
        <v>14</v>
      </c>
      <c r="AA26" s="68" t="s">
        <v>184</v>
      </c>
      <c r="AB26" s="68" t="s">
        <v>28</v>
      </c>
      <c r="AC26" s="68" t="s">
        <v>32</v>
      </c>
      <c r="AD26" s="68" t="s">
        <v>31</v>
      </c>
      <c r="AE26" s="68" t="s">
        <v>186</v>
      </c>
      <c r="AF26" s="68" t="s">
        <v>185</v>
      </c>
      <c r="AG26">
        <f t="shared" si="24"/>
        <v>1</v>
      </c>
      <c r="AH26">
        <f t="shared" si="8"/>
        <v>1</v>
      </c>
      <c r="AI26">
        <f t="shared" si="9"/>
        <v>1</v>
      </c>
      <c r="AJ26">
        <f t="shared" si="10"/>
        <v>1</v>
      </c>
      <c r="AK26">
        <f t="shared" si="11"/>
        <v>0</v>
      </c>
      <c r="AL26">
        <f t="shared" si="12"/>
        <v>1</v>
      </c>
      <c r="AM26">
        <f t="shared" si="13"/>
        <v>0</v>
      </c>
      <c r="AN26">
        <f t="shared" si="14"/>
        <v>0</v>
      </c>
      <c r="AO26" s="69" t="str">
        <f t="shared" si="15"/>
        <v>Costa de Marfil</v>
      </c>
      <c r="AP26" s="69" t="str">
        <f t="shared" si="16"/>
        <v>Irán</v>
      </c>
      <c r="AQ26" s="69" t="str">
        <f t="shared" si="17"/>
        <v>Senegal</v>
      </c>
      <c r="AR26" s="69" t="str">
        <f t="shared" si="18"/>
        <v>Paraguay</v>
      </c>
      <c r="AS26" s="69" t="e">
        <f t="shared" si="19"/>
        <v>#N/A</v>
      </c>
      <c r="AT26" s="69" t="str">
        <f t="shared" si="20"/>
        <v>Suecia</v>
      </c>
      <c r="AU26" s="69" t="e">
        <f t="shared" si="21"/>
        <v>#N/A</v>
      </c>
      <c r="AV26" s="69" t="e">
        <f t="shared" si="22"/>
        <v>#N/A</v>
      </c>
    </row>
    <row r="27" spans="1:48" x14ac:dyDescent="0.2">
      <c r="A27" s="56">
        <f t="shared" si="25"/>
        <v>7</v>
      </c>
      <c r="B27" s="176" t="str">
        <v>B</v>
      </c>
      <c r="C27" s="252" t="str">
        <v>Bosnia</v>
      </c>
      <c r="D27" s="64">
        <v>0</v>
      </c>
      <c r="E27" s="176">
        <v>3</v>
      </c>
      <c r="F27" s="176">
        <v>1</v>
      </c>
      <c r="G27" s="176">
        <v>0</v>
      </c>
      <c r="H27" s="176">
        <v>2</v>
      </c>
      <c r="I27" s="176">
        <v>3</v>
      </c>
      <c r="J27" s="176">
        <v>4</v>
      </c>
      <c r="K27" s="176">
        <v>-1</v>
      </c>
      <c r="L27" s="176">
        <v>3</v>
      </c>
      <c r="M27" s="336">
        <v>0</v>
      </c>
      <c r="N27" s="336">
        <v>0</v>
      </c>
      <c r="O27" s="336">
        <v>0</v>
      </c>
      <c r="P27" s="336">
        <v>0</v>
      </c>
      <c r="Q27" s="336">
        <v>0</v>
      </c>
      <c r="R27" s="336">
        <v>0</v>
      </c>
      <c r="S27" s="53">
        <v>29903000</v>
      </c>
      <c r="T27" s="34">
        <v>1</v>
      </c>
      <c r="X27" s="64" t="str">
        <f t="shared" si="23"/>
        <v/>
      </c>
      <c r="Y27" s="68" t="s">
        <v>15</v>
      </c>
      <c r="Z27" s="68" t="s">
        <v>14</v>
      </c>
      <c r="AA27" s="68" t="s">
        <v>13</v>
      </c>
      <c r="AB27" s="68" t="s">
        <v>28</v>
      </c>
      <c r="AC27" s="68" t="s">
        <v>32</v>
      </c>
      <c r="AD27" s="68" t="s">
        <v>31</v>
      </c>
      <c r="AE27" s="68" t="s">
        <v>186</v>
      </c>
      <c r="AF27" s="68" t="s">
        <v>184</v>
      </c>
      <c r="AG27">
        <f t="shared" si="24"/>
        <v>1</v>
      </c>
      <c r="AH27">
        <f t="shared" si="8"/>
        <v>1</v>
      </c>
      <c r="AI27">
        <f t="shared" si="9"/>
        <v>0</v>
      </c>
      <c r="AJ27">
        <f t="shared" si="10"/>
        <v>1</v>
      </c>
      <c r="AK27">
        <f t="shared" si="11"/>
        <v>0</v>
      </c>
      <c r="AL27">
        <f t="shared" si="12"/>
        <v>1</v>
      </c>
      <c r="AM27">
        <f t="shared" si="13"/>
        <v>0</v>
      </c>
      <c r="AN27">
        <f t="shared" si="14"/>
        <v>1</v>
      </c>
      <c r="AO27" s="69" t="str">
        <f t="shared" si="15"/>
        <v>Costa de Marfil</v>
      </c>
      <c r="AP27" s="69" t="str">
        <f t="shared" si="16"/>
        <v>Irán</v>
      </c>
      <c r="AQ27" s="69" t="e">
        <f t="shared" si="17"/>
        <v>#N/A</v>
      </c>
      <c r="AR27" s="69" t="str">
        <f t="shared" si="18"/>
        <v>Paraguay</v>
      </c>
      <c r="AS27" s="69" t="e">
        <f t="shared" si="19"/>
        <v>#N/A</v>
      </c>
      <c r="AT27" s="69" t="str">
        <f t="shared" si="20"/>
        <v>Suecia</v>
      </c>
      <c r="AU27" s="69" t="e">
        <f t="shared" si="21"/>
        <v>#N/A</v>
      </c>
      <c r="AV27" s="69" t="str">
        <f t="shared" si="22"/>
        <v>Senegal</v>
      </c>
    </row>
    <row r="28" spans="1:48" x14ac:dyDescent="0.2">
      <c r="A28" s="56">
        <f t="shared" si="25"/>
        <v>8</v>
      </c>
      <c r="B28" s="176" t="str">
        <v>F</v>
      </c>
      <c r="C28" s="252" t="str">
        <v>Suecia</v>
      </c>
      <c r="D28" s="64">
        <v>0</v>
      </c>
      <c r="E28" s="176">
        <v>3</v>
      </c>
      <c r="F28" s="176">
        <v>1</v>
      </c>
      <c r="G28" s="176">
        <v>0</v>
      </c>
      <c r="H28" s="176">
        <v>2</v>
      </c>
      <c r="I28" s="176">
        <v>3</v>
      </c>
      <c r="J28" s="176">
        <v>4</v>
      </c>
      <c r="K28" s="176">
        <v>-1</v>
      </c>
      <c r="L28" s="176">
        <v>3</v>
      </c>
      <c r="M28" s="336">
        <v>0</v>
      </c>
      <c r="N28" s="336">
        <v>0</v>
      </c>
      <c r="O28" s="336">
        <v>0</v>
      </c>
      <c r="P28" s="336">
        <v>0</v>
      </c>
      <c r="Q28" s="336">
        <v>0</v>
      </c>
      <c r="R28" s="336">
        <v>0</v>
      </c>
      <c r="S28" s="53">
        <v>29903000</v>
      </c>
      <c r="T28" s="34">
        <v>1</v>
      </c>
      <c r="X28" s="64" t="str">
        <f t="shared" si="23"/>
        <v/>
      </c>
      <c r="Y28" s="68" t="s">
        <v>15</v>
      </c>
      <c r="Z28" s="68" t="s">
        <v>14</v>
      </c>
      <c r="AA28" s="68" t="s">
        <v>13</v>
      </c>
      <c r="AB28" s="68" t="s">
        <v>28</v>
      </c>
      <c r="AC28" s="68" t="s">
        <v>32</v>
      </c>
      <c r="AD28" s="68" t="s">
        <v>31</v>
      </c>
      <c r="AE28" s="68" t="s">
        <v>184</v>
      </c>
      <c r="AF28" s="68" t="s">
        <v>185</v>
      </c>
      <c r="AG28">
        <f t="shared" si="24"/>
        <v>1</v>
      </c>
      <c r="AH28">
        <f t="shared" si="8"/>
        <v>1</v>
      </c>
      <c r="AI28">
        <f t="shared" si="9"/>
        <v>0</v>
      </c>
      <c r="AJ28">
        <f t="shared" si="10"/>
        <v>1</v>
      </c>
      <c r="AK28">
        <f t="shared" si="11"/>
        <v>0</v>
      </c>
      <c r="AL28">
        <f t="shared" si="12"/>
        <v>1</v>
      </c>
      <c r="AM28">
        <f t="shared" si="13"/>
        <v>1</v>
      </c>
      <c r="AN28">
        <f t="shared" si="14"/>
        <v>0</v>
      </c>
      <c r="AO28" s="69" t="str">
        <f t="shared" si="15"/>
        <v>Costa de Marfil</v>
      </c>
      <c r="AP28" s="69" t="str">
        <f t="shared" si="16"/>
        <v>Irán</v>
      </c>
      <c r="AQ28" s="69" t="e">
        <f t="shared" si="17"/>
        <v>#N/A</v>
      </c>
      <c r="AR28" s="69" t="str">
        <f t="shared" si="18"/>
        <v>Paraguay</v>
      </c>
      <c r="AS28" s="69" t="e">
        <f t="shared" si="19"/>
        <v>#N/A</v>
      </c>
      <c r="AT28" s="69" t="str">
        <f t="shared" si="20"/>
        <v>Suecia</v>
      </c>
      <c r="AU28" s="69" t="str">
        <f t="shared" si="21"/>
        <v>Senegal</v>
      </c>
      <c r="AV28" s="69" t="e">
        <f t="shared" si="22"/>
        <v>#N/A</v>
      </c>
    </row>
    <row r="29" spans="1:48" x14ac:dyDescent="0.2">
      <c r="A29" s="253">
        <f t="shared" si="25"/>
        <v>9</v>
      </c>
      <c r="B29" s="254" t="str">
        <v>L</v>
      </c>
      <c r="C29" s="255" t="str">
        <v>Ghana</v>
      </c>
      <c r="D29" s="253">
        <v>0</v>
      </c>
      <c r="E29" s="254">
        <v>3</v>
      </c>
      <c r="F29" s="254">
        <v>1</v>
      </c>
      <c r="G29" s="254">
        <v>0</v>
      </c>
      <c r="H29" s="254">
        <v>2</v>
      </c>
      <c r="I29" s="254">
        <v>2</v>
      </c>
      <c r="J29" s="254">
        <v>4</v>
      </c>
      <c r="K29" s="254">
        <v>-2</v>
      </c>
      <c r="L29" s="254">
        <v>3</v>
      </c>
      <c r="M29" s="336">
        <v>0</v>
      </c>
      <c r="N29" s="336">
        <v>0</v>
      </c>
      <c r="O29" s="336">
        <v>0</v>
      </c>
      <c r="P29" s="336">
        <v>0</v>
      </c>
      <c r="Q29" s="336">
        <v>0</v>
      </c>
      <c r="R29" s="336">
        <v>0</v>
      </c>
      <c r="S29" s="53">
        <v>29802000</v>
      </c>
      <c r="X29" s="64" t="str">
        <f t="shared" si="23"/>
        <v/>
      </c>
      <c r="Y29" s="68" t="s">
        <v>32</v>
      </c>
      <c r="Z29" s="68" t="s">
        <v>14</v>
      </c>
      <c r="AA29" s="68" t="s">
        <v>184</v>
      </c>
      <c r="AB29" s="68" t="s">
        <v>27</v>
      </c>
      <c r="AC29" s="68" t="s">
        <v>13</v>
      </c>
      <c r="AD29" s="68" t="s">
        <v>31</v>
      </c>
      <c r="AE29" s="68" t="s">
        <v>186</v>
      </c>
      <c r="AF29" s="68" t="s">
        <v>185</v>
      </c>
      <c r="AG29">
        <f t="shared" si="24"/>
        <v>0</v>
      </c>
      <c r="AH29">
        <f t="shared" si="8"/>
        <v>1</v>
      </c>
      <c r="AI29">
        <f t="shared" si="9"/>
        <v>1</v>
      </c>
      <c r="AJ29">
        <f t="shared" si="10"/>
        <v>1</v>
      </c>
      <c r="AK29">
        <f t="shared" si="11"/>
        <v>0</v>
      </c>
      <c r="AL29">
        <f t="shared" si="12"/>
        <v>1</v>
      </c>
      <c r="AM29">
        <f t="shared" si="13"/>
        <v>0</v>
      </c>
      <c r="AN29">
        <f t="shared" si="14"/>
        <v>0</v>
      </c>
      <c r="AO29" s="69" t="e">
        <f t="shared" si="15"/>
        <v>#N/A</v>
      </c>
      <c r="AP29" s="69" t="str">
        <f t="shared" si="16"/>
        <v>Irán</v>
      </c>
      <c r="AQ29" s="69" t="str">
        <f t="shared" si="17"/>
        <v>Senegal</v>
      </c>
      <c r="AR29" s="69" t="str">
        <f t="shared" si="18"/>
        <v>Marruecos</v>
      </c>
      <c r="AS29" s="69" t="e">
        <f t="shared" si="19"/>
        <v>#N/A</v>
      </c>
      <c r="AT29" s="69" t="str">
        <f t="shared" si="20"/>
        <v>Suecia</v>
      </c>
      <c r="AU29" s="69" t="e">
        <f t="shared" si="21"/>
        <v>#N/A</v>
      </c>
      <c r="AV29" s="69" t="e">
        <f t="shared" si="22"/>
        <v>#N/A</v>
      </c>
    </row>
    <row r="30" spans="1:48" x14ac:dyDescent="0.2">
      <c r="A30" s="253">
        <f t="shared" si="25"/>
        <v>10</v>
      </c>
      <c r="B30" s="254" t="str">
        <v>K</v>
      </c>
      <c r="C30" s="255" t="str">
        <v>RD Congo</v>
      </c>
      <c r="D30" s="253">
        <v>0</v>
      </c>
      <c r="E30" s="254">
        <v>3</v>
      </c>
      <c r="F30" s="254">
        <v>1</v>
      </c>
      <c r="G30" s="254">
        <v>0</v>
      </c>
      <c r="H30" s="254">
        <v>2</v>
      </c>
      <c r="I30" s="254">
        <v>1</v>
      </c>
      <c r="J30" s="254">
        <v>6</v>
      </c>
      <c r="K30" s="254">
        <v>-5</v>
      </c>
      <c r="L30" s="254">
        <v>3</v>
      </c>
      <c r="M30" s="336">
        <v>0</v>
      </c>
      <c r="N30" s="336">
        <v>0</v>
      </c>
      <c r="O30" s="336">
        <v>0</v>
      </c>
      <c r="P30" s="336">
        <v>0</v>
      </c>
      <c r="Q30" s="336">
        <v>0</v>
      </c>
      <c r="R30" s="336">
        <v>0</v>
      </c>
      <c r="S30" s="53">
        <v>29501000</v>
      </c>
      <c r="X30" s="64" t="str">
        <f t="shared" si="23"/>
        <v/>
      </c>
      <c r="Y30" s="68" t="s">
        <v>15</v>
      </c>
      <c r="Z30" s="68" t="s">
        <v>13</v>
      </c>
      <c r="AA30" s="68" t="s">
        <v>184</v>
      </c>
      <c r="AB30" s="68" t="s">
        <v>27</v>
      </c>
      <c r="AC30" s="68" t="s">
        <v>32</v>
      </c>
      <c r="AD30" s="68" t="s">
        <v>14</v>
      </c>
      <c r="AE30" s="68" t="s">
        <v>186</v>
      </c>
      <c r="AF30" s="68" t="s">
        <v>185</v>
      </c>
      <c r="AG30">
        <f t="shared" si="24"/>
        <v>1</v>
      </c>
      <c r="AH30">
        <f t="shared" si="8"/>
        <v>0</v>
      </c>
      <c r="AI30">
        <f t="shared" si="9"/>
        <v>1</v>
      </c>
      <c r="AJ30">
        <f t="shared" si="10"/>
        <v>1</v>
      </c>
      <c r="AK30">
        <f t="shared" si="11"/>
        <v>0</v>
      </c>
      <c r="AL30">
        <f t="shared" si="12"/>
        <v>1</v>
      </c>
      <c r="AM30">
        <f t="shared" si="13"/>
        <v>0</v>
      </c>
      <c r="AN30">
        <f t="shared" si="14"/>
        <v>0</v>
      </c>
      <c r="AO30" s="69" t="str">
        <f t="shared" si="15"/>
        <v>Costa de Marfil</v>
      </c>
      <c r="AP30" s="69" t="e">
        <f t="shared" si="16"/>
        <v>#N/A</v>
      </c>
      <c r="AQ30" s="69" t="str">
        <f t="shared" si="17"/>
        <v>Senegal</v>
      </c>
      <c r="AR30" s="69" t="str">
        <f t="shared" si="18"/>
        <v>Marruecos</v>
      </c>
      <c r="AS30" s="69" t="e">
        <f t="shared" si="19"/>
        <v>#N/A</v>
      </c>
      <c r="AT30" s="69" t="str">
        <f t="shared" si="20"/>
        <v>Irán</v>
      </c>
      <c r="AU30" s="69" t="e">
        <f t="shared" si="21"/>
        <v>#N/A</v>
      </c>
      <c r="AV30" s="69" t="e">
        <f t="shared" si="22"/>
        <v>#N/A</v>
      </c>
    </row>
    <row r="31" spans="1:48" x14ac:dyDescent="0.2">
      <c r="A31" s="253">
        <f t="shared" si="25"/>
        <v>11</v>
      </c>
      <c r="B31" s="254" t="str">
        <v>H</v>
      </c>
      <c r="C31" s="255" t="str">
        <v>Cabo Verde</v>
      </c>
      <c r="D31" s="253">
        <v>0</v>
      </c>
      <c r="E31" s="254">
        <v>3</v>
      </c>
      <c r="F31" s="254">
        <v>1</v>
      </c>
      <c r="G31" s="254">
        <v>0</v>
      </c>
      <c r="H31" s="254">
        <v>2</v>
      </c>
      <c r="I31" s="254">
        <v>2</v>
      </c>
      <c r="J31" s="254">
        <v>8</v>
      </c>
      <c r="K31" s="254">
        <v>-6</v>
      </c>
      <c r="L31" s="254">
        <v>3</v>
      </c>
      <c r="M31" s="336">
        <v>0</v>
      </c>
      <c r="N31" s="336">
        <v>0</v>
      </c>
      <c r="O31" s="336">
        <v>0</v>
      </c>
      <c r="P31" s="336">
        <v>0</v>
      </c>
      <c r="Q31" s="336">
        <v>0</v>
      </c>
      <c r="R31" s="336">
        <v>0</v>
      </c>
      <c r="S31" s="53">
        <v>29402000</v>
      </c>
      <c r="X31" s="64" t="str">
        <f t="shared" si="23"/>
        <v/>
      </c>
      <c r="Y31" s="68" t="s">
        <v>15</v>
      </c>
      <c r="Z31" s="68" t="s">
        <v>13</v>
      </c>
      <c r="AA31" s="68" t="s">
        <v>184</v>
      </c>
      <c r="AB31" s="68" t="s">
        <v>27</v>
      </c>
      <c r="AC31" s="68" t="s">
        <v>32</v>
      </c>
      <c r="AD31" s="68" t="s">
        <v>31</v>
      </c>
      <c r="AE31" s="68" t="s">
        <v>186</v>
      </c>
      <c r="AF31" s="68" t="s">
        <v>185</v>
      </c>
      <c r="AG31">
        <f t="shared" si="24"/>
        <v>1</v>
      </c>
      <c r="AH31">
        <f t="shared" si="8"/>
        <v>0</v>
      </c>
      <c r="AI31">
        <f t="shared" si="9"/>
        <v>1</v>
      </c>
      <c r="AJ31">
        <f t="shared" si="10"/>
        <v>1</v>
      </c>
      <c r="AK31">
        <f t="shared" si="11"/>
        <v>0</v>
      </c>
      <c r="AL31">
        <f t="shared" si="12"/>
        <v>1</v>
      </c>
      <c r="AM31">
        <f t="shared" si="13"/>
        <v>0</v>
      </c>
      <c r="AN31">
        <f t="shared" si="14"/>
        <v>0</v>
      </c>
      <c r="AO31" s="69" t="str">
        <f t="shared" si="15"/>
        <v>Costa de Marfil</v>
      </c>
      <c r="AP31" s="69" t="e">
        <f t="shared" si="16"/>
        <v>#N/A</v>
      </c>
      <c r="AQ31" s="69" t="str">
        <f t="shared" si="17"/>
        <v>Senegal</v>
      </c>
      <c r="AR31" s="69" t="str">
        <f t="shared" si="18"/>
        <v>Marruecos</v>
      </c>
      <c r="AS31" s="69" t="e">
        <f t="shared" si="19"/>
        <v>#N/A</v>
      </c>
      <c r="AT31" s="69" t="str">
        <f t="shared" si="20"/>
        <v>Suecia</v>
      </c>
      <c r="AU31" s="69" t="e">
        <f t="shared" si="21"/>
        <v>#N/A</v>
      </c>
      <c r="AV31" s="69" t="e">
        <f t="shared" si="22"/>
        <v>#N/A</v>
      </c>
    </row>
    <row r="32" spans="1:48" x14ac:dyDescent="0.2">
      <c r="A32" s="253">
        <f t="shared" si="25"/>
        <v>12</v>
      </c>
      <c r="B32" s="254" t="str">
        <v>J</v>
      </c>
      <c r="C32" s="255" t="str">
        <v>Jordania</v>
      </c>
      <c r="D32" s="253">
        <v>0</v>
      </c>
      <c r="E32" s="254">
        <v>3</v>
      </c>
      <c r="F32" s="254">
        <v>0</v>
      </c>
      <c r="G32" s="254">
        <v>1</v>
      </c>
      <c r="H32" s="254">
        <v>2</v>
      </c>
      <c r="I32" s="254">
        <v>3</v>
      </c>
      <c r="J32" s="254">
        <v>6</v>
      </c>
      <c r="K32" s="254">
        <v>-3</v>
      </c>
      <c r="L32" s="254">
        <v>1</v>
      </c>
      <c r="M32" s="336">
        <v>0</v>
      </c>
      <c r="N32" s="336">
        <v>0</v>
      </c>
      <c r="O32" s="336">
        <v>0</v>
      </c>
      <c r="P32" s="336">
        <v>0</v>
      </c>
      <c r="Q32" s="336">
        <v>0</v>
      </c>
      <c r="R32" s="336">
        <v>0</v>
      </c>
      <c r="S32" s="54">
        <v>9703000</v>
      </c>
      <c r="X32" s="64" t="str">
        <f t="shared" si="23"/>
        <v/>
      </c>
      <c r="Y32" s="68" t="s">
        <v>15</v>
      </c>
      <c r="Z32" s="68" t="s">
        <v>14</v>
      </c>
      <c r="AA32" s="68" t="s">
        <v>184</v>
      </c>
      <c r="AB32" s="68" t="s">
        <v>27</v>
      </c>
      <c r="AC32" s="68" t="s">
        <v>13</v>
      </c>
      <c r="AD32" s="68" t="s">
        <v>31</v>
      </c>
      <c r="AE32" s="68" t="s">
        <v>186</v>
      </c>
      <c r="AF32" s="68" t="s">
        <v>185</v>
      </c>
      <c r="AG32">
        <f t="shared" si="24"/>
        <v>1</v>
      </c>
      <c r="AH32">
        <f t="shared" si="8"/>
        <v>1</v>
      </c>
      <c r="AI32">
        <f t="shared" si="9"/>
        <v>1</v>
      </c>
      <c r="AJ32">
        <f t="shared" si="10"/>
        <v>1</v>
      </c>
      <c r="AK32">
        <f t="shared" si="11"/>
        <v>0</v>
      </c>
      <c r="AL32">
        <f t="shared" si="12"/>
        <v>1</v>
      </c>
      <c r="AM32">
        <f t="shared" si="13"/>
        <v>0</v>
      </c>
      <c r="AN32">
        <f t="shared" si="14"/>
        <v>0</v>
      </c>
      <c r="AO32" s="69" t="str">
        <f t="shared" si="15"/>
        <v>Costa de Marfil</v>
      </c>
      <c r="AP32" s="69" t="str">
        <f t="shared" si="16"/>
        <v>Irán</v>
      </c>
      <c r="AQ32" s="69" t="str">
        <f t="shared" si="17"/>
        <v>Senegal</v>
      </c>
      <c r="AR32" s="69" t="str">
        <f t="shared" si="18"/>
        <v>Marruecos</v>
      </c>
      <c r="AS32" s="69" t="e">
        <f t="shared" si="19"/>
        <v>#N/A</v>
      </c>
      <c r="AT32" s="69" t="str">
        <f t="shared" si="20"/>
        <v>Suecia</v>
      </c>
      <c r="AU32" s="69" t="e">
        <f t="shared" si="21"/>
        <v>#N/A</v>
      </c>
      <c r="AV32" s="69" t="e">
        <f t="shared" si="22"/>
        <v>#N/A</v>
      </c>
    </row>
    <row r="33" spans="3:48" x14ac:dyDescent="0.2">
      <c r="X33" s="64" t="str">
        <f t="shared" si="23"/>
        <v/>
      </c>
      <c r="Y33" s="68" t="s">
        <v>15</v>
      </c>
      <c r="Z33" s="68" t="s">
        <v>14</v>
      </c>
      <c r="AA33" s="68" t="s">
        <v>13</v>
      </c>
      <c r="AB33" s="68" t="s">
        <v>27</v>
      </c>
      <c r="AC33" s="68" t="s">
        <v>32</v>
      </c>
      <c r="AD33" s="68" t="s">
        <v>31</v>
      </c>
      <c r="AE33" s="68" t="s">
        <v>186</v>
      </c>
      <c r="AF33" s="68" t="s">
        <v>185</v>
      </c>
      <c r="AG33">
        <f t="shared" si="24"/>
        <v>1</v>
      </c>
      <c r="AH33">
        <f t="shared" si="8"/>
        <v>1</v>
      </c>
      <c r="AI33">
        <f t="shared" si="9"/>
        <v>0</v>
      </c>
      <c r="AJ33">
        <f t="shared" si="10"/>
        <v>1</v>
      </c>
      <c r="AK33">
        <f t="shared" si="11"/>
        <v>0</v>
      </c>
      <c r="AL33">
        <f t="shared" si="12"/>
        <v>1</v>
      </c>
      <c r="AM33">
        <f t="shared" si="13"/>
        <v>0</v>
      </c>
      <c r="AN33">
        <f t="shared" si="14"/>
        <v>0</v>
      </c>
      <c r="AO33" s="69" t="str">
        <f t="shared" si="15"/>
        <v>Costa de Marfil</v>
      </c>
      <c r="AP33" s="69" t="str">
        <f t="shared" si="16"/>
        <v>Irán</v>
      </c>
      <c r="AQ33" s="69" t="e">
        <f t="shared" si="17"/>
        <v>#N/A</v>
      </c>
      <c r="AR33" s="69" t="str">
        <f t="shared" si="18"/>
        <v>Marruecos</v>
      </c>
      <c r="AS33" s="69" t="e">
        <f t="shared" si="19"/>
        <v>#N/A</v>
      </c>
      <c r="AT33" s="69" t="str">
        <f t="shared" si="20"/>
        <v>Suecia</v>
      </c>
      <c r="AU33" s="69" t="e">
        <f t="shared" si="21"/>
        <v>#N/A</v>
      </c>
      <c r="AV33" s="69" t="e">
        <f t="shared" si="22"/>
        <v>#N/A</v>
      </c>
    </row>
    <row r="34" spans="3:48" x14ac:dyDescent="0.2">
      <c r="X34" s="64" t="str">
        <f t="shared" si="23"/>
        <v/>
      </c>
      <c r="Y34" s="68" t="s">
        <v>15</v>
      </c>
      <c r="Z34" s="68" t="s">
        <v>14</v>
      </c>
      <c r="AA34" s="68" t="s">
        <v>184</v>
      </c>
      <c r="AB34" s="68" t="s">
        <v>27</v>
      </c>
      <c r="AC34" s="68" t="s">
        <v>32</v>
      </c>
      <c r="AD34" s="68" t="s">
        <v>31</v>
      </c>
      <c r="AE34" s="68" t="s">
        <v>186</v>
      </c>
      <c r="AF34" s="68" t="s">
        <v>185</v>
      </c>
      <c r="AG34">
        <f t="shared" si="24"/>
        <v>1</v>
      </c>
      <c r="AH34">
        <f t="shared" si="8"/>
        <v>1</v>
      </c>
      <c r="AI34">
        <f t="shared" si="9"/>
        <v>1</v>
      </c>
      <c r="AJ34">
        <f t="shared" si="10"/>
        <v>1</v>
      </c>
      <c r="AK34">
        <f t="shared" si="11"/>
        <v>0</v>
      </c>
      <c r="AL34">
        <f t="shared" si="12"/>
        <v>1</v>
      </c>
      <c r="AM34">
        <f t="shared" si="13"/>
        <v>0</v>
      </c>
      <c r="AN34">
        <f t="shared" si="14"/>
        <v>0</v>
      </c>
      <c r="AO34" s="69" t="str">
        <f t="shared" si="15"/>
        <v>Costa de Marfil</v>
      </c>
      <c r="AP34" s="69" t="str">
        <f t="shared" si="16"/>
        <v>Irán</v>
      </c>
      <c r="AQ34" s="69" t="str">
        <f t="shared" si="17"/>
        <v>Senegal</v>
      </c>
      <c r="AR34" s="69" t="str">
        <f t="shared" si="18"/>
        <v>Marruecos</v>
      </c>
      <c r="AS34" s="69" t="e">
        <f t="shared" si="19"/>
        <v>#N/A</v>
      </c>
      <c r="AT34" s="69" t="str">
        <f t="shared" si="20"/>
        <v>Suecia</v>
      </c>
      <c r="AU34" s="69" t="e">
        <f t="shared" si="21"/>
        <v>#N/A</v>
      </c>
      <c r="AV34" s="69" t="e">
        <f t="shared" si="22"/>
        <v>#N/A</v>
      </c>
    </row>
    <row r="35" spans="3:48" x14ac:dyDescent="0.2">
      <c r="C35" s="335"/>
      <c r="M35" s="336"/>
      <c r="N35" s="336"/>
      <c r="O35" s="336"/>
      <c r="P35" s="336"/>
      <c r="Q35" s="336"/>
      <c r="R35" s="336"/>
      <c r="X35" s="64" t="str">
        <f t="shared" si="23"/>
        <v/>
      </c>
      <c r="Y35" s="68" t="s">
        <v>15</v>
      </c>
      <c r="Z35" s="68" t="s">
        <v>14</v>
      </c>
      <c r="AA35" s="68" t="s">
        <v>13</v>
      </c>
      <c r="AB35" s="68" t="s">
        <v>27</v>
      </c>
      <c r="AC35" s="68" t="s">
        <v>32</v>
      </c>
      <c r="AD35" s="68" t="s">
        <v>31</v>
      </c>
      <c r="AE35" s="68" t="s">
        <v>186</v>
      </c>
      <c r="AF35" s="68" t="s">
        <v>184</v>
      </c>
      <c r="AG35">
        <f t="shared" si="24"/>
        <v>1</v>
      </c>
      <c r="AH35">
        <f t="shared" si="8"/>
        <v>1</v>
      </c>
      <c r="AI35">
        <f t="shared" si="9"/>
        <v>0</v>
      </c>
      <c r="AJ35">
        <f t="shared" si="10"/>
        <v>1</v>
      </c>
      <c r="AK35">
        <f t="shared" si="11"/>
        <v>0</v>
      </c>
      <c r="AL35">
        <f t="shared" si="12"/>
        <v>1</v>
      </c>
      <c r="AM35">
        <f t="shared" si="13"/>
        <v>0</v>
      </c>
      <c r="AN35">
        <f t="shared" si="14"/>
        <v>1</v>
      </c>
      <c r="AO35" s="69" t="str">
        <f t="shared" si="15"/>
        <v>Costa de Marfil</v>
      </c>
      <c r="AP35" s="69" t="str">
        <f t="shared" si="16"/>
        <v>Irán</v>
      </c>
      <c r="AQ35" s="69" t="e">
        <f t="shared" si="17"/>
        <v>#N/A</v>
      </c>
      <c r="AR35" s="69" t="str">
        <f t="shared" si="18"/>
        <v>Marruecos</v>
      </c>
      <c r="AS35" s="69" t="e">
        <f t="shared" si="19"/>
        <v>#N/A</v>
      </c>
      <c r="AT35" s="69" t="str">
        <f t="shared" si="20"/>
        <v>Suecia</v>
      </c>
      <c r="AU35" s="69" t="e">
        <f t="shared" si="21"/>
        <v>#N/A</v>
      </c>
      <c r="AV35" s="69" t="str">
        <f t="shared" si="22"/>
        <v>Senegal</v>
      </c>
    </row>
    <row r="36" spans="3:48" x14ac:dyDescent="0.2">
      <c r="C36" s="335"/>
      <c r="M36" s="336"/>
      <c r="N36" s="336"/>
      <c r="O36" s="336"/>
      <c r="P36" s="336"/>
      <c r="Q36" s="336"/>
      <c r="R36" s="336"/>
      <c r="X36" s="64" t="str">
        <f t="shared" si="23"/>
        <v/>
      </c>
      <c r="Y36" s="68" t="s">
        <v>15</v>
      </c>
      <c r="Z36" s="68" t="s">
        <v>14</v>
      </c>
      <c r="AA36" s="68" t="s">
        <v>13</v>
      </c>
      <c r="AB36" s="68" t="s">
        <v>27</v>
      </c>
      <c r="AC36" s="68" t="s">
        <v>32</v>
      </c>
      <c r="AD36" s="68" t="s">
        <v>31</v>
      </c>
      <c r="AE36" s="68" t="s">
        <v>184</v>
      </c>
      <c r="AF36" s="68" t="s">
        <v>185</v>
      </c>
      <c r="AG36">
        <f t="shared" si="24"/>
        <v>1</v>
      </c>
      <c r="AH36">
        <f t="shared" si="8"/>
        <v>1</v>
      </c>
      <c r="AI36">
        <f t="shared" si="9"/>
        <v>0</v>
      </c>
      <c r="AJ36">
        <f t="shared" si="10"/>
        <v>1</v>
      </c>
      <c r="AK36">
        <f t="shared" si="11"/>
        <v>0</v>
      </c>
      <c r="AL36">
        <f t="shared" si="12"/>
        <v>1</v>
      </c>
      <c r="AM36">
        <f t="shared" si="13"/>
        <v>1</v>
      </c>
      <c r="AN36">
        <f t="shared" si="14"/>
        <v>0</v>
      </c>
      <c r="AO36" s="69" t="str">
        <f t="shared" si="15"/>
        <v>Costa de Marfil</v>
      </c>
      <c r="AP36" s="69" t="str">
        <f t="shared" si="16"/>
        <v>Irán</v>
      </c>
      <c r="AQ36" s="69" t="e">
        <f t="shared" si="17"/>
        <v>#N/A</v>
      </c>
      <c r="AR36" s="69" t="str">
        <f t="shared" si="18"/>
        <v>Marruecos</v>
      </c>
      <c r="AS36" s="69" t="e">
        <f t="shared" si="19"/>
        <v>#N/A</v>
      </c>
      <c r="AT36" s="69" t="str">
        <f t="shared" si="20"/>
        <v>Suecia</v>
      </c>
      <c r="AU36" s="69" t="str">
        <f t="shared" si="21"/>
        <v>Senegal</v>
      </c>
      <c r="AV36" s="69" t="e">
        <f t="shared" si="22"/>
        <v>#N/A</v>
      </c>
    </row>
    <row r="37" spans="3:48" x14ac:dyDescent="0.2">
      <c r="C37" s="335"/>
      <c r="M37" s="336"/>
      <c r="N37" s="336"/>
      <c r="O37" s="336"/>
      <c r="P37" s="336"/>
      <c r="Q37" s="336"/>
      <c r="R37" s="336"/>
      <c r="X37" s="64" t="str">
        <f t="shared" si="23"/>
        <v/>
      </c>
      <c r="Y37" s="68" t="s">
        <v>32</v>
      </c>
      <c r="Z37" s="68" t="s">
        <v>14</v>
      </c>
      <c r="AA37" s="68" t="s">
        <v>184</v>
      </c>
      <c r="AB37" s="68" t="s">
        <v>27</v>
      </c>
      <c r="AC37" s="68" t="s">
        <v>13</v>
      </c>
      <c r="AD37" s="68" t="s">
        <v>28</v>
      </c>
      <c r="AE37" s="68" t="s">
        <v>186</v>
      </c>
      <c r="AF37" s="68" t="s">
        <v>185</v>
      </c>
      <c r="AG37">
        <f t="shared" si="24"/>
        <v>0</v>
      </c>
      <c r="AH37">
        <f t="shared" si="8"/>
        <v>1</v>
      </c>
      <c r="AI37">
        <f t="shared" si="9"/>
        <v>1</v>
      </c>
      <c r="AJ37">
        <f t="shared" si="10"/>
        <v>1</v>
      </c>
      <c r="AK37">
        <f t="shared" si="11"/>
        <v>0</v>
      </c>
      <c r="AL37">
        <f t="shared" si="12"/>
        <v>1</v>
      </c>
      <c r="AM37">
        <f t="shared" si="13"/>
        <v>0</v>
      </c>
      <c r="AN37">
        <f t="shared" si="14"/>
        <v>0</v>
      </c>
      <c r="AO37" s="69" t="e">
        <f t="shared" si="15"/>
        <v>#N/A</v>
      </c>
      <c r="AP37" s="69" t="str">
        <f t="shared" si="16"/>
        <v>Irán</v>
      </c>
      <c r="AQ37" s="69" t="str">
        <f t="shared" si="17"/>
        <v>Senegal</v>
      </c>
      <c r="AR37" s="69" t="str">
        <f t="shared" si="18"/>
        <v>Marruecos</v>
      </c>
      <c r="AS37" s="69" t="e">
        <f t="shared" si="19"/>
        <v>#N/A</v>
      </c>
      <c r="AT37" s="69" t="str">
        <f t="shared" si="20"/>
        <v>Paraguay</v>
      </c>
      <c r="AU37" s="69" t="e">
        <f t="shared" si="21"/>
        <v>#N/A</v>
      </c>
      <c r="AV37" s="69" t="e">
        <f t="shared" si="22"/>
        <v>#N/A</v>
      </c>
    </row>
    <row r="38" spans="3:48" x14ac:dyDescent="0.2">
      <c r="C38" s="335"/>
      <c r="M38" s="336"/>
      <c r="N38" s="336"/>
      <c r="O38" s="336"/>
      <c r="P38" s="336"/>
      <c r="Q38" s="336"/>
      <c r="R38" s="336"/>
      <c r="X38" s="64" t="str">
        <f t="shared" si="23"/>
        <v/>
      </c>
      <c r="Y38" s="68" t="s">
        <v>27</v>
      </c>
      <c r="Z38" s="68" t="s">
        <v>13</v>
      </c>
      <c r="AA38" s="68" t="s">
        <v>184</v>
      </c>
      <c r="AB38" s="68" t="s">
        <v>28</v>
      </c>
      <c r="AC38" s="68" t="s">
        <v>32</v>
      </c>
      <c r="AD38" s="68" t="s">
        <v>31</v>
      </c>
      <c r="AE38" s="68" t="s">
        <v>186</v>
      </c>
      <c r="AF38" s="68" t="s">
        <v>185</v>
      </c>
      <c r="AG38">
        <f t="shared" si="24"/>
        <v>1</v>
      </c>
      <c r="AH38">
        <f t="shared" si="8"/>
        <v>0</v>
      </c>
      <c r="AI38">
        <f t="shared" si="9"/>
        <v>1</v>
      </c>
      <c r="AJ38">
        <f t="shared" si="10"/>
        <v>1</v>
      </c>
      <c r="AK38">
        <f t="shared" si="11"/>
        <v>0</v>
      </c>
      <c r="AL38">
        <f t="shared" si="12"/>
        <v>1</v>
      </c>
      <c r="AM38">
        <f t="shared" si="13"/>
        <v>0</v>
      </c>
      <c r="AN38">
        <f t="shared" si="14"/>
        <v>0</v>
      </c>
      <c r="AO38" s="69" t="str">
        <f t="shared" si="15"/>
        <v>Marruecos</v>
      </c>
      <c r="AP38" s="69" t="e">
        <f t="shared" si="16"/>
        <v>#N/A</v>
      </c>
      <c r="AQ38" s="69" t="str">
        <f t="shared" si="17"/>
        <v>Senegal</v>
      </c>
      <c r="AR38" s="69" t="str">
        <f t="shared" si="18"/>
        <v>Paraguay</v>
      </c>
      <c r="AS38" s="69" t="e">
        <f t="shared" si="19"/>
        <v>#N/A</v>
      </c>
      <c r="AT38" s="69" t="str">
        <f t="shared" si="20"/>
        <v>Suecia</v>
      </c>
      <c r="AU38" s="69" t="e">
        <f t="shared" si="21"/>
        <v>#N/A</v>
      </c>
      <c r="AV38" s="69" t="e">
        <f t="shared" si="22"/>
        <v>#N/A</v>
      </c>
    </row>
    <row r="39" spans="3:48" x14ac:dyDescent="0.2">
      <c r="C39" s="335"/>
      <c r="M39" s="336"/>
      <c r="N39" s="336"/>
      <c r="O39" s="336"/>
      <c r="P39" s="336"/>
      <c r="Q39" s="336"/>
      <c r="R39" s="336"/>
      <c r="X39" s="64" t="str">
        <f t="shared" si="23"/>
        <v/>
      </c>
      <c r="Y39" s="68" t="s">
        <v>27</v>
      </c>
      <c r="Z39" s="68" t="s">
        <v>14</v>
      </c>
      <c r="AA39" s="68" t="s">
        <v>184</v>
      </c>
      <c r="AB39" s="68" t="s">
        <v>28</v>
      </c>
      <c r="AC39" s="68" t="s">
        <v>13</v>
      </c>
      <c r="AD39" s="68" t="s">
        <v>31</v>
      </c>
      <c r="AE39" s="68" t="s">
        <v>186</v>
      </c>
      <c r="AF39" s="68" t="s">
        <v>185</v>
      </c>
      <c r="AG39">
        <f t="shared" si="24"/>
        <v>1</v>
      </c>
      <c r="AH39">
        <f t="shared" si="8"/>
        <v>1</v>
      </c>
      <c r="AI39">
        <f t="shared" si="9"/>
        <v>1</v>
      </c>
      <c r="AJ39">
        <f t="shared" si="10"/>
        <v>1</v>
      </c>
      <c r="AK39">
        <f t="shared" si="11"/>
        <v>0</v>
      </c>
      <c r="AL39">
        <f t="shared" si="12"/>
        <v>1</v>
      </c>
      <c r="AM39">
        <f t="shared" si="13"/>
        <v>0</v>
      </c>
      <c r="AN39">
        <f t="shared" si="14"/>
        <v>0</v>
      </c>
      <c r="AO39" s="69" t="str">
        <f t="shared" si="15"/>
        <v>Marruecos</v>
      </c>
      <c r="AP39" s="69" t="str">
        <f t="shared" si="16"/>
        <v>Irán</v>
      </c>
      <c r="AQ39" s="69" t="str">
        <f t="shared" si="17"/>
        <v>Senegal</v>
      </c>
      <c r="AR39" s="69" t="str">
        <f t="shared" si="18"/>
        <v>Paraguay</v>
      </c>
      <c r="AS39" s="69" t="e">
        <f t="shared" si="19"/>
        <v>#N/A</v>
      </c>
      <c r="AT39" s="69" t="str">
        <f t="shared" si="20"/>
        <v>Suecia</v>
      </c>
      <c r="AU39" s="69" t="e">
        <f t="shared" si="21"/>
        <v>#N/A</v>
      </c>
      <c r="AV39" s="69" t="e">
        <f t="shared" si="22"/>
        <v>#N/A</v>
      </c>
    </row>
    <row r="40" spans="3:48" x14ac:dyDescent="0.2">
      <c r="C40" s="335"/>
      <c r="M40" s="336"/>
      <c r="N40" s="336"/>
      <c r="O40" s="336"/>
      <c r="P40" s="336"/>
      <c r="Q40" s="336"/>
      <c r="R40" s="336"/>
      <c r="X40" s="64" t="str">
        <f t="shared" si="23"/>
        <v/>
      </c>
      <c r="Y40" s="68" t="s">
        <v>27</v>
      </c>
      <c r="Z40" s="68" t="s">
        <v>14</v>
      </c>
      <c r="AA40" s="68" t="s">
        <v>13</v>
      </c>
      <c r="AB40" s="68" t="s">
        <v>28</v>
      </c>
      <c r="AC40" s="68" t="s">
        <v>32</v>
      </c>
      <c r="AD40" s="68" t="s">
        <v>31</v>
      </c>
      <c r="AE40" s="68" t="s">
        <v>186</v>
      </c>
      <c r="AF40" s="68" t="s">
        <v>185</v>
      </c>
      <c r="AG40">
        <f t="shared" si="24"/>
        <v>1</v>
      </c>
      <c r="AH40">
        <f t="shared" si="8"/>
        <v>1</v>
      </c>
      <c r="AI40">
        <f t="shared" si="9"/>
        <v>0</v>
      </c>
      <c r="AJ40">
        <f t="shared" si="10"/>
        <v>1</v>
      </c>
      <c r="AK40">
        <f t="shared" si="11"/>
        <v>0</v>
      </c>
      <c r="AL40">
        <f t="shared" si="12"/>
        <v>1</v>
      </c>
      <c r="AM40">
        <f t="shared" si="13"/>
        <v>0</v>
      </c>
      <c r="AN40">
        <f t="shared" si="14"/>
        <v>0</v>
      </c>
      <c r="AO40" s="69" t="str">
        <f t="shared" si="15"/>
        <v>Marruecos</v>
      </c>
      <c r="AP40" s="69" t="str">
        <f t="shared" si="16"/>
        <v>Irán</v>
      </c>
      <c r="AQ40" s="69" t="e">
        <f t="shared" si="17"/>
        <v>#N/A</v>
      </c>
      <c r="AR40" s="69" t="str">
        <f t="shared" si="18"/>
        <v>Paraguay</v>
      </c>
      <c r="AS40" s="69" t="e">
        <f t="shared" si="19"/>
        <v>#N/A</v>
      </c>
      <c r="AT40" s="69" t="str">
        <f t="shared" si="20"/>
        <v>Suecia</v>
      </c>
      <c r="AU40" s="69" t="e">
        <f t="shared" si="21"/>
        <v>#N/A</v>
      </c>
      <c r="AV40" s="69" t="e">
        <f t="shared" si="22"/>
        <v>#N/A</v>
      </c>
    </row>
    <row r="41" spans="3:48" x14ac:dyDescent="0.2">
      <c r="C41" s="335"/>
      <c r="M41" s="336"/>
      <c r="N41" s="336"/>
      <c r="O41" s="336"/>
      <c r="P41" s="336"/>
      <c r="Q41" s="336"/>
      <c r="R41" s="336"/>
      <c r="X41" s="64" t="str">
        <f t="shared" si="23"/>
        <v/>
      </c>
      <c r="Y41" s="68" t="s">
        <v>27</v>
      </c>
      <c r="Z41" s="68" t="s">
        <v>14</v>
      </c>
      <c r="AA41" s="68" t="s">
        <v>184</v>
      </c>
      <c r="AB41" s="68" t="s">
        <v>28</v>
      </c>
      <c r="AC41" s="68" t="s">
        <v>32</v>
      </c>
      <c r="AD41" s="68" t="s">
        <v>31</v>
      </c>
      <c r="AE41" s="68" t="s">
        <v>186</v>
      </c>
      <c r="AF41" s="68" t="s">
        <v>185</v>
      </c>
      <c r="AG41">
        <f t="shared" si="24"/>
        <v>1</v>
      </c>
      <c r="AH41">
        <f t="shared" si="8"/>
        <v>1</v>
      </c>
      <c r="AI41">
        <f t="shared" si="9"/>
        <v>1</v>
      </c>
      <c r="AJ41">
        <f t="shared" si="10"/>
        <v>1</v>
      </c>
      <c r="AK41">
        <f t="shared" si="11"/>
        <v>0</v>
      </c>
      <c r="AL41">
        <f t="shared" si="12"/>
        <v>1</v>
      </c>
      <c r="AM41">
        <f t="shared" si="13"/>
        <v>0</v>
      </c>
      <c r="AN41">
        <f t="shared" si="14"/>
        <v>0</v>
      </c>
      <c r="AO41" s="69" t="str">
        <f t="shared" si="15"/>
        <v>Marruecos</v>
      </c>
      <c r="AP41" s="69" t="str">
        <f t="shared" si="16"/>
        <v>Irán</v>
      </c>
      <c r="AQ41" s="69" t="str">
        <f t="shared" si="17"/>
        <v>Senegal</v>
      </c>
      <c r="AR41" s="69" t="str">
        <f t="shared" si="18"/>
        <v>Paraguay</v>
      </c>
      <c r="AS41" s="69" t="e">
        <f t="shared" si="19"/>
        <v>#N/A</v>
      </c>
      <c r="AT41" s="69" t="str">
        <f t="shared" si="20"/>
        <v>Suecia</v>
      </c>
      <c r="AU41" s="69" t="e">
        <f t="shared" si="21"/>
        <v>#N/A</v>
      </c>
      <c r="AV41" s="69" t="e">
        <f t="shared" si="22"/>
        <v>#N/A</v>
      </c>
    </row>
    <row r="42" spans="3:48" x14ac:dyDescent="0.2">
      <c r="C42" s="335"/>
      <c r="M42" s="336"/>
      <c r="N42" s="336"/>
      <c r="O42" s="336"/>
      <c r="P42" s="336"/>
      <c r="Q42" s="336"/>
      <c r="R42" s="336"/>
      <c r="X42" s="64" t="str">
        <f t="shared" si="23"/>
        <v/>
      </c>
      <c r="Y42" s="68" t="s">
        <v>27</v>
      </c>
      <c r="Z42" s="68" t="s">
        <v>14</v>
      </c>
      <c r="AA42" s="68" t="s">
        <v>13</v>
      </c>
      <c r="AB42" s="68" t="s">
        <v>28</v>
      </c>
      <c r="AC42" s="68" t="s">
        <v>32</v>
      </c>
      <c r="AD42" s="68" t="s">
        <v>31</v>
      </c>
      <c r="AE42" s="68" t="s">
        <v>186</v>
      </c>
      <c r="AF42" s="68" t="s">
        <v>184</v>
      </c>
      <c r="AG42">
        <f t="shared" si="24"/>
        <v>1</v>
      </c>
      <c r="AH42">
        <f t="shared" si="8"/>
        <v>1</v>
      </c>
      <c r="AI42">
        <f t="shared" si="9"/>
        <v>0</v>
      </c>
      <c r="AJ42">
        <f t="shared" si="10"/>
        <v>1</v>
      </c>
      <c r="AK42">
        <f t="shared" si="11"/>
        <v>0</v>
      </c>
      <c r="AL42">
        <f t="shared" si="12"/>
        <v>1</v>
      </c>
      <c r="AM42">
        <f t="shared" si="13"/>
        <v>0</v>
      </c>
      <c r="AN42">
        <f t="shared" si="14"/>
        <v>1</v>
      </c>
      <c r="AO42" s="69" t="str">
        <f t="shared" si="15"/>
        <v>Marruecos</v>
      </c>
      <c r="AP42" s="69" t="str">
        <f t="shared" si="16"/>
        <v>Irán</v>
      </c>
      <c r="AQ42" s="69" t="e">
        <f t="shared" si="17"/>
        <v>#N/A</v>
      </c>
      <c r="AR42" s="69" t="str">
        <f t="shared" si="18"/>
        <v>Paraguay</v>
      </c>
      <c r="AS42" s="69" t="e">
        <f t="shared" si="19"/>
        <v>#N/A</v>
      </c>
      <c r="AT42" s="69" t="str">
        <f t="shared" si="20"/>
        <v>Suecia</v>
      </c>
      <c r="AU42" s="69" t="e">
        <f t="shared" si="21"/>
        <v>#N/A</v>
      </c>
      <c r="AV42" s="69" t="str">
        <f t="shared" si="22"/>
        <v>Senegal</v>
      </c>
    </row>
    <row r="43" spans="3:48" x14ac:dyDescent="0.2">
      <c r="M43" s="336"/>
      <c r="N43" s="336"/>
      <c r="O43" s="336"/>
      <c r="P43" s="336"/>
      <c r="Q43" s="336"/>
      <c r="R43" s="336"/>
      <c r="X43" s="64" t="str">
        <f t="shared" si="23"/>
        <v/>
      </c>
      <c r="Y43" s="68" t="s">
        <v>27</v>
      </c>
      <c r="Z43" s="68" t="s">
        <v>14</v>
      </c>
      <c r="AA43" s="68" t="s">
        <v>13</v>
      </c>
      <c r="AB43" s="68" t="s">
        <v>28</v>
      </c>
      <c r="AC43" s="68" t="s">
        <v>32</v>
      </c>
      <c r="AD43" s="68" t="s">
        <v>31</v>
      </c>
      <c r="AE43" s="68" t="s">
        <v>184</v>
      </c>
      <c r="AF43" s="68" t="s">
        <v>185</v>
      </c>
      <c r="AG43">
        <f t="shared" si="24"/>
        <v>1</v>
      </c>
      <c r="AH43">
        <f t="shared" si="8"/>
        <v>1</v>
      </c>
      <c r="AI43">
        <f t="shared" si="9"/>
        <v>0</v>
      </c>
      <c r="AJ43">
        <f t="shared" si="10"/>
        <v>1</v>
      </c>
      <c r="AK43">
        <f t="shared" si="11"/>
        <v>0</v>
      </c>
      <c r="AL43">
        <f t="shared" si="12"/>
        <v>1</v>
      </c>
      <c r="AM43">
        <f t="shared" si="13"/>
        <v>1</v>
      </c>
      <c r="AN43">
        <f t="shared" si="14"/>
        <v>0</v>
      </c>
      <c r="AO43" s="69" t="str">
        <f t="shared" si="15"/>
        <v>Marruecos</v>
      </c>
      <c r="AP43" s="69" t="str">
        <f t="shared" si="16"/>
        <v>Irán</v>
      </c>
      <c r="AQ43" s="69" t="e">
        <f t="shared" si="17"/>
        <v>#N/A</v>
      </c>
      <c r="AR43" s="69" t="str">
        <f t="shared" si="18"/>
        <v>Paraguay</v>
      </c>
      <c r="AS43" s="69" t="e">
        <f t="shared" si="19"/>
        <v>#N/A</v>
      </c>
      <c r="AT43" s="69" t="str">
        <f t="shared" si="20"/>
        <v>Suecia</v>
      </c>
      <c r="AU43" s="69" t="str">
        <f t="shared" si="21"/>
        <v>Senegal</v>
      </c>
      <c r="AV43" s="69" t="e">
        <f t="shared" si="22"/>
        <v>#N/A</v>
      </c>
    </row>
    <row r="44" spans="3:48" x14ac:dyDescent="0.2">
      <c r="M44" s="336"/>
      <c r="N44" s="336"/>
      <c r="O44" s="336"/>
      <c r="P44" s="336"/>
      <c r="Q44" s="336"/>
      <c r="R44" s="336"/>
      <c r="X44" s="64" t="str">
        <f t="shared" si="23"/>
        <v/>
      </c>
      <c r="Y44" s="68" t="s">
        <v>15</v>
      </c>
      <c r="Z44" s="68" t="s">
        <v>13</v>
      </c>
      <c r="AA44" s="68" t="s">
        <v>184</v>
      </c>
      <c r="AB44" s="68" t="s">
        <v>27</v>
      </c>
      <c r="AC44" s="68" t="s">
        <v>32</v>
      </c>
      <c r="AD44" s="68" t="s">
        <v>28</v>
      </c>
      <c r="AE44" s="68" t="s">
        <v>186</v>
      </c>
      <c r="AF44" s="68" t="s">
        <v>185</v>
      </c>
      <c r="AG44">
        <f t="shared" si="24"/>
        <v>1</v>
      </c>
      <c r="AH44">
        <f t="shared" si="8"/>
        <v>0</v>
      </c>
      <c r="AI44">
        <f t="shared" si="9"/>
        <v>1</v>
      </c>
      <c r="AJ44">
        <f t="shared" si="10"/>
        <v>1</v>
      </c>
      <c r="AK44">
        <f t="shared" si="11"/>
        <v>0</v>
      </c>
      <c r="AL44">
        <f t="shared" si="12"/>
        <v>1</v>
      </c>
      <c r="AM44">
        <f t="shared" si="13"/>
        <v>0</v>
      </c>
      <c r="AN44">
        <f t="shared" si="14"/>
        <v>0</v>
      </c>
      <c r="AO44" s="69" t="str">
        <f t="shared" si="15"/>
        <v>Costa de Marfil</v>
      </c>
      <c r="AP44" s="69" t="e">
        <f t="shared" si="16"/>
        <v>#N/A</v>
      </c>
      <c r="AQ44" s="69" t="str">
        <f t="shared" si="17"/>
        <v>Senegal</v>
      </c>
      <c r="AR44" s="69" t="str">
        <f t="shared" si="18"/>
        <v>Marruecos</v>
      </c>
      <c r="AS44" s="69" t="e">
        <f t="shared" si="19"/>
        <v>#N/A</v>
      </c>
      <c r="AT44" s="69" t="str">
        <f t="shared" si="20"/>
        <v>Paraguay</v>
      </c>
      <c r="AU44" s="69" t="e">
        <f t="shared" si="21"/>
        <v>#N/A</v>
      </c>
      <c r="AV44" s="69" t="e">
        <f t="shared" si="22"/>
        <v>#N/A</v>
      </c>
    </row>
    <row r="45" spans="3:48" x14ac:dyDescent="0.2">
      <c r="M45" s="336"/>
      <c r="N45" s="336"/>
      <c r="O45" s="336"/>
      <c r="P45" s="336"/>
      <c r="Q45" s="336"/>
      <c r="R45" s="336"/>
      <c r="X45" s="64" t="str">
        <f t="shared" si="23"/>
        <v/>
      </c>
      <c r="Y45" s="68" t="s">
        <v>15</v>
      </c>
      <c r="Z45" s="68" t="s">
        <v>14</v>
      </c>
      <c r="AA45" s="68" t="s">
        <v>184</v>
      </c>
      <c r="AB45" s="68" t="s">
        <v>27</v>
      </c>
      <c r="AC45" s="68" t="s">
        <v>13</v>
      </c>
      <c r="AD45" s="68" t="s">
        <v>28</v>
      </c>
      <c r="AE45" s="68" t="s">
        <v>186</v>
      </c>
      <c r="AF45" s="68" t="s">
        <v>185</v>
      </c>
      <c r="AG45">
        <f t="shared" si="24"/>
        <v>1</v>
      </c>
      <c r="AH45">
        <f t="shared" si="8"/>
        <v>1</v>
      </c>
      <c r="AI45">
        <f t="shared" si="9"/>
        <v>1</v>
      </c>
      <c r="AJ45">
        <f t="shared" si="10"/>
        <v>1</v>
      </c>
      <c r="AK45">
        <f t="shared" si="11"/>
        <v>0</v>
      </c>
      <c r="AL45">
        <f t="shared" si="12"/>
        <v>1</v>
      </c>
      <c r="AM45">
        <f t="shared" si="13"/>
        <v>0</v>
      </c>
      <c r="AN45">
        <f t="shared" si="14"/>
        <v>0</v>
      </c>
      <c r="AO45" s="69" t="str">
        <f t="shared" si="15"/>
        <v>Costa de Marfil</v>
      </c>
      <c r="AP45" s="69" t="str">
        <f t="shared" si="16"/>
        <v>Irán</v>
      </c>
      <c r="AQ45" s="69" t="str">
        <f t="shared" si="17"/>
        <v>Senegal</v>
      </c>
      <c r="AR45" s="69" t="str">
        <f t="shared" si="18"/>
        <v>Marruecos</v>
      </c>
      <c r="AS45" s="69" t="e">
        <f t="shared" si="19"/>
        <v>#N/A</v>
      </c>
      <c r="AT45" s="69" t="str">
        <f t="shared" si="20"/>
        <v>Paraguay</v>
      </c>
      <c r="AU45" s="69" t="e">
        <f t="shared" si="21"/>
        <v>#N/A</v>
      </c>
      <c r="AV45" s="69" t="e">
        <f t="shared" si="22"/>
        <v>#N/A</v>
      </c>
    </row>
    <row r="46" spans="3:48" x14ac:dyDescent="0.2">
      <c r="M46" s="336"/>
      <c r="N46" s="336"/>
      <c r="O46" s="336"/>
      <c r="P46" s="336"/>
      <c r="Q46" s="336"/>
      <c r="R46" s="336"/>
      <c r="X46" s="64" t="str">
        <f t="shared" si="23"/>
        <v/>
      </c>
      <c r="Y46" s="68" t="s">
        <v>15</v>
      </c>
      <c r="Z46" s="68" t="s">
        <v>14</v>
      </c>
      <c r="AA46" s="68" t="s">
        <v>13</v>
      </c>
      <c r="AB46" s="68" t="s">
        <v>27</v>
      </c>
      <c r="AC46" s="68" t="s">
        <v>32</v>
      </c>
      <c r="AD46" s="68" t="s">
        <v>28</v>
      </c>
      <c r="AE46" s="68" t="s">
        <v>186</v>
      </c>
      <c r="AF46" s="68" t="s">
        <v>185</v>
      </c>
      <c r="AG46">
        <f t="shared" si="24"/>
        <v>1</v>
      </c>
      <c r="AH46">
        <f t="shared" si="8"/>
        <v>1</v>
      </c>
      <c r="AI46">
        <f t="shared" si="9"/>
        <v>0</v>
      </c>
      <c r="AJ46">
        <f t="shared" si="10"/>
        <v>1</v>
      </c>
      <c r="AK46">
        <f t="shared" si="11"/>
        <v>0</v>
      </c>
      <c r="AL46">
        <f t="shared" si="12"/>
        <v>1</v>
      </c>
      <c r="AM46">
        <f t="shared" si="13"/>
        <v>0</v>
      </c>
      <c r="AN46">
        <f t="shared" si="14"/>
        <v>0</v>
      </c>
      <c r="AO46" s="69" t="str">
        <f t="shared" si="15"/>
        <v>Costa de Marfil</v>
      </c>
      <c r="AP46" s="69" t="str">
        <f t="shared" si="16"/>
        <v>Irán</v>
      </c>
      <c r="AQ46" s="69" t="e">
        <f t="shared" si="17"/>
        <v>#N/A</v>
      </c>
      <c r="AR46" s="69" t="str">
        <f t="shared" si="18"/>
        <v>Marruecos</v>
      </c>
      <c r="AS46" s="69" t="e">
        <f t="shared" si="19"/>
        <v>#N/A</v>
      </c>
      <c r="AT46" s="69" t="str">
        <f t="shared" si="20"/>
        <v>Paraguay</v>
      </c>
      <c r="AU46" s="69" t="e">
        <f t="shared" si="21"/>
        <v>#N/A</v>
      </c>
      <c r="AV46" s="69" t="e">
        <f t="shared" si="22"/>
        <v>#N/A</v>
      </c>
    </row>
    <row r="47" spans="3:48" x14ac:dyDescent="0.2">
      <c r="X47" s="64" t="str">
        <f t="shared" si="23"/>
        <v/>
      </c>
      <c r="Y47" s="68" t="s">
        <v>15</v>
      </c>
      <c r="Z47" s="68" t="s">
        <v>14</v>
      </c>
      <c r="AA47" s="68" t="s">
        <v>184</v>
      </c>
      <c r="AB47" s="68" t="s">
        <v>27</v>
      </c>
      <c r="AC47" s="68" t="s">
        <v>32</v>
      </c>
      <c r="AD47" s="68" t="s">
        <v>28</v>
      </c>
      <c r="AE47" s="68" t="s">
        <v>186</v>
      </c>
      <c r="AF47" s="68" t="s">
        <v>185</v>
      </c>
      <c r="AG47">
        <f t="shared" si="24"/>
        <v>1</v>
      </c>
      <c r="AH47">
        <f t="shared" si="8"/>
        <v>1</v>
      </c>
      <c r="AI47">
        <f t="shared" si="9"/>
        <v>1</v>
      </c>
      <c r="AJ47">
        <f t="shared" si="10"/>
        <v>1</v>
      </c>
      <c r="AK47">
        <f t="shared" si="11"/>
        <v>0</v>
      </c>
      <c r="AL47">
        <f t="shared" si="12"/>
        <v>1</v>
      </c>
      <c r="AM47">
        <f t="shared" si="13"/>
        <v>0</v>
      </c>
      <c r="AN47">
        <f t="shared" si="14"/>
        <v>0</v>
      </c>
      <c r="AO47" s="69" t="str">
        <f t="shared" si="15"/>
        <v>Costa de Marfil</v>
      </c>
      <c r="AP47" s="69" t="str">
        <f t="shared" si="16"/>
        <v>Irán</v>
      </c>
      <c r="AQ47" s="69" t="str">
        <f t="shared" si="17"/>
        <v>Senegal</v>
      </c>
      <c r="AR47" s="69" t="str">
        <f t="shared" si="18"/>
        <v>Marruecos</v>
      </c>
      <c r="AS47" s="69" t="e">
        <f t="shared" si="19"/>
        <v>#N/A</v>
      </c>
      <c r="AT47" s="69" t="str">
        <f t="shared" si="20"/>
        <v>Paraguay</v>
      </c>
      <c r="AU47" s="69" t="e">
        <f t="shared" si="21"/>
        <v>#N/A</v>
      </c>
      <c r="AV47" s="69" t="e">
        <f t="shared" si="22"/>
        <v>#N/A</v>
      </c>
    </row>
    <row r="48" spans="3:48" x14ac:dyDescent="0.2">
      <c r="X48" s="64" t="str">
        <f t="shared" si="23"/>
        <v/>
      </c>
      <c r="Y48" s="68" t="s">
        <v>15</v>
      </c>
      <c r="Z48" s="68" t="s">
        <v>14</v>
      </c>
      <c r="AA48" s="68" t="s">
        <v>13</v>
      </c>
      <c r="AB48" s="68" t="s">
        <v>27</v>
      </c>
      <c r="AC48" s="68" t="s">
        <v>32</v>
      </c>
      <c r="AD48" s="68" t="s">
        <v>28</v>
      </c>
      <c r="AE48" s="68" t="s">
        <v>186</v>
      </c>
      <c r="AF48" s="68" t="s">
        <v>184</v>
      </c>
      <c r="AG48">
        <f t="shared" si="24"/>
        <v>1</v>
      </c>
      <c r="AH48">
        <f t="shared" si="8"/>
        <v>1</v>
      </c>
      <c r="AI48">
        <f t="shared" si="9"/>
        <v>0</v>
      </c>
      <c r="AJ48">
        <f t="shared" si="10"/>
        <v>1</v>
      </c>
      <c r="AK48">
        <f t="shared" si="11"/>
        <v>0</v>
      </c>
      <c r="AL48">
        <f t="shared" si="12"/>
        <v>1</v>
      </c>
      <c r="AM48">
        <f t="shared" si="13"/>
        <v>0</v>
      </c>
      <c r="AN48">
        <f t="shared" si="14"/>
        <v>1</v>
      </c>
      <c r="AO48" s="69" t="str">
        <f t="shared" si="15"/>
        <v>Costa de Marfil</v>
      </c>
      <c r="AP48" s="69" t="str">
        <f t="shared" si="16"/>
        <v>Irán</v>
      </c>
      <c r="AQ48" s="69" t="e">
        <f t="shared" si="17"/>
        <v>#N/A</v>
      </c>
      <c r="AR48" s="69" t="str">
        <f t="shared" si="18"/>
        <v>Marruecos</v>
      </c>
      <c r="AS48" s="69" t="e">
        <f t="shared" si="19"/>
        <v>#N/A</v>
      </c>
      <c r="AT48" s="69" t="str">
        <f t="shared" si="20"/>
        <v>Paraguay</v>
      </c>
      <c r="AU48" s="69" t="e">
        <f t="shared" si="21"/>
        <v>#N/A</v>
      </c>
      <c r="AV48" s="69" t="str">
        <f t="shared" si="22"/>
        <v>Senegal</v>
      </c>
    </row>
    <row r="49" spans="24:48" x14ac:dyDescent="0.2">
      <c r="X49" s="64" t="str">
        <f t="shared" si="23"/>
        <v/>
      </c>
      <c r="Y49" s="68" t="s">
        <v>15</v>
      </c>
      <c r="Z49" s="68" t="s">
        <v>14</v>
      </c>
      <c r="AA49" s="68" t="s">
        <v>13</v>
      </c>
      <c r="AB49" s="68" t="s">
        <v>27</v>
      </c>
      <c r="AC49" s="68" t="s">
        <v>32</v>
      </c>
      <c r="AD49" s="68" t="s">
        <v>28</v>
      </c>
      <c r="AE49" s="68" t="s">
        <v>184</v>
      </c>
      <c r="AF49" s="68" t="s">
        <v>185</v>
      </c>
      <c r="AG49">
        <f t="shared" si="24"/>
        <v>1</v>
      </c>
      <c r="AH49">
        <f t="shared" si="8"/>
        <v>1</v>
      </c>
      <c r="AI49">
        <f t="shared" si="9"/>
        <v>0</v>
      </c>
      <c r="AJ49">
        <f t="shared" si="10"/>
        <v>1</v>
      </c>
      <c r="AK49">
        <f t="shared" si="11"/>
        <v>0</v>
      </c>
      <c r="AL49">
        <f t="shared" si="12"/>
        <v>1</v>
      </c>
      <c r="AM49">
        <f t="shared" si="13"/>
        <v>1</v>
      </c>
      <c r="AN49">
        <f t="shared" si="14"/>
        <v>0</v>
      </c>
      <c r="AO49" s="69" t="str">
        <f t="shared" si="15"/>
        <v>Costa de Marfil</v>
      </c>
      <c r="AP49" s="69" t="str">
        <f t="shared" si="16"/>
        <v>Irán</v>
      </c>
      <c r="AQ49" s="69" t="e">
        <f t="shared" si="17"/>
        <v>#N/A</v>
      </c>
      <c r="AR49" s="69" t="str">
        <f t="shared" si="18"/>
        <v>Marruecos</v>
      </c>
      <c r="AS49" s="69" t="e">
        <f t="shared" si="19"/>
        <v>#N/A</v>
      </c>
      <c r="AT49" s="69" t="str">
        <f t="shared" si="20"/>
        <v>Paraguay</v>
      </c>
      <c r="AU49" s="69" t="str">
        <f t="shared" si="21"/>
        <v>Senegal</v>
      </c>
      <c r="AV49" s="69" t="e">
        <f t="shared" si="22"/>
        <v>#N/A</v>
      </c>
    </row>
    <row r="50" spans="24:48" x14ac:dyDescent="0.2">
      <c r="X50" s="64" t="str">
        <f t="shared" si="23"/>
        <v/>
      </c>
      <c r="Y50" s="68" t="s">
        <v>27</v>
      </c>
      <c r="Z50" s="68" t="s">
        <v>13</v>
      </c>
      <c r="AA50" s="68" t="s">
        <v>15</v>
      </c>
      <c r="AB50" s="68" t="s">
        <v>28</v>
      </c>
      <c r="AC50" s="68" t="s">
        <v>184</v>
      </c>
      <c r="AD50" s="68" t="s">
        <v>31</v>
      </c>
      <c r="AE50" s="68" t="s">
        <v>186</v>
      </c>
      <c r="AF50" s="68" t="s">
        <v>185</v>
      </c>
      <c r="AG50">
        <f t="shared" si="24"/>
        <v>1</v>
      </c>
      <c r="AH50">
        <f t="shared" si="8"/>
        <v>0</v>
      </c>
      <c r="AI50">
        <f t="shared" si="9"/>
        <v>1</v>
      </c>
      <c r="AJ50">
        <f t="shared" si="10"/>
        <v>1</v>
      </c>
      <c r="AK50">
        <f t="shared" si="11"/>
        <v>1</v>
      </c>
      <c r="AL50">
        <f t="shared" si="12"/>
        <v>1</v>
      </c>
      <c r="AM50">
        <f t="shared" si="13"/>
        <v>0</v>
      </c>
      <c r="AN50">
        <f t="shared" si="14"/>
        <v>0</v>
      </c>
      <c r="AO50" s="69" t="str">
        <f t="shared" si="15"/>
        <v>Marruecos</v>
      </c>
      <c r="AP50" s="69" t="e">
        <f t="shared" si="16"/>
        <v>#N/A</v>
      </c>
      <c r="AQ50" s="69" t="str">
        <f t="shared" si="17"/>
        <v>Costa de Marfil</v>
      </c>
      <c r="AR50" s="69" t="str">
        <f t="shared" si="18"/>
        <v>Paraguay</v>
      </c>
      <c r="AS50" s="69" t="str">
        <f t="shared" si="19"/>
        <v>Senegal</v>
      </c>
      <c r="AT50" s="69" t="str">
        <f t="shared" si="20"/>
        <v>Suecia</v>
      </c>
      <c r="AU50" s="69" t="e">
        <f t="shared" si="21"/>
        <v>#N/A</v>
      </c>
      <c r="AV50" s="69" t="e">
        <f t="shared" si="22"/>
        <v>#N/A</v>
      </c>
    </row>
    <row r="51" spans="24:48" x14ac:dyDescent="0.2">
      <c r="X51" s="64" t="str">
        <f t="shared" si="23"/>
        <v/>
      </c>
      <c r="Y51" s="68" t="s">
        <v>27</v>
      </c>
      <c r="Z51" s="68" t="s">
        <v>13</v>
      </c>
      <c r="AA51" s="68" t="s">
        <v>15</v>
      </c>
      <c r="AB51" s="68" t="s">
        <v>28</v>
      </c>
      <c r="AC51" s="68" t="s">
        <v>32</v>
      </c>
      <c r="AD51" s="68" t="s">
        <v>31</v>
      </c>
      <c r="AE51" s="68" t="s">
        <v>186</v>
      </c>
      <c r="AF51" s="68" t="s">
        <v>185</v>
      </c>
      <c r="AG51">
        <f t="shared" si="24"/>
        <v>1</v>
      </c>
      <c r="AH51">
        <f t="shared" si="8"/>
        <v>0</v>
      </c>
      <c r="AI51">
        <f t="shared" si="9"/>
        <v>1</v>
      </c>
      <c r="AJ51">
        <f t="shared" si="10"/>
        <v>1</v>
      </c>
      <c r="AK51">
        <f t="shared" si="11"/>
        <v>0</v>
      </c>
      <c r="AL51">
        <f t="shared" si="12"/>
        <v>1</v>
      </c>
      <c r="AM51">
        <f t="shared" si="13"/>
        <v>0</v>
      </c>
      <c r="AN51">
        <f t="shared" si="14"/>
        <v>0</v>
      </c>
      <c r="AO51" s="69" t="str">
        <f t="shared" si="15"/>
        <v>Marruecos</v>
      </c>
      <c r="AP51" s="69" t="e">
        <f t="shared" si="16"/>
        <v>#N/A</v>
      </c>
      <c r="AQ51" s="69" t="str">
        <f t="shared" si="17"/>
        <v>Costa de Marfil</v>
      </c>
      <c r="AR51" s="69" t="str">
        <f t="shared" si="18"/>
        <v>Paraguay</v>
      </c>
      <c r="AS51" s="69" t="e">
        <f t="shared" si="19"/>
        <v>#N/A</v>
      </c>
      <c r="AT51" s="69" t="str">
        <f t="shared" si="20"/>
        <v>Suecia</v>
      </c>
      <c r="AU51" s="69" t="e">
        <f t="shared" si="21"/>
        <v>#N/A</v>
      </c>
      <c r="AV51" s="69" t="e">
        <f t="shared" si="22"/>
        <v>#N/A</v>
      </c>
    </row>
    <row r="52" spans="24:48" x14ac:dyDescent="0.2">
      <c r="X52" s="64" t="str">
        <f t="shared" si="23"/>
        <v/>
      </c>
      <c r="Y52" s="68" t="s">
        <v>27</v>
      </c>
      <c r="Z52" s="68" t="s">
        <v>15</v>
      </c>
      <c r="AA52" s="68" t="s">
        <v>184</v>
      </c>
      <c r="AB52" s="68" t="s">
        <v>28</v>
      </c>
      <c r="AC52" s="68" t="s">
        <v>32</v>
      </c>
      <c r="AD52" s="68" t="s">
        <v>31</v>
      </c>
      <c r="AE52" s="68" t="s">
        <v>186</v>
      </c>
      <c r="AF52" s="68" t="s">
        <v>185</v>
      </c>
      <c r="AG52">
        <f t="shared" si="24"/>
        <v>1</v>
      </c>
      <c r="AH52">
        <f t="shared" si="8"/>
        <v>1</v>
      </c>
      <c r="AI52">
        <f t="shared" si="9"/>
        <v>1</v>
      </c>
      <c r="AJ52">
        <f t="shared" si="10"/>
        <v>1</v>
      </c>
      <c r="AK52">
        <f t="shared" si="11"/>
        <v>0</v>
      </c>
      <c r="AL52">
        <f t="shared" si="12"/>
        <v>1</v>
      </c>
      <c r="AM52">
        <f t="shared" si="13"/>
        <v>0</v>
      </c>
      <c r="AN52">
        <f t="shared" si="14"/>
        <v>0</v>
      </c>
      <c r="AO52" s="69" t="str">
        <f t="shared" si="15"/>
        <v>Marruecos</v>
      </c>
      <c r="AP52" s="69" t="str">
        <f t="shared" si="16"/>
        <v>Costa de Marfil</v>
      </c>
      <c r="AQ52" s="69" t="str">
        <f t="shared" si="17"/>
        <v>Senegal</v>
      </c>
      <c r="AR52" s="69" t="str">
        <f t="shared" si="18"/>
        <v>Paraguay</v>
      </c>
      <c r="AS52" s="69" t="e">
        <f t="shared" si="19"/>
        <v>#N/A</v>
      </c>
      <c r="AT52" s="69" t="str">
        <f t="shared" si="20"/>
        <v>Suecia</v>
      </c>
      <c r="AU52" s="69" t="e">
        <f t="shared" si="21"/>
        <v>#N/A</v>
      </c>
      <c r="AV52" s="69" t="e">
        <f t="shared" si="22"/>
        <v>#N/A</v>
      </c>
    </row>
    <row r="53" spans="24:48" x14ac:dyDescent="0.2">
      <c r="X53" s="64" t="str">
        <f t="shared" si="23"/>
        <v/>
      </c>
      <c r="Y53" s="68" t="s">
        <v>27</v>
      </c>
      <c r="Z53" s="68" t="s">
        <v>13</v>
      </c>
      <c r="AA53" s="68" t="s">
        <v>15</v>
      </c>
      <c r="AB53" s="68" t="s">
        <v>28</v>
      </c>
      <c r="AC53" s="68" t="s">
        <v>32</v>
      </c>
      <c r="AD53" s="68" t="s">
        <v>31</v>
      </c>
      <c r="AE53" s="68" t="s">
        <v>186</v>
      </c>
      <c r="AF53" s="68" t="s">
        <v>184</v>
      </c>
      <c r="AG53">
        <f t="shared" si="24"/>
        <v>1</v>
      </c>
      <c r="AH53">
        <f t="shared" si="8"/>
        <v>0</v>
      </c>
      <c r="AI53">
        <f t="shared" si="9"/>
        <v>1</v>
      </c>
      <c r="AJ53">
        <f t="shared" si="10"/>
        <v>1</v>
      </c>
      <c r="AK53">
        <f t="shared" si="11"/>
        <v>0</v>
      </c>
      <c r="AL53">
        <f t="shared" si="12"/>
        <v>1</v>
      </c>
      <c r="AM53">
        <f t="shared" si="13"/>
        <v>0</v>
      </c>
      <c r="AN53">
        <f t="shared" si="14"/>
        <v>1</v>
      </c>
      <c r="AO53" s="69" t="str">
        <f t="shared" si="15"/>
        <v>Marruecos</v>
      </c>
      <c r="AP53" s="69" t="e">
        <f t="shared" si="16"/>
        <v>#N/A</v>
      </c>
      <c r="AQ53" s="69" t="str">
        <f t="shared" si="17"/>
        <v>Costa de Marfil</v>
      </c>
      <c r="AR53" s="69" t="str">
        <f t="shared" si="18"/>
        <v>Paraguay</v>
      </c>
      <c r="AS53" s="69" t="e">
        <f t="shared" si="19"/>
        <v>#N/A</v>
      </c>
      <c r="AT53" s="69" t="str">
        <f t="shared" si="20"/>
        <v>Suecia</v>
      </c>
      <c r="AU53" s="69" t="e">
        <f t="shared" si="21"/>
        <v>#N/A</v>
      </c>
      <c r="AV53" s="69" t="str">
        <f t="shared" si="22"/>
        <v>Senegal</v>
      </c>
    </row>
    <row r="54" spans="24:48" x14ac:dyDescent="0.2">
      <c r="X54" s="64" t="str">
        <f t="shared" si="23"/>
        <v/>
      </c>
      <c r="Y54" s="68" t="s">
        <v>27</v>
      </c>
      <c r="Z54" s="68" t="s">
        <v>13</v>
      </c>
      <c r="AA54" s="68" t="s">
        <v>15</v>
      </c>
      <c r="AB54" s="68" t="s">
        <v>28</v>
      </c>
      <c r="AC54" s="68" t="s">
        <v>32</v>
      </c>
      <c r="AD54" s="68" t="s">
        <v>31</v>
      </c>
      <c r="AE54" s="68" t="s">
        <v>184</v>
      </c>
      <c r="AF54" s="68" t="s">
        <v>185</v>
      </c>
      <c r="AG54">
        <f t="shared" si="24"/>
        <v>1</v>
      </c>
      <c r="AH54">
        <f t="shared" si="8"/>
        <v>0</v>
      </c>
      <c r="AI54">
        <f t="shared" si="9"/>
        <v>1</v>
      </c>
      <c r="AJ54">
        <f t="shared" si="10"/>
        <v>1</v>
      </c>
      <c r="AK54">
        <f t="shared" si="11"/>
        <v>0</v>
      </c>
      <c r="AL54">
        <f t="shared" si="12"/>
        <v>1</v>
      </c>
      <c r="AM54">
        <f t="shared" si="13"/>
        <v>1</v>
      </c>
      <c r="AN54">
        <f t="shared" si="14"/>
        <v>0</v>
      </c>
      <c r="AO54" s="69" t="str">
        <f t="shared" si="15"/>
        <v>Marruecos</v>
      </c>
      <c r="AP54" s="69" t="e">
        <f t="shared" si="16"/>
        <v>#N/A</v>
      </c>
      <c r="AQ54" s="69" t="str">
        <f t="shared" si="17"/>
        <v>Costa de Marfil</v>
      </c>
      <c r="AR54" s="69" t="str">
        <f t="shared" si="18"/>
        <v>Paraguay</v>
      </c>
      <c r="AS54" s="69" t="e">
        <f t="shared" si="19"/>
        <v>#N/A</v>
      </c>
      <c r="AT54" s="69" t="str">
        <f t="shared" si="20"/>
        <v>Suecia</v>
      </c>
      <c r="AU54" s="69" t="str">
        <f t="shared" si="21"/>
        <v>Senegal</v>
      </c>
      <c r="AV54" s="69" t="e">
        <f t="shared" si="22"/>
        <v>#N/A</v>
      </c>
    </row>
    <row r="55" spans="24:48" x14ac:dyDescent="0.2">
      <c r="X55" s="64" t="str">
        <f t="shared" si="23"/>
        <v/>
      </c>
      <c r="Y55" s="68" t="s">
        <v>27</v>
      </c>
      <c r="Z55" s="68" t="s">
        <v>14</v>
      </c>
      <c r="AA55" s="68" t="s">
        <v>15</v>
      </c>
      <c r="AB55" s="68" t="s">
        <v>28</v>
      </c>
      <c r="AC55" s="68" t="s">
        <v>13</v>
      </c>
      <c r="AD55" s="68" t="s">
        <v>31</v>
      </c>
      <c r="AE55" s="68" t="s">
        <v>186</v>
      </c>
      <c r="AF55" s="68" t="s">
        <v>185</v>
      </c>
      <c r="AG55">
        <f t="shared" si="24"/>
        <v>1</v>
      </c>
      <c r="AH55">
        <f t="shared" si="8"/>
        <v>1</v>
      </c>
      <c r="AI55">
        <f t="shared" si="9"/>
        <v>1</v>
      </c>
      <c r="AJ55">
        <f t="shared" si="10"/>
        <v>1</v>
      </c>
      <c r="AK55">
        <f t="shared" si="11"/>
        <v>0</v>
      </c>
      <c r="AL55">
        <f t="shared" si="12"/>
        <v>1</v>
      </c>
      <c r="AM55">
        <f t="shared" si="13"/>
        <v>0</v>
      </c>
      <c r="AN55">
        <f t="shared" si="14"/>
        <v>0</v>
      </c>
      <c r="AO55" s="69" t="str">
        <f t="shared" si="15"/>
        <v>Marruecos</v>
      </c>
      <c r="AP55" s="69" t="str">
        <f t="shared" si="16"/>
        <v>Irán</v>
      </c>
      <c r="AQ55" s="69" t="str">
        <f t="shared" si="17"/>
        <v>Costa de Marfil</v>
      </c>
      <c r="AR55" s="69" t="str">
        <f t="shared" si="18"/>
        <v>Paraguay</v>
      </c>
      <c r="AS55" s="69" t="e">
        <f t="shared" si="19"/>
        <v>#N/A</v>
      </c>
      <c r="AT55" s="69" t="str">
        <f t="shared" si="20"/>
        <v>Suecia</v>
      </c>
      <c r="AU55" s="69" t="e">
        <f t="shared" si="21"/>
        <v>#N/A</v>
      </c>
      <c r="AV55" s="69" t="e">
        <f t="shared" si="22"/>
        <v>#N/A</v>
      </c>
    </row>
    <row r="56" spans="24:48" x14ac:dyDescent="0.2">
      <c r="X56" s="64" t="str">
        <f t="shared" si="23"/>
        <v/>
      </c>
      <c r="Y56" s="68" t="s">
        <v>27</v>
      </c>
      <c r="Z56" s="68" t="s">
        <v>14</v>
      </c>
      <c r="AA56" s="68" t="s">
        <v>15</v>
      </c>
      <c r="AB56" s="68" t="s">
        <v>28</v>
      </c>
      <c r="AC56" s="68" t="s">
        <v>184</v>
      </c>
      <c r="AD56" s="68" t="s">
        <v>31</v>
      </c>
      <c r="AE56" s="68" t="s">
        <v>186</v>
      </c>
      <c r="AF56" s="68" t="s">
        <v>185</v>
      </c>
      <c r="AG56">
        <f t="shared" si="24"/>
        <v>1</v>
      </c>
      <c r="AH56">
        <f t="shared" si="8"/>
        <v>1</v>
      </c>
      <c r="AI56">
        <f t="shared" si="9"/>
        <v>1</v>
      </c>
      <c r="AJ56">
        <f t="shared" si="10"/>
        <v>1</v>
      </c>
      <c r="AK56">
        <f t="shared" si="11"/>
        <v>1</v>
      </c>
      <c r="AL56">
        <f t="shared" si="12"/>
        <v>1</v>
      </c>
      <c r="AM56">
        <f t="shared" si="13"/>
        <v>0</v>
      </c>
      <c r="AN56">
        <f t="shared" si="14"/>
        <v>0</v>
      </c>
      <c r="AO56" s="69" t="str">
        <f t="shared" si="15"/>
        <v>Marruecos</v>
      </c>
      <c r="AP56" s="69" t="str">
        <f t="shared" si="16"/>
        <v>Irán</v>
      </c>
      <c r="AQ56" s="69" t="str">
        <f t="shared" si="17"/>
        <v>Costa de Marfil</v>
      </c>
      <c r="AR56" s="69" t="str">
        <f t="shared" si="18"/>
        <v>Paraguay</v>
      </c>
      <c r="AS56" s="69" t="str">
        <f t="shared" si="19"/>
        <v>Senegal</v>
      </c>
      <c r="AT56" s="69" t="str">
        <f t="shared" si="20"/>
        <v>Suecia</v>
      </c>
      <c r="AU56" s="69" t="e">
        <f t="shared" si="21"/>
        <v>#N/A</v>
      </c>
      <c r="AV56" s="69" t="e">
        <f t="shared" si="22"/>
        <v>#N/A</v>
      </c>
    </row>
    <row r="57" spans="24:48" x14ac:dyDescent="0.2">
      <c r="X57" s="64" t="str">
        <f t="shared" si="23"/>
        <v/>
      </c>
      <c r="Y57" s="68" t="s">
        <v>27</v>
      </c>
      <c r="Z57" s="68" t="s">
        <v>14</v>
      </c>
      <c r="AA57" s="68" t="s">
        <v>15</v>
      </c>
      <c r="AB57" s="68" t="s">
        <v>28</v>
      </c>
      <c r="AC57" s="68" t="s">
        <v>13</v>
      </c>
      <c r="AD57" s="68" t="s">
        <v>31</v>
      </c>
      <c r="AE57" s="68" t="s">
        <v>186</v>
      </c>
      <c r="AF57" s="68" t="s">
        <v>184</v>
      </c>
      <c r="AG57">
        <f t="shared" si="24"/>
        <v>1</v>
      </c>
      <c r="AH57">
        <f t="shared" si="8"/>
        <v>1</v>
      </c>
      <c r="AI57">
        <f t="shared" si="9"/>
        <v>1</v>
      </c>
      <c r="AJ57">
        <f t="shared" si="10"/>
        <v>1</v>
      </c>
      <c r="AK57">
        <f t="shared" si="11"/>
        <v>0</v>
      </c>
      <c r="AL57">
        <f t="shared" si="12"/>
        <v>1</v>
      </c>
      <c r="AM57">
        <f t="shared" si="13"/>
        <v>0</v>
      </c>
      <c r="AN57">
        <f t="shared" si="14"/>
        <v>1</v>
      </c>
      <c r="AO57" s="69" t="str">
        <f t="shared" si="15"/>
        <v>Marruecos</v>
      </c>
      <c r="AP57" s="69" t="str">
        <f t="shared" si="16"/>
        <v>Irán</v>
      </c>
      <c r="AQ57" s="69" t="str">
        <f t="shared" si="17"/>
        <v>Costa de Marfil</v>
      </c>
      <c r="AR57" s="69" t="str">
        <f t="shared" si="18"/>
        <v>Paraguay</v>
      </c>
      <c r="AS57" s="69" t="e">
        <f t="shared" si="19"/>
        <v>#N/A</v>
      </c>
      <c r="AT57" s="69" t="str">
        <f t="shared" si="20"/>
        <v>Suecia</v>
      </c>
      <c r="AU57" s="69" t="e">
        <f t="shared" si="21"/>
        <v>#N/A</v>
      </c>
      <c r="AV57" s="69" t="str">
        <f t="shared" si="22"/>
        <v>Senegal</v>
      </c>
    </row>
    <row r="58" spans="24:48" x14ac:dyDescent="0.2">
      <c r="X58" s="64" t="str">
        <f t="shared" si="23"/>
        <v/>
      </c>
      <c r="Y58" s="68" t="s">
        <v>27</v>
      </c>
      <c r="Z58" s="68" t="s">
        <v>14</v>
      </c>
      <c r="AA58" s="68" t="s">
        <v>15</v>
      </c>
      <c r="AB58" s="68" t="s">
        <v>28</v>
      </c>
      <c r="AC58" s="68" t="s">
        <v>13</v>
      </c>
      <c r="AD58" s="68" t="s">
        <v>31</v>
      </c>
      <c r="AE58" s="68" t="s">
        <v>184</v>
      </c>
      <c r="AF58" s="68" t="s">
        <v>185</v>
      </c>
      <c r="AG58">
        <f t="shared" si="24"/>
        <v>1</v>
      </c>
      <c r="AH58">
        <f t="shared" si="8"/>
        <v>1</v>
      </c>
      <c r="AI58">
        <f t="shared" si="9"/>
        <v>1</v>
      </c>
      <c r="AJ58">
        <f t="shared" si="10"/>
        <v>1</v>
      </c>
      <c r="AK58">
        <f t="shared" si="11"/>
        <v>0</v>
      </c>
      <c r="AL58">
        <f t="shared" si="12"/>
        <v>1</v>
      </c>
      <c r="AM58">
        <f t="shared" si="13"/>
        <v>1</v>
      </c>
      <c r="AN58">
        <f t="shared" si="14"/>
        <v>0</v>
      </c>
      <c r="AO58" s="69" t="str">
        <f t="shared" si="15"/>
        <v>Marruecos</v>
      </c>
      <c r="AP58" s="69" t="str">
        <f t="shared" si="16"/>
        <v>Irán</v>
      </c>
      <c r="AQ58" s="69" t="str">
        <f t="shared" si="17"/>
        <v>Costa de Marfil</v>
      </c>
      <c r="AR58" s="69" t="str">
        <f t="shared" si="18"/>
        <v>Paraguay</v>
      </c>
      <c r="AS58" s="69" t="e">
        <f t="shared" si="19"/>
        <v>#N/A</v>
      </c>
      <c r="AT58" s="69" t="str">
        <f t="shared" si="20"/>
        <v>Suecia</v>
      </c>
      <c r="AU58" s="69" t="str">
        <f t="shared" si="21"/>
        <v>Senegal</v>
      </c>
      <c r="AV58" s="69" t="e">
        <f t="shared" si="22"/>
        <v>#N/A</v>
      </c>
    </row>
    <row r="59" spans="24:48" x14ac:dyDescent="0.2">
      <c r="X59" s="64" t="str">
        <f t="shared" si="23"/>
        <v/>
      </c>
      <c r="Y59" s="68" t="s">
        <v>27</v>
      </c>
      <c r="Z59" s="68" t="s">
        <v>14</v>
      </c>
      <c r="AA59" s="68" t="s">
        <v>15</v>
      </c>
      <c r="AB59" s="68" t="s">
        <v>28</v>
      </c>
      <c r="AC59" s="68" t="s">
        <v>32</v>
      </c>
      <c r="AD59" s="68" t="s">
        <v>31</v>
      </c>
      <c r="AE59" s="68" t="s">
        <v>186</v>
      </c>
      <c r="AF59" s="68" t="s">
        <v>185</v>
      </c>
      <c r="AG59">
        <f t="shared" si="24"/>
        <v>1</v>
      </c>
      <c r="AH59">
        <f t="shared" si="8"/>
        <v>1</v>
      </c>
      <c r="AI59">
        <f t="shared" si="9"/>
        <v>1</v>
      </c>
      <c r="AJ59">
        <f t="shared" si="10"/>
        <v>1</v>
      </c>
      <c r="AK59">
        <f t="shared" si="11"/>
        <v>0</v>
      </c>
      <c r="AL59">
        <f t="shared" si="12"/>
        <v>1</v>
      </c>
      <c r="AM59">
        <f t="shared" si="13"/>
        <v>0</v>
      </c>
      <c r="AN59">
        <f t="shared" si="14"/>
        <v>0</v>
      </c>
      <c r="AO59" s="69" t="str">
        <f t="shared" si="15"/>
        <v>Marruecos</v>
      </c>
      <c r="AP59" s="69" t="str">
        <f t="shared" si="16"/>
        <v>Irán</v>
      </c>
      <c r="AQ59" s="69" t="str">
        <f t="shared" si="17"/>
        <v>Costa de Marfil</v>
      </c>
      <c r="AR59" s="69" t="str">
        <f t="shared" si="18"/>
        <v>Paraguay</v>
      </c>
      <c r="AS59" s="69" t="e">
        <f t="shared" si="19"/>
        <v>#N/A</v>
      </c>
      <c r="AT59" s="69" t="str">
        <f t="shared" si="20"/>
        <v>Suecia</v>
      </c>
      <c r="AU59" s="69" t="e">
        <f t="shared" si="21"/>
        <v>#N/A</v>
      </c>
      <c r="AV59" s="69" t="e">
        <f t="shared" si="22"/>
        <v>#N/A</v>
      </c>
    </row>
    <row r="60" spans="24:48" x14ac:dyDescent="0.2">
      <c r="X60" s="64" t="str">
        <f t="shared" si="23"/>
        <v/>
      </c>
      <c r="Y60" s="68" t="s">
        <v>27</v>
      </c>
      <c r="Z60" s="68" t="s">
        <v>14</v>
      </c>
      <c r="AA60" s="68" t="s">
        <v>13</v>
      </c>
      <c r="AB60" s="68" t="s">
        <v>28</v>
      </c>
      <c r="AC60" s="68" t="s">
        <v>32</v>
      </c>
      <c r="AD60" s="68" t="s">
        <v>31</v>
      </c>
      <c r="AE60" s="68" t="s">
        <v>186</v>
      </c>
      <c r="AF60" s="68" t="s">
        <v>15</v>
      </c>
      <c r="AG60">
        <f t="shared" si="24"/>
        <v>1</v>
      </c>
      <c r="AH60">
        <f t="shared" si="8"/>
        <v>1</v>
      </c>
      <c r="AI60">
        <f t="shared" si="9"/>
        <v>0</v>
      </c>
      <c r="AJ60">
        <f t="shared" si="10"/>
        <v>1</v>
      </c>
      <c r="AK60">
        <f t="shared" si="11"/>
        <v>0</v>
      </c>
      <c r="AL60">
        <f t="shared" si="12"/>
        <v>1</v>
      </c>
      <c r="AM60">
        <f t="shared" si="13"/>
        <v>0</v>
      </c>
      <c r="AN60">
        <f t="shared" si="14"/>
        <v>1</v>
      </c>
      <c r="AO60" s="69" t="str">
        <f t="shared" si="15"/>
        <v>Marruecos</v>
      </c>
      <c r="AP60" s="69" t="str">
        <f t="shared" si="16"/>
        <v>Irán</v>
      </c>
      <c r="AQ60" s="69" t="e">
        <f t="shared" si="17"/>
        <v>#N/A</v>
      </c>
      <c r="AR60" s="69" t="str">
        <f t="shared" si="18"/>
        <v>Paraguay</v>
      </c>
      <c r="AS60" s="69" t="e">
        <f t="shared" si="19"/>
        <v>#N/A</v>
      </c>
      <c r="AT60" s="69" t="str">
        <f t="shared" si="20"/>
        <v>Suecia</v>
      </c>
      <c r="AU60" s="69" t="e">
        <f t="shared" si="21"/>
        <v>#N/A</v>
      </c>
      <c r="AV60" s="69" t="str">
        <f t="shared" si="22"/>
        <v>Costa de Marfil</v>
      </c>
    </row>
    <row r="61" spans="24:48" x14ac:dyDescent="0.2">
      <c r="X61" s="64" t="str">
        <f t="shared" si="23"/>
        <v/>
      </c>
      <c r="Y61" s="68" t="s">
        <v>27</v>
      </c>
      <c r="Z61" s="68" t="s">
        <v>14</v>
      </c>
      <c r="AA61" s="68" t="s">
        <v>13</v>
      </c>
      <c r="AB61" s="68" t="s">
        <v>28</v>
      </c>
      <c r="AC61" s="68" t="s">
        <v>32</v>
      </c>
      <c r="AD61" s="68" t="s">
        <v>31</v>
      </c>
      <c r="AE61" s="68" t="s">
        <v>15</v>
      </c>
      <c r="AF61" s="68" t="s">
        <v>185</v>
      </c>
      <c r="AG61">
        <f t="shared" si="24"/>
        <v>1</v>
      </c>
      <c r="AH61">
        <f t="shared" si="8"/>
        <v>1</v>
      </c>
      <c r="AI61">
        <f t="shared" si="9"/>
        <v>0</v>
      </c>
      <c r="AJ61">
        <f t="shared" si="10"/>
        <v>1</v>
      </c>
      <c r="AK61">
        <f t="shared" si="11"/>
        <v>0</v>
      </c>
      <c r="AL61">
        <f t="shared" si="12"/>
        <v>1</v>
      </c>
      <c r="AM61">
        <f t="shared" si="13"/>
        <v>1</v>
      </c>
      <c r="AN61">
        <f t="shared" si="14"/>
        <v>0</v>
      </c>
      <c r="AO61" s="69" t="str">
        <f t="shared" si="15"/>
        <v>Marruecos</v>
      </c>
      <c r="AP61" s="69" t="str">
        <f t="shared" si="16"/>
        <v>Irán</v>
      </c>
      <c r="AQ61" s="69" t="e">
        <f t="shared" si="17"/>
        <v>#N/A</v>
      </c>
      <c r="AR61" s="69" t="str">
        <f t="shared" si="18"/>
        <v>Paraguay</v>
      </c>
      <c r="AS61" s="69" t="e">
        <f t="shared" si="19"/>
        <v>#N/A</v>
      </c>
      <c r="AT61" s="69" t="str">
        <f t="shared" si="20"/>
        <v>Suecia</v>
      </c>
      <c r="AU61" s="69" t="str">
        <f t="shared" si="21"/>
        <v>Costa de Marfil</v>
      </c>
      <c r="AV61" s="69" t="e">
        <f t="shared" si="22"/>
        <v>#N/A</v>
      </c>
    </row>
    <row r="62" spans="24:48" x14ac:dyDescent="0.2">
      <c r="X62" s="64" t="str">
        <f t="shared" si="23"/>
        <v/>
      </c>
      <c r="Y62" s="68" t="s">
        <v>27</v>
      </c>
      <c r="Z62" s="68" t="s">
        <v>14</v>
      </c>
      <c r="AA62" s="68" t="s">
        <v>15</v>
      </c>
      <c r="AB62" s="68" t="s">
        <v>28</v>
      </c>
      <c r="AC62" s="68" t="s">
        <v>32</v>
      </c>
      <c r="AD62" s="68" t="s">
        <v>31</v>
      </c>
      <c r="AE62" s="68" t="s">
        <v>186</v>
      </c>
      <c r="AF62" s="68" t="s">
        <v>184</v>
      </c>
      <c r="AG62">
        <f t="shared" si="24"/>
        <v>1</v>
      </c>
      <c r="AH62">
        <f t="shared" si="8"/>
        <v>1</v>
      </c>
      <c r="AI62">
        <f t="shared" si="9"/>
        <v>1</v>
      </c>
      <c r="AJ62">
        <f t="shared" si="10"/>
        <v>1</v>
      </c>
      <c r="AK62">
        <f t="shared" si="11"/>
        <v>0</v>
      </c>
      <c r="AL62">
        <f t="shared" si="12"/>
        <v>1</v>
      </c>
      <c r="AM62">
        <f t="shared" si="13"/>
        <v>0</v>
      </c>
      <c r="AN62">
        <f t="shared" si="14"/>
        <v>1</v>
      </c>
      <c r="AO62" s="69" t="str">
        <f t="shared" si="15"/>
        <v>Marruecos</v>
      </c>
      <c r="AP62" s="69" t="str">
        <f t="shared" si="16"/>
        <v>Irán</v>
      </c>
      <c r="AQ62" s="69" t="str">
        <f t="shared" si="17"/>
        <v>Costa de Marfil</v>
      </c>
      <c r="AR62" s="69" t="str">
        <f t="shared" si="18"/>
        <v>Paraguay</v>
      </c>
      <c r="AS62" s="69" t="e">
        <f t="shared" si="19"/>
        <v>#N/A</v>
      </c>
      <c r="AT62" s="69" t="str">
        <f t="shared" si="20"/>
        <v>Suecia</v>
      </c>
      <c r="AU62" s="69" t="e">
        <f t="shared" si="21"/>
        <v>#N/A</v>
      </c>
      <c r="AV62" s="69" t="str">
        <f t="shared" si="22"/>
        <v>Senegal</v>
      </c>
    </row>
    <row r="63" spans="24:48" x14ac:dyDescent="0.2">
      <c r="X63" s="64" t="str">
        <f t="shared" si="23"/>
        <v/>
      </c>
      <c r="Y63" s="68" t="s">
        <v>27</v>
      </c>
      <c r="Z63" s="68" t="s">
        <v>14</v>
      </c>
      <c r="AA63" s="68" t="s">
        <v>15</v>
      </c>
      <c r="AB63" s="68" t="s">
        <v>28</v>
      </c>
      <c r="AC63" s="68" t="s">
        <v>32</v>
      </c>
      <c r="AD63" s="68" t="s">
        <v>31</v>
      </c>
      <c r="AE63" s="68" t="s">
        <v>184</v>
      </c>
      <c r="AF63" s="68" t="s">
        <v>185</v>
      </c>
      <c r="AG63">
        <f t="shared" si="24"/>
        <v>1</v>
      </c>
      <c r="AH63">
        <f t="shared" si="8"/>
        <v>1</v>
      </c>
      <c r="AI63">
        <f t="shared" si="9"/>
        <v>1</v>
      </c>
      <c r="AJ63">
        <f t="shared" si="10"/>
        <v>1</v>
      </c>
      <c r="AK63">
        <f t="shared" si="11"/>
        <v>0</v>
      </c>
      <c r="AL63">
        <f t="shared" si="12"/>
        <v>1</v>
      </c>
      <c r="AM63">
        <f t="shared" si="13"/>
        <v>1</v>
      </c>
      <c r="AN63">
        <f t="shared" si="14"/>
        <v>0</v>
      </c>
      <c r="AO63" s="69" t="str">
        <f t="shared" si="15"/>
        <v>Marruecos</v>
      </c>
      <c r="AP63" s="69" t="str">
        <f t="shared" si="16"/>
        <v>Irán</v>
      </c>
      <c r="AQ63" s="69" t="str">
        <f t="shared" si="17"/>
        <v>Costa de Marfil</v>
      </c>
      <c r="AR63" s="69" t="str">
        <f t="shared" si="18"/>
        <v>Paraguay</v>
      </c>
      <c r="AS63" s="69" t="e">
        <f t="shared" si="19"/>
        <v>#N/A</v>
      </c>
      <c r="AT63" s="69" t="str">
        <f t="shared" si="20"/>
        <v>Suecia</v>
      </c>
      <c r="AU63" s="69" t="str">
        <f t="shared" si="21"/>
        <v>Senegal</v>
      </c>
      <c r="AV63" s="69" t="e">
        <f t="shared" si="22"/>
        <v>#N/A</v>
      </c>
    </row>
    <row r="64" spans="24:48" x14ac:dyDescent="0.2">
      <c r="X64" s="64" t="str">
        <f t="shared" si="23"/>
        <v/>
      </c>
      <c r="Y64" s="68" t="s">
        <v>27</v>
      </c>
      <c r="Z64" s="68" t="s">
        <v>14</v>
      </c>
      <c r="AA64" s="68" t="s">
        <v>13</v>
      </c>
      <c r="AB64" s="68" t="s">
        <v>28</v>
      </c>
      <c r="AC64" s="68" t="s">
        <v>32</v>
      </c>
      <c r="AD64" s="68" t="s">
        <v>31</v>
      </c>
      <c r="AE64" s="68" t="s">
        <v>15</v>
      </c>
      <c r="AF64" s="68" t="s">
        <v>184</v>
      </c>
      <c r="AG64">
        <f t="shared" si="24"/>
        <v>1</v>
      </c>
      <c r="AH64">
        <f t="shared" si="8"/>
        <v>1</v>
      </c>
      <c r="AI64">
        <f t="shared" si="9"/>
        <v>0</v>
      </c>
      <c r="AJ64">
        <f t="shared" si="10"/>
        <v>1</v>
      </c>
      <c r="AK64">
        <f t="shared" si="11"/>
        <v>0</v>
      </c>
      <c r="AL64">
        <f t="shared" si="12"/>
        <v>1</v>
      </c>
      <c r="AM64">
        <f t="shared" si="13"/>
        <v>1</v>
      </c>
      <c r="AN64">
        <f t="shared" si="14"/>
        <v>1</v>
      </c>
      <c r="AO64" s="69" t="str">
        <f t="shared" si="15"/>
        <v>Marruecos</v>
      </c>
      <c r="AP64" s="69" t="str">
        <f t="shared" si="16"/>
        <v>Irán</v>
      </c>
      <c r="AQ64" s="69" t="e">
        <f t="shared" si="17"/>
        <v>#N/A</v>
      </c>
      <c r="AR64" s="69" t="str">
        <f t="shared" si="18"/>
        <v>Paraguay</v>
      </c>
      <c r="AS64" s="69" t="e">
        <f t="shared" si="19"/>
        <v>#N/A</v>
      </c>
      <c r="AT64" s="69" t="str">
        <f t="shared" si="20"/>
        <v>Suecia</v>
      </c>
      <c r="AU64" s="69" t="str">
        <f t="shared" si="21"/>
        <v>Costa de Marfil</v>
      </c>
      <c r="AV64" s="69" t="str">
        <f t="shared" si="22"/>
        <v>Senegal</v>
      </c>
    </row>
    <row r="65" spans="24:48" x14ac:dyDescent="0.2">
      <c r="X65" s="64" t="str">
        <f t="shared" si="23"/>
        <v/>
      </c>
      <c r="Y65" s="68" t="s">
        <v>32</v>
      </c>
      <c r="Z65" s="68" t="s">
        <v>13</v>
      </c>
      <c r="AA65" s="68" t="s">
        <v>26</v>
      </c>
      <c r="AB65" s="68" t="s">
        <v>31</v>
      </c>
      <c r="AC65" s="68" t="s">
        <v>184</v>
      </c>
      <c r="AD65" s="68" t="s">
        <v>14</v>
      </c>
      <c r="AE65" s="68" t="s">
        <v>186</v>
      </c>
      <c r="AF65" s="68" t="s">
        <v>185</v>
      </c>
      <c r="AG65">
        <f t="shared" si="24"/>
        <v>0</v>
      </c>
      <c r="AH65">
        <f t="shared" si="8"/>
        <v>0</v>
      </c>
      <c r="AI65">
        <f t="shared" si="9"/>
        <v>1</v>
      </c>
      <c r="AJ65">
        <f t="shared" si="10"/>
        <v>1</v>
      </c>
      <c r="AK65">
        <f t="shared" si="11"/>
        <v>1</v>
      </c>
      <c r="AL65">
        <f t="shared" si="12"/>
        <v>1</v>
      </c>
      <c r="AM65">
        <f t="shared" si="13"/>
        <v>0</v>
      </c>
      <c r="AN65">
        <f t="shared" si="14"/>
        <v>0</v>
      </c>
      <c r="AO65" s="69" t="e">
        <f t="shared" si="15"/>
        <v>#N/A</v>
      </c>
      <c r="AP65" s="69" t="e">
        <f t="shared" si="16"/>
        <v>#N/A</v>
      </c>
      <c r="AQ65" s="69" t="str">
        <f t="shared" si="17"/>
        <v>Bosnia</v>
      </c>
      <c r="AR65" s="69" t="str">
        <f t="shared" si="18"/>
        <v>Suecia</v>
      </c>
      <c r="AS65" s="69" t="str">
        <f t="shared" si="19"/>
        <v>Senegal</v>
      </c>
      <c r="AT65" s="69" t="str">
        <f t="shared" si="20"/>
        <v>Irán</v>
      </c>
      <c r="AU65" s="69" t="e">
        <f t="shared" si="21"/>
        <v>#N/A</v>
      </c>
      <c r="AV65" s="69" t="e">
        <f t="shared" si="22"/>
        <v>#N/A</v>
      </c>
    </row>
    <row r="66" spans="24:48" x14ac:dyDescent="0.2">
      <c r="X66" s="64" t="str">
        <f t="shared" si="23"/>
        <v/>
      </c>
      <c r="Y66" s="68" t="s">
        <v>15</v>
      </c>
      <c r="Z66" s="68" t="s">
        <v>13</v>
      </c>
      <c r="AA66" s="68" t="s">
        <v>184</v>
      </c>
      <c r="AB66" s="68" t="s">
        <v>26</v>
      </c>
      <c r="AC66" s="68" t="s">
        <v>32</v>
      </c>
      <c r="AD66" s="68" t="s">
        <v>14</v>
      </c>
      <c r="AE66" s="68" t="s">
        <v>186</v>
      </c>
      <c r="AF66" s="68" t="s">
        <v>185</v>
      </c>
      <c r="AG66">
        <f t="shared" si="24"/>
        <v>1</v>
      </c>
      <c r="AH66">
        <f t="shared" si="8"/>
        <v>0</v>
      </c>
      <c r="AI66">
        <f t="shared" si="9"/>
        <v>1</v>
      </c>
      <c r="AJ66">
        <f t="shared" si="10"/>
        <v>1</v>
      </c>
      <c r="AK66">
        <f t="shared" si="11"/>
        <v>0</v>
      </c>
      <c r="AL66">
        <f t="shared" si="12"/>
        <v>1</v>
      </c>
      <c r="AM66">
        <f t="shared" si="13"/>
        <v>0</v>
      </c>
      <c r="AN66">
        <f t="shared" si="14"/>
        <v>0</v>
      </c>
      <c r="AO66" s="69" t="str">
        <f t="shared" si="15"/>
        <v>Costa de Marfil</v>
      </c>
      <c r="AP66" s="69" t="e">
        <f t="shared" si="16"/>
        <v>#N/A</v>
      </c>
      <c r="AQ66" s="69" t="str">
        <f t="shared" si="17"/>
        <v>Senegal</v>
      </c>
      <c r="AR66" s="69" t="str">
        <f t="shared" si="18"/>
        <v>Bosnia</v>
      </c>
      <c r="AS66" s="69" t="e">
        <f t="shared" si="19"/>
        <v>#N/A</v>
      </c>
      <c r="AT66" s="69" t="str">
        <f t="shared" si="20"/>
        <v>Irán</v>
      </c>
      <c r="AU66" s="69" t="e">
        <f t="shared" si="21"/>
        <v>#N/A</v>
      </c>
      <c r="AV66" s="69" t="e">
        <f t="shared" si="22"/>
        <v>#N/A</v>
      </c>
    </row>
    <row r="67" spans="24:48" x14ac:dyDescent="0.2">
      <c r="X67" s="64" t="str">
        <f t="shared" si="23"/>
        <v/>
      </c>
      <c r="Y67" s="68" t="s">
        <v>15</v>
      </c>
      <c r="Z67" s="68" t="s">
        <v>13</v>
      </c>
      <c r="AA67" s="68" t="s">
        <v>26</v>
      </c>
      <c r="AB67" s="68" t="s">
        <v>31</v>
      </c>
      <c r="AC67" s="68" t="s">
        <v>184</v>
      </c>
      <c r="AD67" s="68" t="s">
        <v>32</v>
      </c>
      <c r="AE67" s="68" t="s">
        <v>186</v>
      </c>
      <c r="AF67" s="68" t="s">
        <v>185</v>
      </c>
      <c r="AG67">
        <f t="shared" si="24"/>
        <v>1</v>
      </c>
      <c r="AH67">
        <f t="shared" si="8"/>
        <v>0</v>
      </c>
      <c r="AI67">
        <f t="shared" si="9"/>
        <v>1</v>
      </c>
      <c r="AJ67">
        <f t="shared" si="10"/>
        <v>1</v>
      </c>
      <c r="AK67">
        <f t="shared" si="11"/>
        <v>1</v>
      </c>
      <c r="AL67">
        <f t="shared" si="12"/>
        <v>0</v>
      </c>
      <c r="AM67">
        <f t="shared" si="13"/>
        <v>0</v>
      </c>
      <c r="AN67">
        <f t="shared" si="14"/>
        <v>0</v>
      </c>
      <c r="AO67" s="69" t="str">
        <f t="shared" si="15"/>
        <v>Costa de Marfil</v>
      </c>
      <c r="AP67" s="69" t="e">
        <f t="shared" si="16"/>
        <v>#N/A</v>
      </c>
      <c r="AQ67" s="69" t="str">
        <f t="shared" si="17"/>
        <v>Bosnia</v>
      </c>
      <c r="AR67" s="69" t="str">
        <f t="shared" si="18"/>
        <v>Suecia</v>
      </c>
      <c r="AS67" s="69" t="str">
        <f t="shared" si="19"/>
        <v>Senegal</v>
      </c>
      <c r="AT67" s="69" t="e">
        <f t="shared" si="20"/>
        <v>#N/A</v>
      </c>
      <c r="AU67" s="69" t="e">
        <f t="shared" si="21"/>
        <v>#N/A</v>
      </c>
      <c r="AV67" s="69" t="e">
        <f t="shared" si="22"/>
        <v>#N/A</v>
      </c>
    </row>
    <row r="68" spans="24:48" x14ac:dyDescent="0.2">
      <c r="X68" s="64" t="str">
        <f t="shared" si="23"/>
        <v/>
      </c>
      <c r="Y68" s="68" t="s">
        <v>15</v>
      </c>
      <c r="Z68" s="68" t="s">
        <v>13</v>
      </c>
      <c r="AA68" s="68" t="s">
        <v>26</v>
      </c>
      <c r="AB68" s="68" t="s">
        <v>31</v>
      </c>
      <c r="AC68" s="68" t="s">
        <v>184</v>
      </c>
      <c r="AD68" s="68" t="s">
        <v>14</v>
      </c>
      <c r="AE68" s="68" t="s">
        <v>186</v>
      </c>
      <c r="AF68" s="68" t="s">
        <v>185</v>
      </c>
      <c r="AG68">
        <f t="shared" si="24"/>
        <v>1</v>
      </c>
      <c r="AH68">
        <f t="shared" si="8"/>
        <v>0</v>
      </c>
      <c r="AI68">
        <f t="shared" si="9"/>
        <v>1</v>
      </c>
      <c r="AJ68">
        <f t="shared" si="10"/>
        <v>1</v>
      </c>
      <c r="AK68">
        <f t="shared" si="11"/>
        <v>1</v>
      </c>
      <c r="AL68">
        <f t="shared" si="12"/>
        <v>1</v>
      </c>
      <c r="AM68">
        <f t="shared" si="13"/>
        <v>0</v>
      </c>
      <c r="AN68">
        <f t="shared" si="14"/>
        <v>0</v>
      </c>
      <c r="AO68" s="69" t="str">
        <f t="shared" si="15"/>
        <v>Costa de Marfil</v>
      </c>
      <c r="AP68" s="69" t="e">
        <f t="shared" si="16"/>
        <v>#N/A</v>
      </c>
      <c r="AQ68" s="69" t="str">
        <f t="shared" si="17"/>
        <v>Bosnia</v>
      </c>
      <c r="AR68" s="69" t="str">
        <f t="shared" si="18"/>
        <v>Suecia</v>
      </c>
      <c r="AS68" s="69" t="str">
        <f t="shared" si="19"/>
        <v>Senegal</v>
      </c>
      <c r="AT68" s="69" t="str">
        <f t="shared" si="20"/>
        <v>Irán</v>
      </c>
      <c r="AU68" s="69" t="e">
        <f t="shared" si="21"/>
        <v>#N/A</v>
      </c>
      <c r="AV68" s="69" t="e">
        <f t="shared" si="22"/>
        <v>#N/A</v>
      </c>
    </row>
    <row r="69" spans="24:48" x14ac:dyDescent="0.2">
      <c r="X69" s="64" t="str">
        <f t="shared" si="23"/>
        <v/>
      </c>
      <c r="Y69" s="68" t="s">
        <v>15</v>
      </c>
      <c r="Z69" s="68" t="s">
        <v>13</v>
      </c>
      <c r="AA69" s="68" t="s">
        <v>26</v>
      </c>
      <c r="AB69" s="68" t="s">
        <v>31</v>
      </c>
      <c r="AC69" s="68" t="s">
        <v>32</v>
      </c>
      <c r="AD69" s="68" t="s">
        <v>14</v>
      </c>
      <c r="AE69" s="68" t="s">
        <v>186</v>
      </c>
      <c r="AF69" s="68" t="s">
        <v>185</v>
      </c>
      <c r="AG69">
        <f t="shared" si="24"/>
        <v>1</v>
      </c>
      <c r="AH69">
        <f t="shared" si="8"/>
        <v>0</v>
      </c>
      <c r="AI69">
        <f t="shared" si="9"/>
        <v>1</v>
      </c>
      <c r="AJ69">
        <f t="shared" si="10"/>
        <v>1</v>
      </c>
      <c r="AK69">
        <f t="shared" si="11"/>
        <v>0</v>
      </c>
      <c r="AL69">
        <f t="shared" si="12"/>
        <v>1</v>
      </c>
      <c r="AM69">
        <f t="shared" si="13"/>
        <v>0</v>
      </c>
      <c r="AN69">
        <f t="shared" si="14"/>
        <v>0</v>
      </c>
      <c r="AO69" s="69" t="str">
        <f t="shared" si="15"/>
        <v>Costa de Marfil</v>
      </c>
      <c r="AP69" s="69" t="e">
        <f t="shared" si="16"/>
        <v>#N/A</v>
      </c>
      <c r="AQ69" s="69" t="str">
        <f t="shared" si="17"/>
        <v>Bosnia</v>
      </c>
      <c r="AR69" s="69" t="str">
        <f t="shared" si="18"/>
        <v>Suecia</v>
      </c>
      <c r="AS69" s="69" t="e">
        <f t="shared" si="19"/>
        <v>#N/A</v>
      </c>
      <c r="AT69" s="69" t="str">
        <f t="shared" si="20"/>
        <v>Irán</v>
      </c>
      <c r="AU69" s="69" t="e">
        <f t="shared" si="21"/>
        <v>#N/A</v>
      </c>
      <c r="AV69" s="69" t="e">
        <f t="shared" si="22"/>
        <v>#N/A</v>
      </c>
    </row>
    <row r="70" spans="24:48" x14ac:dyDescent="0.2">
      <c r="X70" s="64" t="str">
        <f t="shared" si="23"/>
        <v/>
      </c>
      <c r="Y70" s="68" t="s">
        <v>15</v>
      </c>
      <c r="Z70" s="68" t="s">
        <v>14</v>
      </c>
      <c r="AA70" s="68" t="s">
        <v>26</v>
      </c>
      <c r="AB70" s="68" t="s">
        <v>31</v>
      </c>
      <c r="AC70" s="68" t="s">
        <v>184</v>
      </c>
      <c r="AD70" s="68" t="s">
        <v>32</v>
      </c>
      <c r="AE70" s="68" t="s">
        <v>186</v>
      </c>
      <c r="AF70" s="68" t="s">
        <v>185</v>
      </c>
      <c r="AG70">
        <f t="shared" si="24"/>
        <v>1</v>
      </c>
      <c r="AH70">
        <f t="shared" si="8"/>
        <v>1</v>
      </c>
      <c r="AI70">
        <f t="shared" si="9"/>
        <v>1</v>
      </c>
      <c r="AJ70">
        <f t="shared" si="10"/>
        <v>1</v>
      </c>
      <c r="AK70">
        <f t="shared" si="11"/>
        <v>1</v>
      </c>
      <c r="AL70">
        <f t="shared" si="12"/>
        <v>0</v>
      </c>
      <c r="AM70">
        <f t="shared" si="13"/>
        <v>0</v>
      </c>
      <c r="AN70">
        <f t="shared" si="14"/>
        <v>0</v>
      </c>
      <c r="AO70" s="69" t="str">
        <f t="shared" si="15"/>
        <v>Costa de Marfil</v>
      </c>
      <c r="AP70" s="69" t="str">
        <f t="shared" si="16"/>
        <v>Irán</v>
      </c>
      <c r="AQ70" s="69" t="str">
        <f t="shared" si="17"/>
        <v>Bosnia</v>
      </c>
      <c r="AR70" s="69" t="str">
        <f t="shared" si="18"/>
        <v>Suecia</v>
      </c>
      <c r="AS70" s="69" t="str">
        <f t="shared" si="19"/>
        <v>Senegal</v>
      </c>
      <c r="AT70" s="69" t="e">
        <f t="shared" si="20"/>
        <v>#N/A</v>
      </c>
      <c r="AU70" s="69" t="e">
        <f t="shared" si="21"/>
        <v>#N/A</v>
      </c>
      <c r="AV70" s="69" t="e">
        <f t="shared" si="22"/>
        <v>#N/A</v>
      </c>
    </row>
    <row r="71" spans="24:48" x14ac:dyDescent="0.2">
      <c r="X71" s="64" t="str">
        <f t="shared" si="23"/>
        <v/>
      </c>
      <c r="Y71" s="68" t="s">
        <v>15</v>
      </c>
      <c r="Z71" s="68" t="s">
        <v>13</v>
      </c>
      <c r="AA71" s="68" t="s">
        <v>26</v>
      </c>
      <c r="AB71" s="68" t="s">
        <v>31</v>
      </c>
      <c r="AC71" s="68" t="s">
        <v>32</v>
      </c>
      <c r="AD71" s="68" t="s">
        <v>14</v>
      </c>
      <c r="AE71" s="68" t="s">
        <v>186</v>
      </c>
      <c r="AF71" s="68" t="s">
        <v>184</v>
      </c>
      <c r="AG71">
        <f t="shared" si="24"/>
        <v>1</v>
      </c>
      <c r="AH71">
        <f t="shared" si="8"/>
        <v>0</v>
      </c>
      <c r="AI71">
        <f t="shared" si="9"/>
        <v>1</v>
      </c>
      <c r="AJ71">
        <f t="shared" si="10"/>
        <v>1</v>
      </c>
      <c r="AK71">
        <f t="shared" si="11"/>
        <v>0</v>
      </c>
      <c r="AL71">
        <f t="shared" si="12"/>
        <v>1</v>
      </c>
      <c r="AM71">
        <f t="shared" si="13"/>
        <v>0</v>
      </c>
      <c r="AN71">
        <f t="shared" si="14"/>
        <v>1</v>
      </c>
      <c r="AO71" s="69" t="str">
        <f t="shared" si="15"/>
        <v>Costa de Marfil</v>
      </c>
      <c r="AP71" s="69" t="e">
        <f t="shared" si="16"/>
        <v>#N/A</v>
      </c>
      <c r="AQ71" s="69" t="str">
        <f t="shared" si="17"/>
        <v>Bosnia</v>
      </c>
      <c r="AR71" s="69" t="str">
        <f t="shared" si="18"/>
        <v>Suecia</v>
      </c>
      <c r="AS71" s="69" t="e">
        <f t="shared" si="19"/>
        <v>#N/A</v>
      </c>
      <c r="AT71" s="69" t="str">
        <f t="shared" si="20"/>
        <v>Irán</v>
      </c>
      <c r="AU71" s="69" t="e">
        <f t="shared" si="21"/>
        <v>#N/A</v>
      </c>
      <c r="AV71" s="69" t="str">
        <f t="shared" si="22"/>
        <v>Senegal</v>
      </c>
    </row>
    <row r="72" spans="24:48" x14ac:dyDescent="0.2">
      <c r="X72" s="64" t="str">
        <f t="shared" si="23"/>
        <v/>
      </c>
      <c r="Y72" s="68" t="s">
        <v>15</v>
      </c>
      <c r="Z72" s="68" t="s">
        <v>13</v>
      </c>
      <c r="AA72" s="68" t="s">
        <v>26</v>
      </c>
      <c r="AB72" s="68" t="s">
        <v>31</v>
      </c>
      <c r="AC72" s="68" t="s">
        <v>32</v>
      </c>
      <c r="AD72" s="68" t="s">
        <v>14</v>
      </c>
      <c r="AE72" s="68" t="s">
        <v>184</v>
      </c>
      <c r="AF72" s="68" t="s">
        <v>185</v>
      </c>
      <c r="AG72">
        <f t="shared" si="24"/>
        <v>1</v>
      </c>
      <c r="AH72">
        <f t="shared" si="8"/>
        <v>0</v>
      </c>
      <c r="AI72">
        <f t="shared" si="9"/>
        <v>1</v>
      </c>
      <c r="AJ72">
        <f t="shared" si="10"/>
        <v>1</v>
      </c>
      <c r="AK72">
        <f t="shared" si="11"/>
        <v>0</v>
      </c>
      <c r="AL72">
        <f t="shared" si="12"/>
        <v>1</v>
      </c>
      <c r="AM72">
        <f t="shared" si="13"/>
        <v>1</v>
      </c>
      <c r="AN72">
        <f t="shared" si="14"/>
        <v>0</v>
      </c>
      <c r="AO72" s="69" t="str">
        <f t="shared" si="15"/>
        <v>Costa de Marfil</v>
      </c>
      <c r="AP72" s="69" t="e">
        <f t="shared" si="16"/>
        <v>#N/A</v>
      </c>
      <c r="AQ72" s="69" t="str">
        <f t="shared" si="17"/>
        <v>Bosnia</v>
      </c>
      <c r="AR72" s="69" t="str">
        <f t="shared" si="18"/>
        <v>Suecia</v>
      </c>
      <c r="AS72" s="69" t="e">
        <f t="shared" si="19"/>
        <v>#N/A</v>
      </c>
      <c r="AT72" s="69" t="str">
        <f t="shared" si="20"/>
        <v>Irán</v>
      </c>
      <c r="AU72" s="69" t="str">
        <f t="shared" si="21"/>
        <v>Senegal</v>
      </c>
      <c r="AV72" s="69" t="e">
        <f t="shared" si="22"/>
        <v>#N/A</v>
      </c>
    </row>
    <row r="73" spans="24:48" x14ac:dyDescent="0.2">
      <c r="X73" s="64" t="str">
        <f t="shared" si="23"/>
        <v/>
      </c>
      <c r="Y73" s="68" t="s">
        <v>32</v>
      </c>
      <c r="Z73" s="68" t="s">
        <v>13</v>
      </c>
      <c r="AA73" s="68" t="s">
        <v>26</v>
      </c>
      <c r="AB73" s="68" t="s">
        <v>28</v>
      </c>
      <c r="AC73" s="68" t="s">
        <v>184</v>
      </c>
      <c r="AD73" s="68" t="s">
        <v>14</v>
      </c>
      <c r="AE73" s="68" t="s">
        <v>186</v>
      </c>
      <c r="AF73" s="68" t="s">
        <v>185</v>
      </c>
      <c r="AG73">
        <f t="shared" si="24"/>
        <v>0</v>
      </c>
      <c r="AH73">
        <f t="shared" si="8"/>
        <v>0</v>
      </c>
      <c r="AI73">
        <f t="shared" si="9"/>
        <v>1</v>
      </c>
      <c r="AJ73">
        <f t="shared" si="10"/>
        <v>1</v>
      </c>
      <c r="AK73">
        <f t="shared" si="11"/>
        <v>1</v>
      </c>
      <c r="AL73">
        <f t="shared" si="12"/>
        <v>1</v>
      </c>
      <c r="AM73">
        <f t="shared" si="13"/>
        <v>0</v>
      </c>
      <c r="AN73">
        <f t="shared" si="14"/>
        <v>0</v>
      </c>
      <c r="AO73" s="69" t="e">
        <f t="shared" si="15"/>
        <v>#N/A</v>
      </c>
      <c r="AP73" s="69" t="e">
        <f t="shared" si="16"/>
        <v>#N/A</v>
      </c>
      <c r="AQ73" s="69" t="str">
        <f t="shared" si="17"/>
        <v>Bosnia</v>
      </c>
      <c r="AR73" s="69" t="str">
        <f t="shared" si="18"/>
        <v>Paraguay</v>
      </c>
      <c r="AS73" s="69" t="str">
        <f t="shared" si="19"/>
        <v>Senegal</v>
      </c>
      <c r="AT73" s="69" t="str">
        <f t="shared" si="20"/>
        <v>Irán</v>
      </c>
      <c r="AU73" s="69" t="e">
        <f t="shared" si="21"/>
        <v>#N/A</v>
      </c>
      <c r="AV73" s="69" t="e">
        <f t="shared" si="22"/>
        <v>#N/A</v>
      </c>
    </row>
    <row r="74" spans="24:48" x14ac:dyDescent="0.2">
      <c r="X74" s="64" t="str">
        <f t="shared" si="23"/>
        <v/>
      </c>
      <c r="Y74" s="68" t="s">
        <v>32</v>
      </c>
      <c r="Z74" s="68" t="s">
        <v>13</v>
      </c>
      <c r="AA74" s="68" t="s">
        <v>26</v>
      </c>
      <c r="AB74" s="68" t="s">
        <v>28</v>
      </c>
      <c r="AC74" s="68" t="s">
        <v>184</v>
      </c>
      <c r="AD74" s="68" t="s">
        <v>31</v>
      </c>
      <c r="AE74" s="68" t="s">
        <v>186</v>
      </c>
      <c r="AF74" s="68" t="s">
        <v>185</v>
      </c>
      <c r="AG74">
        <f t="shared" si="24"/>
        <v>0</v>
      </c>
      <c r="AH74">
        <f t="shared" si="8"/>
        <v>0</v>
      </c>
      <c r="AI74">
        <f t="shared" si="9"/>
        <v>1</v>
      </c>
      <c r="AJ74">
        <f t="shared" si="10"/>
        <v>1</v>
      </c>
      <c r="AK74">
        <f t="shared" si="11"/>
        <v>1</v>
      </c>
      <c r="AL74">
        <f t="shared" si="12"/>
        <v>1</v>
      </c>
      <c r="AM74">
        <f t="shared" si="13"/>
        <v>0</v>
      </c>
      <c r="AN74">
        <f t="shared" si="14"/>
        <v>0</v>
      </c>
      <c r="AO74" s="69" t="e">
        <f t="shared" si="15"/>
        <v>#N/A</v>
      </c>
      <c r="AP74" s="69" t="e">
        <f t="shared" si="16"/>
        <v>#N/A</v>
      </c>
      <c r="AQ74" s="69" t="str">
        <f t="shared" si="17"/>
        <v>Bosnia</v>
      </c>
      <c r="AR74" s="69" t="str">
        <f t="shared" si="18"/>
        <v>Paraguay</v>
      </c>
      <c r="AS74" s="69" t="str">
        <f t="shared" si="19"/>
        <v>Senegal</v>
      </c>
      <c r="AT74" s="69" t="str">
        <f t="shared" si="20"/>
        <v>Suecia</v>
      </c>
      <c r="AU74" s="69" t="e">
        <f t="shared" si="21"/>
        <v>#N/A</v>
      </c>
      <c r="AV74" s="69" t="e">
        <f t="shared" si="22"/>
        <v>#N/A</v>
      </c>
    </row>
    <row r="75" spans="24:48" x14ac:dyDescent="0.2">
      <c r="X75" s="64" t="str">
        <f t="shared" si="23"/>
        <v/>
      </c>
      <c r="Y75" s="68" t="s">
        <v>184</v>
      </c>
      <c r="Z75" s="68" t="s">
        <v>14</v>
      </c>
      <c r="AA75" s="68" t="s">
        <v>26</v>
      </c>
      <c r="AB75" s="68" t="s">
        <v>28</v>
      </c>
      <c r="AC75" s="68" t="s">
        <v>13</v>
      </c>
      <c r="AD75" s="68" t="s">
        <v>31</v>
      </c>
      <c r="AE75" s="68" t="s">
        <v>186</v>
      </c>
      <c r="AF75" s="68" t="s">
        <v>185</v>
      </c>
      <c r="AG75">
        <f t="shared" si="24"/>
        <v>1</v>
      </c>
      <c r="AH75">
        <f t="shared" si="8"/>
        <v>1</v>
      </c>
      <c r="AI75">
        <f t="shared" si="9"/>
        <v>1</v>
      </c>
      <c r="AJ75">
        <f t="shared" si="10"/>
        <v>1</v>
      </c>
      <c r="AK75">
        <f t="shared" si="11"/>
        <v>0</v>
      </c>
      <c r="AL75">
        <f t="shared" si="12"/>
        <v>1</v>
      </c>
      <c r="AM75">
        <f t="shared" si="13"/>
        <v>0</v>
      </c>
      <c r="AN75">
        <f t="shared" si="14"/>
        <v>0</v>
      </c>
      <c r="AO75" s="69" t="str">
        <f t="shared" si="15"/>
        <v>Senegal</v>
      </c>
      <c r="AP75" s="69" t="str">
        <f t="shared" si="16"/>
        <v>Irán</v>
      </c>
      <c r="AQ75" s="69" t="str">
        <f t="shared" si="17"/>
        <v>Bosnia</v>
      </c>
      <c r="AR75" s="69" t="str">
        <f t="shared" si="18"/>
        <v>Paraguay</v>
      </c>
      <c r="AS75" s="69" t="e">
        <f t="shared" si="19"/>
        <v>#N/A</v>
      </c>
      <c r="AT75" s="69" t="str">
        <f t="shared" si="20"/>
        <v>Suecia</v>
      </c>
      <c r="AU75" s="69" t="e">
        <f t="shared" si="21"/>
        <v>#N/A</v>
      </c>
      <c r="AV75" s="69" t="e">
        <f t="shared" si="22"/>
        <v>#N/A</v>
      </c>
    </row>
    <row r="76" spans="24:48" x14ac:dyDescent="0.2">
      <c r="X76" s="64" t="str">
        <f t="shared" si="23"/>
        <v/>
      </c>
      <c r="Y76" s="68" t="s">
        <v>32</v>
      </c>
      <c r="Z76" s="68" t="s">
        <v>14</v>
      </c>
      <c r="AA76" s="68" t="s">
        <v>26</v>
      </c>
      <c r="AB76" s="68" t="s">
        <v>28</v>
      </c>
      <c r="AC76" s="68" t="s">
        <v>13</v>
      </c>
      <c r="AD76" s="68" t="s">
        <v>31</v>
      </c>
      <c r="AE76" s="68" t="s">
        <v>186</v>
      </c>
      <c r="AF76" s="68" t="s">
        <v>185</v>
      </c>
      <c r="AG76">
        <f t="shared" si="24"/>
        <v>0</v>
      </c>
      <c r="AH76">
        <f t="shared" si="8"/>
        <v>1</v>
      </c>
      <c r="AI76">
        <f t="shared" si="9"/>
        <v>1</v>
      </c>
      <c r="AJ76">
        <f t="shared" si="10"/>
        <v>1</v>
      </c>
      <c r="AK76">
        <f t="shared" si="11"/>
        <v>0</v>
      </c>
      <c r="AL76">
        <f t="shared" si="12"/>
        <v>1</v>
      </c>
      <c r="AM76">
        <f t="shared" si="13"/>
        <v>0</v>
      </c>
      <c r="AN76">
        <f t="shared" si="14"/>
        <v>0</v>
      </c>
      <c r="AO76" s="69" t="e">
        <f t="shared" si="15"/>
        <v>#N/A</v>
      </c>
      <c r="AP76" s="69" t="str">
        <f t="shared" si="16"/>
        <v>Irán</v>
      </c>
      <c r="AQ76" s="69" t="str">
        <f t="shared" si="17"/>
        <v>Bosnia</v>
      </c>
      <c r="AR76" s="69" t="str">
        <f t="shared" si="18"/>
        <v>Paraguay</v>
      </c>
      <c r="AS76" s="69" t="e">
        <f t="shared" si="19"/>
        <v>#N/A</v>
      </c>
      <c r="AT76" s="69" t="str">
        <f t="shared" si="20"/>
        <v>Suecia</v>
      </c>
      <c r="AU76" s="69" t="e">
        <f t="shared" si="21"/>
        <v>#N/A</v>
      </c>
      <c r="AV76" s="69" t="e">
        <f t="shared" si="22"/>
        <v>#N/A</v>
      </c>
    </row>
    <row r="77" spans="24:48" x14ac:dyDescent="0.2">
      <c r="X77" s="64" t="str">
        <f t="shared" si="23"/>
        <v/>
      </c>
      <c r="Y77" s="68" t="s">
        <v>32</v>
      </c>
      <c r="Z77" s="68" t="s">
        <v>14</v>
      </c>
      <c r="AA77" s="68" t="s">
        <v>26</v>
      </c>
      <c r="AB77" s="68" t="s">
        <v>28</v>
      </c>
      <c r="AC77" s="68" t="s">
        <v>184</v>
      </c>
      <c r="AD77" s="68" t="s">
        <v>31</v>
      </c>
      <c r="AE77" s="68" t="s">
        <v>186</v>
      </c>
      <c r="AF77" s="68" t="s">
        <v>185</v>
      </c>
      <c r="AG77">
        <f t="shared" si="24"/>
        <v>0</v>
      </c>
      <c r="AH77">
        <f t="shared" si="8"/>
        <v>1</v>
      </c>
      <c r="AI77">
        <f t="shared" si="9"/>
        <v>1</v>
      </c>
      <c r="AJ77">
        <f t="shared" si="10"/>
        <v>1</v>
      </c>
      <c r="AK77">
        <f t="shared" si="11"/>
        <v>1</v>
      </c>
      <c r="AL77">
        <f t="shared" si="12"/>
        <v>1</v>
      </c>
      <c r="AM77">
        <f t="shared" si="13"/>
        <v>0</v>
      </c>
      <c r="AN77">
        <f t="shared" si="14"/>
        <v>0</v>
      </c>
      <c r="AO77" s="69" t="e">
        <f t="shared" si="15"/>
        <v>#N/A</v>
      </c>
      <c r="AP77" s="69" t="str">
        <f t="shared" si="16"/>
        <v>Irán</v>
      </c>
      <c r="AQ77" s="69" t="str">
        <f t="shared" si="17"/>
        <v>Bosnia</v>
      </c>
      <c r="AR77" s="69" t="str">
        <f t="shared" si="18"/>
        <v>Paraguay</v>
      </c>
      <c r="AS77" s="69" t="str">
        <f t="shared" si="19"/>
        <v>Senegal</v>
      </c>
      <c r="AT77" s="69" t="str">
        <f t="shared" si="20"/>
        <v>Suecia</v>
      </c>
      <c r="AU77" s="69" t="e">
        <f t="shared" si="21"/>
        <v>#N/A</v>
      </c>
      <c r="AV77" s="69" t="e">
        <f t="shared" si="22"/>
        <v>#N/A</v>
      </c>
    </row>
    <row r="78" spans="24:48" x14ac:dyDescent="0.2">
      <c r="X78" s="64" t="str">
        <f t="shared" si="23"/>
        <v/>
      </c>
      <c r="Y78" s="68" t="s">
        <v>32</v>
      </c>
      <c r="Z78" s="68" t="s">
        <v>14</v>
      </c>
      <c r="AA78" s="68" t="s">
        <v>26</v>
      </c>
      <c r="AB78" s="68" t="s">
        <v>28</v>
      </c>
      <c r="AC78" s="68" t="s">
        <v>13</v>
      </c>
      <c r="AD78" s="68" t="s">
        <v>31</v>
      </c>
      <c r="AE78" s="68" t="s">
        <v>186</v>
      </c>
      <c r="AF78" s="68" t="s">
        <v>184</v>
      </c>
      <c r="AG78">
        <f t="shared" si="24"/>
        <v>0</v>
      </c>
      <c r="AH78">
        <f t="shared" si="8"/>
        <v>1</v>
      </c>
      <c r="AI78">
        <f t="shared" si="9"/>
        <v>1</v>
      </c>
      <c r="AJ78">
        <f t="shared" si="10"/>
        <v>1</v>
      </c>
      <c r="AK78">
        <f t="shared" si="11"/>
        <v>0</v>
      </c>
      <c r="AL78">
        <f t="shared" si="12"/>
        <v>1</v>
      </c>
      <c r="AM78">
        <f t="shared" si="13"/>
        <v>0</v>
      </c>
      <c r="AN78">
        <f t="shared" si="14"/>
        <v>1</v>
      </c>
      <c r="AO78" s="69" t="e">
        <f t="shared" si="15"/>
        <v>#N/A</v>
      </c>
      <c r="AP78" s="69" t="str">
        <f t="shared" si="16"/>
        <v>Irán</v>
      </c>
      <c r="AQ78" s="69" t="str">
        <f t="shared" si="17"/>
        <v>Bosnia</v>
      </c>
      <c r="AR78" s="69" t="str">
        <f t="shared" si="18"/>
        <v>Paraguay</v>
      </c>
      <c r="AS78" s="69" t="e">
        <f t="shared" si="19"/>
        <v>#N/A</v>
      </c>
      <c r="AT78" s="69" t="str">
        <f t="shared" si="20"/>
        <v>Suecia</v>
      </c>
      <c r="AU78" s="69" t="e">
        <f t="shared" si="21"/>
        <v>#N/A</v>
      </c>
      <c r="AV78" s="69" t="str">
        <f t="shared" si="22"/>
        <v>Senegal</v>
      </c>
    </row>
    <row r="79" spans="24:48" x14ac:dyDescent="0.2">
      <c r="X79" s="64" t="str">
        <f t="shared" si="23"/>
        <v/>
      </c>
      <c r="Y79" s="68" t="s">
        <v>32</v>
      </c>
      <c r="Z79" s="68" t="s">
        <v>14</v>
      </c>
      <c r="AA79" s="68" t="s">
        <v>26</v>
      </c>
      <c r="AB79" s="68" t="s">
        <v>28</v>
      </c>
      <c r="AC79" s="68" t="s">
        <v>13</v>
      </c>
      <c r="AD79" s="68" t="s">
        <v>31</v>
      </c>
      <c r="AE79" s="68" t="s">
        <v>184</v>
      </c>
      <c r="AF79" s="68" t="s">
        <v>185</v>
      </c>
      <c r="AG79">
        <f t="shared" si="24"/>
        <v>0</v>
      </c>
      <c r="AH79">
        <f t="shared" si="8"/>
        <v>1</v>
      </c>
      <c r="AI79">
        <f t="shared" si="9"/>
        <v>1</v>
      </c>
      <c r="AJ79">
        <f t="shared" si="10"/>
        <v>1</v>
      </c>
      <c r="AK79">
        <f t="shared" si="11"/>
        <v>0</v>
      </c>
      <c r="AL79">
        <f t="shared" si="12"/>
        <v>1</v>
      </c>
      <c r="AM79">
        <f t="shared" si="13"/>
        <v>1</v>
      </c>
      <c r="AN79">
        <f t="shared" si="14"/>
        <v>0</v>
      </c>
      <c r="AO79" s="69" t="e">
        <f t="shared" si="15"/>
        <v>#N/A</v>
      </c>
      <c r="AP79" s="69" t="str">
        <f t="shared" si="16"/>
        <v>Irán</v>
      </c>
      <c r="AQ79" s="69" t="str">
        <f t="shared" si="17"/>
        <v>Bosnia</v>
      </c>
      <c r="AR79" s="69" t="str">
        <f t="shared" si="18"/>
        <v>Paraguay</v>
      </c>
      <c r="AS79" s="69" t="e">
        <f t="shared" si="19"/>
        <v>#N/A</v>
      </c>
      <c r="AT79" s="69" t="str">
        <f t="shared" si="20"/>
        <v>Suecia</v>
      </c>
      <c r="AU79" s="69" t="str">
        <f t="shared" si="21"/>
        <v>Senegal</v>
      </c>
      <c r="AV79" s="69" t="e">
        <f t="shared" si="22"/>
        <v>#N/A</v>
      </c>
    </row>
    <row r="80" spans="24:48" x14ac:dyDescent="0.2">
      <c r="X80" s="64" t="str">
        <f t="shared" si="23"/>
        <v/>
      </c>
      <c r="Y80" s="68" t="s">
        <v>15</v>
      </c>
      <c r="Z80" s="68" t="s">
        <v>13</v>
      </c>
      <c r="AA80" s="68" t="s">
        <v>26</v>
      </c>
      <c r="AB80" s="68" t="s">
        <v>28</v>
      </c>
      <c r="AC80" s="68" t="s">
        <v>184</v>
      </c>
      <c r="AD80" s="68" t="s">
        <v>32</v>
      </c>
      <c r="AE80" s="68" t="s">
        <v>186</v>
      </c>
      <c r="AF80" s="68" t="s">
        <v>185</v>
      </c>
      <c r="AG80">
        <f t="shared" si="24"/>
        <v>1</v>
      </c>
      <c r="AH80">
        <f t="shared" si="8"/>
        <v>0</v>
      </c>
      <c r="AI80">
        <f t="shared" si="9"/>
        <v>1</v>
      </c>
      <c r="AJ80">
        <f t="shared" si="10"/>
        <v>1</v>
      </c>
      <c r="AK80">
        <f t="shared" si="11"/>
        <v>1</v>
      </c>
      <c r="AL80">
        <f t="shared" si="12"/>
        <v>0</v>
      </c>
      <c r="AM80">
        <f t="shared" si="13"/>
        <v>0</v>
      </c>
      <c r="AN80">
        <f t="shared" si="14"/>
        <v>0</v>
      </c>
      <c r="AO80" s="69" t="str">
        <f t="shared" si="15"/>
        <v>Costa de Marfil</v>
      </c>
      <c r="AP80" s="69" t="e">
        <f t="shared" si="16"/>
        <v>#N/A</v>
      </c>
      <c r="AQ80" s="69" t="str">
        <f t="shared" si="17"/>
        <v>Bosnia</v>
      </c>
      <c r="AR80" s="69" t="str">
        <f t="shared" si="18"/>
        <v>Paraguay</v>
      </c>
      <c r="AS80" s="69" t="str">
        <f t="shared" si="19"/>
        <v>Senegal</v>
      </c>
      <c r="AT80" s="69" t="e">
        <f t="shared" si="20"/>
        <v>#N/A</v>
      </c>
      <c r="AU80" s="69" t="e">
        <f t="shared" si="21"/>
        <v>#N/A</v>
      </c>
      <c r="AV80" s="69" t="e">
        <f t="shared" si="22"/>
        <v>#N/A</v>
      </c>
    </row>
    <row r="81" spans="24:48" x14ac:dyDescent="0.2">
      <c r="X81" s="64" t="str">
        <f t="shared" si="23"/>
        <v/>
      </c>
      <c r="Y81" s="68" t="s">
        <v>15</v>
      </c>
      <c r="Z81" s="68" t="s">
        <v>13</v>
      </c>
      <c r="AA81" s="68" t="s">
        <v>26</v>
      </c>
      <c r="AB81" s="68" t="s">
        <v>28</v>
      </c>
      <c r="AC81" s="68" t="s">
        <v>184</v>
      </c>
      <c r="AD81" s="68" t="s">
        <v>14</v>
      </c>
      <c r="AE81" s="68" t="s">
        <v>186</v>
      </c>
      <c r="AF81" s="68" t="s">
        <v>185</v>
      </c>
      <c r="AG81">
        <f t="shared" si="24"/>
        <v>1</v>
      </c>
      <c r="AH81">
        <f t="shared" si="8"/>
        <v>0</v>
      </c>
      <c r="AI81">
        <f t="shared" si="9"/>
        <v>1</v>
      </c>
      <c r="AJ81">
        <f t="shared" si="10"/>
        <v>1</v>
      </c>
      <c r="AK81">
        <f t="shared" si="11"/>
        <v>1</v>
      </c>
      <c r="AL81">
        <f t="shared" si="12"/>
        <v>1</v>
      </c>
      <c r="AM81">
        <f t="shared" si="13"/>
        <v>0</v>
      </c>
      <c r="AN81">
        <f t="shared" si="14"/>
        <v>0</v>
      </c>
      <c r="AO81" s="69" t="str">
        <f t="shared" si="15"/>
        <v>Costa de Marfil</v>
      </c>
      <c r="AP81" s="69" t="e">
        <f t="shared" si="16"/>
        <v>#N/A</v>
      </c>
      <c r="AQ81" s="69" t="str">
        <f t="shared" si="17"/>
        <v>Bosnia</v>
      </c>
      <c r="AR81" s="69" t="str">
        <f t="shared" si="18"/>
        <v>Paraguay</v>
      </c>
      <c r="AS81" s="69" t="str">
        <f t="shared" si="19"/>
        <v>Senegal</v>
      </c>
      <c r="AT81" s="69" t="str">
        <f t="shared" si="20"/>
        <v>Irán</v>
      </c>
      <c r="AU81" s="69" t="e">
        <f t="shared" si="21"/>
        <v>#N/A</v>
      </c>
      <c r="AV81" s="69" t="e">
        <f t="shared" si="22"/>
        <v>#N/A</v>
      </c>
    </row>
    <row r="82" spans="24:48" x14ac:dyDescent="0.2">
      <c r="X82" s="64" t="str">
        <f t="shared" si="23"/>
        <v/>
      </c>
      <c r="Y82" s="68" t="s">
        <v>15</v>
      </c>
      <c r="Z82" s="68" t="s">
        <v>13</v>
      </c>
      <c r="AA82" s="68" t="s">
        <v>26</v>
      </c>
      <c r="AB82" s="68" t="s">
        <v>28</v>
      </c>
      <c r="AC82" s="68" t="s">
        <v>32</v>
      </c>
      <c r="AD82" s="68" t="s">
        <v>14</v>
      </c>
      <c r="AE82" s="68" t="s">
        <v>186</v>
      </c>
      <c r="AF82" s="68" t="s">
        <v>185</v>
      </c>
      <c r="AG82">
        <f t="shared" si="24"/>
        <v>1</v>
      </c>
      <c r="AH82">
        <f t="shared" si="8"/>
        <v>0</v>
      </c>
      <c r="AI82">
        <f t="shared" si="9"/>
        <v>1</v>
      </c>
      <c r="AJ82">
        <f t="shared" si="10"/>
        <v>1</v>
      </c>
      <c r="AK82">
        <f t="shared" si="11"/>
        <v>0</v>
      </c>
      <c r="AL82">
        <f t="shared" si="12"/>
        <v>1</v>
      </c>
      <c r="AM82">
        <f t="shared" si="13"/>
        <v>0</v>
      </c>
      <c r="AN82">
        <f t="shared" si="14"/>
        <v>0</v>
      </c>
      <c r="AO82" s="69" t="str">
        <f t="shared" si="15"/>
        <v>Costa de Marfil</v>
      </c>
      <c r="AP82" s="69" t="e">
        <f t="shared" si="16"/>
        <v>#N/A</v>
      </c>
      <c r="AQ82" s="69" t="str">
        <f t="shared" si="17"/>
        <v>Bosnia</v>
      </c>
      <c r="AR82" s="69" t="str">
        <f t="shared" si="18"/>
        <v>Paraguay</v>
      </c>
      <c r="AS82" s="69" t="e">
        <f t="shared" si="19"/>
        <v>#N/A</v>
      </c>
      <c r="AT82" s="69" t="str">
        <f t="shared" si="20"/>
        <v>Irán</v>
      </c>
      <c r="AU82" s="69" t="e">
        <f t="shared" si="21"/>
        <v>#N/A</v>
      </c>
      <c r="AV82" s="69" t="e">
        <f t="shared" si="22"/>
        <v>#N/A</v>
      </c>
    </row>
    <row r="83" spans="24:48" x14ac:dyDescent="0.2">
      <c r="X83" s="64" t="str">
        <f t="shared" si="23"/>
        <v/>
      </c>
      <c r="Y83" s="68" t="s">
        <v>15</v>
      </c>
      <c r="Z83" s="68" t="s">
        <v>14</v>
      </c>
      <c r="AA83" s="68" t="s">
        <v>26</v>
      </c>
      <c r="AB83" s="68" t="s">
        <v>28</v>
      </c>
      <c r="AC83" s="68" t="s">
        <v>184</v>
      </c>
      <c r="AD83" s="68" t="s">
        <v>32</v>
      </c>
      <c r="AE83" s="68" t="s">
        <v>186</v>
      </c>
      <c r="AF83" s="68" t="s">
        <v>185</v>
      </c>
      <c r="AG83">
        <f t="shared" si="24"/>
        <v>1</v>
      </c>
      <c r="AH83">
        <f t="shared" si="8"/>
        <v>1</v>
      </c>
      <c r="AI83">
        <f t="shared" si="9"/>
        <v>1</v>
      </c>
      <c r="AJ83">
        <f t="shared" si="10"/>
        <v>1</v>
      </c>
      <c r="AK83">
        <f t="shared" si="11"/>
        <v>1</v>
      </c>
      <c r="AL83">
        <f t="shared" si="12"/>
        <v>0</v>
      </c>
      <c r="AM83">
        <f t="shared" si="13"/>
        <v>0</v>
      </c>
      <c r="AN83">
        <f t="shared" si="14"/>
        <v>0</v>
      </c>
      <c r="AO83" s="69" t="str">
        <f t="shared" si="15"/>
        <v>Costa de Marfil</v>
      </c>
      <c r="AP83" s="69" t="str">
        <f t="shared" si="16"/>
        <v>Irán</v>
      </c>
      <c r="AQ83" s="69" t="str">
        <f t="shared" si="17"/>
        <v>Bosnia</v>
      </c>
      <c r="AR83" s="69" t="str">
        <f t="shared" si="18"/>
        <v>Paraguay</v>
      </c>
      <c r="AS83" s="69" t="str">
        <f t="shared" si="19"/>
        <v>Senegal</v>
      </c>
      <c r="AT83" s="69" t="e">
        <f t="shared" si="20"/>
        <v>#N/A</v>
      </c>
      <c r="AU83" s="69" t="e">
        <f t="shared" si="21"/>
        <v>#N/A</v>
      </c>
      <c r="AV83" s="69" t="e">
        <f t="shared" si="22"/>
        <v>#N/A</v>
      </c>
    </row>
    <row r="84" spans="24:48" x14ac:dyDescent="0.2">
      <c r="X84" s="64" t="str">
        <f t="shared" si="23"/>
        <v/>
      </c>
      <c r="Y84" s="68" t="s">
        <v>15</v>
      </c>
      <c r="Z84" s="68" t="s">
        <v>13</v>
      </c>
      <c r="AA84" s="68" t="s">
        <v>26</v>
      </c>
      <c r="AB84" s="68" t="s">
        <v>28</v>
      </c>
      <c r="AC84" s="68" t="s">
        <v>32</v>
      </c>
      <c r="AD84" s="68" t="s">
        <v>14</v>
      </c>
      <c r="AE84" s="68" t="s">
        <v>186</v>
      </c>
      <c r="AF84" s="68" t="s">
        <v>184</v>
      </c>
      <c r="AG84">
        <f t="shared" si="24"/>
        <v>1</v>
      </c>
      <c r="AH84">
        <f t="shared" ref="AH84:AH147" si="26">IFERROR(VLOOKUP(Z84,$B$21:$T$28,19,0),0)</f>
        <v>0</v>
      </c>
      <c r="AI84">
        <f t="shared" ref="AI84:AI147" si="27">IFERROR(VLOOKUP(AA84,$B$21:$T$28,19,0),0)</f>
        <v>1</v>
      </c>
      <c r="AJ84">
        <f t="shared" ref="AJ84:AJ147" si="28">IFERROR(VLOOKUP(AB84,$B$21:$T$28,19,0),0)</f>
        <v>1</v>
      </c>
      <c r="AK84">
        <f t="shared" ref="AK84:AK147" si="29">IFERROR(VLOOKUP(AC84,$B$21:$T$28,19,0),0)</f>
        <v>0</v>
      </c>
      <c r="AL84">
        <f t="shared" ref="AL84:AL147" si="30">IFERROR(VLOOKUP(AD84,$B$21:$T$28,19,0),0)</f>
        <v>1</v>
      </c>
      <c r="AM84">
        <f t="shared" ref="AM84:AM147" si="31">IFERROR(VLOOKUP(AE84,$B$21:$T$28,19,0),0)</f>
        <v>0</v>
      </c>
      <c r="AN84">
        <f t="shared" ref="AN84:AN147" si="32">IFERROR(VLOOKUP(AF84,$B$21:$T$28,19,0),0)</f>
        <v>1</v>
      </c>
      <c r="AO84" s="69" t="str">
        <f t="shared" ref="AO84:AO147" si="33">VLOOKUP(Y84,$B$21:$C$28,2,0)</f>
        <v>Costa de Marfil</v>
      </c>
      <c r="AP84" s="69" t="e">
        <f t="shared" ref="AP84:AP147" si="34">VLOOKUP(Z84,$B$21:$C$28,2,0)</f>
        <v>#N/A</v>
      </c>
      <c r="AQ84" s="69" t="str">
        <f t="shared" ref="AQ84:AQ147" si="35">VLOOKUP(AA84,$B$21:$C$28,2,0)</f>
        <v>Bosnia</v>
      </c>
      <c r="AR84" s="69" t="str">
        <f t="shared" ref="AR84:AR147" si="36">VLOOKUP(AB84,$B$21:$C$28,2,0)</f>
        <v>Paraguay</v>
      </c>
      <c r="AS84" s="69" t="e">
        <f t="shared" ref="AS84:AS147" si="37">VLOOKUP(AC84,$B$21:$C$28,2,0)</f>
        <v>#N/A</v>
      </c>
      <c r="AT84" s="69" t="str">
        <f t="shared" ref="AT84:AT147" si="38">VLOOKUP(AD84,$B$21:$C$28,2,0)</f>
        <v>Irán</v>
      </c>
      <c r="AU84" s="69" t="e">
        <f t="shared" ref="AU84:AU147" si="39">VLOOKUP(AE84,$B$21:$C$28,2,0)</f>
        <v>#N/A</v>
      </c>
      <c r="AV84" s="69" t="str">
        <f t="shared" ref="AV84:AV147" si="40">VLOOKUP(AF84,$B$21:$C$28,2,0)</f>
        <v>Senegal</v>
      </c>
    </row>
    <row r="85" spans="24:48" x14ac:dyDescent="0.2">
      <c r="X85" s="64" t="str">
        <f t="shared" ref="X85:X148" si="41">IF(SUM(AG85:AN85)=8,"X","")</f>
        <v/>
      </c>
      <c r="Y85" s="68" t="s">
        <v>15</v>
      </c>
      <c r="Z85" s="68" t="s">
        <v>13</v>
      </c>
      <c r="AA85" s="68" t="s">
        <v>26</v>
      </c>
      <c r="AB85" s="68" t="s">
        <v>28</v>
      </c>
      <c r="AC85" s="68" t="s">
        <v>32</v>
      </c>
      <c r="AD85" s="68" t="s">
        <v>14</v>
      </c>
      <c r="AE85" s="68" t="s">
        <v>184</v>
      </c>
      <c r="AF85" s="68" t="s">
        <v>185</v>
      </c>
      <c r="AG85">
        <f t="shared" ref="AG85:AG148" si="42">IFERROR(VLOOKUP(Y85,$B$21:$T$28,19,0),0)</f>
        <v>1</v>
      </c>
      <c r="AH85">
        <f t="shared" si="26"/>
        <v>0</v>
      </c>
      <c r="AI85">
        <f t="shared" si="27"/>
        <v>1</v>
      </c>
      <c r="AJ85">
        <f t="shared" si="28"/>
        <v>1</v>
      </c>
      <c r="AK85">
        <f t="shared" si="29"/>
        <v>0</v>
      </c>
      <c r="AL85">
        <f t="shared" si="30"/>
        <v>1</v>
      </c>
      <c r="AM85">
        <f t="shared" si="31"/>
        <v>1</v>
      </c>
      <c r="AN85">
        <f t="shared" si="32"/>
        <v>0</v>
      </c>
      <c r="AO85" s="69" t="str">
        <f t="shared" si="33"/>
        <v>Costa de Marfil</v>
      </c>
      <c r="AP85" s="69" t="e">
        <f t="shared" si="34"/>
        <v>#N/A</v>
      </c>
      <c r="AQ85" s="69" t="str">
        <f t="shared" si="35"/>
        <v>Bosnia</v>
      </c>
      <c r="AR85" s="69" t="str">
        <f t="shared" si="36"/>
        <v>Paraguay</v>
      </c>
      <c r="AS85" s="69" t="e">
        <f t="shared" si="37"/>
        <v>#N/A</v>
      </c>
      <c r="AT85" s="69" t="str">
        <f t="shared" si="38"/>
        <v>Irán</v>
      </c>
      <c r="AU85" s="69" t="str">
        <f t="shared" si="39"/>
        <v>Senegal</v>
      </c>
      <c r="AV85" s="69" t="e">
        <f t="shared" si="40"/>
        <v>#N/A</v>
      </c>
    </row>
    <row r="86" spans="24:48" x14ac:dyDescent="0.2">
      <c r="X86" s="64" t="str">
        <f t="shared" si="41"/>
        <v/>
      </c>
      <c r="Y86" s="68" t="s">
        <v>15</v>
      </c>
      <c r="Z86" s="68" t="s">
        <v>13</v>
      </c>
      <c r="AA86" s="68" t="s">
        <v>26</v>
      </c>
      <c r="AB86" s="68" t="s">
        <v>28</v>
      </c>
      <c r="AC86" s="68" t="s">
        <v>184</v>
      </c>
      <c r="AD86" s="68" t="s">
        <v>31</v>
      </c>
      <c r="AE86" s="68" t="s">
        <v>186</v>
      </c>
      <c r="AF86" s="68" t="s">
        <v>185</v>
      </c>
      <c r="AG86">
        <f t="shared" si="42"/>
        <v>1</v>
      </c>
      <c r="AH86">
        <f t="shared" si="26"/>
        <v>0</v>
      </c>
      <c r="AI86">
        <f t="shared" si="27"/>
        <v>1</v>
      </c>
      <c r="AJ86">
        <f t="shared" si="28"/>
        <v>1</v>
      </c>
      <c r="AK86">
        <f t="shared" si="29"/>
        <v>1</v>
      </c>
      <c r="AL86">
        <f t="shared" si="30"/>
        <v>1</v>
      </c>
      <c r="AM86">
        <f t="shared" si="31"/>
        <v>0</v>
      </c>
      <c r="AN86">
        <f t="shared" si="32"/>
        <v>0</v>
      </c>
      <c r="AO86" s="69" t="str">
        <f t="shared" si="33"/>
        <v>Costa de Marfil</v>
      </c>
      <c r="AP86" s="69" t="e">
        <f t="shared" si="34"/>
        <v>#N/A</v>
      </c>
      <c r="AQ86" s="69" t="str">
        <f t="shared" si="35"/>
        <v>Bosnia</v>
      </c>
      <c r="AR86" s="69" t="str">
        <f t="shared" si="36"/>
        <v>Paraguay</v>
      </c>
      <c r="AS86" s="69" t="str">
        <f t="shared" si="37"/>
        <v>Senegal</v>
      </c>
      <c r="AT86" s="69" t="str">
        <f t="shared" si="38"/>
        <v>Suecia</v>
      </c>
      <c r="AU86" s="69" t="e">
        <f t="shared" si="39"/>
        <v>#N/A</v>
      </c>
      <c r="AV86" s="69" t="e">
        <f t="shared" si="40"/>
        <v>#N/A</v>
      </c>
    </row>
    <row r="87" spans="24:48" x14ac:dyDescent="0.2">
      <c r="X87" s="64" t="str">
        <f t="shared" si="41"/>
        <v/>
      </c>
      <c r="Y87" s="68" t="s">
        <v>15</v>
      </c>
      <c r="Z87" s="68" t="s">
        <v>13</v>
      </c>
      <c r="AA87" s="68" t="s">
        <v>26</v>
      </c>
      <c r="AB87" s="68" t="s">
        <v>28</v>
      </c>
      <c r="AC87" s="68" t="s">
        <v>32</v>
      </c>
      <c r="AD87" s="68" t="s">
        <v>31</v>
      </c>
      <c r="AE87" s="68" t="s">
        <v>186</v>
      </c>
      <c r="AF87" s="68" t="s">
        <v>185</v>
      </c>
      <c r="AG87">
        <f t="shared" si="42"/>
        <v>1</v>
      </c>
      <c r="AH87">
        <f t="shared" si="26"/>
        <v>0</v>
      </c>
      <c r="AI87">
        <f t="shared" si="27"/>
        <v>1</v>
      </c>
      <c r="AJ87">
        <f t="shared" si="28"/>
        <v>1</v>
      </c>
      <c r="AK87">
        <f t="shared" si="29"/>
        <v>0</v>
      </c>
      <c r="AL87">
        <f t="shared" si="30"/>
        <v>1</v>
      </c>
      <c r="AM87">
        <f t="shared" si="31"/>
        <v>0</v>
      </c>
      <c r="AN87">
        <f t="shared" si="32"/>
        <v>0</v>
      </c>
      <c r="AO87" s="69" t="str">
        <f t="shared" si="33"/>
        <v>Costa de Marfil</v>
      </c>
      <c r="AP87" s="69" t="e">
        <f t="shared" si="34"/>
        <v>#N/A</v>
      </c>
      <c r="AQ87" s="69" t="str">
        <f t="shared" si="35"/>
        <v>Bosnia</v>
      </c>
      <c r="AR87" s="69" t="str">
        <f t="shared" si="36"/>
        <v>Paraguay</v>
      </c>
      <c r="AS87" s="69" t="e">
        <f t="shared" si="37"/>
        <v>#N/A</v>
      </c>
      <c r="AT87" s="69" t="str">
        <f t="shared" si="38"/>
        <v>Suecia</v>
      </c>
      <c r="AU87" s="69" t="e">
        <f t="shared" si="39"/>
        <v>#N/A</v>
      </c>
      <c r="AV87" s="69" t="e">
        <f t="shared" si="40"/>
        <v>#N/A</v>
      </c>
    </row>
    <row r="88" spans="24:48" x14ac:dyDescent="0.2">
      <c r="X88" s="64" t="str">
        <f t="shared" si="41"/>
        <v/>
      </c>
      <c r="Y88" s="68" t="s">
        <v>15</v>
      </c>
      <c r="Z88" s="68" t="s">
        <v>184</v>
      </c>
      <c r="AA88" s="68" t="s">
        <v>26</v>
      </c>
      <c r="AB88" s="68" t="s">
        <v>28</v>
      </c>
      <c r="AC88" s="68" t="s">
        <v>32</v>
      </c>
      <c r="AD88" s="68" t="s">
        <v>31</v>
      </c>
      <c r="AE88" s="68" t="s">
        <v>186</v>
      </c>
      <c r="AF88" s="68" t="s">
        <v>185</v>
      </c>
      <c r="AG88">
        <f t="shared" si="42"/>
        <v>1</v>
      </c>
      <c r="AH88">
        <f t="shared" si="26"/>
        <v>1</v>
      </c>
      <c r="AI88">
        <f t="shared" si="27"/>
        <v>1</v>
      </c>
      <c r="AJ88">
        <f t="shared" si="28"/>
        <v>1</v>
      </c>
      <c r="AK88">
        <f t="shared" si="29"/>
        <v>0</v>
      </c>
      <c r="AL88">
        <f t="shared" si="30"/>
        <v>1</v>
      </c>
      <c r="AM88">
        <f t="shared" si="31"/>
        <v>0</v>
      </c>
      <c r="AN88">
        <f t="shared" si="32"/>
        <v>0</v>
      </c>
      <c r="AO88" s="69" t="str">
        <f t="shared" si="33"/>
        <v>Costa de Marfil</v>
      </c>
      <c r="AP88" s="69" t="str">
        <f t="shared" si="34"/>
        <v>Senegal</v>
      </c>
      <c r="AQ88" s="69" t="str">
        <f t="shared" si="35"/>
        <v>Bosnia</v>
      </c>
      <c r="AR88" s="69" t="str">
        <f t="shared" si="36"/>
        <v>Paraguay</v>
      </c>
      <c r="AS88" s="69" t="e">
        <f t="shared" si="37"/>
        <v>#N/A</v>
      </c>
      <c r="AT88" s="69" t="str">
        <f t="shared" si="38"/>
        <v>Suecia</v>
      </c>
      <c r="AU88" s="69" t="e">
        <f t="shared" si="39"/>
        <v>#N/A</v>
      </c>
      <c r="AV88" s="69" t="e">
        <f t="shared" si="40"/>
        <v>#N/A</v>
      </c>
    </row>
    <row r="89" spans="24:48" x14ac:dyDescent="0.2">
      <c r="X89" s="64" t="str">
        <f t="shared" si="41"/>
        <v/>
      </c>
      <c r="Y89" s="68" t="s">
        <v>15</v>
      </c>
      <c r="Z89" s="68" t="s">
        <v>13</v>
      </c>
      <c r="AA89" s="68" t="s">
        <v>26</v>
      </c>
      <c r="AB89" s="68" t="s">
        <v>28</v>
      </c>
      <c r="AC89" s="68" t="s">
        <v>32</v>
      </c>
      <c r="AD89" s="68" t="s">
        <v>31</v>
      </c>
      <c r="AE89" s="68" t="s">
        <v>186</v>
      </c>
      <c r="AF89" s="68" t="s">
        <v>184</v>
      </c>
      <c r="AG89">
        <f t="shared" si="42"/>
        <v>1</v>
      </c>
      <c r="AH89">
        <f t="shared" si="26"/>
        <v>0</v>
      </c>
      <c r="AI89">
        <f t="shared" si="27"/>
        <v>1</v>
      </c>
      <c r="AJ89">
        <f t="shared" si="28"/>
        <v>1</v>
      </c>
      <c r="AK89">
        <f t="shared" si="29"/>
        <v>0</v>
      </c>
      <c r="AL89">
        <f t="shared" si="30"/>
        <v>1</v>
      </c>
      <c r="AM89">
        <f t="shared" si="31"/>
        <v>0</v>
      </c>
      <c r="AN89">
        <f t="shared" si="32"/>
        <v>1</v>
      </c>
      <c r="AO89" s="69" t="str">
        <f t="shared" si="33"/>
        <v>Costa de Marfil</v>
      </c>
      <c r="AP89" s="69" t="e">
        <f t="shared" si="34"/>
        <v>#N/A</v>
      </c>
      <c r="AQ89" s="69" t="str">
        <f t="shared" si="35"/>
        <v>Bosnia</v>
      </c>
      <c r="AR89" s="69" t="str">
        <f t="shared" si="36"/>
        <v>Paraguay</v>
      </c>
      <c r="AS89" s="69" t="e">
        <f t="shared" si="37"/>
        <v>#N/A</v>
      </c>
      <c r="AT89" s="69" t="str">
        <f t="shared" si="38"/>
        <v>Suecia</v>
      </c>
      <c r="AU89" s="69" t="e">
        <f t="shared" si="39"/>
        <v>#N/A</v>
      </c>
      <c r="AV89" s="69" t="str">
        <f t="shared" si="40"/>
        <v>Senegal</v>
      </c>
    </row>
    <row r="90" spans="24:48" x14ac:dyDescent="0.2">
      <c r="X90" s="64" t="str">
        <f t="shared" si="41"/>
        <v/>
      </c>
      <c r="Y90" s="68" t="s">
        <v>15</v>
      </c>
      <c r="Z90" s="68" t="s">
        <v>13</v>
      </c>
      <c r="AA90" s="68" t="s">
        <v>26</v>
      </c>
      <c r="AB90" s="68" t="s">
        <v>28</v>
      </c>
      <c r="AC90" s="68" t="s">
        <v>32</v>
      </c>
      <c r="AD90" s="68" t="s">
        <v>31</v>
      </c>
      <c r="AE90" s="68" t="s">
        <v>184</v>
      </c>
      <c r="AF90" s="68" t="s">
        <v>185</v>
      </c>
      <c r="AG90">
        <f t="shared" si="42"/>
        <v>1</v>
      </c>
      <c r="AH90">
        <f t="shared" si="26"/>
        <v>0</v>
      </c>
      <c r="AI90">
        <f t="shared" si="27"/>
        <v>1</v>
      </c>
      <c r="AJ90">
        <f t="shared" si="28"/>
        <v>1</v>
      </c>
      <c r="AK90">
        <f t="shared" si="29"/>
        <v>0</v>
      </c>
      <c r="AL90">
        <f t="shared" si="30"/>
        <v>1</v>
      </c>
      <c r="AM90">
        <f t="shared" si="31"/>
        <v>1</v>
      </c>
      <c r="AN90">
        <f t="shared" si="32"/>
        <v>0</v>
      </c>
      <c r="AO90" s="69" t="str">
        <f t="shared" si="33"/>
        <v>Costa de Marfil</v>
      </c>
      <c r="AP90" s="69" t="e">
        <f t="shared" si="34"/>
        <v>#N/A</v>
      </c>
      <c r="AQ90" s="69" t="str">
        <f t="shared" si="35"/>
        <v>Bosnia</v>
      </c>
      <c r="AR90" s="69" t="str">
        <f t="shared" si="36"/>
        <v>Paraguay</v>
      </c>
      <c r="AS90" s="69" t="e">
        <f t="shared" si="37"/>
        <v>#N/A</v>
      </c>
      <c r="AT90" s="69" t="str">
        <f t="shared" si="38"/>
        <v>Suecia</v>
      </c>
      <c r="AU90" s="69" t="str">
        <f t="shared" si="39"/>
        <v>Senegal</v>
      </c>
      <c r="AV90" s="69" t="e">
        <f t="shared" si="40"/>
        <v>#N/A</v>
      </c>
    </row>
    <row r="91" spans="24:48" x14ac:dyDescent="0.2">
      <c r="X91" s="64" t="str">
        <f t="shared" si="41"/>
        <v/>
      </c>
      <c r="Y91" s="68" t="s">
        <v>15</v>
      </c>
      <c r="Z91" s="68" t="s">
        <v>14</v>
      </c>
      <c r="AA91" s="68" t="s">
        <v>26</v>
      </c>
      <c r="AB91" s="68" t="s">
        <v>28</v>
      </c>
      <c r="AC91" s="68" t="s">
        <v>13</v>
      </c>
      <c r="AD91" s="68" t="s">
        <v>31</v>
      </c>
      <c r="AE91" s="68" t="s">
        <v>186</v>
      </c>
      <c r="AF91" s="68" t="s">
        <v>185</v>
      </c>
      <c r="AG91">
        <f t="shared" si="42"/>
        <v>1</v>
      </c>
      <c r="AH91">
        <f t="shared" si="26"/>
        <v>1</v>
      </c>
      <c r="AI91">
        <f t="shared" si="27"/>
        <v>1</v>
      </c>
      <c r="AJ91">
        <f t="shared" si="28"/>
        <v>1</v>
      </c>
      <c r="AK91">
        <f t="shared" si="29"/>
        <v>0</v>
      </c>
      <c r="AL91">
        <f t="shared" si="30"/>
        <v>1</v>
      </c>
      <c r="AM91">
        <f t="shared" si="31"/>
        <v>0</v>
      </c>
      <c r="AN91">
        <f t="shared" si="32"/>
        <v>0</v>
      </c>
      <c r="AO91" s="69" t="str">
        <f t="shared" si="33"/>
        <v>Costa de Marfil</v>
      </c>
      <c r="AP91" s="69" t="str">
        <f t="shared" si="34"/>
        <v>Irán</v>
      </c>
      <c r="AQ91" s="69" t="str">
        <f t="shared" si="35"/>
        <v>Bosnia</v>
      </c>
      <c r="AR91" s="69" t="str">
        <f t="shared" si="36"/>
        <v>Paraguay</v>
      </c>
      <c r="AS91" s="69" t="e">
        <f t="shared" si="37"/>
        <v>#N/A</v>
      </c>
      <c r="AT91" s="69" t="str">
        <f t="shared" si="38"/>
        <v>Suecia</v>
      </c>
      <c r="AU91" s="69" t="e">
        <f t="shared" si="39"/>
        <v>#N/A</v>
      </c>
      <c r="AV91" s="69" t="e">
        <f t="shared" si="40"/>
        <v>#N/A</v>
      </c>
    </row>
    <row r="92" spans="24:48" x14ac:dyDescent="0.2">
      <c r="X92" s="64" t="str">
        <f t="shared" si="41"/>
        <v/>
      </c>
      <c r="Y92" s="68" t="s">
        <v>15</v>
      </c>
      <c r="Z92" s="68" t="s">
        <v>14</v>
      </c>
      <c r="AA92" s="68" t="s">
        <v>26</v>
      </c>
      <c r="AB92" s="68" t="s">
        <v>28</v>
      </c>
      <c r="AC92" s="68" t="s">
        <v>184</v>
      </c>
      <c r="AD92" s="68" t="s">
        <v>31</v>
      </c>
      <c r="AE92" s="68" t="s">
        <v>186</v>
      </c>
      <c r="AF92" s="68" t="s">
        <v>185</v>
      </c>
      <c r="AG92">
        <f t="shared" si="42"/>
        <v>1</v>
      </c>
      <c r="AH92">
        <f t="shared" si="26"/>
        <v>1</v>
      </c>
      <c r="AI92">
        <f t="shared" si="27"/>
        <v>1</v>
      </c>
      <c r="AJ92">
        <f t="shared" si="28"/>
        <v>1</v>
      </c>
      <c r="AK92">
        <f t="shared" si="29"/>
        <v>1</v>
      </c>
      <c r="AL92">
        <f t="shared" si="30"/>
        <v>1</v>
      </c>
      <c r="AM92">
        <f t="shared" si="31"/>
        <v>0</v>
      </c>
      <c r="AN92">
        <f t="shared" si="32"/>
        <v>0</v>
      </c>
      <c r="AO92" s="69" t="str">
        <f t="shared" si="33"/>
        <v>Costa de Marfil</v>
      </c>
      <c r="AP92" s="69" t="str">
        <f t="shared" si="34"/>
        <v>Irán</v>
      </c>
      <c r="AQ92" s="69" t="str">
        <f t="shared" si="35"/>
        <v>Bosnia</v>
      </c>
      <c r="AR92" s="69" t="str">
        <f t="shared" si="36"/>
        <v>Paraguay</v>
      </c>
      <c r="AS92" s="69" t="str">
        <f t="shared" si="37"/>
        <v>Senegal</v>
      </c>
      <c r="AT92" s="69" t="str">
        <f t="shared" si="38"/>
        <v>Suecia</v>
      </c>
      <c r="AU92" s="69" t="e">
        <f t="shared" si="39"/>
        <v>#N/A</v>
      </c>
      <c r="AV92" s="69" t="e">
        <f t="shared" si="40"/>
        <v>#N/A</v>
      </c>
    </row>
    <row r="93" spans="24:48" x14ac:dyDescent="0.2">
      <c r="X93" s="64" t="str">
        <f t="shared" si="41"/>
        <v/>
      </c>
      <c r="Y93" s="68" t="s">
        <v>15</v>
      </c>
      <c r="Z93" s="68" t="s">
        <v>14</v>
      </c>
      <c r="AA93" s="68" t="s">
        <v>26</v>
      </c>
      <c r="AB93" s="68" t="s">
        <v>28</v>
      </c>
      <c r="AC93" s="68" t="s">
        <v>13</v>
      </c>
      <c r="AD93" s="68" t="s">
        <v>31</v>
      </c>
      <c r="AE93" s="68" t="s">
        <v>186</v>
      </c>
      <c r="AF93" s="68" t="s">
        <v>184</v>
      </c>
      <c r="AG93">
        <f t="shared" si="42"/>
        <v>1</v>
      </c>
      <c r="AH93">
        <f t="shared" si="26"/>
        <v>1</v>
      </c>
      <c r="AI93">
        <f t="shared" si="27"/>
        <v>1</v>
      </c>
      <c r="AJ93">
        <f t="shared" si="28"/>
        <v>1</v>
      </c>
      <c r="AK93">
        <f t="shared" si="29"/>
        <v>0</v>
      </c>
      <c r="AL93">
        <f t="shared" si="30"/>
        <v>1</v>
      </c>
      <c r="AM93">
        <f t="shared" si="31"/>
        <v>0</v>
      </c>
      <c r="AN93">
        <f t="shared" si="32"/>
        <v>1</v>
      </c>
      <c r="AO93" s="69" t="str">
        <f t="shared" si="33"/>
        <v>Costa de Marfil</v>
      </c>
      <c r="AP93" s="69" t="str">
        <f t="shared" si="34"/>
        <v>Irán</v>
      </c>
      <c r="AQ93" s="69" t="str">
        <f t="shared" si="35"/>
        <v>Bosnia</v>
      </c>
      <c r="AR93" s="69" t="str">
        <f t="shared" si="36"/>
        <v>Paraguay</v>
      </c>
      <c r="AS93" s="69" t="e">
        <f t="shared" si="37"/>
        <v>#N/A</v>
      </c>
      <c r="AT93" s="69" t="str">
        <f t="shared" si="38"/>
        <v>Suecia</v>
      </c>
      <c r="AU93" s="69" t="e">
        <f t="shared" si="39"/>
        <v>#N/A</v>
      </c>
      <c r="AV93" s="69" t="str">
        <f t="shared" si="40"/>
        <v>Senegal</v>
      </c>
    </row>
    <row r="94" spans="24:48" x14ac:dyDescent="0.2">
      <c r="X94" s="64" t="str">
        <f t="shared" si="41"/>
        <v/>
      </c>
      <c r="Y94" s="68" t="s">
        <v>15</v>
      </c>
      <c r="Z94" s="68" t="s">
        <v>14</v>
      </c>
      <c r="AA94" s="68" t="s">
        <v>26</v>
      </c>
      <c r="AB94" s="68" t="s">
        <v>28</v>
      </c>
      <c r="AC94" s="68" t="s">
        <v>13</v>
      </c>
      <c r="AD94" s="68" t="s">
        <v>31</v>
      </c>
      <c r="AE94" s="68" t="s">
        <v>184</v>
      </c>
      <c r="AF94" s="68" t="s">
        <v>185</v>
      </c>
      <c r="AG94">
        <f t="shared" si="42"/>
        <v>1</v>
      </c>
      <c r="AH94">
        <f t="shared" si="26"/>
        <v>1</v>
      </c>
      <c r="AI94">
        <f t="shared" si="27"/>
        <v>1</v>
      </c>
      <c r="AJ94">
        <f t="shared" si="28"/>
        <v>1</v>
      </c>
      <c r="AK94">
        <f t="shared" si="29"/>
        <v>0</v>
      </c>
      <c r="AL94">
        <f t="shared" si="30"/>
        <v>1</v>
      </c>
      <c r="AM94">
        <f t="shared" si="31"/>
        <v>1</v>
      </c>
      <c r="AN94">
        <f t="shared" si="32"/>
        <v>0</v>
      </c>
      <c r="AO94" s="69" t="str">
        <f t="shared" si="33"/>
        <v>Costa de Marfil</v>
      </c>
      <c r="AP94" s="69" t="str">
        <f t="shared" si="34"/>
        <v>Irán</v>
      </c>
      <c r="AQ94" s="69" t="str">
        <f t="shared" si="35"/>
        <v>Bosnia</v>
      </c>
      <c r="AR94" s="69" t="str">
        <f t="shared" si="36"/>
        <v>Paraguay</v>
      </c>
      <c r="AS94" s="69" t="e">
        <f t="shared" si="37"/>
        <v>#N/A</v>
      </c>
      <c r="AT94" s="69" t="str">
        <f t="shared" si="38"/>
        <v>Suecia</v>
      </c>
      <c r="AU94" s="69" t="str">
        <f t="shared" si="39"/>
        <v>Senegal</v>
      </c>
      <c r="AV94" s="69" t="e">
        <f t="shared" si="40"/>
        <v>#N/A</v>
      </c>
    </row>
    <row r="95" spans="24:48" x14ac:dyDescent="0.2">
      <c r="X95" s="64" t="str">
        <f t="shared" si="41"/>
        <v/>
      </c>
      <c r="Y95" s="68" t="s">
        <v>15</v>
      </c>
      <c r="Z95" s="68" t="s">
        <v>14</v>
      </c>
      <c r="AA95" s="68" t="s">
        <v>26</v>
      </c>
      <c r="AB95" s="68" t="s">
        <v>28</v>
      </c>
      <c r="AC95" s="68" t="s">
        <v>32</v>
      </c>
      <c r="AD95" s="68" t="s">
        <v>31</v>
      </c>
      <c r="AE95" s="68" t="s">
        <v>186</v>
      </c>
      <c r="AF95" s="68" t="s">
        <v>185</v>
      </c>
      <c r="AG95">
        <f t="shared" si="42"/>
        <v>1</v>
      </c>
      <c r="AH95">
        <f t="shared" si="26"/>
        <v>1</v>
      </c>
      <c r="AI95">
        <f t="shared" si="27"/>
        <v>1</v>
      </c>
      <c r="AJ95">
        <f t="shared" si="28"/>
        <v>1</v>
      </c>
      <c r="AK95">
        <f t="shared" si="29"/>
        <v>0</v>
      </c>
      <c r="AL95">
        <f t="shared" si="30"/>
        <v>1</v>
      </c>
      <c r="AM95">
        <f t="shared" si="31"/>
        <v>0</v>
      </c>
      <c r="AN95">
        <f t="shared" si="32"/>
        <v>0</v>
      </c>
      <c r="AO95" s="69" t="str">
        <f t="shared" si="33"/>
        <v>Costa de Marfil</v>
      </c>
      <c r="AP95" s="69" t="str">
        <f t="shared" si="34"/>
        <v>Irán</v>
      </c>
      <c r="AQ95" s="69" t="str">
        <f t="shared" si="35"/>
        <v>Bosnia</v>
      </c>
      <c r="AR95" s="69" t="str">
        <f t="shared" si="36"/>
        <v>Paraguay</v>
      </c>
      <c r="AS95" s="69" t="e">
        <f t="shared" si="37"/>
        <v>#N/A</v>
      </c>
      <c r="AT95" s="69" t="str">
        <f t="shared" si="38"/>
        <v>Suecia</v>
      </c>
      <c r="AU95" s="69" t="e">
        <f t="shared" si="39"/>
        <v>#N/A</v>
      </c>
      <c r="AV95" s="69" t="e">
        <f t="shared" si="40"/>
        <v>#N/A</v>
      </c>
    </row>
    <row r="96" spans="24:48" x14ac:dyDescent="0.2">
      <c r="X96" s="64" t="str">
        <f t="shared" si="41"/>
        <v/>
      </c>
      <c r="Y96" s="68" t="s">
        <v>32</v>
      </c>
      <c r="Z96" s="68" t="s">
        <v>14</v>
      </c>
      <c r="AA96" s="68" t="s">
        <v>26</v>
      </c>
      <c r="AB96" s="68" t="s">
        <v>28</v>
      </c>
      <c r="AC96" s="68" t="s">
        <v>13</v>
      </c>
      <c r="AD96" s="68" t="s">
        <v>31</v>
      </c>
      <c r="AE96" s="68" t="s">
        <v>186</v>
      </c>
      <c r="AF96" s="68" t="s">
        <v>15</v>
      </c>
      <c r="AG96">
        <f t="shared" si="42"/>
        <v>0</v>
      </c>
      <c r="AH96">
        <f t="shared" si="26"/>
        <v>1</v>
      </c>
      <c r="AI96">
        <f t="shared" si="27"/>
        <v>1</v>
      </c>
      <c r="AJ96">
        <f t="shared" si="28"/>
        <v>1</v>
      </c>
      <c r="AK96">
        <f t="shared" si="29"/>
        <v>0</v>
      </c>
      <c r="AL96">
        <f t="shared" si="30"/>
        <v>1</v>
      </c>
      <c r="AM96">
        <f t="shared" si="31"/>
        <v>0</v>
      </c>
      <c r="AN96">
        <f t="shared" si="32"/>
        <v>1</v>
      </c>
      <c r="AO96" s="69" t="e">
        <f t="shared" si="33"/>
        <v>#N/A</v>
      </c>
      <c r="AP96" s="69" t="str">
        <f t="shared" si="34"/>
        <v>Irán</v>
      </c>
      <c r="AQ96" s="69" t="str">
        <f t="shared" si="35"/>
        <v>Bosnia</v>
      </c>
      <c r="AR96" s="69" t="str">
        <f t="shared" si="36"/>
        <v>Paraguay</v>
      </c>
      <c r="AS96" s="69" t="e">
        <f t="shared" si="37"/>
        <v>#N/A</v>
      </c>
      <c r="AT96" s="69" t="str">
        <f t="shared" si="38"/>
        <v>Suecia</v>
      </c>
      <c r="AU96" s="69" t="e">
        <f t="shared" si="39"/>
        <v>#N/A</v>
      </c>
      <c r="AV96" s="69" t="str">
        <f t="shared" si="40"/>
        <v>Costa de Marfil</v>
      </c>
    </row>
    <row r="97" spans="24:48" x14ac:dyDescent="0.2">
      <c r="X97" s="64" t="str">
        <f t="shared" si="41"/>
        <v/>
      </c>
      <c r="Y97" s="68" t="s">
        <v>32</v>
      </c>
      <c r="Z97" s="68" t="s">
        <v>14</v>
      </c>
      <c r="AA97" s="68" t="s">
        <v>26</v>
      </c>
      <c r="AB97" s="68" t="s">
        <v>28</v>
      </c>
      <c r="AC97" s="68" t="s">
        <v>13</v>
      </c>
      <c r="AD97" s="68" t="s">
        <v>31</v>
      </c>
      <c r="AE97" s="68" t="s">
        <v>15</v>
      </c>
      <c r="AF97" s="68" t="s">
        <v>185</v>
      </c>
      <c r="AG97">
        <f t="shared" si="42"/>
        <v>0</v>
      </c>
      <c r="AH97">
        <f t="shared" si="26"/>
        <v>1</v>
      </c>
      <c r="AI97">
        <f t="shared" si="27"/>
        <v>1</v>
      </c>
      <c r="AJ97">
        <f t="shared" si="28"/>
        <v>1</v>
      </c>
      <c r="AK97">
        <f t="shared" si="29"/>
        <v>0</v>
      </c>
      <c r="AL97">
        <f t="shared" si="30"/>
        <v>1</v>
      </c>
      <c r="AM97">
        <f t="shared" si="31"/>
        <v>1</v>
      </c>
      <c r="AN97">
        <f t="shared" si="32"/>
        <v>0</v>
      </c>
      <c r="AO97" s="69" t="e">
        <f t="shared" si="33"/>
        <v>#N/A</v>
      </c>
      <c r="AP97" s="69" t="str">
        <f t="shared" si="34"/>
        <v>Irán</v>
      </c>
      <c r="AQ97" s="69" t="str">
        <f t="shared" si="35"/>
        <v>Bosnia</v>
      </c>
      <c r="AR97" s="69" t="str">
        <f t="shared" si="36"/>
        <v>Paraguay</v>
      </c>
      <c r="AS97" s="69" t="e">
        <f t="shared" si="37"/>
        <v>#N/A</v>
      </c>
      <c r="AT97" s="69" t="str">
        <f t="shared" si="38"/>
        <v>Suecia</v>
      </c>
      <c r="AU97" s="69" t="str">
        <f t="shared" si="39"/>
        <v>Costa de Marfil</v>
      </c>
      <c r="AV97" s="69" t="e">
        <f t="shared" si="40"/>
        <v>#N/A</v>
      </c>
    </row>
    <row r="98" spans="24:48" x14ac:dyDescent="0.2">
      <c r="X98" s="64" t="str">
        <f t="shared" si="41"/>
        <v/>
      </c>
      <c r="Y98" s="68" t="s">
        <v>15</v>
      </c>
      <c r="Z98" s="68" t="s">
        <v>14</v>
      </c>
      <c r="AA98" s="68" t="s">
        <v>26</v>
      </c>
      <c r="AB98" s="68" t="s">
        <v>28</v>
      </c>
      <c r="AC98" s="68" t="s">
        <v>32</v>
      </c>
      <c r="AD98" s="68" t="s">
        <v>31</v>
      </c>
      <c r="AE98" s="68" t="s">
        <v>186</v>
      </c>
      <c r="AF98" s="68" t="s">
        <v>184</v>
      </c>
      <c r="AG98">
        <f t="shared" si="42"/>
        <v>1</v>
      </c>
      <c r="AH98">
        <f t="shared" si="26"/>
        <v>1</v>
      </c>
      <c r="AI98">
        <f t="shared" si="27"/>
        <v>1</v>
      </c>
      <c r="AJ98">
        <f t="shared" si="28"/>
        <v>1</v>
      </c>
      <c r="AK98">
        <f t="shared" si="29"/>
        <v>0</v>
      </c>
      <c r="AL98">
        <f t="shared" si="30"/>
        <v>1</v>
      </c>
      <c r="AM98">
        <f t="shared" si="31"/>
        <v>0</v>
      </c>
      <c r="AN98">
        <f t="shared" si="32"/>
        <v>1</v>
      </c>
      <c r="AO98" s="69" t="str">
        <f t="shared" si="33"/>
        <v>Costa de Marfil</v>
      </c>
      <c r="AP98" s="69" t="str">
        <f t="shared" si="34"/>
        <v>Irán</v>
      </c>
      <c r="AQ98" s="69" t="str">
        <f t="shared" si="35"/>
        <v>Bosnia</v>
      </c>
      <c r="AR98" s="69" t="str">
        <f t="shared" si="36"/>
        <v>Paraguay</v>
      </c>
      <c r="AS98" s="69" t="e">
        <f t="shared" si="37"/>
        <v>#N/A</v>
      </c>
      <c r="AT98" s="69" t="str">
        <f t="shared" si="38"/>
        <v>Suecia</v>
      </c>
      <c r="AU98" s="69" t="e">
        <f t="shared" si="39"/>
        <v>#N/A</v>
      </c>
      <c r="AV98" s="69" t="str">
        <f t="shared" si="40"/>
        <v>Senegal</v>
      </c>
    </row>
    <row r="99" spans="24:48" x14ac:dyDescent="0.2">
      <c r="X99" s="64" t="str">
        <f t="shared" si="41"/>
        <v/>
      </c>
      <c r="Y99" s="68" t="s">
        <v>15</v>
      </c>
      <c r="Z99" s="68" t="s">
        <v>14</v>
      </c>
      <c r="AA99" s="68" t="s">
        <v>26</v>
      </c>
      <c r="AB99" s="68" t="s">
        <v>28</v>
      </c>
      <c r="AC99" s="68" t="s">
        <v>32</v>
      </c>
      <c r="AD99" s="68" t="s">
        <v>31</v>
      </c>
      <c r="AE99" s="68" t="s">
        <v>184</v>
      </c>
      <c r="AF99" s="68" t="s">
        <v>185</v>
      </c>
      <c r="AG99">
        <f t="shared" si="42"/>
        <v>1</v>
      </c>
      <c r="AH99">
        <f t="shared" si="26"/>
        <v>1</v>
      </c>
      <c r="AI99">
        <f t="shared" si="27"/>
        <v>1</v>
      </c>
      <c r="AJ99">
        <f t="shared" si="28"/>
        <v>1</v>
      </c>
      <c r="AK99">
        <f t="shared" si="29"/>
        <v>0</v>
      </c>
      <c r="AL99">
        <f t="shared" si="30"/>
        <v>1</v>
      </c>
      <c r="AM99">
        <f t="shared" si="31"/>
        <v>1</v>
      </c>
      <c r="AN99">
        <f t="shared" si="32"/>
        <v>0</v>
      </c>
      <c r="AO99" s="69" t="str">
        <f t="shared" si="33"/>
        <v>Costa de Marfil</v>
      </c>
      <c r="AP99" s="69" t="str">
        <f t="shared" si="34"/>
        <v>Irán</v>
      </c>
      <c r="AQ99" s="69" t="str">
        <f t="shared" si="35"/>
        <v>Bosnia</v>
      </c>
      <c r="AR99" s="69" t="str">
        <f t="shared" si="36"/>
        <v>Paraguay</v>
      </c>
      <c r="AS99" s="69" t="e">
        <f t="shared" si="37"/>
        <v>#N/A</v>
      </c>
      <c r="AT99" s="69" t="str">
        <f t="shared" si="38"/>
        <v>Suecia</v>
      </c>
      <c r="AU99" s="69" t="str">
        <f t="shared" si="39"/>
        <v>Senegal</v>
      </c>
      <c r="AV99" s="69" t="e">
        <f t="shared" si="40"/>
        <v>#N/A</v>
      </c>
    </row>
    <row r="100" spans="24:48" x14ac:dyDescent="0.2">
      <c r="X100" s="64" t="str">
        <f t="shared" si="41"/>
        <v/>
      </c>
      <c r="Y100" s="68" t="s">
        <v>32</v>
      </c>
      <c r="Z100" s="68" t="s">
        <v>14</v>
      </c>
      <c r="AA100" s="68" t="s">
        <v>26</v>
      </c>
      <c r="AB100" s="68" t="s">
        <v>28</v>
      </c>
      <c r="AC100" s="68" t="s">
        <v>13</v>
      </c>
      <c r="AD100" s="68" t="s">
        <v>31</v>
      </c>
      <c r="AE100" s="68" t="s">
        <v>15</v>
      </c>
      <c r="AF100" s="68" t="s">
        <v>184</v>
      </c>
      <c r="AG100">
        <f t="shared" si="42"/>
        <v>0</v>
      </c>
      <c r="AH100">
        <f t="shared" si="26"/>
        <v>1</v>
      </c>
      <c r="AI100">
        <f t="shared" si="27"/>
        <v>1</v>
      </c>
      <c r="AJ100">
        <f t="shared" si="28"/>
        <v>1</v>
      </c>
      <c r="AK100">
        <f t="shared" si="29"/>
        <v>0</v>
      </c>
      <c r="AL100">
        <f t="shared" si="30"/>
        <v>1</v>
      </c>
      <c r="AM100">
        <f t="shared" si="31"/>
        <v>1</v>
      </c>
      <c r="AN100">
        <f t="shared" si="32"/>
        <v>1</v>
      </c>
      <c r="AO100" s="69" t="e">
        <f t="shared" si="33"/>
        <v>#N/A</v>
      </c>
      <c r="AP100" s="69" t="str">
        <f t="shared" si="34"/>
        <v>Irán</v>
      </c>
      <c r="AQ100" s="69" t="str">
        <f t="shared" si="35"/>
        <v>Bosnia</v>
      </c>
      <c r="AR100" s="69" t="str">
        <f t="shared" si="36"/>
        <v>Paraguay</v>
      </c>
      <c r="AS100" s="69" t="e">
        <f t="shared" si="37"/>
        <v>#N/A</v>
      </c>
      <c r="AT100" s="69" t="str">
        <f t="shared" si="38"/>
        <v>Suecia</v>
      </c>
      <c r="AU100" s="69" t="str">
        <f t="shared" si="39"/>
        <v>Costa de Marfil</v>
      </c>
      <c r="AV100" s="69" t="str">
        <f t="shared" si="40"/>
        <v>Senegal</v>
      </c>
    </row>
    <row r="101" spans="24:48" x14ac:dyDescent="0.2">
      <c r="X101" s="64" t="str">
        <f t="shared" si="41"/>
        <v/>
      </c>
      <c r="Y101" s="68" t="s">
        <v>32</v>
      </c>
      <c r="Z101" s="68" t="s">
        <v>13</v>
      </c>
      <c r="AA101" s="68" t="s">
        <v>26</v>
      </c>
      <c r="AB101" s="68" t="s">
        <v>27</v>
      </c>
      <c r="AC101" s="68" t="s">
        <v>184</v>
      </c>
      <c r="AD101" s="68" t="s">
        <v>14</v>
      </c>
      <c r="AE101" s="68" t="s">
        <v>186</v>
      </c>
      <c r="AF101" s="68" t="s">
        <v>185</v>
      </c>
      <c r="AG101">
        <f t="shared" si="42"/>
        <v>0</v>
      </c>
      <c r="AH101">
        <f t="shared" si="26"/>
        <v>0</v>
      </c>
      <c r="AI101">
        <f t="shared" si="27"/>
        <v>1</v>
      </c>
      <c r="AJ101">
        <f t="shared" si="28"/>
        <v>1</v>
      </c>
      <c r="AK101">
        <f t="shared" si="29"/>
        <v>1</v>
      </c>
      <c r="AL101">
        <f t="shared" si="30"/>
        <v>1</v>
      </c>
      <c r="AM101">
        <f t="shared" si="31"/>
        <v>0</v>
      </c>
      <c r="AN101">
        <f t="shared" si="32"/>
        <v>0</v>
      </c>
      <c r="AO101" s="69" t="e">
        <f t="shared" si="33"/>
        <v>#N/A</v>
      </c>
      <c r="AP101" s="69" t="e">
        <f t="shared" si="34"/>
        <v>#N/A</v>
      </c>
      <c r="AQ101" s="69" t="str">
        <f t="shared" si="35"/>
        <v>Bosnia</v>
      </c>
      <c r="AR101" s="69" t="str">
        <f t="shared" si="36"/>
        <v>Marruecos</v>
      </c>
      <c r="AS101" s="69" t="str">
        <f t="shared" si="37"/>
        <v>Senegal</v>
      </c>
      <c r="AT101" s="69" t="str">
        <f t="shared" si="38"/>
        <v>Irán</v>
      </c>
      <c r="AU101" s="69" t="e">
        <f t="shared" si="39"/>
        <v>#N/A</v>
      </c>
      <c r="AV101" s="69" t="e">
        <f t="shared" si="40"/>
        <v>#N/A</v>
      </c>
    </row>
    <row r="102" spans="24:48" x14ac:dyDescent="0.2">
      <c r="X102" s="64" t="str">
        <f t="shared" si="41"/>
        <v/>
      </c>
      <c r="Y102" s="68" t="s">
        <v>32</v>
      </c>
      <c r="Z102" s="68" t="s">
        <v>13</v>
      </c>
      <c r="AA102" s="68" t="s">
        <v>26</v>
      </c>
      <c r="AB102" s="68" t="s">
        <v>27</v>
      </c>
      <c r="AC102" s="68" t="s">
        <v>184</v>
      </c>
      <c r="AD102" s="68" t="s">
        <v>31</v>
      </c>
      <c r="AE102" s="68" t="s">
        <v>186</v>
      </c>
      <c r="AF102" s="68" t="s">
        <v>185</v>
      </c>
      <c r="AG102">
        <f t="shared" si="42"/>
        <v>0</v>
      </c>
      <c r="AH102">
        <f t="shared" si="26"/>
        <v>0</v>
      </c>
      <c r="AI102">
        <f t="shared" si="27"/>
        <v>1</v>
      </c>
      <c r="AJ102">
        <f t="shared" si="28"/>
        <v>1</v>
      </c>
      <c r="AK102">
        <f t="shared" si="29"/>
        <v>1</v>
      </c>
      <c r="AL102">
        <f t="shared" si="30"/>
        <v>1</v>
      </c>
      <c r="AM102">
        <f t="shared" si="31"/>
        <v>0</v>
      </c>
      <c r="AN102">
        <f t="shared" si="32"/>
        <v>0</v>
      </c>
      <c r="AO102" s="69" t="e">
        <f t="shared" si="33"/>
        <v>#N/A</v>
      </c>
      <c r="AP102" s="69" t="e">
        <f t="shared" si="34"/>
        <v>#N/A</v>
      </c>
      <c r="AQ102" s="69" t="str">
        <f t="shared" si="35"/>
        <v>Bosnia</v>
      </c>
      <c r="AR102" s="69" t="str">
        <f t="shared" si="36"/>
        <v>Marruecos</v>
      </c>
      <c r="AS102" s="69" t="str">
        <f t="shared" si="37"/>
        <v>Senegal</v>
      </c>
      <c r="AT102" s="69" t="str">
        <f t="shared" si="38"/>
        <v>Suecia</v>
      </c>
      <c r="AU102" s="69" t="e">
        <f t="shared" si="39"/>
        <v>#N/A</v>
      </c>
      <c r="AV102" s="69" t="e">
        <f t="shared" si="40"/>
        <v>#N/A</v>
      </c>
    </row>
    <row r="103" spans="24:48" x14ac:dyDescent="0.2">
      <c r="X103" s="64" t="str">
        <f t="shared" si="41"/>
        <v/>
      </c>
      <c r="Y103" s="68" t="s">
        <v>184</v>
      </c>
      <c r="Z103" s="68" t="s">
        <v>14</v>
      </c>
      <c r="AA103" s="68" t="s">
        <v>26</v>
      </c>
      <c r="AB103" s="68" t="s">
        <v>27</v>
      </c>
      <c r="AC103" s="68" t="s">
        <v>13</v>
      </c>
      <c r="AD103" s="68" t="s">
        <v>31</v>
      </c>
      <c r="AE103" s="68" t="s">
        <v>186</v>
      </c>
      <c r="AF103" s="68" t="s">
        <v>185</v>
      </c>
      <c r="AG103">
        <f t="shared" si="42"/>
        <v>1</v>
      </c>
      <c r="AH103">
        <f t="shared" si="26"/>
        <v>1</v>
      </c>
      <c r="AI103">
        <f t="shared" si="27"/>
        <v>1</v>
      </c>
      <c r="AJ103">
        <f t="shared" si="28"/>
        <v>1</v>
      </c>
      <c r="AK103">
        <f t="shared" si="29"/>
        <v>0</v>
      </c>
      <c r="AL103">
        <f t="shared" si="30"/>
        <v>1</v>
      </c>
      <c r="AM103">
        <f t="shared" si="31"/>
        <v>0</v>
      </c>
      <c r="AN103">
        <f t="shared" si="32"/>
        <v>0</v>
      </c>
      <c r="AO103" s="69" t="str">
        <f t="shared" si="33"/>
        <v>Senegal</v>
      </c>
      <c r="AP103" s="69" t="str">
        <f t="shared" si="34"/>
        <v>Irán</v>
      </c>
      <c r="AQ103" s="69" t="str">
        <f t="shared" si="35"/>
        <v>Bosnia</v>
      </c>
      <c r="AR103" s="69" t="str">
        <f t="shared" si="36"/>
        <v>Marruecos</v>
      </c>
      <c r="AS103" s="69" t="e">
        <f t="shared" si="37"/>
        <v>#N/A</v>
      </c>
      <c r="AT103" s="69" t="str">
        <f t="shared" si="38"/>
        <v>Suecia</v>
      </c>
      <c r="AU103" s="69" t="e">
        <f t="shared" si="39"/>
        <v>#N/A</v>
      </c>
      <c r="AV103" s="69" t="e">
        <f t="shared" si="40"/>
        <v>#N/A</v>
      </c>
    </row>
    <row r="104" spans="24:48" x14ac:dyDescent="0.2">
      <c r="X104" s="64" t="str">
        <f t="shared" si="41"/>
        <v/>
      </c>
      <c r="Y104" s="68" t="s">
        <v>32</v>
      </c>
      <c r="Z104" s="68" t="s">
        <v>14</v>
      </c>
      <c r="AA104" s="68" t="s">
        <v>26</v>
      </c>
      <c r="AB104" s="68" t="s">
        <v>27</v>
      </c>
      <c r="AC104" s="68" t="s">
        <v>13</v>
      </c>
      <c r="AD104" s="68" t="s">
        <v>31</v>
      </c>
      <c r="AE104" s="68" t="s">
        <v>186</v>
      </c>
      <c r="AF104" s="68" t="s">
        <v>185</v>
      </c>
      <c r="AG104">
        <f t="shared" si="42"/>
        <v>0</v>
      </c>
      <c r="AH104">
        <f t="shared" si="26"/>
        <v>1</v>
      </c>
      <c r="AI104">
        <f t="shared" si="27"/>
        <v>1</v>
      </c>
      <c r="AJ104">
        <f t="shared" si="28"/>
        <v>1</v>
      </c>
      <c r="AK104">
        <f t="shared" si="29"/>
        <v>0</v>
      </c>
      <c r="AL104">
        <f t="shared" si="30"/>
        <v>1</v>
      </c>
      <c r="AM104">
        <f t="shared" si="31"/>
        <v>0</v>
      </c>
      <c r="AN104">
        <f t="shared" si="32"/>
        <v>0</v>
      </c>
      <c r="AO104" s="69" t="e">
        <f t="shared" si="33"/>
        <v>#N/A</v>
      </c>
      <c r="AP104" s="69" t="str">
        <f t="shared" si="34"/>
        <v>Irán</v>
      </c>
      <c r="AQ104" s="69" t="str">
        <f t="shared" si="35"/>
        <v>Bosnia</v>
      </c>
      <c r="AR104" s="69" t="str">
        <f t="shared" si="36"/>
        <v>Marruecos</v>
      </c>
      <c r="AS104" s="69" t="e">
        <f t="shared" si="37"/>
        <v>#N/A</v>
      </c>
      <c r="AT104" s="69" t="str">
        <f t="shared" si="38"/>
        <v>Suecia</v>
      </c>
      <c r="AU104" s="69" t="e">
        <f t="shared" si="39"/>
        <v>#N/A</v>
      </c>
      <c r="AV104" s="69" t="e">
        <f t="shared" si="40"/>
        <v>#N/A</v>
      </c>
    </row>
    <row r="105" spans="24:48" x14ac:dyDescent="0.2">
      <c r="X105" s="64" t="str">
        <f t="shared" si="41"/>
        <v/>
      </c>
      <c r="Y105" s="68" t="s">
        <v>32</v>
      </c>
      <c r="Z105" s="68" t="s">
        <v>14</v>
      </c>
      <c r="AA105" s="68" t="s">
        <v>26</v>
      </c>
      <c r="AB105" s="68" t="s">
        <v>27</v>
      </c>
      <c r="AC105" s="68" t="s">
        <v>184</v>
      </c>
      <c r="AD105" s="68" t="s">
        <v>31</v>
      </c>
      <c r="AE105" s="68" t="s">
        <v>186</v>
      </c>
      <c r="AF105" s="68" t="s">
        <v>185</v>
      </c>
      <c r="AG105">
        <f t="shared" si="42"/>
        <v>0</v>
      </c>
      <c r="AH105">
        <f t="shared" si="26"/>
        <v>1</v>
      </c>
      <c r="AI105">
        <f t="shared" si="27"/>
        <v>1</v>
      </c>
      <c r="AJ105">
        <f t="shared" si="28"/>
        <v>1</v>
      </c>
      <c r="AK105">
        <f t="shared" si="29"/>
        <v>1</v>
      </c>
      <c r="AL105">
        <f t="shared" si="30"/>
        <v>1</v>
      </c>
      <c r="AM105">
        <f t="shared" si="31"/>
        <v>0</v>
      </c>
      <c r="AN105">
        <f t="shared" si="32"/>
        <v>0</v>
      </c>
      <c r="AO105" s="69" t="e">
        <f t="shared" si="33"/>
        <v>#N/A</v>
      </c>
      <c r="AP105" s="69" t="str">
        <f t="shared" si="34"/>
        <v>Irán</v>
      </c>
      <c r="AQ105" s="69" t="str">
        <f t="shared" si="35"/>
        <v>Bosnia</v>
      </c>
      <c r="AR105" s="69" t="str">
        <f t="shared" si="36"/>
        <v>Marruecos</v>
      </c>
      <c r="AS105" s="69" t="str">
        <f t="shared" si="37"/>
        <v>Senegal</v>
      </c>
      <c r="AT105" s="69" t="str">
        <f t="shared" si="38"/>
        <v>Suecia</v>
      </c>
      <c r="AU105" s="69" t="e">
        <f t="shared" si="39"/>
        <v>#N/A</v>
      </c>
      <c r="AV105" s="69" t="e">
        <f t="shared" si="40"/>
        <v>#N/A</v>
      </c>
    </row>
    <row r="106" spans="24:48" x14ac:dyDescent="0.2">
      <c r="X106" s="64" t="str">
        <f t="shared" si="41"/>
        <v/>
      </c>
      <c r="Y106" s="68" t="s">
        <v>32</v>
      </c>
      <c r="Z106" s="68" t="s">
        <v>14</v>
      </c>
      <c r="AA106" s="68" t="s">
        <v>26</v>
      </c>
      <c r="AB106" s="68" t="s">
        <v>27</v>
      </c>
      <c r="AC106" s="68" t="s">
        <v>13</v>
      </c>
      <c r="AD106" s="68" t="s">
        <v>31</v>
      </c>
      <c r="AE106" s="68" t="s">
        <v>186</v>
      </c>
      <c r="AF106" s="68" t="s">
        <v>184</v>
      </c>
      <c r="AG106">
        <f t="shared" si="42"/>
        <v>0</v>
      </c>
      <c r="AH106">
        <f t="shared" si="26"/>
        <v>1</v>
      </c>
      <c r="AI106">
        <f t="shared" si="27"/>
        <v>1</v>
      </c>
      <c r="AJ106">
        <f t="shared" si="28"/>
        <v>1</v>
      </c>
      <c r="AK106">
        <f t="shared" si="29"/>
        <v>0</v>
      </c>
      <c r="AL106">
        <f t="shared" si="30"/>
        <v>1</v>
      </c>
      <c r="AM106">
        <f t="shared" si="31"/>
        <v>0</v>
      </c>
      <c r="AN106">
        <f t="shared" si="32"/>
        <v>1</v>
      </c>
      <c r="AO106" s="69" t="e">
        <f t="shared" si="33"/>
        <v>#N/A</v>
      </c>
      <c r="AP106" s="69" t="str">
        <f t="shared" si="34"/>
        <v>Irán</v>
      </c>
      <c r="AQ106" s="69" t="str">
        <f t="shared" si="35"/>
        <v>Bosnia</v>
      </c>
      <c r="AR106" s="69" t="str">
        <f t="shared" si="36"/>
        <v>Marruecos</v>
      </c>
      <c r="AS106" s="69" t="e">
        <f t="shared" si="37"/>
        <v>#N/A</v>
      </c>
      <c r="AT106" s="69" t="str">
        <f t="shared" si="38"/>
        <v>Suecia</v>
      </c>
      <c r="AU106" s="69" t="e">
        <f t="shared" si="39"/>
        <v>#N/A</v>
      </c>
      <c r="AV106" s="69" t="str">
        <f t="shared" si="40"/>
        <v>Senegal</v>
      </c>
    </row>
    <row r="107" spans="24:48" x14ac:dyDescent="0.2">
      <c r="X107" s="64" t="str">
        <f t="shared" si="41"/>
        <v/>
      </c>
      <c r="Y107" s="68" t="s">
        <v>32</v>
      </c>
      <c r="Z107" s="68" t="s">
        <v>14</v>
      </c>
      <c r="AA107" s="68" t="s">
        <v>26</v>
      </c>
      <c r="AB107" s="68" t="s">
        <v>27</v>
      </c>
      <c r="AC107" s="68" t="s">
        <v>13</v>
      </c>
      <c r="AD107" s="68" t="s">
        <v>31</v>
      </c>
      <c r="AE107" s="68" t="s">
        <v>184</v>
      </c>
      <c r="AF107" s="68" t="s">
        <v>185</v>
      </c>
      <c r="AG107">
        <f t="shared" si="42"/>
        <v>0</v>
      </c>
      <c r="AH107">
        <f t="shared" si="26"/>
        <v>1</v>
      </c>
      <c r="AI107">
        <f t="shared" si="27"/>
        <v>1</v>
      </c>
      <c r="AJ107">
        <f t="shared" si="28"/>
        <v>1</v>
      </c>
      <c r="AK107">
        <f t="shared" si="29"/>
        <v>0</v>
      </c>
      <c r="AL107">
        <f t="shared" si="30"/>
        <v>1</v>
      </c>
      <c r="AM107">
        <f t="shared" si="31"/>
        <v>1</v>
      </c>
      <c r="AN107">
        <f t="shared" si="32"/>
        <v>0</v>
      </c>
      <c r="AO107" s="69" t="e">
        <f t="shared" si="33"/>
        <v>#N/A</v>
      </c>
      <c r="AP107" s="69" t="str">
        <f t="shared" si="34"/>
        <v>Irán</v>
      </c>
      <c r="AQ107" s="69" t="str">
        <f t="shared" si="35"/>
        <v>Bosnia</v>
      </c>
      <c r="AR107" s="69" t="str">
        <f t="shared" si="36"/>
        <v>Marruecos</v>
      </c>
      <c r="AS107" s="69" t="e">
        <f t="shared" si="37"/>
        <v>#N/A</v>
      </c>
      <c r="AT107" s="69" t="str">
        <f t="shared" si="38"/>
        <v>Suecia</v>
      </c>
      <c r="AU107" s="69" t="str">
        <f t="shared" si="39"/>
        <v>Senegal</v>
      </c>
      <c r="AV107" s="69" t="e">
        <f t="shared" si="40"/>
        <v>#N/A</v>
      </c>
    </row>
    <row r="108" spans="24:48" x14ac:dyDescent="0.2">
      <c r="X108" s="64" t="str">
        <f t="shared" si="41"/>
        <v/>
      </c>
      <c r="Y108" s="68" t="s">
        <v>15</v>
      </c>
      <c r="Z108" s="68" t="s">
        <v>13</v>
      </c>
      <c r="AA108" s="68" t="s">
        <v>26</v>
      </c>
      <c r="AB108" s="68" t="s">
        <v>27</v>
      </c>
      <c r="AC108" s="68" t="s">
        <v>184</v>
      </c>
      <c r="AD108" s="68" t="s">
        <v>32</v>
      </c>
      <c r="AE108" s="68" t="s">
        <v>186</v>
      </c>
      <c r="AF108" s="68" t="s">
        <v>185</v>
      </c>
      <c r="AG108">
        <f t="shared" si="42"/>
        <v>1</v>
      </c>
      <c r="AH108">
        <f t="shared" si="26"/>
        <v>0</v>
      </c>
      <c r="AI108">
        <f t="shared" si="27"/>
        <v>1</v>
      </c>
      <c r="AJ108">
        <f t="shared" si="28"/>
        <v>1</v>
      </c>
      <c r="AK108">
        <f t="shared" si="29"/>
        <v>1</v>
      </c>
      <c r="AL108">
        <f t="shared" si="30"/>
        <v>0</v>
      </c>
      <c r="AM108">
        <f t="shared" si="31"/>
        <v>0</v>
      </c>
      <c r="AN108">
        <f t="shared" si="32"/>
        <v>0</v>
      </c>
      <c r="AO108" s="69" t="str">
        <f t="shared" si="33"/>
        <v>Costa de Marfil</v>
      </c>
      <c r="AP108" s="69" t="e">
        <f t="shared" si="34"/>
        <v>#N/A</v>
      </c>
      <c r="AQ108" s="69" t="str">
        <f t="shared" si="35"/>
        <v>Bosnia</v>
      </c>
      <c r="AR108" s="69" t="str">
        <f t="shared" si="36"/>
        <v>Marruecos</v>
      </c>
      <c r="AS108" s="69" t="str">
        <f t="shared" si="37"/>
        <v>Senegal</v>
      </c>
      <c r="AT108" s="69" t="e">
        <f t="shared" si="38"/>
        <v>#N/A</v>
      </c>
      <c r="AU108" s="69" t="e">
        <f t="shared" si="39"/>
        <v>#N/A</v>
      </c>
      <c r="AV108" s="69" t="e">
        <f t="shared" si="40"/>
        <v>#N/A</v>
      </c>
    </row>
    <row r="109" spans="24:48" x14ac:dyDescent="0.2">
      <c r="X109" s="64" t="str">
        <f t="shared" si="41"/>
        <v/>
      </c>
      <c r="Y109" s="68" t="s">
        <v>15</v>
      </c>
      <c r="Z109" s="68" t="s">
        <v>13</v>
      </c>
      <c r="AA109" s="68" t="s">
        <v>26</v>
      </c>
      <c r="AB109" s="68" t="s">
        <v>27</v>
      </c>
      <c r="AC109" s="68" t="s">
        <v>184</v>
      </c>
      <c r="AD109" s="68" t="s">
        <v>14</v>
      </c>
      <c r="AE109" s="68" t="s">
        <v>186</v>
      </c>
      <c r="AF109" s="68" t="s">
        <v>185</v>
      </c>
      <c r="AG109">
        <f t="shared" si="42"/>
        <v>1</v>
      </c>
      <c r="AH109">
        <f t="shared" si="26"/>
        <v>0</v>
      </c>
      <c r="AI109">
        <f t="shared" si="27"/>
        <v>1</v>
      </c>
      <c r="AJ109">
        <f t="shared" si="28"/>
        <v>1</v>
      </c>
      <c r="AK109">
        <f t="shared" si="29"/>
        <v>1</v>
      </c>
      <c r="AL109">
        <f t="shared" si="30"/>
        <v>1</v>
      </c>
      <c r="AM109">
        <f t="shared" si="31"/>
        <v>0</v>
      </c>
      <c r="AN109">
        <f t="shared" si="32"/>
        <v>0</v>
      </c>
      <c r="AO109" s="69" t="str">
        <f t="shared" si="33"/>
        <v>Costa de Marfil</v>
      </c>
      <c r="AP109" s="69" t="e">
        <f t="shared" si="34"/>
        <v>#N/A</v>
      </c>
      <c r="AQ109" s="69" t="str">
        <f t="shared" si="35"/>
        <v>Bosnia</v>
      </c>
      <c r="AR109" s="69" t="str">
        <f t="shared" si="36"/>
        <v>Marruecos</v>
      </c>
      <c r="AS109" s="69" t="str">
        <f t="shared" si="37"/>
        <v>Senegal</v>
      </c>
      <c r="AT109" s="69" t="str">
        <f t="shared" si="38"/>
        <v>Irán</v>
      </c>
      <c r="AU109" s="69" t="e">
        <f t="shared" si="39"/>
        <v>#N/A</v>
      </c>
      <c r="AV109" s="69" t="e">
        <f t="shared" si="40"/>
        <v>#N/A</v>
      </c>
    </row>
    <row r="110" spans="24:48" x14ac:dyDescent="0.2">
      <c r="X110" s="64" t="str">
        <f t="shared" si="41"/>
        <v/>
      </c>
      <c r="Y110" s="68" t="s">
        <v>15</v>
      </c>
      <c r="Z110" s="68" t="s">
        <v>13</v>
      </c>
      <c r="AA110" s="68" t="s">
        <v>26</v>
      </c>
      <c r="AB110" s="68" t="s">
        <v>27</v>
      </c>
      <c r="AC110" s="68" t="s">
        <v>32</v>
      </c>
      <c r="AD110" s="68" t="s">
        <v>14</v>
      </c>
      <c r="AE110" s="68" t="s">
        <v>186</v>
      </c>
      <c r="AF110" s="68" t="s">
        <v>185</v>
      </c>
      <c r="AG110">
        <f t="shared" si="42"/>
        <v>1</v>
      </c>
      <c r="AH110">
        <f t="shared" si="26"/>
        <v>0</v>
      </c>
      <c r="AI110">
        <f t="shared" si="27"/>
        <v>1</v>
      </c>
      <c r="AJ110">
        <f t="shared" si="28"/>
        <v>1</v>
      </c>
      <c r="AK110">
        <f t="shared" si="29"/>
        <v>0</v>
      </c>
      <c r="AL110">
        <f t="shared" si="30"/>
        <v>1</v>
      </c>
      <c r="AM110">
        <f t="shared" si="31"/>
        <v>0</v>
      </c>
      <c r="AN110">
        <f t="shared" si="32"/>
        <v>0</v>
      </c>
      <c r="AO110" s="69" t="str">
        <f t="shared" si="33"/>
        <v>Costa de Marfil</v>
      </c>
      <c r="AP110" s="69" t="e">
        <f t="shared" si="34"/>
        <v>#N/A</v>
      </c>
      <c r="AQ110" s="69" t="str">
        <f t="shared" si="35"/>
        <v>Bosnia</v>
      </c>
      <c r="AR110" s="69" t="str">
        <f t="shared" si="36"/>
        <v>Marruecos</v>
      </c>
      <c r="AS110" s="69" t="e">
        <f t="shared" si="37"/>
        <v>#N/A</v>
      </c>
      <c r="AT110" s="69" t="str">
        <f t="shared" si="38"/>
        <v>Irán</v>
      </c>
      <c r="AU110" s="69" t="e">
        <f t="shared" si="39"/>
        <v>#N/A</v>
      </c>
      <c r="AV110" s="69" t="e">
        <f t="shared" si="40"/>
        <v>#N/A</v>
      </c>
    </row>
    <row r="111" spans="24:48" x14ac:dyDescent="0.2">
      <c r="X111" s="64" t="str">
        <f t="shared" si="41"/>
        <v/>
      </c>
      <c r="Y111" s="68" t="s">
        <v>15</v>
      </c>
      <c r="Z111" s="68" t="s">
        <v>14</v>
      </c>
      <c r="AA111" s="68" t="s">
        <v>26</v>
      </c>
      <c r="AB111" s="68" t="s">
        <v>27</v>
      </c>
      <c r="AC111" s="68" t="s">
        <v>184</v>
      </c>
      <c r="AD111" s="68" t="s">
        <v>32</v>
      </c>
      <c r="AE111" s="68" t="s">
        <v>186</v>
      </c>
      <c r="AF111" s="68" t="s">
        <v>185</v>
      </c>
      <c r="AG111">
        <f t="shared" si="42"/>
        <v>1</v>
      </c>
      <c r="AH111">
        <f t="shared" si="26"/>
        <v>1</v>
      </c>
      <c r="AI111">
        <f t="shared" si="27"/>
        <v>1</v>
      </c>
      <c r="AJ111">
        <f t="shared" si="28"/>
        <v>1</v>
      </c>
      <c r="AK111">
        <f t="shared" si="29"/>
        <v>1</v>
      </c>
      <c r="AL111">
        <f t="shared" si="30"/>
        <v>0</v>
      </c>
      <c r="AM111">
        <f t="shared" si="31"/>
        <v>0</v>
      </c>
      <c r="AN111">
        <f t="shared" si="32"/>
        <v>0</v>
      </c>
      <c r="AO111" s="69" t="str">
        <f t="shared" si="33"/>
        <v>Costa de Marfil</v>
      </c>
      <c r="AP111" s="69" t="str">
        <f t="shared" si="34"/>
        <v>Irán</v>
      </c>
      <c r="AQ111" s="69" t="str">
        <f t="shared" si="35"/>
        <v>Bosnia</v>
      </c>
      <c r="AR111" s="69" t="str">
        <f t="shared" si="36"/>
        <v>Marruecos</v>
      </c>
      <c r="AS111" s="69" t="str">
        <f t="shared" si="37"/>
        <v>Senegal</v>
      </c>
      <c r="AT111" s="69" t="e">
        <f t="shared" si="38"/>
        <v>#N/A</v>
      </c>
      <c r="AU111" s="69" t="e">
        <f t="shared" si="39"/>
        <v>#N/A</v>
      </c>
      <c r="AV111" s="69" t="e">
        <f t="shared" si="40"/>
        <v>#N/A</v>
      </c>
    </row>
    <row r="112" spans="24:48" x14ac:dyDescent="0.2">
      <c r="X112" s="64" t="str">
        <f t="shared" si="41"/>
        <v/>
      </c>
      <c r="Y112" s="68" t="s">
        <v>15</v>
      </c>
      <c r="Z112" s="68" t="s">
        <v>13</v>
      </c>
      <c r="AA112" s="68" t="s">
        <v>26</v>
      </c>
      <c r="AB112" s="68" t="s">
        <v>27</v>
      </c>
      <c r="AC112" s="68" t="s">
        <v>32</v>
      </c>
      <c r="AD112" s="68" t="s">
        <v>14</v>
      </c>
      <c r="AE112" s="68" t="s">
        <v>186</v>
      </c>
      <c r="AF112" s="68" t="s">
        <v>184</v>
      </c>
      <c r="AG112">
        <f t="shared" si="42"/>
        <v>1</v>
      </c>
      <c r="AH112">
        <f t="shared" si="26"/>
        <v>0</v>
      </c>
      <c r="AI112">
        <f t="shared" si="27"/>
        <v>1</v>
      </c>
      <c r="AJ112">
        <f t="shared" si="28"/>
        <v>1</v>
      </c>
      <c r="AK112">
        <f t="shared" si="29"/>
        <v>0</v>
      </c>
      <c r="AL112">
        <f t="shared" si="30"/>
        <v>1</v>
      </c>
      <c r="AM112">
        <f t="shared" si="31"/>
        <v>0</v>
      </c>
      <c r="AN112">
        <f t="shared" si="32"/>
        <v>1</v>
      </c>
      <c r="AO112" s="69" t="str">
        <f t="shared" si="33"/>
        <v>Costa de Marfil</v>
      </c>
      <c r="AP112" s="69" t="e">
        <f t="shared" si="34"/>
        <v>#N/A</v>
      </c>
      <c r="AQ112" s="69" t="str">
        <f t="shared" si="35"/>
        <v>Bosnia</v>
      </c>
      <c r="AR112" s="69" t="str">
        <f t="shared" si="36"/>
        <v>Marruecos</v>
      </c>
      <c r="AS112" s="69" t="e">
        <f t="shared" si="37"/>
        <v>#N/A</v>
      </c>
      <c r="AT112" s="69" t="str">
        <f t="shared" si="38"/>
        <v>Irán</v>
      </c>
      <c r="AU112" s="69" t="e">
        <f t="shared" si="39"/>
        <v>#N/A</v>
      </c>
      <c r="AV112" s="69" t="str">
        <f t="shared" si="40"/>
        <v>Senegal</v>
      </c>
    </row>
    <row r="113" spans="24:48" x14ac:dyDescent="0.2">
      <c r="X113" s="64" t="str">
        <f t="shared" si="41"/>
        <v/>
      </c>
      <c r="Y113" s="68" t="s">
        <v>15</v>
      </c>
      <c r="Z113" s="68" t="s">
        <v>13</v>
      </c>
      <c r="AA113" s="68" t="s">
        <v>26</v>
      </c>
      <c r="AB113" s="68" t="s">
        <v>27</v>
      </c>
      <c r="AC113" s="68" t="s">
        <v>32</v>
      </c>
      <c r="AD113" s="68" t="s">
        <v>14</v>
      </c>
      <c r="AE113" s="68" t="s">
        <v>184</v>
      </c>
      <c r="AF113" s="68" t="s">
        <v>185</v>
      </c>
      <c r="AG113">
        <f t="shared" si="42"/>
        <v>1</v>
      </c>
      <c r="AH113">
        <f t="shared" si="26"/>
        <v>0</v>
      </c>
      <c r="AI113">
        <f t="shared" si="27"/>
        <v>1</v>
      </c>
      <c r="AJ113">
        <f t="shared" si="28"/>
        <v>1</v>
      </c>
      <c r="AK113">
        <f t="shared" si="29"/>
        <v>0</v>
      </c>
      <c r="AL113">
        <f t="shared" si="30"/>
        <v>1</v>
      </c>
      <c r="AM113">
        <f t="shared" si="31"/>
        <v>1</v>
      </c>
      <c r="AN113">
        <f t="shared" si="32"/>
        <v>0</v>
      </c>
      <c r="AO113" s="69" t="str">
        <f t="shared" si="33"/>
        <v>Costa de Marfil</v>
      </c>
      <c r="AP113" s="69" t="e">
        <f t="shared" si="34"/>
        <v>#N/A</v>
      </c>
      <c r="AQ113" s="69" t="str">
        <f t="shared" si="35"/>
        <v>Bosnia</v>
      </c>
      <c r="AR113" s="69" t="str">
        <f t="shared" si="36"/>
        <v>Marruecos</v>
      </c>
      <c r="AS113" s="69" t="e">
        <f t="shared" si="37"/>
        <v>#N/A</v>
      </c>
      <c r="AT113" s="69" t="str">
        <f t="shared" si="38"/>
        <v>Irán</v>
      </c>
      <c r="AU113" s="69" t="str">
        <f t="shared" si="39"/>
        <v>Senegal</v>
      </c>
      <c r="AV113" s="69" t="e">
        <f t="shared" si="40"/>
        <v>#N/A</v>
      </c>
    </row>
    <row r="114" spans="24:48" x14ac:dyDescent="0.2">
      <c r="X114" s="64" t="str">
        <f t="shared" si="41"/>
        <v/>
      </c>
      <c r="Y114" s="68" t="s">
        <v>15</v>
      </c>
      <c r="Z114" s="68" t="s">
        <v>13</v>
      </c>
      <c r="AA114" s="68" t="s">
        <v>26</v>
      </c>
      <c r="AB114" s="68" t="s">
        <v>27</v>
      </c>
      <c r="AC114" s="68" t="s">
        <v>184</v>
      </c>
      <c r="AD114" s="68" t="s">
        <v>31</v>
      </c>
      <c r="AE114" s="68" t="s">
        <v>186</v>
      </c>
      <c r="AF114" s="68" t="s">
        <v>185</v>
      </c>
      <c r="AG114">
        <f t="shared" si="42"/>
        <v>1</v>
      </c>
      <c r="AH114">
        <f t="shared" si="26"/>
        <v>0</v>
      </c>
      <c r="AI114">
        <f t="shared" si="27"/>
        <v>1</v>
      </c>
      <c r="AJ114">
        <f t="shared" si="28"/>
        <v>1</v>
      </c>
      <c r="AK114">
        <f t="shared" si="29"/>
        <v>1</v>
      </c>
      <c r="AL114">
        <f t="shared" si="30"/>
        <v>1</v>
      </c>
      <c r="AM114">
        <f t="shared" si="31"/>
        <v>0</v>
      </c>
      <c r="AN114">
        <f t="shared" si="32"/>
        <v>0</v>
      </c>
      <c r="AO114" s="69" t="str">
        <f t="shared" si="33"/>
        <v>Costa de Marfil</v>
      </c>
      <c r="AP114" s="69" t="e">
        <f t="shared" si="34"/>
        <v>#N/A</v>
      </c>
      <c r="AQ114" s="69" t="str">
        <f t="shared" si="35"/>
        <v>Bosnia</v>
      </c>
      <c r="AR114" s="69" t="str">
        <f t="shared" si="36"/>
        <v>Marruecos</v>
      </c>
      <c r="AS114" s="69" t="str">
        <f t="shared" si="37"/>
        <v>Senegal</v>
      </c>
      <c r="AT114" s="69" t="str">
        <f t="shared" si="38"/>
        <v>Suecia</v>
      </c>
      <c r="AU114" s="69" t="e">
        <f t="shared" si="39"/>
        <v>#N/A</v>
      </c>
      <c r="AV114" s="69" t="e">
        <f t="shared" si="40"/>
        <v>#N/A</v>
      </c>
    </row>
    <row r="115" spans="24:48" x14ac:dyDescent="0.2">
      <c r="X115" s="64" t="str">
        <f t="shared" si="41"/>
        <v/>
      </c>
      <c r="Y115" s="68" t="s">
        <v>15</v>
      </c>
      <c r="Z115" s="68" t="s">
        <v>13</v>
      </c>
      <c r="AA115" s="68" t="s">
        <v>26</v>
      </c>
      <c r="AB115" s="68" t="s">
        <v>27</v>
      </c>
      <c r="AC115" s="68" t="s">
        <v>32</v>
      </c>
      <c r="AD115" s="68" t="s">
        <v>31</v>
      </c>
      <c r="AE115" s="68" t="s">
        <v>186</v>
      </c>
      <c r="AF115" s="68" t="s">
        <v>185</v>
      </c>
      <c r="AG115">
        <f t="shared" si="42"/>
        <v>1</v>
      </c>
      <c r="AH115">
        <f t="shared" si="26"/>
        <v>0</v>
      </c>
      <c r="AI115">
        <f t="shared" si="27"/>
        <v>1</v>
      </c>
      <c r="AJ115">
        <f t="shared" si="28"/>
        <v>1</v>
      </c>
      <c r="AK115">
        <f t="shared" si="29"/>
        <v>0</v>
      </c>
      <c r="AL115">
        <f t="shared" si="30"/>
        <v>1</v>
      </c>
      <c r="AM115">
        <f t="shared" si="31"/>
        <v>0</v>
      </c>
      <c r="AN115">
        <f t="shared" si="32"/>
        <v>0</v>
      </c>
      <c r="AO115" s="69" t="str">
        <f t="shared" si="33"/>
        <v>Costa de Marfil</v>
      </c>
      <c r="AP115" s="69" t="e">
        <f t="shared" si="34"/>
        <v>#N/A</v>
      </c>
      <c r="AQ115" s="69" t="str">
        <f t="shared" si="35"/>
        <v>Bosnia</v>
      </c>
      <c r="AR115" s="69" t="str">
        <f t="shared" si="36"/>
        <v>Marruecos</v>
      </c>
      <c r="AS115" s="69" t="e">
        <f t="shared" si="37"/>
        <v>#N/A</v>
      </c>
      <c r="AT115" s="69" t="str">
        <f t="shared" si="38"/>
        <v>Suecia</v>
      </c>
      <c r="AU115" s="69" t="e">
        <f t="shared" si="39"/>
        <v>#N/A</v>
      </c>
      <c r="AV115" s="69" t="e">
        <f t="shared" si="40"/>
        <v>#N/A</v>
      </c>
    </row>
    <row r="116" spans="24:48" x14ac:dyDescent="0.2">
      <c r="X116" s="64" t="str">
        <f t="shared" si="41"/>
        <v/>
      </c>
      <c r="Y116" s="68" t="s">
        <v>15</v>
      </c>
      <c r="Z116" s="68" t="s">
        <v>184</v>
      </c>
      <c r="AA116" s="68" t="s">
        <v>26</v>
      </c>
      <c r="AB116" s="68" t="s">
        <v>27</v>
      </c>
      <c r="AC116" s="68" t="s">
        <v>32</v>
      </c>
      <c r="AD116" s="68" t="s">
        <v>31</v>
      </c>
      <c r="AE116" s="68" t="s">
        <v>186</v>
      </c>
      <c r="AF116" s="68" t="s">
        <v>185</v>
      </c>
      <c r="AG116">
        <f t="shared" si="42"/>
        <v>1</v>
      </c>
      <c r="AH116">
        <f t="shared" si="26"/>
        <v>1</v>
      </c>
      <c r="AI116">
        <f t="shared" si="27"/>
        <v>1</v>
      </c>
      <c r="AJ116">
        <f t="shared" si="28"/>
        <v>1</v>
      </c>
      <c r="AK116">
        <f t="shared" si="29"/>
        <v>0</v>
      </c>
      <c r="AL116">
        <f t="shared" si="30"/>
        <v>1</v>
      </c>
      <c r="AM116">
        <f t="shared" si="31"/>
        <v>0</v>
      </c>
      <c r="AN116">
        <f t="shared" si="32"/>
        <v>0</v>
      </c>
      <c r="AO116" s="69" t="str">
        <f t="shared" si="33"/>
        <v>Costa de Marfil</v>
      </c>
      <c r="AP116" s="69" t="str">
        <f t="shared" si="34"/>
        <v>Senegal</v>
      </c>
      <c r="AQ116" s="69" t="str">
        <f t="shared" si="35"/>
        <v>Bosnia</v>
      </c>
      <c r="AR116" s="69" t="str">
        <f t="shared" si="36"/>
        <v>Marruecos</v>
      </c>
      <c r="AS116" s="69" t="e">
        <f t="shared" si="37"/>
        <v>#N/A</v>
      </c>
      <c r="AT116" s="69" t="str">
        <f t="shared" si="38"/>
        <v>Suecia</v>
      </c>
      <c r="AU116" s="69" t="e">
        <f t="shared" si="39"/>
        <v>#N/A</v>
      </c>
      <c r="AV116" s="69" t="e">
        <f t="shared" si="40"/>
        <v>#N/A</v>
      </c>
    </row>
    <row r="117" spans="24:48" x14ac:dyDescent="0.2">
      <c r="X117" s="64" t="str">
        <f t="shared" si="41"/>
        <v/>
      </c>
      <c r="Y117" s="68" t="s">
        <v>15</v>
      </c>
      <c r="Z117" s="68" t="s">
        <v>13</v>
      </c>
      <c r="AA117" s="68" t="s">
        <v>26</v>
      </c>
      <c r="AB117" s="68" t="s">
        <v>27</v>
      </c>
      <c r="AC117" s="68" t="s">
        <v>32</v>
      </c>
      <c r="AD117" s="68" t="s">
        <v>31</v>
      </c>
      <c r="AE117" s="68" t="s">
        <v>186</v>
      </c>
      <c r="AF117" s="68" t="s">
        <v>184</v>
      </c>
      <c r="AG117">
        <f t="shared" si="42"/>
        <v>1</v>
      </c>
      <c r="AH117">
        <f t="shared" si="26"/>
        <v>0</v>
      </c>
      <c r="AI117">
        <f t="shared" si="27"/>
        <v>1</v>
      </c>
      <c r="AJ117">
        <f t="shared" si="28"/>
        <v>1</v>
      </c>
      <c r="AK117">
        <f t="shared" si="29"/>
        <v>0</v>
      </c>
      <c r="AL117">
        <f t="shared" si="30"/>
        <v>1</v>
      </c>
      <c r="AM117">
        <f t="shared" si="31"/>
        <v>0</v>
      </c>
      <c r="AN117">
        <f t="shared" si="32"/>
        <v>1</v>
      </c>
      <c r="AO117" s="69" t="str">
        <f t="shared" si="33"/>
        <v>Costa de Marfil</v>
      </c>
      <c r="AP117" s="69" t="e">
        <f t="shared" si="34"/>
        <v>#N/A</v>
      </c>
      <c r="AQ117" s="69" t="str">
        <f t="shared" si="35"/>
        <v>Bosnia</v>
      </c>
      <c r="AR117" s="69" t="str">
        <f t="shared" si="36"/>
        <v>Marruecos</v>
      </c>
      <c r="AS117" s="69" t="e">
        <f t="shared" si="37"/>
        <v>#N/A</v>
      </c>
      <c r="AT117" s="69" t="str">
        <f t="shared" si="38"/>
        <v>Suecia</v>
      </c>
      <c r="AU117" s="69" t="e">
        <f t="shared" si="39"/>
        <v>#N/A</v>
      </c>
      <c r="AV117" s="69" t="str">
        <f t="shared" si="40"/>
        <v>Senegal</v>
      </c>
    </row>
    <row r="118" spans="24:48" x14ac:dyDescent="0.2">
      <c r="X118" s="64" t="str">
        <f t="shared" si="41"/>
        <v/>
      </c>
      <c r="Y118" s="68" t="s">
        <v>15</v>
      </c>
      <c r="Z118" s="68" t="s">
        <v>13</v>
      </c>
      <c r="AA118" s="68" t="s">
        <v>26</v>
      </c>
      <c r="AB118" s="68" t="s">
        <v>27</v>
      </c>
      <c r="AC118" s="68" t="s">
        <v>32</v>
      </c>
      <c r="AD118" s="68" t="s">
        <v>31</v>
      </c>
      <c r="AE118" s="68" t="s">
        <v>184</v>
      </c>
      <c r="AF118" s="68" t="s">
        <v>185</v>
      </c>
      <c r="AG118">
        <f t="shared" si="42"/>
        <v>1</v>
      </c>
      <c r="AH118">
        <f t="shared" si="26"/>
        <v>0</v>
      </c>
      <c r="AI118">
        <f t="shared" si="27"/>
        <v>1</v>
      </c>
      <c r="AJ118">
        <f t="shared" si="28"/>
        <v>1</v>
      </c>
      <c r="AK118">
        <f t="shared" si="29"/>
        <v>0</v>
      </c>
      <c r="AL118">
        <f t="shared" si="30"/>
        <v>1</v>
      </c>
      <c r="AM118">
        <f t="shared" si="31"/>
        <v>1</v>
      </c>
      <c r="AN118">
        <f t="shared" si="32"/>
        <v>0</v>
      </c>
      <c r="AO118" s="69" t="str">
        <f t="shared" si="33"/>
        <v>Costa de Marfil</v>
      </c>
      <c r="AP118" s="69" t="e">
        <f t="shared" si="34"/>
        <v>#N/A</v>
      </c>
      <c r="AQ118" s="69" t="str">
        <f t="shared" si="35"/>
        <v>Bosnia</v>
      </c>
      <c r="AR118" s="69" t="str">
        <f t="shared" si="36"/>
        <v>Marruecos</v>
      </c>
      <c r="AS118" s="69" t="e">
        <f t="shared" si="37"/>
        <v>#N/A</v>
      </c>
      <c r="AT118" s="69" t="str">
        <f t="shared" si="38"/>
        <v>Suecia</v>
      </c>
      <c r="AU118" s="69" t="str">
        <f t="shared" si="39"/>
        <v>Senegal</v>
      </c>
      <c r="AV118" s="69" t="e">
        <f t="shared" si="40"/>
        <v>#N/A</v>
      </c>
    </row>
    <row r="119" spans="24:48" x14ac:dyDescent="0.2">
      <c r="X119" s="64" t="str">
        <f t="shared" si="41"/>
        <v/>
      </c>
      <c r="Y119" s="68" t="s">
        <v>15</v>
      </c>
      <c r="Z119" s="68" t="s">
        <v>14</v>
      </c>
      <c r="AA119" s="68" t="s">
        <v>26</v>
      </c>
      <c r="AB119" s="68" t="s">
        <v>27</v>
      </c>
      <c r="AC119" s="68" t="s">
        <v>13</v>
      </c>
      <c r="AD119" s="68" t="s">
        <v>31</v>
      </c>
      <c r="AE119" s="68" t="s">
        <v>186</v>
      </c>
      <c r="AF119" s="68" t="s">
        <v>185</v>
      </c>
      <c r="AG119">
        <f t="shared" si="42"/>
        <v>1</v>
      </c>
      <c r="AH119">
        <f t="shared" si="26"/>
        <v>1</v>
      </c>
      <c r="AI119">
        <f t="shared" si="27"/>
        <v>1</v>
      </c>
      <c r="AJ119">
        <f t="shared" si="28"/>
        <v>1</v>
      </c>
      <c r="AK119">
        <f t="shared" si="29"/>
        <v>0</v>
      </c>
      <c r="AL119">
        <f t="shared" si="30"/>
        <v>1</v>
      </c>
      <c r="AM119">
        <f t="shared" si="31"/>
        <v>0</v>
      </c>
      <c r="AN119">
        <f t="shared" si="32"/>
        <v>0</v>
      </c>
      <c r="AO119" s="69" t="str">
        <f t="shared" si="33"/>
        <v>Costa de Marfil</v>
      </c>
      <c r="AP119" s="69" t="str">
        <f t="shared" si="34"/>
        <v>Irán</v>
      </c>
      <c r="AQ119" s="69" t="str">
        <f t="shared" si="35"/>
        <v>Bosnia</v>
      </c>
      <c r="AR119" s="69" t="str">
        <f t="shared" si="36"/>
        <v>Marruecos</v>
      </c>
      <c r="AS119" s="69" t="e">
        <f t="shared" si="37"/>
        <v>#N/A</v>
      </c>
      <c r="AT119" s="69" t="str">
        <f t="shared" si="38"/>
        <v>Suecia</v>
      </c>
      <c r="AU119" s="69" t="e">
        <f t="shared" si="39"/>
        <v>#N/A</v>
      </c>
      <c r="AV119" s="69" t="e">
        <f t="shared" si="40"/>
        <v>#N/A</v>
      </c>
    </row>
    <row r="120" spans="24:48" x14ac:dyDescent="0.2">
      <c r="X120" s="64" t="str">
        <f t="shared" si="41"/>
        <v/>
      </c>
      <c r="Y120" s="68" t="s">
        <v>15</v>
      </c>
      <c r="Z120" s="68" t="s">
        <v>14</v>
      </c>
      <c r="AA120" s="68" t="s">
        <v>26</v>
      </c>
      <c r="AB120" s="68" t="s">
        <v>27</v>
      </c>
      <c r="AC120" s="68" t="s">
        <v>184</v>
      </c>
      <c r="AD120" s="68" t="s">
        <v>31</v>
      </c>
      <c r="AE120" s="68" t="s">
        <v>186</v>
      </c>
      <c r="AF120" s="68" t="s">
        <v>185</v>
      </c>
      <c r="AG120">
        <f t="shared" si="42"/>
        <v>1</v>
      </c>
      <c r="AH120">
        <f t="shared" si="26"/>
        <v>1</v>
      </c>
      <c r="AI120">
        <f t="shared" si="27"/>
        <v>1</v>
      </c>
      <c r="AJ120">
        <f t="shared" si="28"/>
        <v>1</v>
      </c>
      <c r="AK120">
        <f t="shared" si="29"/>
        <v>1</v>
      </c>
      <c r="AL120">
        <f t="shared" si="30"/>
        <v>1</v>
      </c>
      <c r="AM120">
        <f t="shared" si="31"/>
        <v>0</v>
      </c>
      <c r="AN120">
        <f t="shared" si="32"/>
        <v>0</v>
      </c>
      <c r="AO120" s="69" t="str">
        <f t="shared" si="33"/>
        <v>Costa de Marfil</v>
      </c>
      <c r="AP120" s="69" t="str">
        <f t="shared" si="34"/>
        <v>Irán</v>
      </c>
      <c r="AQ120" s="69" t="str">
        <f t="shared" si="35"/>
        <v>Bosnia</v>
      </c>
      <c r="AR120" s="69" t="str">
        <f t="shared" si="36"/>
        <v>Marruecos</v>
      </c>
      <c r="AS120" s="69" t="str">
        <f t="shared" si="37"/>
        <v>Senegal</v>
      </c>
      <c r="AT120" s="69" t="str">
        <f t="shared" si="38"/>
        <v>Suecia</v>
      </c>
      <c r="AU120" s="69" t="e">
        <f t="shared" si="39"/>
        <v>#N/A</v>
      </c>
      <c r="AV120" s="69" t="e">
        <f t="shared" si="40"/>
        <v>#N/A</v>
      </c>
    </row>
    <row r="121" spans="24:48" x14ac:dyDescent="0.2">
      <c r="X121" s="64" t="str">
        <f t="shared" si="41"/>
        <v/>
      </c>
      <c r="Y121" s="68" t="s">
        <v>15</v>
      </c>
      <c r="Z121" s="68" t="s">
        <v>14</v>
      </c>
      <c r="AA121" s="68" t="s">
        <v>26</v>
      </c>
      <c r="AB121" s="68" t="s">
        <v>27</v>
      </c>
      <c r="AC121" s="68" t="s">
        <v>13</v>
      </c>
      <c r="AD121" s="68" t="s">
        <v>31</v>
      </c>
      <c r="AE121" s="68" t="s">
        <v>186</v>
      </c>
      <c r="AF121" s="68" t="s">
        <v>184</v>
      </c>
      <c r="AG121">
        <f t="shared" si="42"/>
        <v>1</v>
      </c>
      <c r="AH121">
        <f t="shared" si="26"/>
        <v>1</v>
      </c>
      <c r="AI121">
        <f t="shared" si="27"/>
        <v>1</v>
      </c>
      <c r="AJ121">
        <f t="shared" si="28"/>
        <v>1</v>
      </c>
      <c r="AK121">
        <f t="shared" si="29"/>
        <v>0</v>
      </c>
      <c r="AL121">
        <f t="shared" si="30"/>
        <v>1</v>
      </c>
      <c r="AM121">
        <f t="shared" si="31"/>
        <v>0</v>
      </c>
      <c r="AN121">
        <f t="shared" si="32"/>
        <v>1</v>
      </c>
      <c r="AO121" s="69" t="str">
        <f t="shared" si="33"/>
        <v>Costa de Marfil</v>
      </c>
      <c r="AP121" s="69" t="str">
        <f t="shared" si="34"/>
        <v>Irán</v>
      </c>
      <c r="AQ121" s="69" t="str">
        <f t="shared" si="35"/>
        <v>Bosnia</v>
      </c>
      <c r="AR121" s="69" t="str">
        <f t="shared" si="36"/>
        <v>Marruecos</v>
      </c>
      <c r="AS121" s="69" t="e">
        <f t="shared" si="37"/>
        <v>#N/A</v>
      </c>
      <c r="AT121" s="69" t="str">
        <f t="shared" si="38"/>
        <v>Suecia</v>
      </c>
      <c r="AU121" s="69" t="e">
        <f t="shared" si="39"/>
        <v>#N/A</v>
      </c>
      <c r="AV121" s="69" t="str">
        <f t="shared" si="40"/>
        <v>Senegal</v>
      </c>
    </row>
    <row r="122" spans="24:48" x14ac:dyDescent="0.2">
      <c r="X122" s="64" t="str">
        <f t="shared" si="41"/>
        <v/>
      </c>
      <c r="Y122" s="68" t="s">
        <v>15</v>
      </c>
      <c r="Z122" s="68" t="s">
        <v>14</v>
      </c>
      <c r="AA122" s="68" t="s">
        <v>26</v>
      </c>
      <c r="AB122" s="68" t="s">
        <v>27</v>
      </c>
      <c r="AC122" s="68" t="s">
        <v>13</v>
      </c>
      <c r="AD122" s="68" t="s">
        <v>31</v>
      </c>
      <c r="AE122" s="68" t="s">
        <v>184</v>
      </c>
      <c r="AF122" s="68" t="s">
        <v>185</v>
      </c>
      <c r="AG122">
        <f t="shared" si="42"/>
        <v>1</v>
      </c>
      <c r="AH122">
        <f t="shared" si="26"/>
        <v>1</v>
      </c>
      <c r="AI122">
        <f t="shared" si="27"/>
        <v>1</v>
      </c>
      <c r="AJ122">
        <f t="shared" si="28"/>
        <v>1</v>
      </c>
      <c r="AK122">
        <f t="shared" si="29"/>
        <v>0</v>
      </c>
      <c r="AL122">
        <f t="shared" si="30"/>
        <v>1</v>
      </c>
      <c r="AM122">
        <f t="shared" si="31"/>
        <v>1</v>
      </c>
      <c r="AN122">
        <f t="shared" si="32"/>
        <v>0</v>
      </c>
      <c r="AO122" s="69" t="str">
        <f t="shared" si="33"/>
        <v>Costa de Marfil</v>
      </c>
      <c r="AP122" s="69" t="str">
        <f t="shared" si="34"/>
        <v>Irán</v>
      </c>
      <c r="AQ122" s="69" t="str">
        <f t="shared" si="35"/>
        <v>Bosnia</v>
      </c>
      <c r="AR122" s="69" t="str">
        <f t="shared" si="36"/>
        <v>Marruecos</v>
      </c>
      <c r="AS122" s="69" t="e">
        <f t="shared" si="37"/>
        <v>#N/A</v>
      </c>
      <c r="AT122" s="69" t="str">
        <f t="shared" si="38"/>
        <v>Suecia</v>
      </c>
      <c r="AU122" s="69" t="str">
        <f t="shared" si="39"/>
        <v>Senegal</v>
      </c>
      <c r="AV122" s="69" t="e">
        <f t="shared" si="40"/>
        <v>#N/A</v>
      </c>
    </row>
    <row r="123" spans="24:48" x14ac:dyDescent="0.2">
      <c r="X123" s="64" t="str">
        <f t="shared" si="41"/>
        <v/>
      </c>
      <c r="Y123" s="68" t="s">
        <v>15</v>
      </c>
      <c r="Z123" s="68" t="s">
        <v>14</v>
      </c>
      <c r="AA123" s="68" t="s">
        <v>26</v>
      </c>
      <c r="AB123" s="68" t="s">
        <v>27</v>
      </c>
      <c r="AC123" s="68" t="s">
        <v>32</v>
      </c>
      <c r="AD123" s="68" t="s">
        <v>31</v>
      </c>
      <c r="AE123" s="68" t="s">
        <v>186</v>
      </c>
      <c r="AF123" s="68" t="s">
        <v>185</v>
      </c>
      <c r="AG123">
        <f t="shared" si="42"/>
        <v>1</v>
      </c>
      <c r="AH123">
        <f t="shared" si="26"/>
        <v>1</v>
      </c>
      <c r="AI123">
        <f t="shared" si="27"/>
        <v>1</v>
      </c>
      <c r="AJ123">
        <f t="shared" si="28"/>
        <v>1</v>
      </c>
      <c r="AK123">
        <f t="shared" si="29"/>
        <v>0</v>
      </c>
      <c r="AL123">
        <f t="shared" si="30"/>
        <v>1</v>
      </c>
      <c r="AM123">
        <f t="shared" si="31"/>
        <v>0</v>
      </c>
      <c r="AN123">
        <f t="shared" si="32"/>
        <v>0</v>
      </c>
      <c r="AO123" s="69" t="str">
        <f t="shared" si="33"/>
        <v>Costa de Marfil</v>
      </c>
      <c r="AP123" s="69" t="str">
        <f t="shared" si="34"/>
        <v>Irán</v>
      </c>
      <c r="AQ123" s="69" t="str">
        <f t="shared" si="35"/>
        <v>Bosnia</v>
      </c>
      <c r="AR123" s="69" t="str">
        <f t="shared" si="36"/>
        <v>Marruecos</v>
      </c>
      <c r="AS123" s="69" t="e">
        <f t="shared" si="37"/>
        <v>#N/A</v>
      </c>
      <c r="AT123" s="69" t="str">
        <f t="shared" si="38"/>
        <v>Suecia</v>
      </c>
      <c r="AU123" s="69" t="e">
        <f t="shared" si="39"/>
        <v>#N/A</v>
      </c>
      <c r="AV123" s="69" t="e">
        <f t="shared" si="40"/>
        <v>#N/A</v>
      </c>
    </row>
    <row r="124" spans="24:48" x14ac:dyDescent="0.2">
      <c r="X124" s="64" t="str">
        <f t="shared" si="41"/>
        <v/>
      </c>
      <c r="Y124" s="68" t="s">
        <v>32</v>
      </c>
      <c r="Z124" s="68" t="s">
        <v>14</v>
      </c>
      <c r="AA124" s="68" t="s">
        <v>26</v>
      </c>
      <c r="AB124" s="68" t="s">
        <v>27</v>
      </c>
      <c r="AC124" s="68" t="s">
        <v>13</v>
      </c>
      <c r="AD124" s="68" t="s">
        <v>31</v>
      </c>
      <c r="AE124" s="68" t="s">
        <v>186</v>
      </c>
      <c r="AF124" s="68" t="s">
        <v>15</v>
      </c>
      <c r="AG124">
        <f t="shared" si="42"/>
        <v>0</v>
      </c>
      <c r="AH124">
        <f t="shared" si="26"/>
        <v>1</v>
      </c>
      <c r="AI124">
        <f t="shared" si="27"/>
        <v>1</v>
      </c>
      <c r="AJ124">
        <f t="shared" si="28"/>
        <v>1</v>
      </c>
      <c r="AK124">
        <f t="shared" si="29"/>
        <v>0</v>
      </c>
      <c r="AL124">
        <f t="shared" si="30"/>
        <v>1</v>
      </c>
      <c r="AM124">
        <f t="shared" si="31"/>
        <v>0</v>
      </c>
      <c r="AN124">
        <f t="shared" si="32"/>
        <v>1</v>
      </c>
      <c r="AO124" s="69" t="e">
        <f t="shared" si="33"/>
        <v>#N/A</v>
      </c>
      <c r="AP124" s="69" t="str">
        <f t="shared" si="34"/>
        <v>Irán</v>
      </c>
      <c r="AQ124" s="69" t="str">
        <f t="shared" si="35"/>
        <v>Bosnia</v>
      </c>
      <c r="AR124" s="69" t="str">
        <f t="shared" si="36"/>
        <v>Marruecos</v>
      </c>
      <c r="AS124" s="69" t="e">
        <f t="shared" si="37"/>
        <v>#N/A</v>
      </c>
      <c r="AT124" s="69" t="str">
        <f t="shared" si="38"/>
        <v>Suecia</v>
      </c>
      <c r="AU124" s="69" t="e">
        <f t="shared" si="39"/>
        <v>#N/A</v>
      </c>
      <c r="AV124" s="69" t="str">
        <f t="shared" si="40"/>
        <v>Costa de Marfil</v>
      </c>
    </row>
    <row r="125" spans="24:48" x14ac:dyDescent="0.2">
      <c r="X125" s="64" t="str">
        <f t="shared" si="41"/>
        <v/>
      </c>
      <c r="Y125" s="68" t="s">
        <v>32</v>
      </c>
      <c r="Z125" s="68" t="s">
        <v>14</v>
      </c>
      <c r="AA125" s="68" t="s">
        <v>26</v>
      </c>
      <c r="AB125" s="68" t="s">
        <v>27</v>
      </c>
      <c r="AC125" s="68" t="s">
        <v>13</v>
      </c>
      <c r="AD125" s="68" t="s">
        <v>31</v>
      </c>
      <c r="AE125" s="68" t="s">
        <v>15</v>
      </c>
      <c r="AF125" s="68" t="s">
        <v>185</v>
      </c>
      <c r="AG125">
        <f t="shared" si="42"/>
        <v>0</v>
      </c>
      <c r="AH125">
        <f t="shared" si="26"/>
        <v>1</v>
      </c>
      <c r="AI125">
        <f t="shared" si="27"/>
        <v>1</v>
      </c>
      <c r="AJ125">
        <f t="shared" si="28"/>
        <v>1</v>
      </c>
      <c r="AK125">
        <f t="shared" si="29"/>
        <v>0</v>
      </c>
      <c r="AL125">
        <f t="shared" si="30"/>
        <v>1</v>
      </c>
      <c r="AM125">
        <f t="shared" si="31"/>
        <v>1</v>
      </c>
      <c r="AN125">
        <f t="shared" si="32"/>
        <v>0</v>
      </c>
      <c r="AO125" s="69" t="e">
        <f t="shared" si="33"/>
        <v>#N/A</v>
      </c>
      <c r="AP125" s="69" t="str">
        <f t="shared" si="34"/>
        <v>Irán</v>
      </c>
      <c r="AQ125" s="69" t="str">
        <f t="shared" si="35"/>
        <v>Bosnia</v>
      </c>
      <c r="AR125" s="69" t="str">
        <f t="shared" si="36"/>
        <v>Marruecos</v>
      </c>
      <c r="AS125" s="69" t="e">
        <f t="shared" si="37"/>
        <v>#N/A</v>
      </c>
      <c r="AT125" s="69" t="str">
        <f t="shared" si="38"/>
        <v>Suecia</v>
      </c>
      <c r="AU125" s="69" t="str">
        <f t="shared" si="39"/>
        <v>Costa de Marfil</v>
      </c>
      <c r="AV125" s="69" t="e">
        <f t="shared" si="40"/>
        <v>#N/A</v>
      </c>
    </row>
    <row r="126" spans="24:48" x14ac:dyDescent="0.2">
      <c r="X126" s="64" t="str">
        <f t="shared" si="41"/>
        <v/>
      </c>
      <c r="Y126" s="68" t="s">
        <v>15</v>
      </c>
      <c r="Z126" s="68" t="s">
        <v>14</v>
      </c>
      <c r="AA126" s="68" t="s">
        <v>26</v>
      </c>
      <c r="AB126" s="68" t="s">
        <v>27</v>
      </c>
      <c r="AC126" s="68" t="s">
        <v>32</v>
      </c>
      <c r="AD126" s="68" t="s">
        <v>31</v>
      </c>
      <c r="AE126" s="68" t="s">
        <v>186</v>
      </c>
      <c r="AF126" s="68" t="s">
        <v>184</v>
      </c>
      <c r="AG126">
        <f t="shared" si="42"/>
        <v>1</v>
      </c>
      <c r="AH126">
        <f t="shared" si="26"/>
        <v>1</v>
      </c>
      <c r="AI126">
        <f t="shared" si="27"/>
        <v>1</v>
      </c>
      <c r="AJ126">
        <f t="shared" si="28"/>
        <v>1</v>
      </c>
      <c r="AK126">
        <f t="shared" si="29"/>
        <v>0</v>
      </c>
      <c r="AL126">
        <f t="shared" si="30"/>
        <v>1</v>
      </c>
      <c r="AM126">
        <f t="shared" si="31"/>
        <v>0</v>
      </c>
      <c r="AN126">
        <f t="shared" si="32"/>
        <v>1</v>
      </c>
      <c r="AO126" s="69" t="str">
        <f t="shared" si="33"/>
        <v>Costa de Marfil</v>
      </c>
      <c r="AP126" s="69" t="str">
        <f t="shared" si="34"/>
        <v>Irán</v>
      </c>
      <c r="AQ126" s="69" t="str">
        <f t="shared" si="35"/>
        <v>Bosnia</v>
      </c>
      <c r="AR126" s="69" t="str">
        <f t="shared" si="36"/>
        <v>Marruecos</v>
      </c>
      <c r="AS126" s="69" t="e">
        <f t="shared" si="37"/>
        <v>#N/A</v>
      </c>
      <c r="AT126" s="69" t="str">
        <f t="shared" si="38"/>
        <v>Suecia</v>
      </c>
      <c r="AU126" s="69" t="e">
        <f t="shared" si="39"/>
        <v>#N/A</v>
      </c>
      <c r="AV126" s="69" t="str">
        <f t="shared" si="40"/>
        <v>Senegal</v>
      </c>
    </row>
    <row r="127" spans="24:48" x14ac:dyDescent="0.2">
      <c r="X127" s="64" t="str">
        <f t="shared" si="41"/>
        <v/>
      </c>
      <c r="Y127" s="68" t="s">
        <v>15</v>
      </c>
      <c r="Z127" s="68" t="s">
        <v>14</v>
      </c>
      <c r="AA127" s="68" t="s">
        <v>26</v>
      </c>
      <c r="AB127" s="68" t="s">
        <v>27</v>
      </c>
      <c r="AC127" s="68" t="s">
        <v>32</v>
      </c>
      <c r="AD127" s="68" t="s">
        <v>31</v>
      </c>
      <c r="AE127" s="68" t="s">
        <v>184</v>
      </c>
      <c r="AF127" s="68" t="s">
        <v>185</v>
      </c>
      <c r="AG127">
        <f t="shared" si="42"/>
        <v>1</v>
      </c>
      <c r="AH127">
        <f t="shared" si="26"/>
        <v>1</v>
      </c>
      <c r="AI127">
        <f t="shared" si="27"/>
        <v>1</v>
      </c>
      <c r="AJ127">
        <f t="shared" si="28"/>
        <v>1</v>
      </c>
      <c r="AK127">
        <f t="shared" si="29"/>
        <v>0</v>
      </c>
      <c r="AL127">
        <f t="shared" si="30"/>
        <v>1</v>
      </c>
      <c r="AM127">
        <f t="shared" si="31"/>
        <v>1</v>
      </c>
      <c r="AN127">
        <f t="shared" si="32"/>
        <v>0</v>
      </c>
      <c r="AO127" s="69" t="str">
        <f t="shared" si="33"/>
        <v>Costa de Marfil</v>
      </c>
      <c r="AP127" s="69" t="str">
        <f t="shared" si="34"/>
        <v>Irán</v>
      </c>
      <c r="AQ127" s="69" t="str">
        <f t="shared" si="35"/>
        <v>Bosnia</v>
      </c>
      <c r="AR127" s="69" t="str">
        <f t="shared" si="36"/>
        <v>Marruecos</v>
      </c>
      <c r="AS127" s="69" t="e">
        <f t="shared" si="37"/>
        <v>#N/A</v>
      </c>
      <c r="AT127" s="69" t="str">
        <f t="shared" si="38"/>
        <v>Suecia</v>
      </c>
      <c r="AU127" s="69" t="str">
        <f t="shared" si="39"/>
        <v>Senegal</v>
      </c>
      <c r="AV127" s="69" t="e">
        <f t="shared" si="40"/>
        <v>#N/A</v>
      </c>
    </row>
    <row r="128" spans="24:48" x14ac:dyDescent="0.2">
      <c r="X128" s="64" t="str">
        <f t="shared" si="41"/>
        <v/>
      </c>
      <c r="Y128" s="68" t="s">
        <v>32</v>
      </c>
      <c r="Z128" s="68" t="s">
        <v>14</v>
      </c>
      <c r="AA128" s="68" t="s">
        <v>26</v>
      </c>
      <c r="AB128" s="68" t="s">
        <v>27</v>
      </c>
      <c r="AC128" s="68" t="s">
        <v>13</v>
      </c>
      <c r="AD128" s="68" t="s">
        <v>31</v>
      </c>
      <c r="AE128" s="68" t="s">
        <v>15</v>
      </c>
      <c r="AF128" s="68" t="s">
        <v>184</v>
      </c>
      <c r="AG128">
        <f t="shared" si="42"/>
        <v>0</v>
      </c>
      <c r="AH128">
        <f t="shared" si="26"/>
        <v>1</v>
      </c>
      <c r="AI128">
        <f t="shared" si="27"/>
        <v>1</v>
      </c>
      <c r="AJ128">
        <f t="shared" si="28"/>
        <v>1</v>
      </c>
      <c r="AK128">
        <f t="shared" si="29"/>
        <v>0</v>
      </c>
      <c r="AL128">
        <f t="shared" si="30"/>
        <v>1</v>
      </c>
      <c r="AM128">
        <f t="shared" si="31"/>
        <v>1</v>
      </c>
      <c r="AN128">
        <f t="shared" si="32"/>
        <v>1</v>
      </c>
      <c r="AO128" s="69" t="e">
        <f t="shared" si="33"/>
        <v>#N/A</v>
      </c>
      <c r="AP128" s="69" t="str">
        <f t="shared" si="34"/>
        <v>Irán</v>
      </c>
      <c r="AQ128" s="69" t="str">
        <f t="shared" si="35"/>
        <v>Bosnia</v>
      </c>
      <c r="AR128" s="69" t="str">
        <f t="shared" si="36"/>
        <v>Marruecos</v>
      </c>
      <c r="AS128" s="69" t="e">
        <f t="shared" si="37"/>
        <v>#N/A</v>
      </c>
      <c r="AT128" s="69" t="str">
        <f t="shared" si="38"/>
        <v>Suecia</v>
      </c>
      <c r="AU128" s="69" t="str">
        <f t="shared" si="39"/>
        <v>Costa de Marfil</v>
      </c>
      <c r="AV128" s="69" t="str">
        <f t="shared" si="40"/>
        <v>Senegal</v>
      </c>
    </row>
    <row r="129" spans="24:48" x14ac:dyDescent="0.2">
      <c r="X129" s="64" t="str">
        <f t="shared" si="41"/>
        <v/>
      </c>
      <c r="Y129" s="68" t="s">
        <v>32</v>
      </c>
      <c r="Z129" s="68" t="s">
        <v>13</v>
      </c>
      <c r="AA129" s="68" t="s">
        <v>26</v>
      </c>
      <c r="AB129" s="68" t="s">
        <v>27</v>
      </c>
      <c r="AC129" s="68" t="s">
        <v>184</v>
      </c>
      <c r="AD129" s="68" t="s">
        <v>28</v>
      </c>
      <c r="AE129" s="68" t="s">
        <v>186</v>
      </c>
      <c r="AF129" s="68" t="s">
        <v>185</v>
      </c>
      <c r="AG129">
        <f t="shared" si="42"/>
        <v>0</v>
      </c>
      <c r="AH129">
        <f t="shared" si="26"/>
        <v>0</v>
      </c>
      <c r="AI129">
        <f t="shared" si="27"/>
        <v>1</v>
      </c>
      <c r="AJ129">
        <f t="shared" si="28"/>
        <v>1</v>
      </c>
      <c r="AK129">
        <f t="shared" si="29"/>
        <v>1</v>
      </c>
      <c r="AL129">
        <f t="shared" si="30"/>
        <v>1</v>
      </c>
      <c r="AM129">
        <f t="shared" si="31"/>
        <v>0</v>
      </c>
      <c r="AN129">
        <f t="shared" si="32"/>
        <v>0</v>
      </c>
      <c r="AO129" s="69" t="e">
        <f t="shared" si="33"/>
        <v>#N/A</v>
      </c>
      <c r="AP129" s="69" t="e">
        <f t="shared" si="34"/>
        <v>#N/A</v>
      </c>
      <c r="AQ129" s="69" t="str">
        <f t="shared" si="35"/>
        <v>Bosnia</v>
      </c>
      <c r="AR129" s="69" t="str">
        <f t="shared" si="36"/>
        <v>Marruecos</v>
      </c>
      <c r="AS129" s="69" t="str">
        <f t="shared" si="37"/>
        <v>Senegal</v>
      </c>
      <c r="AT129" s="69" t="str">
        <f t="shared" si="38"/>
        <v>Paraguay</v>
      </c>
      <c r="AU129" s="69" t="e">
        <f t="shared" si="39"/>
        <v>#N/A</v>
      </c>
      <c r="AV129" s="69" t="e">
        <f t="shared" si="40"/>
        <v>#N/A</v>
      </c>
    </row>
    <row r="130" spans="24:48" x14ac:dyDescent="0.2">
      <c r="X130" s="64" t="str">
        <f t="shared" si="41"/>
        <v/>
      </c>
      <c r="Y130" s="68" t="s">
        <v>184</v>
      </c>
      <c r="Z130" s="68" t="s">
        <v>14</v>
      </c>
      <c r="AA130" s="68" t="s">
        <v>26</v>
      </c>
      <c r="AB130" s="68" t="s">
        <v>27</v>
      </c>
      <c r="AC130" s="68" t="s">
        <v>13</v>
      </c>
      <c r="AD130" s="68" t="s">
        <v>28</v>
      </c>
      <c r="AE130" s="68" t="s">
        <v>186</v>
      </c>
      <c r="AF130" s="68" t="s">
        <v>185</v>
      </c>
      <c r="AG130">
        <f t="shared" si="42"/>
        <v>1</v>
      </c>
      <c r="AH130">
        <f t="shared" si="26"/>
        <v>1</v>
      </c>
      <c r="AI130">
        <f t="shared" si="27"/>
        <v>1</v>
      </c>
      <c r="AJ130">
        <f t="shared" si="28"/>
        <v>1</v>
      </c>
      <c r="AK130">
        <f t="shared" si="29"/>
        <v>0</v>
      </c>
      <c r="AL130">
        <f t="shared" si="30"/>
        <v>1</v>
      </c>
      <c r="AM130">
        <f t="shared" si="31"/>
        <v>0</v>
      </c>
      <c r="AN130">
        <f t="shared" si="32"/>
        <v>0</v>
      </c>
      <c r="AO130" s="69" t="str">
        <f t="shared" si="33"/>
        <v>Senegal</v>
      </c>
      <c r="AP130" s="69" t="str">
        <f t="shared" si="34"/>
        <v>Irán</v>
      </c>
      <c r="AQ130" s="69" t="str">
        <f t="shared" si="35"/>
        <v>Bosnia</v>
      </c>
      <c r="AR130" s="69" t="str">
        <f t="shared" si="36"/>
        <v>Marruecos</v>
      </c>
      <c r="AS130" s="69" t="e">
        <f t="shared" si="37"/>
        <v>#N/A</v>
      </c>
      <c r="AT130" s="69" t="str">
        <f t="shared" si="38"/>
        <v>Paraguay</v>
      </c>
      <c r="AU130" s="69" t="e">
        <f t="shared" si="39"/>
        <v>#N/A</v>
      </c>
      <c r="AV130" s="69" t="e">
        <f t="shared" si="40"/>
        <v>#N/A</v>
      </c>
    </row>
    <row r="131" spans="24:48" x14ac:dyDescent="0.2">
      <c r="X131" s="64" t="str">
        <f t="shared" si="41"/>
        <v/>
      </c>
      <c r="Y131" s="68" t="s">
        <v>32</v>
      </c>
      <c r="Z131" s="68" t="s">
        <v>14</v>
      </c>
      <c r="AA131" s="68" t="s">
        <v>26</v>
      </c>
      <c r="AB131" s="68" t="s">
        <v>27</v>
      </c>
      <c r="AC131" s="68" t="s">
        <v>13</v>
      </c>
      <c r="AD131" s="68" t="s">
        <v>28</v>
      </c>
      <c r="AE131" s="68" t="s">
        <v>186</v>
      </c>
      <c r="AF131" s="68" t="s">
        <v>185</v>
      </c>
      <c r="AG131">
        <f t="shared" si="42"/>
        <v>0</v>
      </c>
      <c r="AH131">
        <f t="shared" si="26"/>
        <v>1</v>
      </c>
      <c r="AI131">
        <f t="shared" si="27"/>
        <v>1</v>
      </c>
      <c r="AJ131">
        <f t="shared" si="28"/>
        <v>1</v>
      </c>
      <c r="AK131">
        <f t="shared" si="29"/>
        <v>0</v>
      </c>
      <c r="AL131">
        <f t="shared" si="30"/>
        <v>1</v>
      </c>
      <c r="AM131">
        <f t="shared" si="31"/>
        <v>0</v>
      </c>
      <c r="AN131">
        <f t="shared" si="32"/>
        <v>0</v>
      </c>
      <c r="AO131" s="69" t="e">
        <f t="shared" si="33"/>
        <v>#N/A</v>
      </c>
      <c r="AP131" s="69" t="str">
        <f t="shared" si="34"/>
        <v>Irán</v>
      </c>
      <c r="AQ131" s="69" t="str">
        <f t="shared" si="35"/>
        <v>Bosnia</v>
      </c>
      <c r="AR131" s="69" t="str">
        <f t="shared" si="36"/>
        <v>Marruecos</v>
      </c>
      <c r="AS131" s="69" t="e">
        <f t="shared" si="37"/>
        <v>#N/A</v>
      </c>
      <c r="AT131" s="69" t="str">
        <f t="shared" si="38"/>
        <v>Paraguay</v>
      </c>
      <c r="AU131" s="69" t="e">
        <f t="shared" si="39"/>
        <v>#N/A</v>
      </c>
      <c r="AV131" s="69" t="e">
        <f t="shared" si="40"/>
        <v>#N/A</v>
      </c>
    </row>
    <row r="132" spans="24:48" x14ac:dyDescent="0.2">
      <c r="X132" s="64" t="str">
        <f t="shared" si="41"/>
        <v/>
      </c>
      <c r="Y132" s="68" t="s">
        <v>32</v>
      </c>
      <c r="Z132" s="68" t="s">
        <v>14</v>
      </c>
      <c r="AA132" s="68" t="s">
        <v>26</v>
      </c>
      <c r="AB132" s="68" t="s">
        <v>27</v>
      </c>
      <c r="AC132" s="68" t="s">
        <v>184</v>
      </c>
      <c r="AD132" s="68" t="s">
        <v>28</v>
      </c>
      <c r="AE132" s="68" t="s">
        <v>186</v>
      </c>
      <c r="AF132" s="68" t="s">
        <v>185</v>
      </c>
      <c r="AG132">
        <f t="shared" si="42"/>
        <v>0</v>
      </c>
      <c r="AH132">
        <f t="shared" si="26"/>
        <v>1</v>
      </c>
      <c r="AI132">
        <f t="shared" si="27"/>
        <v>1</v>
      </c>
      <c r="AJ132">
        <f t="shared" si="28"/>
        <v>1</v>
      </c>
      <c r="AK132">
        <f t="shared" si="29"/>
        <v>1</v>
      </c>
      <c r="AL132">
        <f t="shared" si="30"/>
        <v>1</v>
      </c>
      <c r="AM132">
        <f t="shared" si="31"/>
        <v>0</v>
      </c>
      <c r="AN132">
        <f t="shared" si="32"/>
        <v>0</v>
      </c>
      <c r="AO132" s="69" t="e">
        <f t="shared" si="33"/>
        <v>#N/A</v>
      </c>
      <c r="AP132" s="69" t="str">
        <f t="shared" si="34"/>
        <v>Irán</v>
      </c>
      <c r="AQ132" s="69" t="str">
        <f t="shared" si="35"/>
        <v>Bosnia</v>
      </c>
      <c r="AR132" s="69" t="str">
        <f t="shared" si="36"/>
        <v>Marruecos</v>
      </c>
      <c r="AS132" s="69" t="str">
        <f t="shared" si="37"/>
        <v>Senegal</v>
      </c>
      <c r="AT132" s="69" t="str">
        <f t="shared" si="38"/>
        <v>Paraguay</v>
      </c>
      <c r="AU132" s="69" t="e">
        <f t="shared" si="39"/>
        <v>#N/A</v>
      </c>
      <c r="AV132" s="69" t="e">
        <f t="shared" si="40"/>
        <v>#N/A</v>
      </c>
    </row>
    <row r="133" spans="24:48" x14ac:dyDescent="0.2">
      <c r="X133" s="64" t="str">
        <f t="shared" si="41"/>
        <v/>
      </c>
      <c r="Y133" s="68" t="s">
        <v>32</v>
      </c>
      <c r="Z133" s="68" t="s">
        <v>14</v>
      </c>
      <c r="AA133" s="68" t="s">
        <v>26</v>
      </c>
      <c r="AB133" s="68" t="s">
        <v>27</v>
      </c>
      <c r="AC133" s="68" t="s">
        <v>13</v>
      </c>
      <c r="AD133" s="68" t="s">
        <v>28</v>
      </c>
      <c r="AE133" s="68" t="s">
        <v>186</v>
      </c>
      <c r="AF133" s="68" t="s">
        <v>184</v>
      </c>
      <c r="AG133">
        <f t="shared" si="42"/>
        <v>0</v>
      </c>
      <c r="AH133">
        <f t="shared" si="26"/>
        <v>1</v>
      </c>
      <c r="AI133">
        <f t="shared" si="27"/>
        <v>1</v>
      </c>
      <c r="AJ133">
        <f t="shared" si="28"/>
        <v>1</v>
      </c>
      <c r="AK133">
        <f t="shared" si="29"/>
        <v>0</v>
      </c>
      <c r="AL133">
        <f t="shared" si="30"/>
        <v>1</v>
      </c>
      <c r="AM133">
        <f t="shared" si="31"/>
        <v>0</v>
      </c>
      <c r="AN133">
        <f t="shared" si="32"/>
        <v>1</v>
      </c>
      <c r="AO133" s="69" t="e">
        <f t="shared" si="33"/>
        <v>#N/A</v>
      </c>
      <c r="AP133" s="69" t="str">
        <f t="shared" si="34"/>
        <v>Irán</v>
      </c>
      <c r="AQ133" s="69" t="str">
        <f t="shared" si="35"/>
        <v>Bosnia</v>
      </c>
      <c r="AR133" s="69" t="str">
        <f t="shared" si="36"/>
        <v>Marruecos</v>
      </c>
      <c r="AS133" s="69" t="e">
        <f t="shared" si="37"/>
        <v>#N/A</v>
      </c>
      <c r="AT133" s="69" t="str">
        <f t="shared" si="38"/>
        <v>Paraguay</v>
      </c>
      <c r="AU133" s="69" t="e">
        <f t="shared" si="39"/>
        <v>#N/A</v>
      </c>
      <c r="AV133" s="69" t="str">
        <f t="shared" si="40"/>
        <v>Senegal</v>
      </c>
    </row>
    <row r="134" spans="24:48" x14ac:dyDescent="0.2">
      <c r="X134" s="64" t="str">
        <f t="shared" si="41"/>
        <v/>
      </c>
      <c r="Y134" s="68" t="s">
        <v>32</v>
      </c>
      <c r="Z134" s="68" t="s">
        <v>14</v>
      </c>
      <c r="AA134" s="68" t="s">
        <v>26</v>
      </c>
      <c r="AB134" s="68" t="s">
        <v>27</v>
      </c>
      <c r="AC134" s="68" t="s">
        <v>13</v>
      </c>
      <c r="AD134" s="68" t="s">
        <v>28</v>
      </c>
      <c r="AE134" s="68" t="s">
        <v>184</v>
      </c>
      <c r="AF134" s="68" t="s">
        <v>185</v>
      </c>
      <c r="AG134">
        <f t="shared" si="42"/>
        <v>0</v>
      </c>
      <c r="AH134">
        <f t="shared" si="26"/>
        <v>1</v>
      </c>
      <c r="AI134">
        <f t="shared" si="27"/>
        <v>1</v>
      </c>
      <c r="AJ134">
        <f t="shared" si="28"/>
        <v>1</v>
      </c>
      <c r="AK134">
        <f t="shared" si="29"/>
        <v>0</v>
      </c>
      <c r="AL134">
        <f t="shared" si="30"/>
        <v>1</v>
      </c>
      <c r="AM134">
        <f t="shared" si="31"/>
        <v>1</v>
      </c>
      <c r="AN134">
        <f t="shared" si="32"/>
        <v>0</v>
      </c>
      <c r="AO134" s="69" t="e">
        <f t="shared" si="33"/>
        <v>#N/A</v>
      </c>
      <c r="AP134" s="69" t="str">
        <f t="shared" si="34"/>
        <v>Irán</v>
      </c>
      <c r="AQ134" s="69" t="str">
        <f t="shared" si="35"/>
        <v>Bosnia</v>
      </c>
      <c r="AR134" s="69" t="str">
        <f t="shared" si="36"/>
        <v>Marruecos</v>
      </c>
      <c r="AS134" s="69" t="e">
        <f t="shared" si="37"/>
        <v>#N/A</v>
      </c>
      <c r="AT134" s="69" t="str">
        <f t="shared" si="38"/>
        <v>Paraguay</v>
      </c>
      <c r="AU134" s="69" t="str">
        <f t="shared" si="39"/>
        <v>Senegal</v>
      </c>
      <c r="AV134" s="69" t="e">
        <f t="shared" si="40"/>
        <v>#N/A</v>
      </c>
    </row>
    <row r="135" spans="24:48" x14ac:dyDescent="0.2">
      <c r="X135" s="64" t="str">
        <f t="shared" si="41"/>
        <v/>
      </c>
      <c r="Y135" s="68" t="s">
        <v>27</v>
      </c>
      <c r="Z135" s="68" t="s">
        <v>13</v>
      </c>
      <c r="AA135" s="68" t="s">
        <v>26</v>
      </c>
      <c r="AB135" s="68" t="s">
        <v>28</v>
      </c>
      <c r="AC135" s="68" t="s">
        <v>184</v>
      </c>
      <c r="AD135" s="68" t="s">
        <v>31</v>
      </c>
      <c r="AE135" s="68" t="s">
        <v>186</v>
      </c>
      <c r="AF135" s="68" t="s">
        <v>185</v>
      </c>
      <c r="AG135">
        <f t="shared" si="42"/>
        <v>1</v>
      </c>
      <c r="AH135">
        <f t="shared" si="26"/>
        <v>0</v>
      </c>
      <c r="AI135">
        <f t="shared" si="27"/>
        <v>1</v>
      </c>
      <c r="AJ135">
        <f t="shared" si="28"/>
        <v>1</v>
      </c>
      <c r="AK135">
        <f t="shared" si="29"/>
        <v>1</v>
      </c>
      <c r="AL135">
        <f t="shared" si="30"/>
        <v>1</v>
      </c>
      <c r="AM135">
        <f t="shared" si="31"/>
        <v>0</v>
      </c>
      <c r="AN135">
        <f t="shared" si="32"/>
        <v>0</v>
      </c>
      <c r="AO135" s="69" t="str">
        <f t="shared" si="33"/>
        <v>Marruecos</v>
      </c>
      <c r="AP135" s="69" t="e">
        <f t="shared" si="34"/>
        <v>#N/A</v>
      </c>
      <c r="AQ135" s="69" t="str">
        <f t="shared" si="35"/>
        <v>Bosnia</v>
      </c>
      <c r="AR135" s="69" t="str">
        <f t="shared" si="36"/>
        <v>Paraguay</v>
      </c>
      <c r="AS135" s="69" t="str">
        <f t="shared" si="37"/>
        <v>Senegal</v>
      </c>
      <c r="AT135" s="69" t="str">
        <f t="shared" si="38"/>
        <v>Suecia</v>
      </c>
      <c r="AU135" s="69" t="e">
        <f t="shared" si="39"/>
        <v>#N/A</v>
      </c>
      <c r="AV135" s="69" t="e">
        <f t="shared" si="40"/>
        <v>#N/A</v>
      </c>
    </row>
    <row r="136" spans="24:48" x14ac:dyDescent="0.2">
      <c r="X136" s="64" t="str">
        <f t="shared" si="41"/>
        <v/>
      </c>
      <c r="Y136" s="68" t="s">
        <v>27</v>
      </c>
      <c r="Z136" s="68" t="s">
        <v>13</v>
      </c>
      <c r="AA136" s="68" t="s">
        <v>26</v>
      </c>
      <c r="AB136" s="68" t="s">
        <v>28</v>
      </c>
      <c r="AC136" s="68" t="s">
        <v>32</v>
      </c>
      <c r="AD136" s="68" t="s">
        <v>31</v>
      </c>
      <c r="AE136" s="68" t="s">
        <v>186</v>
      </c>
      <c r="AF136" s="68" t="s">
        <v>185</v>
      </c>
      <c r="AG136">
        <f t="shared" si="42"/>
        <v>1</v>
      </c>
      <c r="AH136">
        <f t="shared" si="26"/>
        <v>0</v>
      </c>
      <c r="AI136">
        <f t="shared" si="27"/>
        <v>1</v>
      </c>
      <c r="AJ136">
        <f t="shared" si="28"/>
        <v>1</v>
      </c>
      <c r="AK136">
        <f t="shared" si="29"/>
        <v>0</v>
      </c>
      <c r="AL136">
        <f t="shared" si="30"/>
        <v>1</v>
      </c>
      <c r="AM136">
        <f t="shared" si="31"/>
        <v>0</v>
      </c>
      <c r="AN136">
        <f t="shared" si="32"/>
        <v>0</v>
      </c>
      <c r="AO136" s="69" t="str">
        <f t="shared" si="33"/>
        <v>Marruecos</v>
      </c>
      <c r="AP136" s="69" t="e">
        <f t="shared" si="34"/>
        <v>#N/A</v>
      </c>
      <c r="AQ136" s="69" t="str">
        <f t="shared" si="35"/>
        <v>Bosnia</v>
      </c>
      <c r="AR136" s="69" t="str">
        <f t="shared" si="36"/>
        <v>Paraguay</v>
      </c>
      <c r="AS136" s="69" t="e">
        <f t="shared" si="37"/>
        <v>#N/A</v>
      </c>
      <c r="AT136" s="69" t="str">
        <f t="shared" si="38"/>
        <v>Suecia</v>
      </c>
      <c r="AU136" s="69" t="e">
        <f t="shared" si="39"/>
        <v>#N/A</v>
      </c>
      <c r="AV136" s="69" t="e">
        <f t="shared" si="40"/>
        <v>#N/A</v>
      </c>
    </row>
    <row r="137" spans="24:48" x14ac:dyDescent="0.2">
      <c r="X137" s="64" t="str">
        <f t="shared" si="41"/>
        <v/>
      </c>
      <c r="Y137" s="68" t="s">
        <v>27</v>
      </c>
      <c r="Z137" s="68" t="s">
        <v>184</v>
      </c>
      <c r="AA137" s="68" t="s">
        <v>26</v>
      </c>
      <c r="AB137" s="68" t="s">
        <v>28</v>
      </c>
      <c r="AC137" s="68" t="s">
        <v>32</v>
      </c>
      <c r="AD137" s="68" t="s">
        <v>31</v>
      </c>
      <c r="AE137" s="68" t="s">
        <v>186</v>
      </c>
      <c r="AF137" s="68" t="s">
        <v>185</v>
      </c>
      <c r="AG137">
        <f t="shared" si="42"/>
        <v>1</v>
      </c>
      <c r="AH137">
        <f t="shared" si="26"/>
        <v>1</v>
      </c>
      <c r="AI137">
        <f t="shared" si="27"/>
        <v>1</v>
      </c>
      <c r="AJ137">
        <f t="shared" si="28"/>
        <v>1</v>
      </c>
      <c r="AK137">
        <f t="shared" si="29"/>
        <v>0</v>
      </c>
      <c r="AL137">
        <f t="shared" si="30"/>
        <v>1</v>
      </c>
      <c r="AM137">
        <f t="shared" si="31"/>
        <v>0</v>
      </c>
      <c r="AN137">
        <f t="shared" si="32"/>
        <v>0</v>
      </c>
      <c r="AO137" s="69" t="str">
        <f t="shared" si="33"/>
        <v>Marruecos</v>
      </c>
      <c r="AP137" s="69" t="str">
        <f t="shared" si="34"/>
        <v>Senegal</v>
      </c>
      <c r="AQ137" s="69" t="str">
        <f t="shared" si="35"/>
        <v>Bosnia</v>
      </c>
      <c r="AR137" s="69" t="str">
        <f t="shared" si="36"/>
        <v>Paraguay</v>
      </c>
      <c r="AS137" s="69" t="e">
        <f t="shared" si="37"/>
        <v>#N/A</v>
      </c>
      <c r="AT137" s="69" t="str">
        <f t="shared" si="38"/>
        <v>Suecia</v>
      </c>
      <c r="AU137" s="69" t="e">
        <f t="shared" si="39"/>
        <v>#N/A</v>
      </c>
      <c r="AV137" s="69" t="e">
        <f t="shared" si="40"/>
        <v>#N/A</v>
      </c>
    </row>
    <row r="138" spans="24:48" x14ac:dyDescent="0.2">
      <c r="X138" s="64" t="str">
        <f t="shared" si="41"/>
        <v/>
      </c>
      <c r="Y138" s="68" t="s">
        <v>27</v>
      </c>
      <c r="Z138" s="68" t="s">
        <v>13</v>
      </c>
      <c r="AA138" s="68" t="s">
        <v>26</v>
      </c>
      <c r="AB138" s="68" t="s">
        <v>28</v>
      </c>
      <c r="AC138" s="68" t="s">
        <v>32</v>
      </c>
      <c r="AD138" s="68" t="s">
        <v>31</v>
      </c>
      <c r="AE138" s="68" t="s">
        <v>186</v>
      </c>
      <c r="AF138" s="68" t="s">
        <v>184</v>
      </c>
      <c r="AG138">
        <f t="shared" si="42"/>
        <v>1</v>
      </c>
      <c r="AH138">
        <f t="shared" si="26"/>
        <v>0</v>
      </c>
      <c r="AI138">
        <f t="shared" si="27"/>
        <v>1</v>
      </c>
      <c r="AJ138">
        <f t="shared" si="28"/>
        <v>1</v>
      </c>
      <c r="AK138">
        <f t="shared" si="29"/>
        <v>0</v>
      </c>
      <c r="AL138">
        <f t="shared" si="30"/>
        <v>1</v>
      </c>
      <c r="AM138">
        <f t="shared" si="31"/>
        <v>0</v>
      </c>
      <c r="AN138">
        <f t="shared" si="32"/>
        <v>1</v>
      </c>
      <c r="AO138" s="69" t="str">
        <f t="shared" si="33"/>
        <v>Marruecos</v>
      </c>
      <c r="AP138" s="69" t="e">
        <f t="shared" si="34"/>
        <v>#N/A</v>
      </c>
      <c r="AQ138" s="69" t="str">
        <f t="shared" si="35"/>
        <v>Bosnia</v>
      </c>
      <c r="AR138" s="69" t="str">
        <f t="shared" si="36"/>
        <v>Paraguay</v>
      </c>
      <c r="AS138" s="69" t="e">
        <f t="shared" si="37"/>
        <v>#N/A</v>
      </c>
      <c r="AT138" s="69" t="str">
        <f t="shared" si="38"/>
        <v>Suecia</v>
      </c>
      <c r="AU138" s="69" t="e">
        <f t="shared" si="39"/>
        <v>#N/A</v>
      </c>
      <c r="AV138" s="69" t="str">
        <f t="shared" si="40"/>
        <v>Senegal</v>
      </c>
    </row>
    <row r="139" spans="24:48" x14ac:dyDescent="0.2">
      <c r="X139" s="64" t="str">
        <f t="shared" si="41"/>
        <v/>
      </c>
      <c r="Y139" s="68" t="s">
        <v>27</v>
      </c>
      <c r="Z139" s="68" t="s">
        <v>13</v>
      </c>
      <c r="AA139" s="68" t="s">
        <v>26</v>
      </c>
      <c r="AB139" s="68" t="s">
        <v>28</v>
      </c>
      <c r="AC139" s="68" t="s">
        <v>32</v>
      </c>
      <c r="AD139" s="68" t="s">
        <v>31</v>
      </c>
      <c r="AE139" s="68" t="s">
        <v>184</v>
      </c>
      <c r="AF139" s="68" t="s">
        <v>185</v>
      </c>
      <c r="AG139">
        <f t="shared" si="42"/>
        <v>1</v>
      </c>
      <c r="AH139">
        <f t="shared" si="26"/>
        <v>0</v>
      </c>
      <c r="AI139">
        <f t="shared" si="27"/>
        <v>1</v>
      </c>
      <c r="AJ139">
        <f t="shared" si="28"/>
        <v>1</v>
      </c>
      <c r="AK139">
        <f t="shared" si="29"/>
        <v>0</v>
      </c>
      <c r="AL139">
        <f t="shared" si="30"/>
        <v>1</v>
      </c>
      <c r="AM139">
        <f t="shared" si="31"/>
        <v>1</v>
      </c>
      <c r="AN139">
        <f t="shared" si="32"/>
        <v>0</v>
      </c>
      <c r="AO139" s="69" t="str">
        <f t="shared" si="33"/>
        <v>Marruecos</v>
      </c>
      <c r="AP139" s="69" t="e">
        <f t="shared" si="34"/>
        <v>#N/A</v>
      </c>
      <c r="AQ139" s="69" t="str">
        <f t="shared" si="35"/>
        <v>Bosnia</v>
      </c>
      <c r="AR139" s="69" t="str">
        <f t="shared" si="36"/>
        <v>Paraguay</v>
      </c>
      <c r="AS139" s="69" t="e">
        <f t="shared" si="37"/>
        <v>#N/A</v>
      </c>
      <c r="AT139" s="69" t="str">
        <f t="shared" si="38"/>
        <v>Suecia</v>
      </c>
      <c r="AU139" s="69" t="str">
        <f t="shared" si="39"/>
        <v>Senegal</v>
      </c>
      <c r="AV139" s="69" t="e">
        <f t="shared" si="40"/>
        <v>#N/A</v>
      </c>
    </row>
    <row r="140" spans="24:48" x14ac:dyDescent="0.2">
      <c r="X140" s="64" t="str">
        <f t="shared" si="41"/>
        <v/>
      </c>
      <c r="Y140" s="68" t="s">
        <v>27</v>
      </c>
      <c r="Z140" s="68" t="s">
        <v>14</v>
      </c>
      <c r="AA140" s="68" t="s">
        <v>26</v>
      </c>
      <c r="AB140" s="68" t="s">
        <v>28</v>
      </c>
      <c r="AC140" s="68" t="s">
        <v>13</v>
      </c>
      <c r="AD140" s="68" t="s">
        <v>31</v>
      </c>
      <c r="AE140" s="68" t="s">
        <v>186</v>
      </c>
      <c r="AF140" s="68" t="s">
        <v>185</v>
      </c>
      <c r="AG140">
        <f t="shared" si="42"/>
        <v>1</v>
      </c>
      <c r="AH140">
        <f t="shared" si="26"/>
        <v>1</v>
      </c>
      <c r="AI140">
        <f t="shared" si="27"/>
        <v>1</v>
      </c>
      <c r="AJ140">
        <f t="shared" si="28"/>
        <v>1</v>
      </c>
      <c r="AK140">
        <f t="shared" si="29"/>
        <v>0</v>
      </c>
      <c r="AL140">
        <f t="shared" si="30"/>
        <v>1</v>
      </c>
      <c r="AM140">
        <f t="shared" si="31"/>
        <v>0</v>
      </c>
      <c r="AN140">
        <f t="shared" si="32"/>
        <v>0</v>
      </c>
      <c r="AO140" s="69" t="str">
        <f t="shared" si="33"/>
        <v>Marruecos</v>
      </c>
      <c r="AP140" s="69" t="str">
        <f t="shared" si="34"/>
        <v>Irán</v>
      </c>
      <c r="AQ140" s="69" t="str">
        <f t="shared" si="35"/>
        <v>Bosnia</v>
      </c>
      <c r="AR140" s="69" t="str">
        <f t="shared" si="36"/>
        <v>Paraguay</v>
      </c>
      <c r="AS140" s="69" t="e">
        <f t="shared" si="37"/>
        <v>#N/A</v>
      </c>
      <c r="AT140" s="69" t="str">
        <f t="shared" si="38"/>
        <v>Suecia</v>
      </c>
      <c r="AU140" s="69" t="e">
        <f t="shared" si="39"/>
        <v>#N/A</v>
      </c>
      <c r="AV140" s="69" t="e">
        <f t="shared" si="40"/>
        <v>#N/A</v>
      </c>
    </row>
    <row r="141" spans="24:48" x14ac:dyDescent="0.2">
      <c r="X141" s="64" t="str">
        <f t="shared" si="41"/>
        <v/>
      </c>
      <c r="Y141" s="68" t="s">
        <v>27</v>
      </c>
      <c r="Z141" s="68" t="s">
        <v>14</v>
      </c>
      <c r="AA141" s="68" t="s">
        <v>26</v>
      </c>
      <c r="AB141" s="68" t="s">
        <v>28</v>
      </c>
      <c r="AC141" s="68" t="s">
        <v>184</v>
      </c>
      <c r="AD141" s="68" t="s">
        <v>31</v>
      </c>
      <c r="AE141" s="68" t="s">
        <v>186</v>
      </c>
      <c r="AF141" s="68" t="s">
        <v>185</v>
      </c>
      <c r="AG141">
        <f t="shared" si="42"/>
        <v>1</v>
      </c>
      <c r="AH141">
        <f t="shared" si="26"/>
        <v>1</v>
      </c>
      <c r="AI141">
        <f t="shared" si="27"/>
        <v>1</v>
      </c>
      <c r="AJ141">
        <f t="shared" si="28"/>
        <v>1</v>
      </c>
      <c r="AK141">
        <f t="shared" si="29"/>
        <v>1</v>
      </c>
      <c r="AL141">
        <f t="shared" si="30"/>
        <v>1</v>
      </c>
      <c r="AM141">
        <f t="shared" si="31"/>
        <v>0</v>
      </c>
      <c r="AN141">
        <f t="shared" si="32"/>
        <v>0</v>
      </c>
      <c r="AO141" s="69" t="str">
        <f t="shared" si="33"/>
        <v>Marruecos</v>
      </c>
      <c r="AP141" s="69" t="str">
        <f t="shared" si="34"/>
        <v>Irán</v>
      </c>
      <c r="AQ141" s="69" t="str">
        <f t="shared" si="35"/>
        <v>Bosnia</v>
      </c>
      <c r="AR141" s="69" t="str">
        <f t="shared" si="36"/>
        <v>Paraguay</v>
      </c>
      <c r="AS141" s="69" t="str">
        <f t="shared" si="37"/>
        <v>Senegal</v>
      </c>
      <c r="AT141" s="69" t="str">
        <f t="shared" si="38"/>
        <v>Suecia</v>
      </c>
      <c r="AU141" s="69" t="e">
        <f t="shared" si="39"/>
        <v>#N/A</v>
      </c>
      <c r="AV141" s="69" t="e">
        <f t="shared" si="40"/>
        <v>#N/A</v>
      </c>
    </row>
    <row r="142" spans="24:48" x14ac:dyDescent="0.2">
      <c r="X142" s="64" t="str">
        <f t="shared" si="41"/>
        <v/>
      </c>
      <c r="Y142" s="68" t="s">
        <v>27</v>
      </c>
      <c r="Z142" s="68" t="s">
        <v>14</v>
      </c>
      <c r="AA142" s="68" t="s">
        <v>26</v>
      </c>
      <c r="AB142" s="68" t="s">
        <v>28</v>
      </c>
      <c r="AC142" s="68" t="s">
        <v>13</v>
      </c>
      <c r="AD142" s="68" t="s">
        <v>31</v>
      </c>
      <c r="AE142" s="68" t="s">
        <v>186</v>
      </c>
      <c r="AF142" s="68" t="s">
        <v>184</v>
      </c>
      <c r="AG142">
        <f t="shared" si="42"/>
        <v>1</v>
      </c>
      <c r="AH142">
        <f t="shared" si="26"/>
        <v>1</v>
      </c>
      <c r="AI142">
        <f t="shared" si="27"/>
        <v>1</v>
      </c>
      <c r="AJ142">
        <f t="shared" si="28"/>
        <v>1</v>
      </c>
      <c r="AK142">
        <f t="shared" si="29"/>
        <v>0</v>
      </c>
      <c r="AL142">
        <f t="shared" si="30"/>
        <v>1</v>
      </c>
      <c r="AM142">
        <f t="shared" si="31"/>
        <v>0</v>
      </c>
      <c r="AN142">
        <f t="shared" si="32"/>
        <v>1</v>
      </c>
      <c r="AO142" s="69" t="str">
        <f t="shared" si="33"/>
        <v>Marruecos</v>
      </c>
      <c r="AP142" s="69" t="str">
        <f t="shared" si="34"/>
        <v>Irán</v>
      </c>
      <c r="AQ142" s="69" t="str">
        <f t="shared" si="35"/>
        <v>Bosnia</v>
      </c>
      <c r="AR142" s="69" t="str">
        <f t="shared" si="36"/>
        <v>Paraguay</v>
      </c>
      <c r="AS142" s="69" t="e">
        <f t="shared" si="37"/>
        <v>#N/A</v>
      </c>
      <c r="AT142" s="69" t="str">
        <f t="shared" si="38"/>
        <v>Suecia</v>
      </c>
      <c r="AU142" s="69" t="e">
        <f t="shared" si="39"/>
        <v>#N/A</v>
      </c>
      <c r="AV142" s="69" t="str">
        <f t="shared" si="40"/>
        <v>Senegal</v>
      </c>
    </row>
    <row r="143" spans="24:48" x14ac:dyDescent="0.2">
      <c r="X143" s="64" t="str">
        <f t="shared" si="41"/>
        <v/>
      </c>
      <c r="Y143" s="68" t="s">
        <v>27</v>
      </c>
      <c r="Z143" s="68" t="s">
        <v>14</v>
      </c>
      <c r="AA143" s="68" t="s">
        <v>26</v>
      </c>
      <c r="AB143" s="68" t="s">
        <v>28</v>
      </c>
      <c r="AC143" s="68" t="s">
        <v>13</v>
      </c>
      <c r="AD143" s="68" t="s">
        <v>31</v>
      </c>
      <c r="AE143" s="68" t="s">
        <v>184</v>
      </c>
      <c r="AF143" s="68" t="s">
        <v>185</v>
      </c>
      <c r="AG143">
        <f t="shared" si="42"/>
        <v>1</v>
      </c>
      <c r="AH143">
        <f t="shared" si="26"/>
        <v>1</v>
      </c>
      <c r="AI143">
        <f t="shared" si="27"/>
        <v>1</v>
      </c>
      <c r="AJ143">
        <f t="shared" si="28"/>
        <v>1</v>
      </c>
      <c r="AK143">
        <f t="shared" si="29"/>
        <v>0</v>
      </c>
      <c r="AL143">
        <f t="shared" si="30"/>
        <v>1</v>
      </c>
      <c r="AM143">
        <f t="shared" si="31"/>
        <v>1</v>
      </c>
      <c r="AN143">
        <f t="shared" si="32"/>
        <v>0</v>
      </c>
      <c r="AO143" s="69" t="str">
        <f t="shared" si="33"/>
        <v>Marruecos</v>
      </c>
      <c r="AP143" s="69" t="str">
        <f t="shared" si="34"/>
        <v>Irán</v>
      </c>
      <c r="AQ143" s="69" t="str">
        <f t="shared" si="35"/>
        <v>Bosnia</v>
      </c>
      <c r="AR143" s="69" t="str">
        <f t="shared" si="36"/>
        <v>Paraguay</v>
      </c>
      <c r="AS143" s="69" t="e">
        <f t="shared" si="37"/>
        <v>#N/A</v>
      </c>
      <c r="AT143" s="69" t="str">
        <f t="shared" si="38"/>
        <v>Suecia</v>
      </c>
      <c r="AU143" s="69" t="str">
        <f t="shared" si="39"/>
        <v>Senegal</v>
      </c>
      <c r="AV143" s="69" t="e">
        <f t="shared" si="40"/>
        <v>#N/A</v>
      </c>
    </row>
    <row r="144" spans="24:48" x14ac:dyDescent="0.2">
      <c r="X144" s="64" t="str">
        <f t="shared" si="41"/>
        <v/>
      </c>
      <c r="Y144" s="68" t="s">
        <v>27</v>
      </c>
      <c r="Z144" s="68" t="s">
        <v>14</v>
      </c>
      <c r="AA144" s="68" t="s">
        <v>26</v>
      </c>
      <c r="AB144" s="68" t="s">
        <v>28</v>
      </c>
      <c r="AC144" s="68" t="s">
        <v>32</v>
      </c>
      <c r="AD144" s="68" t="s">
        <v>31</v>
      </c>
      <c r="AE144" s="68" t="s">
        <v>186</v>
      </c>
      <c r="AF144" s="68" t="s">
        <v>185</v>
      </c>
      <c r="AG144">
        <f t="shared" si="42"/>
        <v>1</v>
      </c>
      <c r="AH144">
        <f t="shared" si="26"/>
        <v>1</v>
      </c>
      <c r="AI144">
        <f t="shared" si="27"/>
        <v>1</v>
      </c>
      <c r="AJ144">
        <f t="shared" si="28"/>
        <v>1</v>
      </c>
      <c r="AK144">
        <f t="shared" si="29"/>
        <v>0</v>
      </c>
      <c r="AL144">
        <f t="shared" si="30"/>
        <v>1</v>
      </c>
      <c r="AM144">
        <f t="shared" si="31"/>
        <v>0</v>
      </c>
      <c r="AN144">
        <f t="shared" si="32"/>
        <v>0</v>
      </c>
      <c r="AO144" s="69" t="str">
        <f t="shared" si="33"/>
        <v>Marruecos</v>
      </c>
      <c r="AP144" s="69" t="str">
        <f t="shared" si="34"/>
        <v>Irán</v>
      </c>
      <c r="AQ144" s="69" t="str">
        <f t="shared" si="35"/>
        <v>Bosnia</v>
      </c>
      <c r="AR144" s="69" t="str">
        <f t="shared" si="36"/>
        <v>Paraguay</v>
      </c>
      <c r="AS144" s="69" t="e">
        <f t="shared" si="37"/>
        <v>#N/A</v>
      </c>
      <c r="AT144" s="69" t="str">
        <f t="shared" si="38"/>
        <v>Suecia</v>
      </c>
      <c r="AU144" s="69" t="e">
        <f t="shared" si="39"/>
        <v>#N/A</v>
      </c>
      <c r="AV144" s="69" t="e">
        <f t="shared" si="40"/>
        <v>#N/A</v>
      </c>
    </row>
    <row r="145" spans="24:48" x14ac:dyDescent="0.2">
      <c r="X145" s="64" t="str">
        <f t="shared" si="41"/>
        <v/>
      </c>
      <c r="Y145" s="68" t="s">
        <v>27</v>
      </c>
      <c r="Z145" s="68" t="s">
        <v>14</v>
      </c>
      <c r="AA145" s="68" t="s">
        <v>26</v>
      </c>
      <c r="AB145" s="68" t="s">
        <v>28</v>
      </c>
      <c r="AC145" s="68" t="s">
        <v>32</v>
      </c>
      <c r="AD145" s="68" t="s">
        <v>31</v>
      </c>
      <c r="AE145" s="68" t="s">
        <v>186</v>
      </c>
      <c r="AF145" s="68" t="s">
        <v>13</v>
      </c>
      <c r="AG145">
        <f t="shared" si="42"/>
        <v>1</v>
      </c>
      <c r="AH145">
        <f t="shared" si="26"/>
        <v>1</v>
      </c>
      <c r="AI145">
        <f t="shared" si="27"/>
        <v>1</v>
      </c>
      <c r="AJ145">
        <f t="shared" si="28"/>
        <v>1</v>
      </c>
      <c r="AK145">
        <f t="shared" si="29"/>
        <v>0</v>
      </c>
      <c r="AL145">
        <f t="shared" si="30"/>
        <v>1</v>
      </c>
      <c r="AM145">
        <f t="shared" si="31"/>
        <v>0</v>
      </c>
      <c r="AN145">
        <f t="shared" si="32"/>
        <v>0</v>
      </c>
      <c r="AO145" s="69" t="str">
        <f t="shared" si="33"/>
        <v>Marruecos</v>
      </c>
      <c r="AP145" s="69" t="str">
        <f t="shared" si="34"/>
        <v>Irán</v>
      </c>
      <c r="AQ145" s="69" t="str">
        <f t="shared" si="35"/>
        <v>Bosnia</v>
      </c>
      <c r="AR145" s="69" t="str">
        <f t="shared" si="36"/>
        <v>Paraguay</v>
      </c>
      <c r="AS145" s="69" t="e">
        <f t="shared" si="37"/>
        <v>#N/A</v>
      </c>
      <c r="AT145" s="69" t="str">
        <f t="shared" si="38"/>
        <v>Suecia</v>
      </c>
      <c r="AU145" s="69" t="e">
        <f t="shared" si="39"/>
        <v>#N/A</v>
      </c>
      <c r="AV145" s="69" t="e">
        <f t="shared" si="40"/>
        <v>#N/A</v>
      </c>
    </row>
    <row r="146" spans="24:48" x14ac:dyDescent="0.2">
      <c r="X146" s="64" t="str">
        <f t="shared" si="41"/>
        <v/>
      </c>
      <c r="Y146" s="68" t="s">
        <v>32</v>
      </c>
      <c r="Z146" s="68" t="s">
        <v>14</v>
      </c>
      <c r="AA146" s="68" t="s">
        <v>26</v>
      </c>
      <c r="AB146" s="68" t="s">
        <v>27</v>
      </c>
      <c r="AC146" s="68" t="s">
        <v>13</v>
      </c>
      <c r="AD146" s="68" t="s">
        <v>31</v>
      </c>
      <c r="AE146" s="68" t="s">
        <v>28</v>
      </c>
      <c r="AF146" s="68" t="s">
        <v>185</v>
      </c>
      <c r="AG146">
        <f t="shared" si="42"/>
        <v>0</v>
      </c>
      <c r="AH146">
        <f t="shared" si="26"/>
        <v>1</v>
      </c>
      <c r="AI146">
        <f t="shared" si="27"/>
        <v>1</v>
      </c>
      <c r="AJ146">
        <f t="shared" si="28"/>
        <v>1</v>
      </c>
      <c r="AK146">
        <f t="shared" si="29"/>
        <v>0</v>
      </c>
      <c r="AL146">
        <f t="shared" si="30"/>
        <v>1</v>
      </c>
      <c r="AM146">
        <f t="shared" si="31"/>
        <v>1</v>
      </c>
      <c r="AN146">
        <f t="shared" si="32"/>
        <v>0</v>
      </c>
      <c r="AO146" s="69" t="e">
        <f t="shared" si="33"/>
        <v>#N/A</v>
      </c>
      <c r="AP146" s="69" t="str">
        <f t="shared" si="34"/>
        <v>Irán</v>
      </c>
      <c r="AQ146" s="69" t="str">
        <f t="shared" si="35"/>
        <v>Bosnia</v>
      </c>
      <c r="AR146" s="69" t="str">
        <f t="shared" si="36"/>
        <v>Marruecos</v>
      </c>
      <c r="AS146" s="69" t="e">
        <f t="shared" si="37"/>
        <v>#N/A</v>
      </c>
      <c r="AT146" s="69" t="str">
        <f t="shared" si="38"/>
        <v>Suecia</v>
      </c>
      <c r="AU146" s="69" t="str">
        <f t="shared" si="39"/>
        <v>Paraguay</v>
      </c>
      <c r="AV146" s="69" t="e">
        <f t="shared" si="40"/>
        <v>#N/A</v>
      </c>
    </row>
    <row r="147" spans="24:48" x14ac:dyDescent="0.2">
      <c r="X147" s="64" t="str">
        <f t="shared" si="41"/>
        <v/>
      </c>
      <c r="Y147" s="68" t="s">
        <v>27</v>
      </c>
      <c r="Z147" s="68" t="s">
        <v>14</v>
      </c>
      <c r="AA147" s="68" t="s">
        <v>26</v>
      </c>
      <c r="AB147" s="68" t="s">
        <v>28</v>
      </c>
      <c r="AC147" s="68" t="s">
        <v>32</v>
      </c>
      <c r="AD147" s="68" t="s">
        <v>31</v>
      </c>
      <c r="AE147" s="68" t="s">
        <v>186</v>
      </c>
      <c r="AF147" s="68" t="s">
        <v>184</v>
      </c>
      <c r="AG147">
        <f t="shared" si="42"/>
        <v>1</v>
      </c>
      <c r="AH147">
        <f t="shared" si="26"/>
        <v>1</v>
      </c>
      <c r="AI147">
        <f t="shared" si="27"/>
        <v>1</v>
      </c>
      <c r="AJ147">
        <f t="shared" si="28"/>
        <v>1</v>
      </c>
      <c r="AK147">
        <f t="shared" si="29"/>
        <v>0</v>
      </c>
      <c r="AL147">
        <f t="shared" si="30"/>
        <v>1</v>
      </c>
      <c r="AM147">
        <f t="shared" si="31"/>
        <v>0</v>
      </c>
      <c r="AN147">
        <f t="shared" si="32"/>
        <v>1</v>
      </c>
      <c r="AO147" s="69" t="str">
        <f t="shared" si="33"/>
        <v>Marruecos</v>
      </c>
      <c r="AP147" s="69" t="str">
        <f t="shared" si="34"/>
        <v>Irán</v>
      </c>
      <c r="AQ147" s="69" t="str">
        <f t="shared" si="35"/>
        <v>Bosnia</v>
      </c>
      <c r="AR147" s="69" t="str">
        <f t="shared" si="36"/>
        <v>Paraguay</v>
      </c>
      <c r="AS147" s="69" t="e">
        <f t="shared" si="37"/>
        <v>#N/A</v>
      </c>
      <c r="AT147" s="69" t="str">
        <f t="shared" si="38"/>
        <v>Suecia</v>
      </c>
      <c r="AU147" s="69" t="e">
        <f t="shared" si="39"/>
        <v>#N/A</v>
      </c>
      <c r="AV147" s="69" t="str">
        <f t="shared" si="40"/>
        <v>Senegal</v>
      </c>
    </row>
    <row r="148" spans="24:48" x14ac:dyDescent="0.2">
      <c r="X148" s="64" t="str">
        <f t="shared" si="41"/>
        <v/>
      </c>
      <c r="Y148" s="68" t="s">
        <v>27</v>
      </c>
      <c r="Z148" s="68" t="s">
        <v>14</v>
      </c>
      <c r="AA148" s="68" t="s">
        <v>26</v>
      </c>
      <c r="AB148" s="68" t="s">
        <v>28</v>
      </c>
      <c r="AC148" s="68" t="s">
        <v>32</v>
      </c>
      <c r="AD148" s="68" t="s">
        <v>31</v>
      </c>
      <c r="AE148" s="68" t="s">
        <v>184</v>
      </c>
      <c r="AF148" s="68" t="s">
        <v>185</v>
      </c>
      <c r="AG148">
        <f t="shared" si="42"/>
        <v>1</v>
      </c>
      <c r="AH148">
        <f t="shared" ref="AH148:AH211" si="43">IFERROR(VLOOKUP(Z148,$B$21:$T$28,19,0),0)</f>
        <v>1</v>
      </c>
      <c r="AI148">
        <f t="shared" ref="AI148:AI211" si="44">IFERROR(VLOOKUP(AA148,$B$21:$T$28,19,0),0)</f>
        <v>1</v>
      </c>
      <c r="AJ148">
        <f t="shared" ref="AJ148:AJ211" si="45">IFERROR(VLOOKUP(AB148,$B$21:$T$28,19,0),0)</f>
        <v>1</v>
      </c>
      <c r="AK148">
        <f t="shared" ref="AK148:AK211" si="46">IFERROR(VLOOKUP(AC148,$B$21:$T$28,19,0),0)</f>
        <v>0</v>
      </c>
      <c r="AL148">
        <f t="shared" ref="AL148:AL211" si="47">IFERROR(VLOOKUP(AD148,$B$21:$T$28,19,0),0)</f>
        <v>1</v>
      </c>
      <c r="AM148">
        <f t="shared" ref="AM148:AM211" si="48">IFERROR(VLOOKUP(AE148,$B$21:$T$28,19,0),0)</f>
        <v>1</v>
      </c>
      <c r="AN148">
        <f t="shared" ref="AN148:AN211" si="49">IFERROR(VLOOKUP(AF148,$B$21:$T$28,19,0),0)</f>
        <v>0</v>
      </c>
      <c r="AO148" s="69" t="str">
        <f t="shared" ref="AO148:AO211" si="50">VLOOKUP(Y148,$B$21:$C$28,2,0)</f>
        <v>Marruecos</v>
      </c>
      <c r="AP148" s="69" t="str">
        <f t="shared" ref="AP148:AP211" si="51">VLOOKUP(Z148,$B$21:$C$28,2,0)</f>
        <v>Irán</v>
      </c>
      <c r="AQ148" s="69" t="str">
        <f t="shared" ref="AQ148:AQ211" si="52">VLOOKUP(AA148,$B$21:$C$28,2,0)</f>
        <v>Bosnia</v>
      </c>
      <c r="AR148" s="69" t="str">
        <f t="shared" ref="AR148:AR211" si="53">VLOOKUP(AB148,$B$21:$C$28,2,0)</f>
        <v>Paraguay</v>
      </c>
      <c r="AS148" s="69" t="e">
        <f t="shared" ref="AS148:AS211" si="54">VLOOKUP(AC148,$B$21:$C$28,2,0)</f>
        <v>#N/A</v>
      </c>
      <c r="AT148" s="69" t="str">
        <f t="shared" ref="AT148:AT211" si="55">VLOOKUP(AD148,$B$21:$C$28,2,0)</f>
        <v>Suecia</v>
      </c>
      <c r="AU148" s="69" t="str">
        <f t="shared" ref="AU148:AU211" si="56">VLOOKUP(AE148,$B$21:$C$28,2,0)</f>
        <v>Senegal</v>
      </c>
      <c r="AV148" s="69" t="e">
        <f t="shared" ref="AV148:AV211" si="57">VLOOKUP(AF148,$B$21:$C$28,2,0)</f>
        <v>#N/A</v>
      </c>
    </row>
    <row r="149" spans="24:48" x14ac:dyDescent="0.2">
      <c r="X149" s="64" t="str">
        <f t="shared" ref="X149:X212" si="58">IF(SUM(AG149:AN149)=8,"X","")</f>
        <v/>
      </c>
      <c r="Y149" s="68" t="s">
        <v>32</v>
      </c>
      <c r="Z149" s="68" t="s">
        <v>14</v>
      </c>
      <c r="AA149" s="68" t="s">
        <v>26</v>
      </c>
      <c r="AB149" s="68" t="s">
        <v>27</v>
      </c>
      <c r="AC149" s="68" t="s">
        <v>13</v>
      </c>
      <c r="AD149" s="68" t="s">
        <v>31</v>
      </c>
      <c r="AE149" s="68" t="s">
        <v>28</v>
      </c>
      <c r="AF149" s="68" t="s">
        <v>184</v>
      </c>
      <c r="AG149">
        <f t="shared" ref="AG149:AG212" si="59">IFERROR(VLOOKUP(Y149,$B$21:$T$28,19,0),0)</f>
        <v>0</v>
      </c>
      <c r="AH149">
        <f t="shared" si="43"/>
        <v>1</v>
      </c>
      <c r="AI149">
        <f t="shared" si="44"/>
        <v>1</v>
      </c>
      <c r="AJ149">
        <f t="shared" si="45"/>
        <v>1</v>
      </c>
      <c r="AK149">
        <f t="shared" si="46"/>
        <v>0</v>
      </c>
      <c r="AL149">
        <f t="shared" si="47"/>
        <v>1</v>
      </c>
      <c r="AM149">
        <f t="shared" si="48"/>
        <v>1</v>
      </c>
      <c r="AN149">
        <f t="shared" si="49"/>
        <v>1</v>
      </c>
      <c r="AO149" s="69" t="e">
        <f t="shared" si="50"/>
        <v>#N/A</v>
      </c>
      <c r="AP149" s="69" t="str">
        <f t="shared" si="51"/>
        <v>Irán</v>
      </c>
      <c r="AQ149" s="69" t="str">
        <f t="shared" si="52"/>
        <v>Bosnia</v>
      </c>
      <c r="AR149" s="69" t="str">
        <f t="shared" si="53"/>
        <v>Marruecos</v>
      </c>
      <c r="AS149" s="69" t="e">
        <f t="shared" si="54"/>
        <v>#N/A</v>
      </c>
      <c r="AT149" s="69" t="str">
        <f t="shared" si="55"/>
        <v>Suecia</v>
      </c>
      <c r="AU149" s="69" t="str">
        <f t="shared" si="56"/>
        <v>Paraguay</v>
      </c>
      <c r="AV149" s="69" t="str">
        <f t="shared" si="57"/>
        <v>Senegal</v>
      </c>
    </row>
    <row r="150" spans="24:48" x14ac:dyDescent="0.2">
      <c r="X150" s="64" t="str">
        <f t="shared" si="58"/>
        <v/>
      </c>
      <c r="Y150" s="68" t="s">
        <v>15</v>
      </c>
      <c r="Z150" s="68" t="s">
        <v>13</v>
      </c>
      <c r="AA150" s="68" t="s">
        <v>26</v>
      </c>
      <c r="AB150" s="68" t="s">
        <v>27</v>
      </c>
      <c r="AC150" s="68" t="s">
        <v>184</v>
      </c>
      <c r="AD150" s="68" t="s">
        <v>28</v>
      </c>
      <c r="AE150" s="68" t="s">
        <v>186</v>
      </c>
      <c r="AF150" s="68" t="s">
        <v>185</v>
      </c>
      <c r="AG150">
        <f t="shared" si="59"/>
        <v>1</v>
      </c>
      <c r="AH150">
        <f t="shared" si="43"/>
        <v>0</v>
      </c>
      <c r="AI150">
        <f t="shared" si="44"/>
        <v>1</v>
      </c>
      <c r="AJ150">
        <f t="shared" si="45"/>
        <v>1</v>
      </c>
      <c r="AK150">
        <f t="shared" si="46"/>
        <v>1</v>
      </c>
      <c r="AL150">
        <f t="shared" si="47"/>
        <v>1</v>
      </c>
      <c r="AM150">
        <f t="shared" si="48"/>
        <v>0</v>
      </c>
      <c r="AN150">
        <f t="shared" si="49"/>
        <v>0</v>
      </c>
      <c r="AO150" s="69" t="str">
        <f t="shared" si="50"/>
        <v>Costa de Marfil</v>
      </c>
      <c r="AP150" s="69" t="e">
        <f t="shared" si="51"/>
        <v>#N/A</v>
      </c>
      <c r="AQ150" s="69" t="str">
        <f t="shared" si="52"/>
        <v>Bosnia</v>
      </c>
      <c r="AR150" s="69" t="str">
        <f t="shared" si="53"/>
        <v>Marruecos</v>
      </c>
      <c r="AS150" s="69" t="str">
        <f t="shared" si="54"/>
        <v>Senegal</v>
      </c>
      <c r="AT150" s="69" t="str">
        <f t="shared" si="55"/>
        <v>Paraguay</v>
      </c>
      <c r="AU150" s="69" t="e">
        <f t="shared" si="56"/>
        <v>#N/A</v>
      </c>
      <c r="AV150" s="69" t="e">
        <f t="shared" si="57"/>
        <v>#N/A</v>
      </c>
    </row>
    <row r="151" spans="24:48" x14ac:dyDescent="0.2">
      <c r="X151" s="64" t="str">
        <f t="shared" si="58"/>
        <v/>
      </c>
      <c r="Y151" s="68" t="s">
        <v>15</v>
      </c>
      <c r="Z151" s="68" t="s">
        <v>13</v>
      </c>
      <c r="AA151" s="68" t="s">
        <v>26</v>
      </c>
      <c r="AB151" s="68" t="s">
        <v>27</v>
      </c>
      <c r="AC151" s="68" t="s">
        <v>32</v>
      </c>
      <c r="AD151" s="68" t="s">
        <v>28</v>
      </c>
      <c r="AE151" s="68" t="s">
        <v>186</v>
      </c>
      <c r="AF151" s="68" t="s">
        <v>185</v>
      </c>
      <c r="AG151">
        <f t="shared" si="59"/>
        <v>1</v>
      </c>
      <c r="AH151">
        <f t="shared" si="43"/>
        <v>0</v>
      </c>
      <c r="AI151">
        <f t="shared" si="44"/>
        <v>1</v>
      </c>
      <c r="AJ151">
        <f t="shared" si="45"/>
        <v>1</v>
      </c>
      <c r="AK151">
        <f t="shared" si="46"/>
        <v>0</v>
      </c>
      <c r="AL151">
        <f t="shared" si="47"/>
        <v>1</v>
      </c>
      <c r="AM151">
        <f t="shared" si="48"/>
        <v>0</v>
      </c>
      <c r="AN151">
        <f t="shared" si="49"/>
        <v>0</v>
      </c>
      <c r="AO151" s="69" t="str">
        <f t="shared" si="50"/>
        <v>Costa de Marfil</v>
      </c>
      <c r="AP151" s="69" t="e">
        <f t="shared" si="51"/>
        <v>#N/A</v>
      </c>
      <c r="AQ151" s="69" t="str">
        <f t="shared" si="52"/>
        <v>Bosnia</v>
      </c>
      <c r="AR151" s="69" t="str">
        <f t="shared" si="53"/>
        <v>Marruecos</v>
      </c>
      <c r="AS151" s="69" t="e">
        <f t="shared" si="54"/>
        <v>#N/A</v>
      </c>
      <c r="AT151" s="69" t="str">
        <f t="shared" si="55"/>
        <v>Paraguay</v>
      </c>
      <c r="AU151" s="69" t="e">
        <f t="shared" si="56"/>
        <v>#N/A</v>
      </c>
      <c r="AV151" s="69" t="e">
        <f t="shared" si="57"/>
        <v>#N/A</v>
      </c>
    </row>
    <row r="152" spans="24:48" x14ac:dyDescent="0.2">
      <c r="X152" s="64" t="str">
        <f t="shared" si="58"/>
        <v/>
      </c>
      <c r="Y152" s="68" t="s">
        <v>15</v>
      </c>
      <c r="Z152" s="68" t="s">
        <v>184</v>
      </c>
      <c r="AA152" s="68" t="s">
        <v>26</v>
      </c>
      <c r="AB152" s="68" t="s">
        <v>27</v>
      </c>
      <c r="AC152" s="68" t="s">
        <v>32</v>
      </c>
      <c r="AD152" s="68" t="s">
        <v>28</v>
      </c>
      <c r="AE152" s="68" t="s">
        <v>186</v>
      </c>
      <c r="AF152" s="68" t="s">
        <v>185</v>
      </c>
      <c r="AG152">
        <f t="shared" si="59"/>
        <v>1</v>
      </c>
      <c r="AH152">
        <f t="shared" si="43"/>
        <v>1</v>
      </c>
      <c r="AI152">
        <f t="shared" si="44"/>
        <v>1</v>
      </c>
      <c r="AJ152">
        <f t="shared" si="45"/>
        <v>1</v>
      </c>
      <c r="AK152">
        <f t="shared" si="46"/>
        <v>0</v>
      </c>
      <c r="AL152">
        <f t="shared" si="47"/>
        <v>1</v>
      </c>
      <c r="AM152">
        <f t="shared" si="48"/>
        <v>0</v>
      </c>
      <c r="AN152">
        <f t="shared" si="49"/>
        <v>0</v>
      </c>
      <c r="AO152" s="69" t="str">
        <f t="shared" si="50"/>
        <v>Costa de Marfil</v>
      </c>
      <c r="AP152" s="69" t="str">
        <f t="shared" si="51"/>
        <v>Senegal</v>
      </c>
      <c r="AQ152" s="69" t="str">
        <f t="shared" si="52"/>
        <v>Bosnia</v>
      </c>
      <c r="AR152" s="69" t="str">
        <f t="shared" si="53"/>
        <v>Marruecos</v>
      </c>
      <c r="AS152" s="69" t="e">
        <f t="shared" si="54"/>
        <v>#N/A</v>
      </c>
      <c r="AT152" s="69" t="str">
        <f t="shared" si="55"/>
        <v>Paraguay</v>
      </c>
      <c r="AU152" s="69" t="e">
        <f t="shared" si="56"/>
        <v>#N/A</v>
      </c>
      <c r="AV152" s="69" t="e">
        <f t="shared" si="57"/>
        <v>#N/A</v>
      </c>
    </row>
    <row r="153" spans="24:48" x14ac:dyDescent="0.2">
      <c r="X153" s="64" t="str">
        <f t="shared" si="58"/>
        <v/>
      </c>
      <c r="Y153" s="68" t="s">
        <v>15</v>
      </c>
      <c r="Z153" s="68" t="s">
        <v>13</v>
      </c>
      <c r="AA153" s="68" t="s">
        <v>26</v>
      </c>
      <c r="AB153" s="68" t="s">
        <v>27</v>
      </c>
      <c r="AC153" s="68" t="s">
        <v>32</v>
      </c>
      <c r="AD153" s="68" t="s">
        <v>28</v>
      </c>
      <c r="AE153" s="68" t="s">
        <v>186</v>
      </c>
      <c r="AF153" s="68" t="s">
        <v>184</v>
      </c>
      <c r="AG153">
        <f t="shared" si="59"/>
        <v>1</v>
      </c>
      <c r="AH153">
        <f t="shared" si="43"/>
        <v>0</v>
      </c>
      <c r="AI153">
        <f t="shared" si="44"/>
        <v>1</v>
      </c>
      <c r="AJ153">
        <f t="shared" si="45"/>
        <v>1</v>
      </c>
      <c r="AK153">
        <f t="shared" si="46"/>
        <v>0</v>
      </c>
      <c r="AL153">
        <f t="shared" si="47"/>
        <v>1</v>
      </c>
      <c r="AM153">
        <f t="shared" si="48"/>
        <v>0</v>
      </c>
      <c r="AN153">
        <f t="shared" si="49"/>
        <v>1</v>
      </c>
      <c r="AO153" s="69" t="str">
        <f t="shared" si="50"/>
        <v>Costa de Marfil</v>
      </c>
      <c r="AP153" s="69" t="e">
        <f t="shared" si="51"/>
        <v>#N/A</v>
      </c>
      <c r="AQ153" s="69" t="str">
        <f t="shared" si="52"/>
        <v>Bosnia</v>
      </c>
      <c r="AR153" s="69" t="str">
        <f t="shared" si="53"/>
        <v>Marruecos</v>
      </c>
      <c r="AS153" s="69" t="e">
        <f t="shared" si="54"/>
        <v>#N/A</v>
      </c>
      <c r="AT153" s="69" t="str">
        <f t="shared" si="55"/>
        <v>Paraguay</v>
      </c>
      <c r="AU153" s="69" t="e">
        <f t="shared" si="56"/>
        <v>#N/A</v>
      </c>
      <c r="AV153" s="69" t="str">
        <f t="shared" si="57"/>
        <v>Senegal</v>
      </c>
    </row>
    <row r="154" spans="24:48" x14ac:dyDescent="0.2">
      <c r="X154" s="64" t="str">
        <f t="shared" si="58"/>
        <v/>
      </c>
      <c r="Y154" s="68" t="s">
        <v>15</v>
      </c>
      <c r="Z154" s="68" t="s">
        <v>13</v>
      </c>
      <c r="AA154" s="68" t="s">
        <v>26</v>
      </c>
      <c r="AB154" s="68" t="s">
        <v>27</v>
      </c>
      <c r="AC154" s="68" t="s">
        <v>32</v>
      </c>
      <c r="AD154" s="68" t="s">
        <v>28</v>
      </c>
      <c r="AE154" s="68" t="s">
        <v>184</v>
      </c>
      <c r="AF154" s="68" t="s">
        <v>185</v>
      </c>
      <c r="AG154">
        <f t="shared" si="59"/>
        <v>1</v>
      </c>
      <c r="AH154">
        <f t="shared" si="43"/>
        <v>0</v>
      </c>
      <c r="AI154">
        <f t="shared" si="44"/>
        <v>1</v>
      </c>
      <c r="AJ154">
        <f t="shared" si="45"/>
        <v>1</v>
      </c>
      <c r="AK154">
        <f t="shared" si="46"/>
        <v>0</v>
      </c>
      <c r="AL154">
        <f t="shared" si="47"/>
        <v>1</v>
      </c>
      <c r="AM154">
        <f t="shared" si="48"/>
        <v>1</v>
      </c>
      <c r="AN154">
        <f t="shared" si="49"/>
        <v>0</v>
      </c>
      <c r="AO154" s="69" t="str">
        <f t="shared" si="50"/>
        <v>Costa de Marfil</v>
      </c>
      <c r="AP154" s="69" t="e">
        <f t="shared" si="51"/>
        <v>#N/A</v>
      </c>
      <c r="AQ154" s="69" t="str">
        <f t="shared" si="52"/>
        <v>Bosnia</v>
      </c>
      <c r="AR154" s="69" t="str">
        <f t="shared" si="53"/>
        <v>Marruecos</v>
      </c>
      <c r="AS154" s="69" t="e">
        <f t="shared" si="54"/>
        <v>#N/A</v>
      </c>
      <c r="AT154" s="69" t="str">
        <f t="shared" si="55"/>
        <v>Paraguay</v>
      </c>
      <c r="AU154" s="69" t="str">
        <f t="shared" si="56"/>
        <v>Senegal</v>
      </c>
      <c r="AV154" s="69" t="e">
        <f t="shared" si="57"/>
        <v>#N/A</v>
      </c>
    </row>
    <row r="155" spans="24:48" x14ac:dyDescent="0.2">
      <c r="X155" s="64" t="str">
        <f t="shared" si="58"/>
        <v/>
      </c>
      <c r="Y155" s="68" t="s">
        <v>15</v>
      </c>
      <c r="Z155" s="68" t="s">
        <v>14</v>
      </c>
      <c r="AA155" s="68" t="s">
        <v>26</v>
      </c>
      <c r="AB155" s="68" t="s">
        <v>27</v>
      </c>
      <c r="AC155" s="68" t="s">
        <v>13</v>
      </c>
      <c r="AD155" s="68" t="s">
        <v>28</v>
      </c>
      <c r="AE155" s="68" t="s">
        <v>186</v>
      </c>
      <c r="AF155" s="68" t="s">
        <v>185</v>
      </c>
      <c r="AG155">
        <f t="shared" si="59"/>
        <v>1</v>
      </c>
      <c r="AH155">
        <f t="shared" si="43"/>
        <v>1</v>
      </c>
      <c r="AI155">
        <f t="shared" si="44"/>
        <v>1</v>
      </c>
      <c r="AJ155">
        <f t="shared" si="45"/>
        <v>1</v>
      </c>
      <c r="AK155">
        <f t="shared" si="46"/>
        <v>0</v>
      </c>
      <c r="AL155">
        <f t="shared" si="47"/>
        <v>1</v>
      </c>
      <c r="AM155">
        <f t="shared" si="48"/>
        <v>0</v>
      </c>
      <c r="AN155">
        <f t="shared" si="49"/>
        <v>0</v>
      </c>
      <c r="AO155" s="69" t="str">
        <f t="shared" si="50"/>
        <v>Costa de Marfil</v>
      </c>
      <c r="AP155" s="69" t="str">
        <f t="shared" si="51"/>
        <v>Irán</v>
      </c>
      <c r="AQ155" s="69" t="str">
        <f t="shared" si="52"/>
        <v>Bosnia</v>
      </c>
      <c r="AR155" s="69" t="str">
        <f t="shared" si="53"/>
        <v>Marruecos</v>
      </c>
      <c r="AS155" s="69" t="e">
        <f t="shared" si="54"/>
        <v>#N/A</v>
      </c>
      <c r="AT155" s="69" t="str">
        <f t="shared" si="55"/>
        <v>Paraguay</v>
      </c>
      <c r="AU155" s="69" t="e">
        <f t="shared" si="56"/>
        <v>#N/A</v>
      </c>
      <c r="AV155" s="69" t="e">
        <f t="shared" si="57"/>
        <v>#N/A</v>
      </c>
    </row>
    <row r="156" spans="24:48" x14ac:dyDescent="0.2">
      <c r="X156" s="64" t="str">
        <f t="shared" si="58"/>
        <v/>
      </c>
      <c r="Y156" s="68" t="s">
        <v>15</v>
      </c>
      <c r="Z156" s="68" t="s">
        <v>14</v>
      </c>
      <c r="AA156" s="68" t="s">
        <v>26</v>
      </c>
      <c r="AB156" s="68" t="s">
        <v>27</v>
      </c>
      <c r="AC156" s="68" t="s">
        <v>184</v>
      </c>
      <c r="AD156" s="68" t="s">
        <v>28</v>
      </c>
      <c r="AE156" s="68" t="s">
        <v>186</v>
      </c>
      <c r="AF156" s="68" t="s">
        <v>185</v>
      </c>
      <c r="AG156">
        <f t="shared" si="59"/>
        <v>1</v>
      </c>
      <c r="AH156">
        <f t="shared" si="43"/>
        <v>1</v>
      </c>
      <c r="AI156">
        <f t="shared" si="44"/>
        <v>1</v>
      </c>
      <c r="AJ156">
        <f t="shared" si="45"/>
        <v>1</v>
      </c>
      <c r="AK156">
        <f t="shared" si="46"/>
        <v>1</v>
      </c>
      <c r="AL156">
        <f t="shared" si="47"/>
        <v>1</v>
      </c>
      <c r="AM156">
        <f t="shared" si="48"/>
        <v>0</v>
      </c>
      <c r="AN156">
        <f t="shared" si="49"/>
        <v>0</v>
      </c>
      <c r="AO156" s="69" t="str">
        <f t="shared" si="50"/>
        <v>Costa de Marfil</v>
      </c>
      <c r="AP156" s="69" t="str">
        <f t="shared" si="51"/>
        <v>Irán</v>
      </c>
      <c r="AQ156" s="69" t="str">
        <f t="shared" si="52"/>
        <v>Bosnia</v>
      </c>
      <c r="AR156" s="69" t="str">
        <f t="shared" si="53"/>
        <v>Marruecos</v>
      </c>
      <c r="AS156" s="69" t="str">
        <f t="shared" si="54"/>
        <v>Senegal</v>
      </c>
      <c r="AT156" s="69" t="str">
        <f t="shared" si="55"/>
        <v>Paraguay</v>
      </c>
      <c r="AU156" s="69" t="e">
        <f t="shared" si="56"/>
        <v>#N/A</v>
      </c>
      <c r="AV156" s="69" t="e">
        <f t="shared" si="57"/>
        <v>#N/A</v>
      </c>
    </row>
    <row r="157" spans="24:48" x14ac:dyDescent="0.2">
      <c r="X157" s="64" t="str">
        <f t="shared" si="58"/>
        <v/>
      </c>
      <c r="Y157" s="68" t="s">
        <v>15</v>
      </c>
      <c r="Z157" s="68" t="s">
        <v>14</v>
      </c>
      <c r="AA157" s="68" t="s">
        <v>26</v>
      </c>
      <c r="AB157" s="68" t="s">
        <v>27</v>
      </c>
      <c r="AC157" s="68" t="s">
        <v>13</v>
      </c>
      <c r="AD157" s="68" t="s">
        <v>28</v>
      </c>
      <c r="AE157" s="68" t="s">
        <v>186</v>
      </c>
      <c r="AF157" s="68" t="s">
        <v>184</v>
      </c>
      <c r="AG157">
        <f t="shared" si="59"/>
        <v>1</v>
      </c>
      <c r="AH157">
        <f t="shared" si="43"/>
        <v>1</v>
      </c>
      <c r="AI157">
        <f t="shared" si="44"/>
        <v>1</v>
      </c>
      <c r="AJ157">
        <f t="shared" si="45"/>
        <v>1</v>
      </c>
      <c r="AK157">
        <f t="shared" si="46"/>
        <v>0</v>
      </c>
      <c r="AL157">
        <f t="shared" si="47"/>
        <v>1</v>
      </c>
      <c r="AM157">
        <f t="shared" si="48"/>
        <v>0</v>
      </c>
      <c r="AN157">
        <f t="shared" si="49"/>
        <v>1</v>
      </c>
      <c r="AO157" s="69" t="str">
        <f t="shared" si="50"/>
        <v>Costa de Marfil</v>
      </c>
      <c r="AP157" s="69" t="str">
        <f t="shared" si="51"/>
        <v>Irán</v>
      </c>
      <c r="AQ157" s="69" t="str">
        <f t="shared" si="52"/>
        <v>Bosnia</v>
      </c>
      <c r="AR157" s="69" t="str">
        <f t="shared" si="53"/>
        <v>Marruecos</v>
      </c>
      <c r="AS157" s="69" t="e">
        <f t="shared" si="54"/>
        <v>#N/A</v>
      </c>
      <c r="AT157" s="69" t="str">
        <f t="shared" si="55"/>
        <v>Paraguay</v>
      </c>
      <c r="AU157" s="69" t="e">
        <f t="shared" si="56"/>
        <v>#N/A</v>
      </c>
      <c r="AV157" s="69" t="str">
        <f t="shared" si="57"/>
        <v>Senegal</v>
      </c>
    </row>
    <row r="158" spans="24:48" x14ac:dyDescent="0.2">
      <c r="X158" s="64" t="str">
        <f t="shared" si="58"/>
        <v/>
      </c>
      <c r="Y158" s="68" t="s">
        <v>15</v>
      </c>
      <c r="Z158" s="68" t="s">
        <v>14</v>
      </c>
      <c r="AA158" s="68" t="s">
        <v>26</v>
      </c>
      <c r="AB158" s="68" t="s">
        <v>27</v>
      </c>
      <c r="AC158" s="68" t="s">
        <v>13</v>
      </c>
      <c r="AD158" s="68" t="s">
        <v>28</v>
      </c>
      <c r="AE158" s="68" t="s">
        <v>184</v>
      </c>
      <c r="AF158" s="68" t="s">
        <v>185</v>
      </c>
      <c r="AG158">
        <f t="shared" si="59"/>
        <v>1</v>
      </c>
      <c r="AH158">
        <f t="shared" si="43"/>
        <v>1</v>
      </c>
      <c r="AI158">
        <f t="shared" si="44"/>
        <v>1</v>
      </c>
      <c r="AJ158">
        <f t="shared" si="45"/>
        <v>1</v>
      </c>
      <c r="AK158">
        <f t="shared" si="46"/>
        <v>0</v>
      </c>
      <c r="AL158">
        <f t="shared" si="47"/>
        <v>1</v>
      </c>
      <c r="AM158">
        <f t="shared" si="48"/>
        <v>1</v>
      </c>
      <c r="AN158">
        <f t="shared" si="49"/>
        <v>0</v>
      </c>
      <c r="AO158" s="69" t="str">
        <f t="shared" si="50"/>
        <v>Costa de Marfil</v>
      </c>
      <c r="AP158" s="69" t="str">
        <f t="shared" si="51"/>
        <v>Irán</v>
      </c>
      <c r="AQ158" s="69" t="str">
        <f t="shared" si="52"/>
        <v>Bosnia</v>
      </c>
      <c r="AR158" s="69" t="str">
        <f t="shared" si="53"/>
        <v>Marruecos</v>
      </c>
      <c r="AS158" s="69" t="e">
        <f t="shared" si="54"/>
        <v>#N/A</v>
      </c>
      <c r="AT158" s="69" t="str">
        <f t="shared" si="55"/>
        <v>Paraguay</v>
      </c>
      <c r="AU158" s="69" t="str">
        <f t="shared" si="56"/>
        <v>Senegal</v>
      </c>
      <c r="AV158" s="69" t="e">
        <f t="shared" si="57"/>
        <v>#N/A</v>
      </c>
    </row>
    <row r="159" spans="24:48" x14ac:dyDescent="0.2">
      <c r="X159" s="64" t="str">
        <f t="shared" si="58"/>
        <v/>
      </c>
      <c r="Y159" s="68" t="s">
        <v>15</v>
      </c>
      <c r="Z159" s="68" t="s">
        <v>14</v>
      </c>
      <c r="AA159" s="68" t="s">
        <v>26</v>
      </c>
      <c r="AB159" s="68" t="s">
        <v>27</v>
      </c>
      <c r="AC159" s="68" t="s">
        <v>32</v>
      </c>
      <c r="AD159" s="68" t="s">
        <v>28</v>
      </c>
      <c r="AE159" s="68" t="s">
        <v>186</v>
      </c>
      <c r="AF159" s="68" t="s">
        <v>185</v>
      </c>
      <c r="AG159">
        <f t="shared" si="59"/>
        <v>1</v>
      </c>
      <c r="AH159">
        <f t="shared" si="43"/>
        <v>1</v>
      </c>
      <c r="AI159">
        <f t="shared" si="44"/>
        <v>1</v>
      </c>
      <c r="AJ159">
        <f t="shared" si="45"/>
        <v>1</v>
      </c>
      <c r="AK159">
        <f t="shared" si="46"/>
        <v>0</v>
      </c>
      <c r="AL159">
        <f t="shared" si="47"/>
        <v>1</v>
      </c>
      <c r="AM159">
        <f t="shared" si="48"/>
        <v>0</v>
      </c>
      <c r="AN159">
        <f t="shared" si="49"/>
        <v>0</v>
      </c>
      <c r="AO159" s="69" t="str">
        <f t="shared" si="50"/>
        <v>Costa de Marfil</v>
      </c>
      <c r="AP159" s="69" t="str">
        <f t="shared" si="51"/>
        <v>Irán</v>
      </c>
      <c r="AQ159" s="69" t="str">
        <f t="shared" si="52"/>
        <v>Bosnia</v>
      </c>
      <c r="AR159" s="69" t="str">
        <f t="shared" si="53"/>
        <v>Marruecos</v>
      </c>
      <c r="AS159" s="69" t="e">
        <f t="shared" si="54"/>
        <v>#N/A</v>
      </c>
      <c r="AT159" s="69" t="str">
        <f t="shared" si="55"/>
        <v>Paraguay</v>
      </c>
      <c r="AU159" s="69" t="e">
        <f t="shared" si="56"/>
        <v>#N/A</v>
      </c>
      <c r="AV159" s="69" t="e">
        <f t="shared" si="57"/>
        <v>#N/A</v>
      </c>
    </row>
    <row r="160" spans="24:48" x14ac:dyDescent="0.2">
      <c r="X160" s="64" t="str">
        <f t="shared" si="58"/>
        <v/>
      </c>
      <c r="Y160" s="68" t="s">
        <v>32</v>
      </c>
      <c r="Z160" s="68" t="s">
        <v>14</v>
      </c>
      <c r="AA160" s="68" t="s">
        <v>26</v>
      </c>
      <c r="AB160" s="68" t="s">
        <v>27</v>
      </c>
      <c r="AC160" s="68" t="s">
        <v>13</v>
      </c>
      <c r="AD160" s="68" t="s">
        <v>28</v>
      </c>
      <c r="AE160" s="68" t="s">
        <v>186</v>
      </c>
      <c r="AF160" s="68" t="s">
        <v>15</v>
      </c>
      <c r="AG160">
        <f t="shared" si="59"/>
        <v>0</v>
      </c>
      <c r="AH160">
        <f t="shared" si="43"/>
        <v>1</v>
      </c>
      <c r="AI160">
        <f t="shared" si="44"/>
        <v>1</v>
      </c>
      <c r="AJ160">
        <f t="shared" si="45"/>
        <v>1</v>
      </c>
      <c r="AK160">
        <f t="shared" si="46"/>
        <v>0</v>
      </c>
      <c r="AL160">
        <f t="shared" si="47"/>
        <v>1</v>
      </c>
      <c r="AM160">
        <f t="shared" si="48"/>
        <v>0</v>
      </c>
      <c r="AN160">
        <f t="shared" si="49"/>
        <v>1</v>
      </c>
      <c r="AO160" s="69" t="e">
        <f t="shared" si="50"/>
        <v>#N/A</v>
      </c>
      <c r="AP160" s="69" t="str">
        <f t="shared" si="51"/>
        <v>Irán</v>
      </c>
      <c r="AQ160" s="69" t="str">
        <f t="shared" si="52"/>
        <v>Bosnia</v>
      </c>
      <c r="AR160" s="69" t="str">
        <f t="shared" si="53"/>
        <v>Marruecos</v>
      </c>
      <c r="AS160" s="69" t="e">
        <f t="shared" si="54"/>
        <v>#N/A</v>
      </c>
      <c r="AT160" s="69" t="str">
        <f t="shared" si="55"/>
        <v>Paraguay</v>
      </c>
      <c r="AU160" s="69" t="e">
        <f t="shared" si="56"/>
        <v>#N/A</v>
      </c>
      <c r="AV160" s="69" t="str">
        <f t="shared" si="57"/>
        <v>Costa de Marfil</v>
      </c>
    </row>
    <row r="161" spans="24:48" x14ac:dyDescent="0.2">
      <c r="X161" s="64" t="str">
        <f t="shared" si="58"/>
        <v/>
      </c>
      <c r="Y161" s="68" t="s">
        <v>32</v>
      </c>
      <c r="Z161" s="68" t="s">
        <v>14</v>
      </c>
      <c r="AA161" s="68" t="s">
        <v>26</v>
      </c>
      <c r="AB161" s="68" t="s">
        <v>27</v>
      </c>
      <c r="AC161" s="68" t="s">
        <v>13</v>
      </c>
      <c r="AD161" s="68" t="s">
        <v>28</v>
      </c>
      <c r="AE161" s="68" t="s">
        <v>15</v>
      </c>
      <c r="AF161" s="68" t="s">
        <v>185</v>
      </c>
      <c r="AG161">
        <f t="shared" si="59"/>
        <v>0</v>
      </c>
      <c r="AH161">
        <f t="shared" si="43"/>
        <v>1</v>
      </c>
      <c r="AI161">
        <f t="shared" si="44"/>
        <v>1</v>
      </c>
      <c r="AJ161">
        <f t="shared" si="45"/>
        <v>1</v>
      </c>
      <c r="AK161">
        <f t="shared" si="46"/>
        <v>0</v>
      </c>
      <c r="AL161">
        <f t="shared" si="47"/>
        <v>1</v>
      </c>
      <c r="AM161">
        <f t="shared" si="48"/>
        <v>1</v>
      </c>
      <c r="AN161">
        <f t="shared" si="49"/>
        <v>0</v>
      </c>
      <c r="AO161" s="69" t="e">
        <f t="shared" si="50"/>
        <v>#N/A</v>
      </c>
      <c r="AP161" s="69" t="str">
        <f t="shared" si="51"/>
        <v>Irán</v>
      </c>
      <c r="AQ161" s="69" t="str">
        <f t="shared" si="52"/>
        <v>Bosnia</v>
      </c>
      <c r="AR161" s="69" t="str">
        <f t="shared" si="53"/>
        <v>Marruecos</v>
      </c>
      <c r="AS161" s="69" t="e">
        <f t="shared" si="54"/>
        <v>#N/A</v>
      </c>
      <c r="AT161" s="69" t="str">
        <f t="shared" si="55"/>
        <v>Paraguay</v>
      </c>
      <c r="AU161" s="69" t="str">
        <f t="shared" si="56"/>
        <v>Costa de Marfil</v>
      </c>
      <c r="AV161" s="69" t="e">
        <f t="shared" si="57"/>
        <v>#N/A</v>
      </c>
    </row>
    <row r="162" spans="24:48" x14ac:dyDescent="0.2">
      <c r="X162" s="64" t="str">
        <f t="shared" si="58"/>
        <v/>
      </c>
      <c r="Y162" s="68" t="s">
        <v>15</v>
      </c>
      <c r="Z162" s="68" t="s">
        <v>14</v>
      </c>
      <c r="AA162" s="68" t="s">
        <v>26</v>
      </c>
      <c r="AB162" s="68" t="s">
        <v>27</v>
      </c>
      <c r="AC162" s="68" t="s">
        <v>32</v>
      </c>
      <c r="AD162" s="68" t="s">
        <v>28</v>
      </c>
      <c r="AE162" s="68" t="s">
        <v>186</v>
      </c>
      <c r="AF162" s="68" t="s">
        <v>184</v>
      </c>
      <c r="AG162">
        <f t="shared" si="59"/>
        <v>1</v>
      </c>
      <c r="AH162">
        <f t="shared" si="43"/>
        <v>1</v>
      </c>
      <c r="AI162">
        <f t="shared" si="44"/>
        <v>1</v>
      </c>
      <c r="AJ162">
        <f t="shared" si="45"/>
        <v>1</v>
      </c>
      <c r="AK162">
        <f t="shared" si="46"/>
        <v>0</v>
      </c>
      <c r="AL162">
        <f t="shared" si="47"/>
        <v>1</v>
      </c>
      <c r="AM162">
        <f t="shared" si="48"/>
        <v>0</v>
      </c>
      <c r="AN162">
        <f t="shared" si="49"/>
        <v>1</v>
      </c>
      <c r="AO162" s="69" t="str">
        <f t="shared" si="50"/>
        <v>Costa de Marfil</v>
      </c>
      <c r="AP162" s="69" t="str">
        <f t="shared" si="51"/>
        <v>Irán</v>
      </c>
      <c r="AQ162" s="69" t="str">
        <f t="shared" si="52"/>
        <v>Bosnia</v>
      </c>
      <c r="AR162" s="69" t="str">
        <f t="shared" si="53"/>
        <v>Marruecos</v>
      </c>
      <c r="AS162" s="69" t="e">
        <f t="shared" si="54"/>
        <v>#N/A</v>
      </c>
      <c r="AT162" s="69" t="str">
        <f t="shared" si="55"/>
        <v>Paraguay</v>
      </c>
      <c r="AU162" s="69" t="e">
        <f t="shared" si="56"/>
        <v>#N/A</v>
      </c>
      <c r="AV162" s="69" t="str">
        <f t="shared" si="57"/>
        <v>Senegal</v>
      </c>
    </row>
    <row r="163" spans="24:48" x14ac:dyDescent="0.2">
      <c r="X163" s="64" t="str">
        <f t="shared" si="58"/>
        <v/>
      </c>
      <c r="Y163" s="68" t="s">
        <v>15</v>
      </c>
      <c r="Z163" s="68" t="s">
        <v>14</v>
      </c>
      <c r="AA163" s="68" t="s">
        <v>26</v>
      </c>
      <c r="AB163" s="68" t="s">
        <v>27</v>
      </c>
      <c r="AC163" s="68" t="s">
        <v>32</v>
      </c>
      <c r="AD163" s="68" t="s">
        <v>28</v>
      </c>
      <c r="AE163" s="68" t="s">
        <v>184</v>
      </c>
      <c r="AF163" s="68" t="s">
        <v>185</v>
      </c>
      <c r="AG163">
        <f t="shared" si="59"/>
        <v>1</v>
      </c>
      <c r="AH163">
        <f t="shared" si="43"/>
        <v>1</v>
      </c>
      <c r="AI163">
        <f t="shared" si="44"/>
        <v>1</v>
      </c>
      <c r="AJ163">
        <f t="shared" si="45"/>
        <v>1</v>
      </c>
      <c r="AK163">
        <f t="shared" si="46"/>
        <v>0</v>
      </c>
      <c r="AL163">
        <f t="shared" si="47"/>
        <v>1</v>
      </c>
      <c r="AM163">
        <f t="shared" si="48"/>
        <v>1</v>
      </c>
      <c r="AN163">
        <f t="shared" si="49"/>
        <v>0</v>
      </c>
      <c r="AO163" s="69" t="str">
        <f t="shared" si="50"/>
        <v>Costa de Marfil</v>
      </c>
      <c r="AP163" s="69" t="str">
        <f t="shared" si="51"/>
        <v>Irán</v>
      </c>
      <c r="AQ163" s="69" t="str">
        <f t="shared" si="52"/>
        <v>Bosnia</v>
      </c>
      <c r="AR163" s="69" t="str">
        <f t="shared" si="53"/>
        <v>Marruecos</v>
      </c>
      <c r="AS163" s="69" t="e">
        <f t="shared" si="54"/>
        <v>#N/A</v>
      </c>
      <c r="AT163" s="69" t="str">
        <f t="shared" si="55"/>
        <v>Paraguay</v>
      </c>
      <c r="AU163" s="69" t="str">
        <f t="shared" si="56"/>
        <v>Senegal</v>
      </c>
      <c r="AV163" s="69" t="e">
        <f t="shared" si="57"/>
        <v>#N/A</v>
      </c>
    </row>
    <row r="164" spans="24:48" x14ac:dyDescent="0.2">
      <c r="X164" s="64" t="str">
        <f t="shared" si="58"/>
        <v/>
      </c>
      <c r="Y164" s="68" t="s">
        <v>32</v>
      </c>
      <c r="Z164" s="68" t="s">
        <v>14</v>
      </c>
      <c r="AA164" s="68" t="s">
        <v>26</v>
      </c>
      <c r="AB164" s="68" t="s">
        <v>27</v>
      </c>
      <c r="AC164" s="68" t="s">
        <v>13</v>
      </c>
      <c r="AD164" s="68" t="s">
        <v>28</v>
      </c>
      <c r="AE164" s="68" t="s">
        <v>15</v>
      </c>
      <c r="AF164" s="68" t="s">
        <v>184</v>
      </c>
      <c r="AG164">
        <f t="shared" si="59"/>
        <v>0</v>
      </c>
      <c r="AH164">
        <f t="shared" si="43"/>
        <v>1</v>
      </c>
      <c r="AI164">
        <f t="shared" si="44"/>
        <v>1</v>
      </c>
      <c r="AJ164">
        <f t="shared" si="45"/>
        <v>1</v>
      </c>
      <c r="AK164">
        <f t="shared" si="46"/>
        <v>0</v>
      </c>
      <c r="AL164">
        <f t="shared" si="47"/>
        <v>1</v>
      </c>
      <c r="AM164">
        <f t="shared" si="48"/>
        <v>1</v>
      </c>
      <c r="AN164">
        <f t="shared" si="49"/>
        <v>1</v>
      </c>
      <c r="AO164" s="69" t="e">
        <f t="shared" si="50"/>
        <v>#N/A</v>
      </c>
      <c r="AP164" s="69" t="str">
        <f t="shared" si="51"/>
        <v>Irán</v>
      </c>
      <c r="AQ164" s="69" t="str">
        <f t="shared" si="52"/>
        <v>Bosnia</v>
      </c>
      <c r="AR164" s="69" t="str">
        <f t="shared" si="53"/>
        <v>Marruecos</v>
      </c>
      <c r="AS164" s="69" t="e">
        <f t="shared" si="54"/>
        <v>#N/A</v>
      </c>
      <c r="AT164" s="69" t="str">
        <f t="shared" si="55"/>
        <v>Paraguay</v>
      </c>
      <c r="AU164" s="69" t="str">
        <f t="shared" si="56"/>
        <v>Costa de Marfil</v>
      </c>
      <c r="AV164" s="69" t="str">
        <f t="shared" si="57"/>
        <v>Senegal</v>
      </c>
    </row>
    <row r="165" spans="24:48" x14ac:dyDescent="0.2">
      <c r="X165" s="64" t="str">
        <f t="shared" si="58"/>
        <v/>
      </c>
      <c r="Y165" s="68" t="s">
        <v>27</v>
      </c>
      <c r="Z165" s="68" t="s">
        <v>13</v>
      </c>
      <c r="AA165" s="68" t="s">
        <v>26</v>
      </c>
      <c r="AB165" s="68" t="s">
        <v>28</v>
      </c>
      <c r="AC165" s="68" t="s">
        <v>15</v>
      </c>
      <c r="AD165" s="68" t="s">
        <v>31</v>
      </c>
      <c r="AE165" s="68" t="s">
        <v>186</v>
      </c>
      <c r="AF165" s="68" t="s">
        <v>185</v>
      </c>
      <c r="AG165">
        <f t="shared" si="59"/>
        <v>1</v>
      </c>
      <c r="AH165">
        <f t="shared" si="43"/>
        <v>0</v>
      </c>
      <c r="AI165">
        <f t="shared" si="44"/>
        <v>1</v>
      </c>
      <c r="AJ165">
        <f t="shared" si="45"/>
        <v>1</v>
      </c>
      <c r="AK165">
        <f t="shared" si="46"/>
        <v>1</v>
      </c>
      <c r="AL165">
        <f t="shared" si="47"/>
        <v>1</v>
      </c>
      <c r="AM165">
        <f t="shared" si="48"/>
        <v>0</v>
      </c>
      <c r="AN165">
        <f t="shared" si="49"/>
        <v>0</v>
      </c>
      <c r="AO165" s="69" t="str">
        <f t="shared" si="50"/>
        <v>Marruecos</v>
      </c>
      <c r="AP165" s="69" t="e">
        <f t="shared" si="51"/>
        <v>#N/A</v>
      </c>
      <c r="AQ165" s="69" t="str">
        <f t="shared" si="52"/>
        <v>Bosnia</v>
      </c>
      <c r="AR165" s="69" t="str">
        <f t="shared" si="53"/>
        <v>Paraguay</v>
      </c>
      <c r="AS165" s="69" t="str">
        <f t="shared" si="54"/>
        <v>Costa de Marfil</v>
      </c>
      <c r="AT165" s="69" t="str">
        <f t="shared" si="55"/>
        <v>Suecia</v>
      </c>
      <c r="AU165" s="69" t="e">
        <f t="shared" si="56"/>
        <v>#N/A</v>
      </c>
      <c r="AV165" s="69" t="e">
        <f t="shared" si="57"/>
        <v>#N/A</v>
      </c>
    </row>
    <row r="166" spans="24:48" x14ac:dyDescent="0.2">
      <c r="X166" s="64" t="str">
        <f t="shared" si="58"/>
        <v/>
      </c>
      <c r="Y166" s="68" t="s">
        <v>27</v>
      </c>
      <c r="Z166" s="68" t="s">
        <v>15</v>
      </c>
      <c r="AA166" s="68" t="s">
        <v>26</v>
      </c>
      <c r="AB166" s="68" t="s">
        <v>28</v>
      </c>
      <c r="AC166" s="68" t="s">
        <v>184</v>
      </c>
      <c r="AD166" s="68" t="s">
        <v>31</v>
      </c>
      <c r="AE166" s="68" t="s">
        <v>186</v>
      </c>
      <c r="AF166" s="68" t="s">
        <v>185</v>
      </c>
      <c r="AG166">
        <f t="shared" si="59"/>
        <v>1</v>
      </c>
      <c r="AH166">
        <f t="shared" si="43"/>
        <v>1</v>
      </c>
      <c r="AI166">
        <f t="shared" si="44"/>
        <v>1</v>
      </c>
      <c r="AJ166">
        <f t="shared" si="45"/>
        <v>1</v>
      </c>
      <c r="AK166">
        <f t="shared" si="46"/>
        <v>1</v>
      </c>
      <c r="AL166">
        <f t="shared" si="47"/>
        <v>1</v>
      </c>
      <c r="AM166">
        <f t="shared" si="48"/>
        <v>0</v>
      </c>
      <c r="AN166">
        <f t="shared" si="49"/>
        <v>0</v>
      </c>
      <c r="AO166" s="69" t="str">
        <f t="shared" si="50"/>
        <v>Marruecos</v>
      </c>
      <c r="AP166" s="69" t="str">
        <f t="shared" si="51"/>
        <v>Costa de Marfil</v>
      </c>
      <c r="AQ166" s="69" t="str">
        <f t="shared" si="52"/>
        <v>Bosnia</v>
      </c>
      <c r="AR166" s="69" t="str">
        <f t="shared" si="53"/>
        <v>Paraguay</v>
      </c>
      <c r="AS166" s="69" t="str">
        <f t="shared" si="54"/>
        <v>Senegal</v>
      </c>
      <c r="AT166" s="69" t="str">
        <f t="shared" si="55"/>
        <v>Suecia</v>
      </c>
      <c r="AU166" s="69" t="e">
        <f t="shared" si="56"/>
        <v>#N/A</v>
      </c>
      <c r="AV166" s="69" t="e">
        <f t="shared" si="57"/>
        <v>#N/A</v>
      </c>
    </row>
    <row r="167" spans="24:48" x14ac:dyDescent="0.2">
      <c r="X167" s="64" t="str">
        <f t="shared" si="58"/>
        <v/>
      </c>
      <c r="Y167" s="68" t="s">
        <v>27</v>
      </c>
      <c r="Z167" s="68" t="s">
        <v>13</v>
      </c>
      <c r="AA167" s="68" t="s">
        <v>26</v>
      </c>
      <c r="AB167" s="68" t="s">
        <v>28</v>
      </c>
      <c r="AC167" s="68" t="s">
        <v>15</v>
      </c>
      <c r="AD167" s="68" t="s">
        <v>31</v>
      </c>
      <c r="AE167" s="68" t="s">
        <v>186</v>
      </c>
      <c r="AF167" s="68" t="s">
        <v>184</v>
      </c>
      <c r="AG167">
        <f t="shared" si="59"/>
        <v>1</v>
      </c>
      <c r="AH167">
        <f t="shared" si="43"/>
        <v>0</v>
      </c>
      <c r="AI167">
        <f t="shared" si="44"/>
        <v>1</v>
      </c>
      <c r="AJ167">
        <f t="shared" si="45"/>
        <v>1</v>
      </c>
      <c r="AK167">
        <f t="shared" si="46"/>
        <v>1</v>
      </c>
      <c r="AL167">
        <f t="shared" si="47"/>
        <v>1</v>
      </c>
      <c r="AM167">
        <f t="shared" si="48"/>
        <v>0</v>
      </c>
      <c r="AN167">
        <f t="shared" si="49"/>
        <v>1</v>
      </c>
      <c r="AO167" s="69" t="str">
        <f t="shared" si="50"/>
        <v>Marruecos</v>
      </c>
      <c r="AP167" s="69" t="e">
        <f t="shared" si="51"/>
        <v>#N/A</v>
      </c>
      <c r="AQ167" s="69" t="str">
        <f t="shared" si="52"/>
        <v>Bosnia</v>
      </c>
      <c r="AR167" s="69" t="str">
        <f t="shared" si="53"/>
        <v>Paraguay</v>
      </c>
      <c r="AS167" s="69" t="str">
        <f t="shared" si="54"/>
        <v>Costa de Marfil</v>
      </c>
      <c r="AT167" s="69" t="str">
        <f t="shared" si="55"/>
        <v>Suecia</v>
      </c>
      <c r="AU167" s="69" t="e">
        <f t="shared" si="56"/>
        <v>#N/A</v>
      </c>
      <c r="AV167" s="69" t="str">
        <f t="shared" si="57"/>
        <v>Senegal</v>
      </c>
    </row>
    <row r="168" spans="24:48" x14ac:dyDescent="0.2">
      <c r="X168" s="64" t="str">
        <f t="shared" si="58"/>
        <v/>
      </c>
      <c r="Y168" s="68" t="s">
        <v>27</v>
      </c>
      <c r="Z168" s="68" t="s">
        <v>13</v>
      </c>
      <c r="AA168" s="68" t="s">
        <v>26</v>
      </c>
      <c r="AB168" s="68" t="s">
        <v>28</v>
      </c>
      <c r="AC168" s="68" t="s">
        <v>15</v>
      </c>
      <c r="AD168" s="68" t="s">
        <v>31</v>
      </c>
      <c r="AE168" s="68" t="s">
        <v>184</v>
      </c>
      <c r="AF168" s="68" t="s">
        <v>185</v>
      </c>
      <c r="AG168">
        <f t="shared" si="59"/>
        <v>1</v>
      </c>
      <c r="AH168">
        <f t="shared" si="43"/>
        <v>0</v>
      </c>
      <c r="AI168">
        <f t="shared" si="44"/>
        <v>1</v>
      </c>
      <c r="AJ168">
        <f t="shared" si="45"/>
        <v>1</v>
      </c>
      <c r="AK168">
        <f t="shared" si="46"/>
        <v>1</v>
      </c>
      <c r="AL168">
        <f t="shared" si="47"/>
        <v>1</v>
      </c>
      <c r="AM168">
        <f t="shared" si="48"/>
        <v>1</v>
      </c>
      <c r="AN168">
        <f t="shared" si="49"/>
        <v>0</v>
      </c>
      <c r="AO168" s="69" t="str">
        <f t="shared" si="50"/>
        <v>Marruecos</v>
      </c>
      <c r="AP168" s="69" t="e">
        <f t="shared" si="51"/>
        <v>#N/A</v>
      </c>
      <c r="AQ168" s="69" t="str">
        <f t="shared" si="52"/>
        <v>Bosnia</v>
      </c>
      <c r="AR168" s="69" t="str">
        <f t="shared" si="53"/>
        <v>Paraguay</v>
      </c>
      <c r="AS168" s="69" t="str">
        <f t="shared" si="54"/>
        <v>Costa de Marfil</v>
      </c>
      <c r="AT168" s="69" t="str">
        <f t="shared" si="55"/>
        <v>Suecia</v>
      </c>
      <c r="AU168" s="69" t="str">
        <f t="shared" si="56"/>
        <v>Senegal</v>
      </c>
      <c r="AV168" s="69" t="e">
        <f t="shared" si="57"/>
        <v>#N/A</v>
      </c>
    </row>
    <row r="169" spans="24:48" x14ac:dyDescent="0.2">
      <c r="X169" s="64" t="str">
        <f t="shared" si="58"/>
        <v/>
      </c>
      <c r="Y169" s="68" t="s">
        <v>27</v>
      </c>
      <c r="Z169" s="68" t="s">
        <v>15</v>
      </c>
      <c r="AA169" s="68" t="s">
        <v>26</v>
      </c>
      <c r="AB169" s="68" t="s">
        <v>28</v>
      </c>
      <c r="AC169" s="68" t="s">
        <v>32</v>
      </c>
      <c r="AD169" s="68" t="s">
        <v>31</v>
      </c>
      <c r="AE169" s="68" t="s">
        <v>186</v>
      </c>
      <c r="AF169" s="68" t="s">
        <v>185</v>
      </c>
      <c r="AG169">
        <f t="shared" si="59"/>
        <v>1</v>
      </c>
      <c r="AH169">
        <f t="shared" si="43"/>
        <v>1</v>
      </c>
      <c r="AI169">
        <f t="shared" si="44"/>
        <v>1</v>
      </c>
      <c r="AJ169">
        <f t="shared" si="45"/>
        <v>1</v>
      </c>
      <c r="AK169">
        <f t="shared" si="46"/>
        <v>0</v>
      </c>
      <c r="AL169">
        <f t="shared" si="47"/>
        <v>1</v>
      </c>
      <c r="AM169">
        <f t="shared" si="48"/>
        <v>0</v>
      </c>
      <c r="AN169">
        <f t="shared" si="49"/>
        <v>0</v>
      </c>
      <c r="AO169" s="69" t="str">
        <f t="shared" si="50"/>
        <v>Marruecos</v>
      </c>
      <c r="AP169" s="69" t="str">
        <f t="shared" si="51"/>
        <v>Costa de Marfil</v>
      </c>
      <c r="AQ169" s="69" t="str">
        <f t="shared" si="52"/>
        <v>Bosnia</v>
      </c>
      <c r="AR169" s="69" t="str">
        <f t="shared" si="53"/>
        <v>Paraguay</v>
      </c>
      <c r="AS169" s="69" t="e">
        <f t="shared" si="54"/>
        <v>#N/A</v>
      </c>
      <c r="AT169" s="69" t="str">
        <f t="shared" si="55"/>
        <v>Suecia</v>
      </c>
      <c r="AU169" s="69" t="e">
        <f t="shared" si="56"/>
        <v>#N/A</v>
      </c>
      <c r="AV169" s="69" t="e">
        <f t="shared" si="57"/>
        <v>#N/A</v>
      </c>
    </row>
    <row r="170" spans="24:48" x14ac:dyDescent="0.2">
      <c r="X170" s="64" t="str">
        <f t="shared" si="58"/>
        <v/>
      </c>
      <c r="Y170" s="68" t="s">
        <v>27</v>
      </c>
      <c r="Z170" s="68" t="s">
        <v>13</v>
      </c>
      <c r="AA170" s="68" t="s">
        <v>26</v>
      </c>
      <c r="AB170" s="68" t="s">
        <v>28</v>
      </c>
      <c r="AC170" s="68" t="s">
        <v>32</v>
      </c>
      <c r="AD170" s="68" t="s">
        <v>31</v>
      </c>
      <c r="AE170" s="68" t="s">
        <v>186</v>
      </c>
      <c r="AF170" s="68" t="s">
        <v>15</v>
      </c>
      <c r="AG170">
        <f t="shared" si="59"/>
        <v>1</v>
      </c>
      <c r="AH170">
        <f t="shared" si="43"/>
        <v>0</v>
      </c>
      <c r="AI170">
        <f t="shared" si="44"/>
        <v>1</v>
      </c>
      <c r="AJ170">
        <f t="shared" si="45"/>
        <v>1</v>
      </c>
      <c r="AK170">
        <f t="shared" si="46"/>
        <v>0</v>
      </c>
      <c r="AL170">
        <f t="shared" si="47"/>
        <v>1</v>
      </c>
      <c r="AM170">
        <f t="shared" si="48"/>
        <v>0</v>
      </c>
      <c r="AN170">
        <f t="shared" si="49"/>
        <v>1</v>
      </c>
      <c r="AO170" s="69" t="str">
        <f t="shared" si="50"/>
        <v>Marruecos</v>
      </c>
      <c r="AP170" s="69" t="e">
        <f t="shared" si="51"/>
        <v>#N/A</v>
      </c>
      <c r="AQ170" s="69" t="str">
        <f t="shared" si="52"/>
        <v>Bosnia</v>
      </c>
      <c r="AR170" s="69" t="str">
        <f t="shared" si="53"/>
        <v>Paraguay</v>
      </c>
      <c r="AS170" s="69" t="e">
        <f t="shared" si="54"/>
        <v>#N/A</v>
      </c>
      <c r="AT170" s="69" t="str">
        <f t="shared" si="55"/>
        <v>Suecia</v>
      </c>
      <c r="AU170" s="69" t="e">
        <f t="shared" si="56"/>
        <v>#N/A</v>
      </c>
      <c r="AV170" s="69" t="str">
        <f t="shared" si="57"/>
        <v>Costa de Marfil</v>
      </c>
    </row>
    <row r="171" spans="24:48" x14ac:dyDescent="0.2">
      <c r="X171" s="64" t="str">
        <f t="shared" si="58"/>
        <v/>
      </c>
      <c r="Y171" s="68" t="s">
        <v>27</v>
      </c>
      <c r="Z171" s="68" t="s">
        <v>13</v>
      </c>
      <c r="AA171" s="68" t="s">
        <v>26</v>
      </c>
      <c r="AB171" s="68" t="s">
        <v>28</v>
      </c>
      <c r="AC171" s="68" t="s">
        <v>32</v>
      </c>
      <c r="AD171" s="68" t="s">
        <v>31</v>
      </c>
      <c r="AE171" s="68" t="s">
        <v>15</v>
      </c>
      <c r="AF171" s="68" t="s">
        <v>185</v>
      </c>
      <c r="AG171">
        <f t="shared" si="59"/>
        <v>1</v>
      </c>
      <c r="AH171">
        <f t="shared" si="43"/>
        <v>0</v>
      </c>
      <c r="AI171">
        <f t="shared" si="44"/>
        <v>1</v>
      </c>
      <c r="AJ171">
        <f t="shared" si="45"/>
        <v>1</v>
      </c>
      <c r="AK171">
        <f t="shared" si="46"/>
        <v>0</v>
      </c>
      <c r="AL171">
        <f t="shared" si="47"/>
        <v>1</v>
      </c>
      <c r="AM171">
        <f t="shared" si="48"/>
        <v>1</v>
      </c>
      <c r="AN171">
        <f t="shared" si="49"/>
        <v>0</v>
      </c>
      <c r="AO171" s="69" t="str">
        <f t="shared" si="50"/>
        <v>Marruecos</v>
      </c>
      <c r="AP171" s="69" t="e">
        <f t="shared" si="51"/>
        <v>#N/A</v>
      </c>
      <c r="AQ171" s="69" t="str">
        <f t="shared" si="52"/>
        <v>Bosnia</v>
      </c>
      <c r="AR171" s="69" t="str">
        <f t="shared" si="53"/>
        <v>Paraguay</v>
      </c>
      <c r="AS171" s="69" t="e">
        <f t="shared" si="54"/>
        <v>#N/A</v>
      </c>
      <c r="AT171" s="69" t="str">
        <f t="shared" si="55"/>
        <v>Suecia</v>
      </c>
      <c r="AU171" s="69" t="str">
        <f t="shared" si="56"/>
        <v>Costa de Marfil</v>
      </c>
      <c r="AV171" s="69" t="e">
        <f t="shared" si="57"/>
        <v>#N/A</v>
      </c>
    </row>
    <row r="172" spans="24:48" x14ac:dyDescent="0.2">
      <c r="X172" s="64" t="str">
        <f t="shared" si="58"/>
        <v/>
      </c>
      <c r="Y172" s="68" t="s">
        <v>27</v>
      </c>
      <c r="Z172" s="68" t="s">
        <v>15</v>
      </c>
      <c r="AA172" s="68" t="s">
        <v>26</v>
      </c>
      <c r="AB172" s="68" t="s">
        <v>28</v>
      </c>
      <c r="AC172" s="68" t="s">
        <v>32</v>
      </c>
      <c r="AD172" s="68" t="s">
        <v>31</v>
      </c>
      <c r="AE172" s="68" t="s">
        <v>186</v>
      </c>
      <c r="AF172" s="68" t="s">
        <v>184</v>
      </c>
      <c r="AG172">
        <f t="shared" si="59"/>
        <v>1</v>
      </c>
      <c r="AH172">
        <f t="shared" si="43"/>
        <v>1</v>
      </c>
      <c r="AI172">
        <f t="shared" si="44"/>
        <v>1</v>
      </c>
      <c r="AJ172">
        <f t="shared" si="45"/>
        <v>1</v>
      </c>
      <c r="AK172">
        <f t="shared" si="46"/>
        <v>0</v>
      </c>
      <c r="AL172">
        <f t="shared" si="47"/>
        <v>1</v>
      </c>
      <c r="AM172">
        <f t="shared" si="48"/>
        <v>0</v>
      </c>
      <c r="AN172">
        <f t="shared" si="49"/>
        <v>1</v>
      </c>
      <c r="AO172" s="69" t="str">
        <f t="shared" si="50"/>
        <v>Marruecos</v>
      </c>
      <c r="AP172" s="69" t="str">
        <f t="shared" si="51"/>
        <v>Costa de Marfil</v>
      </c>
      <c r="AQ172" s="69" t="str">
        <f t="shared" si="52"/>
        <v>Bosnia</v>
      </c>
      <c r="AR172" s="69" t="str">
        <f t="shared" si="53"/>
        <v>Paraguay</v>
      </c>
      <c r="AS172" s="69" t="e">
        <f t="shared" si="54"/>
        <v>#N/A</v>
      </c>
      <c r="AT172" s="69" t="str">
        <f t="shared" si="55"/>
        <v>Suecia</v>
      </c>
      <c r="AU172" s="69" t="e">
        <f t="shared" si="56"/>
        <v>#N/A</v>
      </c>
      <c r="AV172" s="69" t="str">
        <f t="shared" si="57"/>
        <v>Senegal</v>
      </c>
    </row>
    <row r="173" spans="24:48" x14ac:dyDescent="0.2">
      <c r="X173" s="64" t="str">
        <f t="shared" si="58"/>
        <v/>
      </c>
      <c r="Y173" s="68" t="s">
        <v>27</v>
      </c>
      <c r="Z173" s="68" t="s">
        <v>15</v>
      </c>
      <c r="AA173" s="68" t="s">
        <v>26</v>
      </c>
      <c r="AB173" s="68" t="s">
        <v>28</v>
      </c>
      <c r="AC173" s="68" t="s">
        <v>32</v>
      </c>
      <c r="AD173" s="68" t="s">
        <v>31</v>
      </c>
      <c r="AE173" s="68" t="s">
        <v>184</v>
      </c>
      <c r="AF173" s="68" t="s">
        <v>185</v>
      </c>
      <c r="AG173">
        <f t="shared" si="59"/>
        <v>1</v>
      </c>
      <c r="AH173">
        <f t="shared" si="43"/>
        <v>1</v>
      </c>
      <c r="AI173">
        <f t="shared" si="44"/>
        <v>1</v>
      </c>
      <c r="AJ173">
        <f t="shared" si="45"/>
        <v>1</v>
      </c>
      <c r="AK173">
        <f t="shared" si="46"/>
        <v>0</v>
      </c>
      <c r="AL173">
        <f t="shared" si="47"/>
        <v>1</v>
      </c>
      <c r="AM173">
        <f t="shared" si="48"/>
        <v>1</v>
      </c>
      <c r="AN173">
        <f t="shared" si="49"/>
        <v>0</v>
      </c>
      <c r="AO173" s="69" t="str">
        <f t="shared" si="50"/>
        <v>Marruecos</v>
      </c>
      <c r="AP173" s="69" t="str">
        <f t="shared" si="51"/>
        <v>Costa de Marfil</v>
      </c>
      <c r="AQ173" s="69" t="str">
        <f t="shared" si="52"/>
        <v>Bosnia</v>
      </c>
      <c r="AR173" s="69" t="str">
        <f t="shared" si="53"/>
        <v>Paraguay</v>
      </c>
      <c r="AS173" s="69" t="e">
        <f t="shared" si="54"/>
        <v>#N/A</v>
      </c>
      <c r="AT173" s="69" t="str">
        <f t="shared" si="55"/>
        <v>Suecia</v>
      </c>
      <c r="AU173" s="69" t="str">
        <f t="shared" si="56"/>
        <v>Senegal</v>
      </c>
      <c r="AV173" s="69" t="e">
        <f t="shared" si="57"/>
        <v>#N/A</v>
      </c>
    </row>
    <row r="174" spans="24:48" x14ac:dyDescent="0.2">
      <c r="X174" s="64" t="str">
        <f t="shared" si="58"/>
        <v/>
      </c>
      <c r="Y174" s="68" t="s">
        <v>27</v>
      </c>
      <c r="Z174" s="68" t="s">
        <v>13</v>
      </c>
      <c r="AA174" s="68" t="s">
        <v>26</v>
      </c>
      <c r="AB174" s="68" t="s">
        <v>28</v>
      </c>
      <c r="AC174" s="68" t="s">
        <v>32</v>
      </c>
      <c r="AD174" s="68" t="s">
        <v>31</v>
      </c>
      <c r="AE174" s="68" t="s">
        <v>15</v>
      </c>
      <c r="AF174" s="68" t="s">
        <v>184</v>
      </c>
      <c r="AG174">
        <f t="shared" si="59"/>
        <v>1</v>
      </c>
      <c r="AH174">
        <f t="shared" si="43"/>
        <v>0</v>
      </c>
      <c r="AI174">
        <f t="shared" si="44"/>
        <v>1</v>
      </c>
      <c r="AJ174">
        <f t="shared" si="45"/>
        <v>1</v>
      </c>
      <c r="AK174">
        <f t="shared" si="46"/>
        <v>0</v>
      </c>
      <c r="AL174">
        <f t="shared" si="47"/>
        <v>1</v>
      </c>
      <c r="AM174">
        <f t="shared" si="48"/>
        <v>1</v>
      </c>
      <c r="AN174">
        <f t="shared" si="49"/>
        <v>1</v>
      </c>
      <c r="AO174" s="69" t="str">
        <f t="shared" si="50"/>
        <v>Marruecos</v>
      </c>
      <c r="AP174" s="69" t="e">
        <f t="shared" si="51"/>
        <v>#N/A</v>
      </c>
      <c r="AQ174" s="69" t="str">
        <f t="shared" si="52"/>
        <v>Bosnia</v>
      </c>
      <c r="AR174" s="69" t="str">
        <f t="shared" si="53"/>
        <v>Paraguay</v>
      </c>
      <c r="AS174" s="69" t="e">
        <f t="shared" si="54"/>
        <v>#N/A</v>
      </c>
      <c r="AT174" s="69" t="str">
        <f t="shared" si="55"/>
        <v>Suecia</v>
      </c>
      <c r="AU174" s="69" t="str">
        <f t="shared" si="56"/>
        <v>Costa de Marfil</v>
      </c>
      <c r="AV174" s="69" t="str">
        <f t="shared" si="57"/>
        <v>Senegal</v>
      </c>
    </row>
    <row r="175" spans="24:48" x14ac:dyDescent="0.2">
      <c r="X175" s="64" t="str">
        <f t="shared" si="58"/>
        <v/>
      </c>
      <c r="Y175" s="68" t="s">
        <v>27</v>
      </c>
      <c r="Z175" s="68" t="s">
        <v>14</v>
      </c>
      <c r="AA175" s="68" t="s">
        <v>26</v>
      </c>
      <c r="AB175" s="68" t="s">
        <v>28</v>
      </c>
      <c r="AC175" s="68" t="s">
        <v>15</v>
      </c>
      <c r="AD175" s="68" t="s">
        <v>31</v>
      </c>
      <c r="AE175" s="68" t="s">
        <v>186</v>
      </c>
      <c r="AF175" s="68" t="s">
        <v>185</v>
      </c>
      <c r="AG175">
        <f t="shared" si="59"/>
        <v>1</v>
      </c>
      <c r="AH175">
        <f t="shared" si="43"/>
        <v>1</v>
      </c>
      <c r="AI175">
        <f t="shared" si="44"/>
        <v>1</v>
      </c>
      <c r="AJ175">
        <f t="shared" si="45"/>
        <v>1</v>
      </c>
      <c r="AK175">
        <f t="shared" si="46"/>
        <v>1</v>
      </c>
      <c r="AL175">
        <f t="shared" si="47"/>
        <v>1</v>
      </c>
      <c r="AM175">
        <f t="shared" si="48"/>
        <v>0</v>
      </c>
      <c r="AN175">
        <f t="shared" si="49"/>
        <v>0</v>
      </c>
      <c r="AO175" s="69" t="str">
        <f t="shared" si="50"/>
        <v>Marruecos</v>
      </c>
      <c r="AP175" s="69" t="str">
        <f t="shared" si="51"/>
        <v>Irán</v>
      </c>
      <c r="AQ175" s="69" t="str">
        <f t="shared" si="52"/>
        <v>Bosnia</v>
      </c>
      <c r="AR175" s="69" t="str">
        <f t="shared" si="53"/>
        <v>Paraguay</v>
      </c>
      <c r="AS175" s="69" t="str">
        <f t="shared" si="54"/>
        <v>Costa de Marfil</v>
      </c>
      <c r="AT175" s="69" t="str">
        <f t="shared" si="55"/>
        <v>Suecia</v>
      </c>
      <c r="AU175" s="69" t="e">
        <f t="shared" si="56"/>
        <v>#N/A</v>
      </c>
      <c r="AV175" s="69" t="e">
        <f t="shared" si="57"/>
        <v>#N/A</v>
      </c>
    </row>
    <row r="176" spans="24:48" x14ac:dyDescent="0.2">
      <c r="X176" s="64" t="str">
        <f t="shared" si="58"/>
        <v/>
      </c>
      <c r="Y176" s="68" t="s">
        <v>27</v>
      </c>
      <c r="Z176" s="68" t="s">
        <v>14</v>
      </c>
      <c r="AA176" s="68" t="s">
        <v>26</v>
      </c>
      <c r="AB176" s="68" t="s">
        <v>28</v>
      </c>
      <c r="AC176" s="68" t="s">
        <v>13</v>
      </c>
      <c r="AD176" s="68" t="s">
        <v>31</v>
      </c>
      <c r="AE176" s="68" t="s">
        <v>186</v>
      </c>
      <c r="AF176" s="68" t="s">
        <v>15</v>
      </c>
      <c r="AG176">
        <f t="shared" si="59"/>
        <v>1</v>
      </c>
      <c r="AH176">
        <f t="shared" si="43"/>
        <v>1</v>
      </c>
      <c r="AI176">
        <f t="shared" si="44"/>
        <v>1</v>
      </c>
      <c r="AJ176">
        <f t="shared" si="45"/>
        <v>1</v>
      </c>
      <c r="AK176">
        <f t="shared" si="46"/>
        <v>0</v>
      </c>
      <c r="AL176">
        <f t="shared" si="47"/>
        <v>1</v>
      </c>
      <c r="AM176">
        <f t="shared" si="48"/>
        <v>0</v>
      </c>
      <c r="AN176">
        <f t="shared" si="49"/>
        <v>1</v>
      </c>
      <c r="AO176" s="69" t="str">
        <f t="shared" si="50"/>
        <v>Marruecos</v>
      </c>
      <c r="AP176" s="69" t="str">
        <f t="shared" si="51"/>
        <v>Irán</v>
      </c>
      <c r="AQ176" s="69" t="str">
        <f t="shared" si="52"/>
        <v>Bosnia</v>
      </c>
      <c r="AR176" s="69" t="str">
        <f t="shared" si="53"/>
        <v>Paraguay</v>
      </c>
      <c r="AS176" s="69" t="e">
        <f t="shared" si="54"/>
        <v>#N/A</v>
      </c>
      <c r="AT176" s="69" t="str">
        <f t="shared" si="55"/>
        <v>Suecia</v>
      </c>
      <c r="AU176" s="69" t="e">
        <f t="shared" si="56"/>
        <v>#N/A</v>
      </c>
      <c r="AV176" s="69" t="str">
        <f t="shared" si="57"/>
        <v>Costa de Marfil</v>
      </c>
    </row>
    <row r="177" spans="24:48" x14ac:dyDescent="0.2">
      <c r="X177" s="64" t="str">
        <f t="shared" si="58"/>
        <v/>
      </c>
      <c r="Y177" s="68" t="s">
        <v>27</v>
      </c>
      <c r="Z177" s="68" t="s">
        <v>14</v>
      </c>
      <c r="AA177" s="68" t="s">
        <v>26</v>
      </c>
      <c r="AB177" s="68" t="s">
        <v>28</v>
      </c>
      <c r="AC177" s="68" t="s">
        <v>13</v>
      </c>
      <c r="AD177" s="68" t="s">
        <v>31</v>
      </c>
      <c r="AE177" s="68" t="s">
        <v>15</v>
      </c>
      <c r="AF177" s="68" t="s">
        <v>185</v>
      </c>
      <c r="AG177">
        <f t="shared" si="59"/>
        <v>1</v>
      </c>
      <c r="AH177">
        <f t="shared" si="43"/>
        <v>1</v>
      </c>
      <c r="AI177">
        <f t="shared" si="44"/>
        <v>1</v>
      </c>
      <c r="AJ177">
        <f t="shared" si="45"/>
        <v>1</v>
      </c>
      <c r="AK177">
        <f t="shared" si="46"/>
        <v>0</v>
      </c>
      <c r="AL177">
        <f t="shared" si="47"/>
        <v>1</v>
      </c>
      <c r="AM177">
        <f t="shared" si="48"/>
        <v>1</v>
      </c>
      <c r="AN177">
        <f t="shared" si="49"/>
        <v>0</v>
      </c>
      <c r="AO177" s="69" t="str">
        <f t="shared" si="50"/>
        <v>Marruecos</v>
      </c>
      <c r="AP177" s="69" t="str">
        <f t="shared" si="51"/>
        <v>Irán</v>
      </c>
      <c r="AQ177" s="69" t="str">
        <f t="shared" si="52"/>
        <v>Bosnia</v>
      </c>
      <c r="AR177" s="69" t="str">
        <f t="shared" si="53"/>
        <v>Paraguay</v>
      </c>
      <c r="AS177" s="69" t="e">
        <f t="shared" si="54"/>
        <v>#N/A</v>
      </c>
      <c r="AT177" s="69" t="str">
        <f t="shared" si="55"/>
        <v>Suecia</v>
      </c>
      <c r="AU177" s="69" t="str">
        <f t="shared" si="56"/>
        <v>Costa de Marfil</v>
      </c>
      <c r="AV177" s="69" t="e">
        <f t="shared" si="57"/>
        <v>#N/A</v>
      </c>
    </row>
    <row r="178" spans="24:48" x14ac:dyDescent="0.2">
      <c r="X178" s="64" t="str">
        <f t="shared" si="58"/>
        <v/>
      </c>
      <c r="Y178" s="68" t="s">
        <v>27</v>
      </c>
      <c r="Z178" s="68" t="s">
        <v>14</v>
      </c>
      <c r="AA178" s="68" t="s">
        <v>26</v>
      </c>
      <c r="AB178" s="68" t="s">
        <v>28</v>
      </c>
      <c r="AC178" s="68" t="s">
        <v>15</v>
      </c>
      <c r="AD178" s="68" t="s">
        <v>31</v>
      </c>
      <c r="AE178" s="68" t="s">
        <v>186</v>
      </c>
      <c r="AF178" s="68" t="s">
        <v>184</v>
      </c>
      <c r="AG178">
        <f t="shared" si="59"/>
        <v>1</v>
      </c>
      <c r="AH178">
        <f t="shared" si="43"/>
        <v>1</v>
      </c>
      <c r="AI178">
        <f t="shared" si="44"/>
        <v>1</v>
      </c>
      <c r="AJ178">
        <f t="shared" si="45"/>
        <v>1</v>
      </c>
      <c r="AK178">
        <f t="shared" si="46"/>
        <v>1</v>
      </c>
      <c r="AL178">
        <f t="shared" si="47"/>
        <v>1</v>
      </c>
      <c r="AM178">
        <f t="shared" si="48"/>
        <v>0</v>
      </c>
      <c r="AN178">
        <f t="shared" si="49"/>
        <v>1</v>
      </c>
      <c r="AO178" s="69" t="str">
        <f t="shared" si="50"/>
        <v>Marruecos</v>
      </c>
      <c r="AP178" s="69" t="str">
        <f t="shared" si="51"/>
        <v>Irán</v>
      </c>
      <c r="AQ178" s="69" t="str">
        <f t="shared" si="52"/>
        <v>Bosnia</v>
      </c>
      <c r="AR178" s="69" t="str">
        <f t="shared" si="53"/>
        <v>Paraguay</v>
      </c>
      <c r="AS178" s="69" t="str">
        <f t="shared" si="54"/>
        <v>Costa de Marfil</v>
      </c>
      <c r="AT178" s="69" t="str">
        <f t="shared" si="55"/>
        <v>Suecia</v>
      </c>
      <c r="AU178" s="69" t="e">
        <f t="shared" si="56"/>
        <v>#N/A</v>
      </c>
      <c r="AV178" s="69" t="str">
        <f t="shared" si="57"/>
        <v>Senegal</v>
      </c>
    </row>
    <row r="179" spans="24:48" x14ac:dyDescent="0.2">
      <c r="X179" s="64" t="str">
        <f t="shared" si="58"/>
        <v/>
      </c>
      <c r="Y179" s="68" t="s">
        <v>27</v>
      </c>
      <c r="Z179" s="68" t="s">
        <v>14</v>
      </c>
      <c r="AA179" s="68" t="s">
        <v>26</v>
      </c>
      <c r="AB179" s="68" t="s">
        <v>28</v>
      </c>
      <c r="AC179" s="68" t="s">
        <v>15</v>
      </c>
      <c r="AD179" s="68" t="s">
        <v>31</v>
      </c>
      <c r="AE179" s="68" t="s">
        <v>184</v>
      </c>
      <c r="AF179" s="68" t="s">
        <v>185</v>
      </c>
      <c r="AG179">
        <f t="shared" si="59"/>
        <v>1</v>
      </c>
      <c r="AH179">
        <f t="shared" si="43"/>
        <v>1</v>
      </c>
      <c r="AI179">
        <f t="shared" si="44"/>
        <v>1</v>
      </c>
      <c r="AJ179">
        <f t="shared" si="45"/>
        <v>1</v>
      </c>
      <c r="AK179">
        <f t="shared" si="46"/>
        <v>1</v>
      </c>
      <c r="AL179">
        <f t="shared" si="47"/>
        <v>1</v>
      </c>
      <c r="AM179">
        <f t="shared" si="48"/>
        <v>1</v>
      </c>
      <c r="AN179">
        <f t="shared" si="49"/>
        <v>0</v>
      </c>
      <c r="AO179" s="69" t="str">
        <f t="shared" si="50"/>
        <v>Marruecos</v>
      </c>
      <c r="AP179" s="69" t="str">
        <f t="shared" si="51"/>
        <v>Irán</v>
      </c>
      <c r="AQ179" s="69" t="str">
        <f t="shared" si="52"/>
        <v>Bosnia</v>
      </c>
      <c r="AR179" s="69" t="str">
        <f t="shared" si="53"/>
        <v>Paraguay</v>
      </c>
      <c r="AS179" s="69" t="str">
        <f t="shared" si="54"/>
        <v>Costa de Marfil</v>
      </c>
      <c r="AT179" s="69" t="str">
        <f t="shared" si="55"/>
        <v>Suecia</v>
      </c>
      <c r="AU179" s="69" t="str">
        <f t="shared" si="56"/>
        <v>Senegal</v>
      </c>
      <c r="AV179" s="69" t="e">
        <f t="shared" si="57"/>
        <v>#N/A</v>
      </c>
    </row>
    <row r="180" spans="24:48" x14ac:dyDescent="0.2">
      <c r="X180" s="64" t="str">
        <f t="shared" si="58"/>
        <v/>
      </c>
      <c r="Y180" s="68" t="s">
        <v>27</v>
      </c>
      <c r="Z180" s="68" t="s">
        <v>14</v>
      </c>
      <c r="AA180" s="68" t="s">
        <v>26</v>
      </c>
      <c r="AB180" s="68" t="s">
        <v>28</v>
      </c>
      <c r="AC180" s="68" t="s">
        <v>13</v>
      </c>
      <c r="AD180" s="68" t="s">
        <v>31</v>
      </c>
      <c r="AE180" s="68" t="s">
        <v>15</v>
      </c>
      <c r="AF180" s="68" t="s">
        <v>184</v>
      </c>
      <c r="AG180">
        <f t="shared" si="59"/>
        <v>1</v>
      </c>
      <c r="AH180">
        <f t="shared" si="43"/>
        <v>1</v>
      </c>
      <c r="AI180">
        <f t="shared" si="44"/>
        <v>1</v>
      </c>
      <c r="AJ180">
        <f t="shared" si="45"/>
        <v>1</v>
      </c>
      <c r="AK180">
        <f t="shared" si="46"/>
        <v>0</v>
      </c>
      <c r="AL180">
        <f t="shared" si="47"/>
        <v>1</v>
      </c>
      <c r="AM180">
        <f t="shared" si="48"/>
        <v>1</v>
      </c>
      <c r="AN180">
        <f t="shared" si="49"/>
        <v>1</v>
      </c>
      <c r="AO180" s="69" t="str">
        <f t="shared" si="50"/>
        <v>Marruecos</v>
      </c>
      <c r="AP180" s="69" t="str">
        <f t="shared" si="51"/>
        <v>Irán</v>
      </c>
      <c r="AQ180" s="69" t="str">
        <f t="shared" si="52"/>
        <v>Bosnia</v>
      </c>
      <c r="AR180" s="69" t="str">
        <f t="shared" si="53"/>
        <v>Paraguay</v>
      </c>
      <c r="AS180" s="69" t="e">
        <f t="shared" si="54"/>
        <v>#N/A</v>
      </c>
      <c r="AT180" s="69" t="str">
        <f t="shared" si="55"/>
        <v>Suecia</v>
      </c>
      <c r="AU180" s="69" t="str">
        <f t="shared" si="56"/>
        <v>Costa de Marfil</v>
      </c>
      <c r="AV180" s="69" t="str">
        <f t="shared" si="57"/>
        <v>Senegal</v>
      </c>
    </row>
    <row r="181" spans="24:48" x14ac:dyDescent="0.2">
      <c r="X181" s="64" t="str">
        <f t="shared" si="58"/>
        <v/>
      </c>
      <c r="Y181" s="68" t="s">
        <v>27</v>
      </c>
      <c r="Z181" s="68" t="s">
        <v>14</v>
      </c>
      <c r="AA181" s="68" t="s">
        <v>26</v>
      </c>
      <c r="AB181" s="68" t="s">
        <v>28</v>
      </c>
      <c r="AC181" s="68" t="s">
        <v>32</v>
      </c>
      <c r="AD181" s="68" t="s">
        <v>31</v>
      </c>
      <c r="AE181" s="68" t="s">
        <v>186</v>
      </c>
      <c r="AF181" s="68" t="s">
        <v>15</v>
      </c>
      <c r="AG181">
        <f t="shared" si="59"/>
        <v>1</v>
      </c>
      <c r="AH181">
        <f t="shared" si="43"/>
        <v>1</v>
      </c>
      <c r="AI181">
        <f t="shared" si="44"/>
        <v>1</v>
      </c>
      <c r="AJ181">
        <f t="shared" si="45"/>
        <v>1</v>
      </c>
      <c r="AK181">
        <f t="shared" si="46"/>
        <v>0</v>
      </c>
      <c r="AL181">
        <f t="shared" si="47"/>
        <v>1</v>
      </c>
      <c r="AM181">
        <f t="shared" si="48"/>
        <v>0</v>
      </c>
      <c r="AN181">
        <f t="shared" si="49"/>
        <v>1</v>
      </c>
      <c r="AO181" s="69" t="str">
        <f t="shared" si="50"/>
        <v>Marruecos</v>
      </c>
      <c r="AP181" s="69" t="str">
        <f t="shared" si="51"/>
        <v>Irán</v>
      </c>
      <c r="AQ181" s="69" t="str">
        <f t="shared" si="52"/>
        <v>Bosnia</v>
      </c>
      <c r="AR181" s="69" t="str">
        <f t="shared" si="53"/>
        <v>Paraguay</v>
      </c>
      <c r="AS181" s="69" t="e">
        <f t="shared" si="54"/>
        <v>#N/A</v>
      </c>
      <c r="AT181" s="69" t="str">
        <f t="shared" si="55"/>
        <v>Suecia</v>
      </c>
      <c r="AU181" s="69" t="e">
        <f t="shared" si="56"/>
        <v>#N/A</v>
      </c>
      <c r="AV181" s="69" t="str">
        <f t="shared" si="57"/>
        <v>Costa de Marfil</v>
      </c>
    </row>
    <row r="182" spans="24:48" x14ac:dyDescent="0.2">
      <c r="X182" s="64" t="str">
        <f t="shared" si="58"/>
        <v/>
      </c>
      <c r="Y182" s="68" t="s">
        <v>27</v>
      </c>
      <c r="Z182" s="68" t="s">
        <v>14</v>
      </c>
      <c r="AA182" s="68" t="s">
        <v>26</v>
      </c>
      <c r="AB182" s="68" t="s">
        <v>28</v>
      </c>
      <c r="AC182" s="68" t="s">
        <v>32</v>
      </c>
      <c r="AD182" s="68" t="s">
        <v>31</v>
      </c>
      <c r="AE182" s="68" t="s">
        <v>15</v>
      </c>
      <c r="AF182" s="68" t="s">
        <v>185</v>
      </c>
      <c r="AG182">
        <f t="shared" si="59"/>
        <v>1</v>
      </c>
      <c r="AH182">
        <f t="shared" si="43"/>
        <v>1</v>
      </c>
      <c r="AI182">
        <f t="shared" si="44"/>
        <v>1</v>
      </c>
      <c r="AJ182">
        <f t="shared" si="45"/>
        <v>1</v>
      </c>
      <c r="AK182">
        <f t="shared" si="46"/>
        <v>0</v>
      </c>
      <c r="AL182">
        <f t="shared" si="47"/>
        <v>1</v>
      </c>
      <c r="AM182">
        <f t="shared" si="48"/>
        <v>1</v>
      </c>
      <c r="AN182">
        <f t="shared" si="49"/>
        <v>0</v>
      </c>
      <c r="AO182" s="69" t="str">
        <f t="shared" si="50"/>
        <v>Marruecos</v>
      </c>
      <c r="AP182" s="69" t="str">
        <f t="shared" si="51"/>
        <v>Irán</v>
      </c>
      <c r="AQ182" s="69" t="str">
        <f t="shared" si="52"/>
        <v>Bosnia</v>
      </c>
      <c r="AR182" s="69" t="str">
        <f t="shared" si="53"/>
        <v>Paraguay</v>
      </c>
      <c r="AS182" s="69" t="e">
        <f t="shared" si="54"/>
        <v>#N/A</v>
      </c>
      <c r="AT182" s="69" t="str">
        <f t="shared" si="55"/>
        <v>Suecia</v>
      </c>
      <c r="AU182" s="69" t="str">
        <f t="shared" si="56"/>
        <v>Costa de Marfil</v>
      </c>
      <c r="AV182" s="69" t="e">
        <f t="shared" si="57"/>
        <v>#N/A</v>
      </c>
    </row>
    <row r="183" spans="24:48" x14ac:dyDescent="0.2">
      <c r="X183" s="64" t="str">
        <f t="shared" si="58"/>
        <v/>
      </c>
      <c r="Y183" s="68" t="s">
        <v>32</v>
      </c>
      <c r="Z183" s="68" t="s">
        <v>14</v>
      </c>
      <c r="AA183" s="68" t="s">
        <v>26</v>
      </c>
      <c r="AB183" s="68" t="s">
        <v>27</v>
      </c>
      <c r="AC183" s="68" t="s">
        <v>13</v>
      </c>
      <c r="AD183" s="68" t="s">
        <v>31</v>
      </c>
      <c r="AE183" s="68" t="s">
        <v>28</v>
      </c>
      <c r="AF183" s="68" t="s">
        <v>15</v>
      </c>
      <c r="AG183">
        <f t="shared" si="59"/>
        <v>0</v>
      </c>
      <c r="AH183">
        <f t="shared" si="43"/>
        <v>1</v>
      </c>
      <c r="AI183">
        <f t="shared" si="44"/>
        <v>1</v>
      </c>
      <c r="AJ183">
        <f t="shared" si="45"/>
        <v>1</v>
      </c>
      <c r="AK183">
        <f t="shared" si="46"/>
        <v>0</v>
      </c>
      <c r="AL183">
        <f t="shared" si="47"/>
        <v>1</v>
      </c>
      <c r="AM183">
        <f t="shared" si="48"/>
        <v>1</v>
      </c>
      <c r="AN183">
        <f t="shared" si="49"/>
        <v>1</v>
      </c>
      <c r="AO183" s="69" t="e">
        <f t="shared" si="50"/>
        <v>#N/A</v>
      </c>
      <c r="AP183" s="69" t="str">
        <f t="shared" si="51"/>
        <v>Irán</v>
      </c>
      <c r="AQ183" s="69" t="str">
        <f t="shared" si="52"/>
        <v>Bosnia</v>
      </c>
      <c r="AR183" s="69" t="str">
        <f t="shared" si="53"/>
        <v>Marruecos</v>
      </c>
      <c r="AS183" s="69" t="e">
        <f t="shared" si="54"/>
        <v>#N/A</v>
      </c>
      <c r="AT183" s="69" t="str">
        <f t="shared" si="55"/>
        <v>Suecia</v>
      </c>
      <c r="AU183" s="69" t="str">
        <f t="shared" si="56"/>
        <v>Paraguay</v>
      </c>
      <c r="AV183" s="69" t="str">
        <f t="shared" si="57"/>
        <v>Costa de Marfil</v>
      </c>
    </row>
    <row r="184" spans="24:48" x14ac:dyDescent="0.2">
      <c r="X184" s="64" t="str">
        <f t="shared" si="58"/>
        <v/>
      </c>
      <c r="Y184" s="68" t="s">
        <v>27</v>
      </c>
      <c r="Z184" s="68" t="s">
        <v>14</v>
      </c>
      <c r="AA184" s="68" t="s">
        <v>26</v>
      </c>
      <c r="AB184" s="68" t="s">
        <v>28</v>
      </c>
      <c r="AC184" s="68" t="s">
        <v>32</v>
      </c>
      <c r="AD184" s="68" t="s">
        <v>31</v>
      </c>
      <c r="AE184" s="68" t="s">
        <v>15</v>
      </c>
      <c r="AF184" s="68" t="s">
        <v>184</v>
      </c>
      <c r="AG184">
        <f t="shared" si="59"/>
        <v>1</v>
      </c>
      <c r="AH184">
        <f t="shared" si="43"/>
        <v>1</v>
      </c>
      <c r="AI184">
        <f t="shared" si="44"/>
        <v>1</v>
      </c>
      <c r="AJ184">
        <f t="shared" si="45"/>
        <v>1</v>
      </c>
      <c r="AK184">
        <f t="shared" si="46"/>
        <v>0</v>
      </c>
      <c r="AL184">
        <f t="shared" si="47"/>
        <v>1</v>
      </c>
      <c r="AM184">
        <f t="shared" si="48"/>
        <v>1</v>
      </c>
      <c r="AN184">
        <f t="shared" si="49"/>
        <v>1</v>
      </c>
      <c r="AO184" s="69" t="str">
        <f t="shared" si="50"/>
        <v>Marruecos</v>
      </c>
      <c r="AP184" s="69" t="str">
        <f t="shared" si="51"/>
        <v>Irán</v>
      </c>
      <c r="AQ184" s="69" t="str">
        <f t="shared" si="52"/>
        <v>Bosnia</v>
      </c>
      <c r="AR184" s="69" t="str">
        <f t="shared" si="53"/>
        <v>Paraguay</v>
      </c>
      <c r="AS184" s="69" t="e">
        <f t="shared" si="54"/>
        <v>#N/A</v>
      </c>
      <c r="AT184" s="69" t="str">
        <f t="shared" si="55"/>
        <v>Suecia</v>
      </c>
      <c r="AU184" s="69" t="str">
        <f t="shared" si="56"/>
        <v>Costa de Marfil</v>
      </c>
      <c r="AV184" s="69" t="str">
        <f t="shared" si="57"/>
        <v>Senegal</v>
      </c>
    </row>
    <row r="185" spans="24:48" x14ac:dyDescent="0.2">
      <c r="X185" s="64" t="str">
        <f t="shared" si="58"/>
        <v/>
      </c>
      <c r="Y185" s="68" t="s">
        <v>32</v>
      </c>
      <c r="Z185" s="68" t="s">
        <v>13</v>
      </c>
      <c r="AA185" s="68" t="s">
        <v>184</v>
      </c>
      <c r="AB185" s="68" t="s">
        <v>31</v>
      </c>
      <c r="AC185" s="68" t="s">
        <v>25</v>
      </c>
      <c r="AD185" s="68" t="s">
        <v>14</v>
      </c>
      <c r="AE185" s="68" t="s">
        <v>186</v>
      </c>
      <c r="AF185" s="68" t="s">
        <v>185</v>
      </c>
      <c r="AG185">
        <f t="shared" si="59"/>
        <v>0</v>
      </c>
      <c r="AH185">
        <f t="shared" si="43"/>
        <v>0</v>
      </c>
      <c r="AI185">
        <f t="shared" si="44"/>
        <v>1</v>
      </c>
      <c r="AJ185">
        <f t="shared" si="45"/>
        <v>1</v>
      </c>
      <c r="AK185">
        <f t="shared" si="46"/>
        <v>1</v>
      </c>
      <c r="AL185">
        <f t="shared" si="47"/>
        <v>1</v>
      </c>
      <c r="AM185">
        <f t="shared" si="48"/>
        <v>0</v>
      </c>
      <c r="AN185">
        <f t="shared" si="49"/>
        <v>0</v>
      </c>
      <c r="AO185" s="69" t="e">
        <f t="shared" si="50"/>
        <v>#N/A</v>
      </c>
      <c r="AP185" s="69" t="e">
        <f t="shared" si="51"/>
        <v>#N/A</v>
      </c>
      <c r="AQ185" s="69" t="str">
        <f t="shared" si="52"/>
        <v>Senegal</v>
      </c>
      <c r="AR185" s="69" t="str">
        <f t="shared" si="53"/>
        <v>Suecia</v>
      </c>
      <c r="AS185" s="69" t="str">
        <f t="shared" si="54"/>
        <v>Korea</v>
      </c>
      <c r="AT185" s="69" t="str">
        <f t="shared" si="55"/>
        <v>Irán</v>
      </c>
      <c r="AU185" s="69" t="e">
        <f t="shared" si="56"/>
        <v>#N/A</v>
      </c>
      <c r="AV185" s="69" t="e">
        <f t="shared" si="57"/>
        <v>#N/A</v>
      </c>
    </row>
    <row r="186" spans="24:48" x14ac:dyDescent="0.2">
      <c r="X186" s="64" t="str">
        <f t="shared" si="58"/>
        <v/>
      </c>
      <c r="Y186" s="68" t="s">
        <v>15</v>
      </c>
      <c r="Z186" s="68" t="s">
        <v>13</v>
      </c>
      <c r="AA186" s="68" t="s">
        <v>184</v>
      </c>
      <c r="AB186" s="68" t="s">
        <v>25</v>
      </c>
      <c r="AC186" s="68" t="s">
        <v>32</v>
      </c>
      <c r="AD186" s="68" t="s">
        <v>14</v>
      </c>
      <c r="AE186" s="68" t="s">
        <v>186</v>
      </c>
      <c r="AF186" s="68" t="s">
        <v>185</v>
      </c>
      <c r="AG186">
        <f t="shared" si="59"/>
        <v>1</v>
      </c>
      <c r="AH186">
        <f t="shared" si="43"/>
        <v>0</v>
      </c>
      <c r="AI186">
        <f t="shared" si="44"/>
        <v>1</v>
      </c>
      <c r="AJ186">
        <f t="shared" si="45"/>
        <v>1</v>
      </c>
      <c r="AK186">
        <f t="shared" si="46"/>
        <v>0</v>
      </c>
      <c r="AL186">
        <f t="shared" si="47"/>
        <v>1</v>
      </c>
      <c r="AM186">
        <f t="shared" si="48"/>
        <v>0</v>
      </c>
      <c r="AN186">
        <f t="shared" si="49"/>
        <v>0</v>
      </c>
      <c r="AO186" s="69" t="str">
        <f t="shared" si="50"/>
        <v>Costa de Marfil</v>
      </c>
      <c r="AP186" s="69" t="e">
        <f t="shared" si="51"/>
        <v>#N/A</v>
      </c>
      <c r="AQ186" s="69" t="str">
        <f t="shared" si="52"/>
        <v>Senegal</v>
      </c>
      <c r="AR186" s="69" t="str">
        <f t="shared" si="53"/>
        <v>Korea</v>
      </c>
      <c r="AS186" s="69" t="e">
        <f t="shared" si="54"/>
        <v>#N/A</v>
      </c>
      <c r="AT186" s="69" t="str">
        <f t="shared" si="55"/>
        <v>Irán</v>
      </c>
      <c r="AU186" s="69" t="e">
        <f t="shared" si="56"/>
        <v>#N/A</v>
      </c>
      <c r="AV186" s="69" t="e">
        <f t="shared" si="57"/>
        <v>#N/A</v>
      </c>
    </row>
    <row r="187" spans="24:48" x14ac:dyDescent="0.2">
      <c r="X187" s="64" t="str">
        <f t="shared" si="58"/>
        <v/>
      </c>
      <c r="Y187" s="68" t="s">
        <v>15</v>
      </c>
      <c r="Z187" s="68" t="s">
        <v>13</v>
      </c>
      <c r="AA187" s="68" t="s">
        <v>184</v>
      </c>
      <c r="AB187" s="68" t="s">
        <v>31</v>
      </c>
      <c r="AC187" s="68" t="s">
        <v>25</v>
      </c>
      <c r="AD187" s="68" t="s">
        <v>32</v>
      </c>
      <c r="AE187" s="68" t="s">
        <v>186</v>
      </c>
      <c r="AF187" s="68" t="s">
        <v>185</v>
      </c>
      <c r="AG187">
        <f t="shared" si="59"/>
        <v>1</v>
      </c>
      <c r="AH187">
        <f t="shared" si="43"/>
        <v>0</v>
      </c>
      <c r="AI187">
        <f t="shared" si="44"/>
        <v>1</v>
      </c>
      <c r="AJ187">
        <f t="shared" si="45"/>
        <v>1</v>
      </c>
      <c r="AK187">
        <f t="shared" si="46"/>
        <v>1</v>
      </c>
      <c r="AL187">
        <f t="shared" si="47"/>
        <v>0</v>
      </c>
      <c r="AM187">
        <f t="shared" si="48"/>
        <v>0</v>
      </c>
      <c r="AN187">
        <f t="shared" si="49"/>
        <v>0</v>
      </c>
      <c r="AO187" s="69" t="str">
        <f t="shared" si="50"/>
        <v>Costa de Marfil</v>
      </c>
      <c r="AP187" s="69" t="e">
        <f t="shared" si="51"/>
        <v>#N/A</v>
      </c>
      <c r="AQ187" s="69" t="str">
        <f t="shared" si="52"/>
        <v>Senegal</v>
      </c>
      <c r="AR187" s="69" t="str">
        <f t="shared" si="53"/>
        <v>Suecia</v>
      </c>
      <c r="AS187" s="69" t="str">
        <f t="shared" si="54"/>
        <v>Korea</v>
      </c>
      <c r="AT187" s="69" t="e">
        <f t="shared" si="55"/>
        <v>#N/A</v>
      </c>
      <c r="AU187" s="69" t="e">
        <f t="shared" si="56"/>
        <v>#N/A</v>
      </c>
      <c r="AV187" s="69" t="e">
        <f t="shared" si="57"/>
        <v>#N/A</v>
      </c>
    </row>
    <row r="188" spans="24:48" x14ac:dyDescent="0.2">
      <c r="X188" s="64" t="str">
        <f t="shared" si="58"/>
        <v/>
      </c>
      <c r="Y188" s="68" t="s">
        <v>15</v>
      </c>
      <c r="Z188" s="68" t="s">
        <v>13</v>
      </c>
      <c r="AA188" s="68" t="s">
        <v>184</v>
      </c>
      <c r="AB188" s="68" t="s">
        <v>31</v>
      </c>
      <c r="AC188" s="68" t="s">
        <v>25</v>
      </c>
      <c r="AD188" s="68" t="s">
        <v>14</v>
      </c>
      <c r="AE188" s="68" t="s">
        <v>186</v>
      </c>
      <c r="AF188" s="68" t="s">
        <v>185</v>
      </c>
      <c r="AG188">
        <f t="shared" si="59"/>
        <v>1</v>
      </c>
      <c r="AH188">
        <f t="shared" si="43"/>
        <v>0</v>
      </c>
      <c r="AI188">
        <f t="shared" si="44"/>
        <v>1</v>
      </c>
      <c r="AJ188">
        <f t="shared" si="45"/>
        <v>1</v>
      </c>
      <c r="AK188">
        <f t="shared" si="46"/>
        <v>1</v>
      </c>
      <c r="AL188">
        <f t="shared" si="47"/>
        <v>1</v>
      </c>
      <c r="AM188">
        <f t="shared" si="48"/>
        <v>0</v>
      </c>
      <c r="AN188">
        <f t="shared" si="49"/>
        <v>0</v>
      </c>
      <c r="AO188" s="69" t="str">
        <f t="shared" si="50"/>
        <v>Costa de Marfil</v>
      </c>
      <c r="AP188" s="69" t="e">
        <f t="shared" si="51"/>
        <v>#N/A</v>
      </c>
      <c r="AQ188" s="69" t="str">
        <f t="shared" si="52"/>
        <v>Senegal</v>
      </c>
      <c r="AR188" s="69" t="str">
        <f t="shared" si="53"/>
        <v>Suecia</v>
      </c>
      <c r="AS188" s="69" t="str">
        <f t="shared" si="54"/>
        <v>Korea</v>
      </c>
      <c r="AT188" s="69" t="str">
        <f t="shared" si="55"/>
        <v>Irán</v>
      </c>
      <c r="AU188" s="69" t="e">
        <f t="shared" si="56"/>
        <v>#N/A</v>
      </c>
      <c r="AV188" s="69" t="e">
        <f t="shared" si="57"/>
        <v>#N/A</v>
      </c>
    </row>
    <row r="189" spans="24:48" x14ac:dyDescent="0.2">
      <c r="X189" s="64" t="str">
        <f t="shared" si="58"/>
        <v/>
      </c>
      <c r="Y189" s="68" t="s">
        <v>15</v>
      </c>
      <c r="Z189" s="68" t="s">
        <v>14</v>
      </c>
      <c r="AA189" s="68" t="s">
        <v>13</v>
      </c>
      <c r="AB189" s="68" t="s">
        <v>31</v>
      </c>
      <c r="AC189" s="68" t="s">
        <v>25</v>
      </c>
      <c r="AD189" s="68" t="s">
        <v>32</v>
      </c>
      <c r="AE189" s="68" t="s">
        <v>186</v>
      </c>
      <c r="AF189" s="68" t="s">
        <v>185</v>
      </c>
      <c r="AG189">
        <f t="shared" si="59"/>
        <v>1</v>
      </c>
      <c r="AH189">
        <f t="shared" si="43"/>
        <v>1</v>
      </c>
      <c r="AI189">
        <f t="shared" si="44"/>
        <v>0</v>
      </c>
      <c r="AJ189">
        <f t="shared" si="45"/>
        <v>1</v>
      </c>
      <c r="AK189">
        <f t="shared" si="46"/>
        <v>1</v>
      </c>
      <c r="AL189">
        <f t="shared" si="47"/>
        <v>0</v>
      </c>
      <c r="AM189">
        <f t="shared" si="48"/>
        <v>0</v>
      </c>
      <c r="AN189">
        <f t="shared" si="49"/>
        <v>0</v>
      </c>
      <c r="AO189" s="69" t="str">
        <f t="shared" si="50"/>
        <v>Costa de Marfil</v>
      </c>
      <c r="AP189" s="69" t="str">
        <f t="shared" si="51"/>
        <v>Irán</v>
      </c>
      <c r="AQ189" s="69" t="e">
        <f t="shared" si="52"/>
        <v>#N/A</v>
      </c>
      <c r="AR189" s="69" t="str">
        <f t="shared" si="53"/>
        <v>Suecia</v>
      </c>
      <c r="AS189" s="69" t="str">
        <f t="shared" si="54"/>
        <v>Korea</v>
      </c>
      <c r="AT189" s="69" t="e">
        <f t="shared" si="55"/>
        <v>#N/A</v>
      </c>
      <c r="AU189" s="69" t="e">
        <f t="shared" si="56"/>
        <v>#N/A</v>
      </c>
      <c r="AV189" s="69" t="e">
        <f t="shared" si="57"/>
        <v>#N/A</v>
      </c>
    </row>
    <row r="190" spans="24:48" x14ac:dyDescent="0.2">
      <c r="X190" s="64" t="str">
        <f t="shared" si="58"/>
        <v/>
      </c>
      <c r="Y190" s="68" t="s">
        <v>15</v>
      </c>
      <c r="Z190" s="68" t="s">
        <v>14</v>
      </c>
      <c r="AA190" s="68" t="s">
        <v>184</v>
      </c>
      <c r="AB190" s="68" t="s">
        <v>31</v>
      </c>
      <c r="AC190" s="68" t="s">
        <v>25</v>
      </c>
      <c r="AD190" s="68" t="s">
        <v>32</v>
      </c>
      <c r="AE190" s="68" t="s">
        <v>186</v>
      </c>
      <c r="AF190" s="68" t="s">
        <v>185</v>
      </c>
      <c r="AG190">
        <f t="shared" si="59"/>
        <v>1</v>
      </c>
      <c r="AH190">
        <f t="shared" si="43"/>
        <v>1</v>
      </c>
      <c r="AI190">
        <f t="shared" si="44"/>
        <v>1</v>
      </c>
      <c r="AJ190">
        <f t="shared" si="45"/>
        <v>1</v>
      </c>
      <c r="AK190">
        <f t="shared" si="46"/>
        <v>1</v>
      </c>
      <c r="AL190">
        <f t="shared" si="47"/>
        <v>0</v>
      </c>
      <c r="AM190">
        <f t="shared" si="48"/>
        <v>0</v>
      </c>
      <c r="AN190">
        <f t="shared" si="49"/>
        <v>0</v>
      </c>
      <c r="AO190" s="69" t="str">
        <f t="shared" si="50"/>
        <v>Costa de Marfil</v>
      </c>
      <c r="AP190" s="69" t="str">
        <f t="shared" si="51"/>
        <v>Irán</v>
      </c>
      <c r="AQ190" s="69" t="str">
        <f t="shared" si="52"/>
        <v>Senegal</v>
      </c>
      <c r="AR190" s="69" t="str">
        <f t="shared" si="53"/>
        <v>Suecia</v>
      </c>
      <c r="AS190" s="69" t="str">
        <f t="shared" si="54"/>
        <v>Korea</v>
      </c>
      <c r="AT190" s="69" t="e">
        <f t="shared" si="55"/>
        <v>#N/A</v>
      </c>
      <c r="AU190" s="69" t="e">
        <f t="shared" si="56"/>
        <v>#N/A</v>
      </c>
      <c r="AV190" s="69" t="e">
        <f t="shared" si="57"/>
        <v>#N/A</v>
      </c>
    </row>
    <row r="191" spans="24:48" x14ac:dyDescent="0.2">
      <c r="X191" s="64" t="str">
        <f t="shared" si="58"/>
        <v/>
      </c>
      <c r="Y191" s="68" t="s">
        <v>15</v>
      </c>
      <c r="Z191" s="68" t="s">
        <v>14</v>
      </c>
      <c r="AA191" s="68" t="s">
        <v>13</v>
      </c>
      <c r="AB191" s="68" t="s">
        <v>31</v>
      </c>
      <c r="AC191" s="68" t="s">
        <v>25</v>
      </c>
      <c r="AD191" s="68" t="s">
        <v>32</v>
      </c>
      <c r="AE191" s="68" t="s">
        <v>186</v>
      </c>
      <c r="AF191" s="68" t="s">
        <v>184</v>
      </c>
      <c r="AG191">
        <f t="shared" si="59"/>
        <v>1</v>
      </c>
      <c r="AH191">
        <f t="shared" si="43"/>
        <v>1</v>
      </c>
      <c r="AI191">
        <f t="shared" si="44"/>
        <v>0</v>
      </c>
      <c r="AJ191">
        <f t="shared" si="45"/>
        <v>1</v>
      </c>
      <c r="AK191">
        <f t="shared" si="46"/>
        <v>1</v>
      </c>
      <c r="AL191">
        <f t="shared" si="47"/>
        <v>0</v>
      </c>
      <c r="AM191">
        <f t="shared" si="48"/>
        <v>0</v>
      </c>
      <c r="AN191">
        <f t="shared" si="49"/>
        <v>1</v>
      </c>
      <c r="AO191" s="69" t="str">
        <f t="shared" si="50"/>
        <v>Costa de Marfil</v>
      </c>
      <c r="AP191" s="69" t="str">
        <f t="shared" si="51"/>
        <v>Irán</v>
      </c>
      <c r="AQ191" s="69" t="e">
        <f t="shared" si="52"/>
        <v>#N/A</v>
      </c>
      <c r="AR191" s="69" t="str">
        <f t="shared" si="53"/>
        <v>Suecia</v>
      </c>
      <c r="AS191" s="69" t="str">
        <f t="shared" si="54"/>
        <v>Korea</v>
      </c>
      <c r="AT191" s="69" t="e">
        <f t="shared" si="55"/>
        <v>#N/A</v>
      </c>
      <c r="AU191" s="69" t="e">
        <f t="shared" si="56"/>
        <v>#N/A</v>
      </c>
      <c r="AV191" s="69" t="str">
        <f t="shared" si="57"/>
        <v>Senegal</v>
      </c>
    </row>
    <row r="192" spans="24:48" x14ac:dyDescent="0.2">
      <c r="X192" s="64" t="str">
        <f t="shared" si="58"/>
        <v/>
      </c>
      <c r="Y192" s="68" t="s">
        <v>15</v>
      </c>
      <c r="Z192" s="68" t="s">
        <v>14</v>
      </c>
      <c r="AA192" s="68" t="s">
        <v>13</v>
      </c>
      <c r="AB192" s="68" t="s">
        <v>31</v>
      </c>
      <c r="AC192" s="68" t="s">
        <v>25</v>
      </c>
      <c r="AD192" s="68" t="s">
        <v>32</v>
      </c>
      <c r="AE192" s="68" t="s">
        <v>184</v>
      </c>
      <c r="AF192" s="68" t="s">
        <v>185</v>
      </c>
      <c r="AG192">
        <f t="shared" si="59"/>
        <v>1</v>
      </c>
      <c r="AH192">
        <f t="shared" si="43"/>
        <v>1</v>
      </c>
      <c r="AI192">
        <f t="shared" si="44"/>
        <v>0</v>
      </c>
      <c r="AJ192">
        <f t="shared" si="45"/>
        <v>1</v>
      </c>
      <c r="AK192">
        <f t="shared" si="46"/>
        <v>1</v>
      </c>
      <c r="AL192">
        <f t="shared" si="47"/>
        <v>0</v>
      </c>
      <c r="AM192">
        <f t="shared" si="48"/>
        <v>1</v>
      </c>
      <c r="AN192">
        <f t="shared" si="49"/>
        <v>0</v>
      </c>
      <c r="AO192" s="69" t="str">
        <f t="shared" si="50"/>
        <v>Costa de Marfil</v>
      </c>
      <c r="AP192" s="69" t="str">
        <f t="shared" si="51"/>
        <v>Irán</v>
      </c>
      <c r="AQ192" s="69" t="e">
        <f t="shared" si="52"/>
        <v>#N/A</v>
      </c>
      <c r="AR192" s="69" t="str">
        <f t="shared" si="53"/>
        <v>Suecia</v>
      </c>
      <c r="AS192" s="69" t="str">
        <f t="shared" si="54"/>
        <v>Korea</v>
      </c>
      <c r="AT192" s="69" t="e">
        <f t="shared" si="55"/>
        <v>#N/A</v>
      </c>
      <c r="AU192" s="69" t="str">
        <f t="shared" si="56"/>
        <v>Senegal</v>
      </c>
      <c r="AV192" s="69" t="e">
        <f t="shared" si="57"/>
        <v>#N/A</v>
      </c>
    </row>
    <row r="193" spans="24:48" x14ac:dyDescent="0.2">
      <c r="X193" s="64" t="str">
        <f t="shared" si="58"/>
        <v/>
      </c>
      <c r="Y193" s="68" t="s">
        <v>32</v>
      </c>
      <c r="Z193" s="68" t="s">
        <v>13</v>
      </c>
      <c r="AA193" s="68" t="s">
        <v>184</v>
      </c>
      <c r="AB193" s="68" t="s">
        <v>28</v>
      </c>
      <c r="AC193" s="68" t="s">
        <v>25</v>
      </c>
      <c r="AD193" s="68" t="s">
        <v>14</v>
      </c>
      <c r="AE193" s="68" t="s">
        <v>186</v>
      </c>
      <c r="AF193" s="68" t="s">
        <v>185</v>
      </c>
      <c r="AG193">
        <f t="shared" si="59"/>
        <v>0</v>
      </c>
      <c r="AH193">
        <f t="shared" si="43"/>
        <v>0</v>
      </c>
      <c r="AI193">
        <f t="shared" si="44"/>
        <v>1</v>
      </c>
      <c r="AJ193">
        <f t="shared" si="45"/>
        <v>1</v>
      </c>
      <c r="AK193">
        <f t="shared" si="46"/>
        <v>1</v>
      </c>
      <c r="AL193">
        <f t="shared" si="47"/>
        <v>1</v>
      </c>
      <c r="AM193">
        <f t="shared" si="48"/>
        <v>0</v>
      </c>
      <c r="AN193">
        <f t="shared" si="49"/>
        <v>0</v>
      </c>
      <c r="AO193" s="69" t="e">
        <f t="shared" si="50"/>
        <v>#N/A</v>
      </c>
      <c r="AP193" s="69" t="e">
        <f t="shared" si="51"/>
        <v>#N/A</v>
      </c>
      <c r="AQ193" s="69" t="str">
        <f t="shared" si="52"/>
        <v>Senegal</v>
      </c>
      <c r="AR193" s="69" t="str">
        <f t="shared" si="53"/>
        <v>Paraguay</v>
      </c>
      <c r="AS193" s="69" t="str">
        <f t="shared" si="54"/>
        <v>Korea</v>
      </c>
      <c r="AT193" s="69" t="str">
        <f t="shared" si="55"/>
        <v>Irán</v>
      </c>
      <c r="AU193" s="69" t="e">
        <f t="shared" si="56"/>
        <v>#N/A</v>
      </c>
      <c r="AV193" s="69" t="e">
        <f t="shared" si="57"/>
        <v>#N/A</v>
      </c>
    </row>
    <row r="194" spans="24:48" x14ac:dyDescent="0.2">
      <c r="X194" s="64" t="str">
        <f t="shared" si="58"/>
        <v/>
      </c>
      <c r="Y194" s="68" t="s">
        <v>32</v>
      </c>
      <c r="Z194" s="68" t="s">
        <v>13</v>
      </c>
      <c r="AA194" s="68" t="s">
        <v>184</v>
      </c>
      <c r="AB194" s="68" t="s">
        <v>28</v>
      </c>
      <c r="AC194" s="68" t="s">
        <v>25</v>
      </c>
      <c r="AD194" s="68" t="s">
        <v>31</v>
      </c>
      <c r="AE194" s="68" t="s">
        <v>186</v>
      </c>
      <c r="AF194" s="68" t="s">
        <v>185</v>
      </c>
      <c r="AG194">
        <f t="shared" si="59"/>
        <v>0</v>
      </c>
      <c r="AH194">
        <f t="shared" si="43"/>
        <v>0</v>
      </c>
      <c r="AI194">
        <f t="shared" si="44"/>
        <v>1</v>
      </c>
      <c r="AJ194">
        <f t="shared" si="45"/>
        <v>1</v>
      </c>
      <c r="AK194">
        <f t="shared" si="46"/>
        <v>1</v>
      </c>
      <c r="AL194">
        <f t="shared" si="47"/>
        <v>1</v>
      </c>
      <c r="AM194">
        <f t="shared" si="48"/>
        <v>0</v>
      </c>
      <c r="AN194">
        <f t="shared" si="49"/>
        <v>0</v>
      </c>
      <c r="AO194" s="69" t="e">
        <f t="shared" si="50"/>
        <v>#N/A</v>
      </c>
      <c r="AP194" s="69" t="e">
        <f t="shared" si="51"/>
        <v>#N/A</v>
      </c>
      <c r="AQ194" s="69" t="str">
        <f t="shared" si="52"/>
        <v>Senegal</v>
      </c>
      <c r="AR194" s="69" t="str">
        <f t="shared" si="53"/>
        <v>Paraguay</v>
      </c>
      <c r="AS194" s="69" t="str">
        <f t="shared" si="54"/>
        <v>Korea</v>
      </c>
      <c r="AT194" s="69" t="str">
        <f t="shared" si="55"/>
        <v>Suecia</v>
      </c>
      <c r="AU194" s="69" t="e">
        <f t="shared" si="56"/>
        <v>#N/A</v>
      </c>
      <c r="AV194" s="69" t="e">
        <f t="shared" si="57"/>
        <v>#N/A</v>
      </c>
    </row>
    <row r="195" spans="24:48" x14ac:dyDescent="0.2">
      <c r="X195" s="64" t="str">
        <f t="shared" si="58"/>
        <v/>
      </c>
      <c r="Y195" s="68" t="s">
        <v>184</v>
      </c>
      <c r="Z195" s="68" t="s">
        <v>14</v>
      </c>
      <c r="AA195" s="68" t="s">
        <v>13</v>
      </c>
      <c r="AB195" s="68" t="s">
        <v>28</v>
      </c>
      <c r="AC195" s="68" t="s">
        <v>25</v>
      </c>
      <c r="AD195" s="68" t="s">
        <v>31</v>
      </c>
      <c r="AE195" s="68" t="s">
        <v>186</v>
      </c>
      <c r="AF195" s="68" t="s">
        <v>185</v>
      </c>
      <c r="AG195">
        <f t="shared" si="59"/>
        <v>1</v>
      </c>
      <c r="AH195">
        <f t="shared" si="43"/>
        <v>1</v>
      </c>
      <c r="AI195">
        <f t="shared" si="44"/>
        <v>0</v>
      </c>
      <c r="AJ195">
        <f t="shared" si="45"/>
        <v>1</v>
      </c>
      <c r="AK195">
        <f t="shared" si="46"/>
        <v>1</v>
      </c>
      <c r="AL195">
        <f t="shared" si="47"/>
        <v>1</v>
      </c>
      <c r="AM195">
        <f t="shared" si="48"/>
        <v>0</v>
      </c>
      <c r="AN195">
        <f t="shared" si="49"/>
        <v>0</v>
      </c>
      <c r="AO195" s="69" t="str">
        <f t="shared" si="50"/>
        <v>Senegal</v>
      </c>
      <c r="AP195" s="69" t="str">
        <f t="shared" si="51"/>
        <v>Irán</v>
      </c>
      <c r="AQ195" s="69" t="e">
        <f t="shared" si="52"/>
        <v>#N/A</v>
      </c>
      <c r="AR195" s="69" t="str">
        <f t="shared" si="53"/>
        <v>Paraguay</v>
      </c>
      <c r="AS195" s="69" t="str">
        <f t="shared" si="54"/>
        <v>Korea</v>
      </c>
      <c r="AT195" s="69" t="str">
        <f t="shared" si="55"/>
        <v>Suecia</v>
      </c>
      <c r="AU195" s="69" t="e">
        <f t="shared" si="56"/>
        <v>#N/A</v>
      </c>
      <c r="AV195" s="69" t="e">
        <f t="shared" si="57"/>
        <v>#N/A</v>
      </c>
    </row>
    <row r="196" spans="24:48" x14ac:dyDescent="0.2">
      <c r="X196" s="64" t="str">
        <f t="shared" si="58"/>
        <v/>
      </c>
      <c r="Y196" s="68" t="s">
        <v>32</v>
      </c>
      <c r="Z196" s="68" t="s">
        <v>14</v>
      </c>
      <c r="AA196" s="68" t="s">
        <v>13</v>
      </c>
      <c r="AB196" s="68" t="s">
        <v>28</v>
      </c>
      <c r="AC196" s="68" t="s">
        <v>25</v>
      </c>
      <c r="AD196" s="68" t="s">
        <v>31</v>
      </c>
      <c r="AE196" s="68" t="s">
        <v>186</v>
      </c>
      <c r="AF196" s="68" t="s">
        <v>185</v>
      </c>
      <c r="AG196">
        <f t="shared" si="59"/>
        <v>0</v>
      </c>
      <c r="AH196">
        <f t="shared" si="43"/>
        <v>1</v>
      </c>
      <c r="AI196">
        <f t="shared" si="44"/>
        <v>0</v>
      </c>
      <c r="AJ196">
        <f t="shared" si="45"/>
        <v>1</v>
      </c>
      <c r="AK196">
        <f t="shared" si="46"/>
        <v>1</v>
      </c>
      <c r="AL196">
        <f t="shared" si="47"/>
        <v>1</v>
      </c>
      <c r="AM196">
        <f t="shared" si="48"/>
        <v>0</v>
      </c>
      <c r="AN196">
        <f t="shared" si="49"/>
        <v>0</v>
      </c>
      <c r="AO196" s="69" t="e">
        <f t="shared" si="50"/>
        <v>#N/A</v>
      </c>
      <c r="AP196" s="69" t="str">
        <f t="shared" si="51"/>
        <v>Irán</v>
      </c>
      <c r="AQ196" s="69" t="e">
        <f t="shared" si="52"/>
        <v>#N/A</v>
      </c>
      <c r="AR196" s="69" t="str">
        <f t="shared" si="53"/>
        <v>Paraguay</v>
      </c>
      <c r="AS196" s="69" t="str">
        <f t="shared" si="54"/>
        <v>Korea</v>
      </c>
      <c r="AT196" s="69" t="str">
        <f t="shared" si="55"/>
        <v>Suecia</v>
      </c>
      <c r="AU196" s="69" t="e">
        <f t="shared" si="56"/>
        <v>#N/A</v>
      </c>
      <c r="AV196" s="69" t="e">
        <f t="shared" si="57"/>
        <v>#N/A</v>
      </c>
    </row>
    <row r="197" spans="24:48" x14ac:dyDescent="0.2">
      <c r="X197" s="64" t="str">
        <f t="shared" si="58"/>
        <v/>
      </c>
      <c r="Y197" s="68" t="s">
        <v>32</v>
      </c>
      <c r="Z197" s="68" t="s">
        <v>14</v>
      </c>
      <c r="AA197" s="68" t="s">
        <v>184</v>
      </c>
      <c r="AB197" s="68" t="s">
        <v>28</v>
      </c>
      <c r="AC197" s="68" t="s">
        <v>25</v>
      </c>
      <c r="AD197" s="68" t="s">
        <v>31</v>
      </c>
      <c r="AE197" s="68" t="s">
        <v>186</v>
      </c>
      <c r="AF197" s="68" t="s">
        <v>185</v>
      </c>
      <c r="AG197">
        <f t="shared" si="59"/>
        <v>0</v>
      </c>
      <c r="AH197">
        <f t="shared" si="43"/>
        <v>1</v>
      </c>
      <c r="AI197">
        <f t="shared" si="44"/>
        <v>1</v>
      </c>
      <c r="AJ197">
        <f t="shared" si="45"/>
        <v>1</v>
      </c>
      <c r="AK197">
        <f t="shared" si="46"/>
        <v>1</v>
      </c>
      <c r="AL197">
        <f t="shared" si="47"/>
        <v>1</v>
      </c>
      <c r="AM197">
        <f t="shared" si="48"/>
        <v>0</v>
      </c>
      <c r="AN197">
        <f t="shared" si="49"/>
        <v>0</v>
      </c>
      <c r="AO197" s="69" t="e">
        <f t="shared" si="50"/>
        <v>#N/A</v>
      </c>
      <c r="AP197" s="69" t="str">
        <f t="shared" si="51"/>
        <v>Irán</v>
      </c>
      <c r="AQ197" s="69" t="str">
        <f t="shared" si="52"/>
        <v>Senegal</v>
      </c>
      <c r="AR197" s="69" t="str">
        <f t="shared" si="53"/>
        <v>Paraguay</v>
      </c>
      <c r="AS197" s="69" t="str">
        <f t="shared" si="54"/>
        <v>Korea</v>
      </c>
      <c r="AT197" s="69" t="str">
        <f t="shared" si="55"/>
        <v>Suecia</v>
      </c>
      <c r="AU197" s="69" t="e">
        <f t="shared" si="56"/>
        <v>#N/A</v>
      </c>
      <c r="AV197" s="69" t="e">
        <f t="shared" si="57"/>
        <v>#N/A</v>
      </c>
    </row>
    <row r="198" spans="24:48" x14ac:dyDescent="0.2">
      <c r="X198" s="64" t="str">
        <f t="shared" si="58"/>
        <v/>
      </c>
      <c r="Y198" s="68" t="s">
        <v>32</v>
      </c>
      <c r="Z198" s="68" t="s">
        <v>14</v>
      </c>
      <c r="AA198" s="68" t="s">
        <v>13</v>
      </c>
      <c r="AB198" s="68" t="s">
        <v>28</v>
      </c>
      <c r="AC198" s="68" t="s">
        <v>25</v>
      </c>
      <c r="AD198" s="68" t="s">
        <v>31</v>
      </c>
      <c r="AE198" s="68" t="s">
        <v>186</v>
      </c>
      <c r="AF198" s="68" t="s">
        <v>184</v>
      </c>
      <c r="AG198">
        <f t="shared" si="59"/>
        <v>0</v>
      </c>
      <c r="AH198">
        <f t="shared" si="43"/>
        <v>1</v>
      </c>
      <c r="AI198">
        <f t="shared" si="44"/>
        <v>0</v>
      </c>
      <c r="AJ198">
        <f t="shared" si="45"/>
        <v>1</v>
      </c>
      <c r="AK198">
        <f t="shared" si="46"/>
        <v>1</v>
      </c>
      <c r="AL198">
        <f t="shared" si="47"/>
        <v>1</v>
      </c>
      <c r="AM198">
        <f t="shared" si="48"/>
        <v>0</v>
      </c>
      <c r="AN198">
        <f t="shared" si="49"/>
        <v>1</v>
      </c>
      <c r="AO198" s="69" t="e">
        <f t="shared" si="50"/>
        <v>#N/A</v>
      </c>
      <c r="AP198" s="69" t="str">
        <f t="shared" si="51"/>
        <v>Irán</v>
      </c>
      <c r="AQ198" s="69" t="e">
        <f t="shared" si="52"/>
        <v>#N/A</v>
      </c>
      <c r="AR198" s="69" t="str">
        <f t="shared" si="53"/>
        <v>Paraguay</v>
      </c>
      <c r="AS198" s="69" t="str">
        <f t="shared" si="54"/>
        <v>Korea</v>
      </c>
      <c r="AT198" s="69" t="str">
        <f t="shared" si="55"/>
        <v>Suecia</v>
      </c>
      <c r="AU198" s="69" t="e">
        <f t="shared" si="56"/>
        <v>#N/A</v>
      </c>
      <c r="AV198" s="69" t="str">
        <f t="shared" si="57"/>
        <v>Senegal</v>
      </c>
    </row>
    <row r="199" spans="24:48" x14ac:dyDescent="0.2">
      <c r="X199" s="64" t="str">
        <f t="shared" si="58"/>
        <v/>
      </c>
      <c r="Y199" s="68" t="s">
        <v>32</v>
      </c>
      <c r="Z199" s="68" t="s">
        <v>14</v>
      </c>
      <c r="AA199" s="68" t="s">
        <v>13</v>
      </c>
      <c r="AB199" s="68" t="s">
        <v>28</v>
      </c>
      <c r="AC199" s="68" t="s">
        <v>25</v>
      </c>
      <c r="AD199" s="68" t="s">
        <v>31</v>
      </c>
      <c r="AE199" s="68" t="s">
        <v>184</v>
      </c>
      <c r="AF199" s="68" t="s">
        <v>185</v>
      </c>
      <c r="AG199">
        <f t="shared" si="59"/>
        <v>0</v>
      </c>
      <c r="AH199">
        <f t="shared" si="43"/>
        <v>1</v>
      </c>
      <c r="AI199">
        <f t="shared" si="44"/>
        <v>0</v>
      </c>
      <c r="AJ199">
        <f t="shared" si="45"/>
        <v>1</v>
      </c>
      <c r="AK199">
        <f t="shared" si="46"/>
        <v>1</v>
      </c>
      <c r="AL199">
        <f t="shared" si="47"/>
        <v>1</v>
      </c>
      <c r="AM199">
        <f t="shared" si="48"/>
        <v>1</v>
      </c>
      <c r="AN199">
        <f t="shared" si="49"/>
        <v>0</v>
      </c>
      <c r="AO199" s="69" t="e">
        <f t="shared" si="50"/>
        <v>#N/A</v>
      </c>
      <c r="AP199" s="69" t="str">
        <f t="shared" si="51"/>
        <v>Irán</v>
      </c>
      <c r="AQ199" s="69" t="e">
        <f t="shared" si="52"/>
        <v>#N/A</v>
      </c>
      <c r="AR199" s="69" t="str">
        <f t="shared" si="53"/>
        <v>Paraguay</v>
      </c>
      <c r="AS199" s="69" t="str">
        <f t="shared" si="54"/>
        <v>Korea</v>
      </c>
      <c r="AT199" s="69" t="str">
        <f t="shared" si="55"/>
        <v>Suecia</v>
      </c>
      <c r="AU199" s="69" t="str">
        <f t="shared" si="56"/>
        <v>Senegal</v>
      </c>
      <c r="AV199" s="69" t="e">
        <f t="shared" si="57"/>
        <v>#N/A</v>
      </c>
    </row>
    <row r="200" spans="24:48" x14ac:dyDescent="0.2">
      <c r="X200" s="64" t="str">
        <f t="shared" si="58"/>
        <v/>
      </c>
      <c r="Y200" s="68" t="s">
        <v>15</v>
      </c>
      <c r="Z200" s="68" t="s">
        <v>13</v>
      </c>
      <c r="AA200" s="68" t="s">
        <v>184</v>
      </c>
      <c r="AB200" s="68" t="s">
        <v>28</v>
      </c>
      <c r="AC200" s="68" t="s">
        <v>25</v>
      </c>
      <c r="AD200" s="68" t="s">
        <v>32</v>
      </c>
      <c r="AE200" s="68" t="s">
        <v>186</v>
      </c>
      <c r="AF200" s="68" t="s">
        <v>185</v>
      </c>
      <c r="AG200">
        <f t="shared" si="59"/>
        <v>1</v>
      </c>
      <c r="AH200">
        <f t="shared" si="43"/>
        <v>0</v>
      </c>
      <c r="AI200">
        <f t="shared" si="44"/>
        <v>1</v>
      </c>
      <c r="AJ200">
        <f t="shared" si="45"/>
        <v>1</v>
      </c>
      <c r="AK200">
        <f t="shared" si="46"/>
        <v>1</v>
      </c>
      <c r="AL200">
        <f t="shared" si="47"/>
        <v>0</v>
      </c>
      <c r="AM200">
        <f t="shared" si="48"/>
        <v>0</v>
      </c>
      <c r="AN200">
        <f t="shared" si="49"/>
        <v>0</v>
      </c>
      <c r="AO200" s="69" t="str">
        <f t="shared" si="50"/>
        <v>Costa de Marfil</v>
      </c>
      <c r="AP200" s="69" t="e">
        <f t="shared" si="51"/>
        <v>#N/A</v>
      </c>
      <c r="AQ200" s="69" t="str">
        <f t="shared" si="52"/>
        <v>Senegal</v>
      </c>
      <c r="AR200" s="69" t="str">
        <f t="shared" si="53"/>
        <v>Paraguay</v>
      </c>
      <c r="AS200" s="69" t="str">
        <f t="shared" si="54"/>
        <v>Korea</v>
      </c>
      <c r="AT200" s="69" t="e">
        <f t="shared" si="55"/>
        <v>#N/A</v>
      </c>
      <c r="AU200" s="69" t="e">
        <f t="shared" si="56"/>
        <v>#N/A</v>
      </c>
      <c r="AV200" s="69" t="e">
        <f t="shared" si="57"/>
        <v>#N/A</v>
      </c>
    </row>
    <row r="201" spans="24:48" x14ac:dyDescent="0.2">
      <c r="X201" s="64" t="str">
        <f t="shared" si="58"/>
        <v/>
      </c>
      <c r="Y201" s="68" t="s">
        <v>15</v>
      </c>
      <c r="Z201" s="68" t="s">
        <v>13</v>
      </c>
      <c r="AA201" s="68" t="s">
        <v>184</v>
      </c>
      <c r="AB201" s="68" t="s">
        <v>28</v>
      </c>
      <c r="AC201" s="68" t="s">
        <v>25</v>
      </c>
      <c r="AD201" s="68" t="s">
        <v>14</v>
      </c>
      <c r="AE201" s="68" t="s">
        <v>186</v>
      </c>
      <c r="AF201" s="68" t="s">
        <v>185</v>
      </c>
      <c r="AG201">
        <f t="shared" si="59"/>
        <v>1</v>
      </c>
      <c r="AH201">
        <f t="shared" si="43"/>
        <v>0</v>
      </c>
      <c r="AI201">
        <f t="shared" si="44"/>
        <v>1</v>
      </c>
      <c r="AJ201">
        <f t="shared" si="45"/>
        <v>1</v>
      </c>
      <c r="AK201">
        <f t="shared" si="46"/>
        <v>1</v>
      </c>
      <c r="AL201">
        <f t="shared" si="47"/>
        <v>1</v>
      </c>
      <c r="AM201">
        <f t="shared" si="48"/>
        <v>0</v>
      </c>
      <c r="AN201">
        <f t="shared" si="49"/>
        <v>0</v>
      </c>
      <c r="AO201" s="69" t="str">
        <f t="shared" si="50"/>
        <v>Costa de Marfil</v>
      </c>
      <c r="AP201" s="69" t="e">
        <f t="shared" si="51"/>
        <v>#N/A</v>
      </c>
      <c r="AQ201" s="69" t="str">
        <f t="shared" si="52"/>
        <v>Senegal</v>
      </c>
      <c r="AR201" s="69" t="str">
        <f t="shared" si="53"/>
        <v>Paraguay</v>
      </c>
      <c r="AS201" s="69" t="str">
        <f t="shared" si="54"/>
        <v>Korea</v>
      </c>
      <c r="AT201" s="69" t="str">
        <f t="shared" si="55"/>
        <v>Irán</v>
      </c>
      <c r="AU201" s="69" t="e">
        <f t="shared" si="56"/>
        <v>#N/A</v>
      </c>
      <c r="AV201" s="69" t="e">
        <f t="shared" si="57"/>
        <v>#N/A</v>
      </c>
    </row>
    <row r="202" spans="24:48" x14ac:dyDescent="0.2">
      <c r="X202" s="64" t="str">
        <f t="shared" si="58"/>
        <v/>
      </c>
      <c r="Y202" s="68" t="s">
        <v>15</v>
      </c>
      <c r="Z202" s="68" t="s">
        <v>14</v>
      </c>
      <c r="AA202" s="68" t="s">
        <v>13</v>
      </c>
      <c r="AB202" s="68" t="s">
        <v>28</v>
      </c>
      <c r="AC202" s="68" t="s">
        <v>25</v>
      </c>
      <c r="AD202" s="68" t="s">
        <v>32</v>
      </c>
      <c r="AE202" s="68" t="s">
        <v>186</v>
      </c>
      <c r="AF202" s="68" t="s">
        <v>185</v>
      </c>
      <c r="AG202">
        <f t="shared" si="59"/>
        <v>1</v>
      </c>
      <c r="AH202">
        <f t="shared" si="43"/>
        <v>1</v>
      </c>
      <c r="AI202">
        <f t="shared" si="44"/>
        <v>0</v>
      </c>
      <c r="AJ202">
        <f t="shared" si="45"/>
        <v>1</v>
      </c>
      <c r="AK202">
        <f t="shared" si="46"/>
        <v>1</v>
      </c>
      <c r="AL202">
        <f t="shared" si="47"/>
        <v>0</v>
      </c>
      <c r="AM202">
        <f t="shared" si="48"/>
        <v>0</v>
      </c>
      <c r="AN202">
        <f t="shared" si="49"/>
        <v>0</v>
      </c>
      <c r="AO202" s="69" t="str">
        <f t="shared" si="50"/>
        <v>Costa de Marfil</v>
      </c>
      <c r="AP202" s="69" t="str">
        <f t="shared" si="51"/>
        <v>Irán</v>
      </c>
      <c r="AQ202" s="69" t="e">
        <f t="shared" si="52"/>
        <v>#N/A</v>
      </c>
      <c r="AR202" s="69" t="str">
        <f t="shared" si="53"/>
        <v>Paraguay</v>
      </c>
      <c r="AS202" s="69" t="str">
        <f t="shared" si="54"/>
        <v>Korea</v>
      </c>
      <c r="AT202" s="69" t="e">
        <f t="shared" si="55"/>
        <v>#N/A</v>
      </c>
      <c r="AU202" s="69" t="e">
        <f t="shared" si="56"/>
        <v>#N/A</v>
      </c>
      <c r="AV202" s="69" t="e">
        <f t="shared" si="57"/>
        <v>#N/A</v>
      </c>
    </row>
    <row r="203" spans="24:48" x14ac:dyDescent="0.2">
      <c r="X203" s="64" t="str">
        <f t="shared" si="58"/>
        <v/>
      </c>
      <c r="Y203" s="68" t="s">
        <v>15</v>
      </c>
      <c r="Z203" s="68" t="s">
        <v>14</v>
      </c>
      <c r="AA203" s="68" t="s">
        <v>184</v>
      </c>
      <c r="AB203" s="68" t="s">
        <v>28</v>
      </c>
      <c r="AC203" s="68" t="s">
        <v>25</v>
      </c>
      <c r="AD203" s="68" t="s">
        <v>32</v>
      </c>
      <c r="AE203" s="68" t="s">
        <v>186</v>
      </c>
      <c r="AF203" s="68" t="s">
        <v>185</v>
      </c>
      <c r="AG203">
        <f t="shared" si="59"/>
        <v>1</v>
      </c>
      <c r="AH203">
        <f t="shared" si="43"/>
        <v>1</v>
      </c>
      <c r="AI203">
        <f t="shared" si="44"/>
        <v>1</v>
      </c>
      <c r="AJ203">
        <f t="shared" si="45"/>
        <v>1</v>
      </c>
      <c r="AK203">
        <f t="shared" si="46"/>
        <v>1</v>
      </c>
      <c r="AL203">
        <f t="shared" si="47"/>
        <v>0</v>
      </c>
      <c r="AM203">
        <f t="shared" si="48"/>
        <v>0</v>
      </c>
      <c r="AN203">
        <f t="shared" si="49"/>
        <v>0</v>
      </c>
      <c r="AO203" s="69" t="str">
        <f t="shared" si="50"/>
        <v>Costa de Marfil</v>
      </c>
      <c r="AP203" s="69" t="str">
        <f t="shared" si="51"/>
        <v>Irán</v>
      </c>
      <c r="AQ203" s="69" t="str">
        <f t="shared" si="52"/>
        <v>Senegal</v>
      </c>
      <c r="AR203" s="69" t="str">
        <f t="shared" si="53"/>
        <v>Paraguay</v>
      </c>
      <c r="AS203" s="69" t="str">
        <f t="shared" si="54"/>
        <v>Korea</v>
      </c>
      <c r="AT203" s="69" t="e">
        <f t="shared" si="55"/>
        <v>#N/A</v>
      </c>
      <c r="AU203" s="69" t="e">
        <f t="shared" si="56"/>
        <v>#N/A</v>
      </c>
      <c r="AV203" s="69" t="e">
        <f t="shared" si="57"/>
        <v>#N/A</v>
      </c>
    </row>
    <row r="204" spans="24:48" x14ac:dyDescent="0.2">
      <c r="X204" s="64" t="str">
        <f t="shared" si="58"/>
        <v/>
      </c>
      <c r="Y204" s="68" t="s">
        <v>15</v>
      </c>
      <c r="Z204" s="68" t="s">
        <v>14</v>
      </c>
      <c r="AA204" s="68" t="s">
        <v>13</v>
      </c>
      <c r="AB204" s="68" t="s">
        <v>28</v>
      </c>
      <c r="AC204" s="68" t="s">
        <v>25</v>
      </c>
      <c r="AD204" s="68" t="s">
        <v>32</v>
      </c>
      <c r="AE204" s="68" t="s">
        <v>186</v>
      </c>
      <c r="AF204" s="68" t="s">
        <v>184</v>
      </c>
      <c r="AG204">
        <f t="shared" si="59"/>
        <v>1</v>
      </c>
      <c r="AH204">
        <f t="shared" si="43"/>
        <v>1</v>
      </c>
      <c r="AI204">
        <f t="shared" si="44"/>
        <v>0</v>
      </c>
      <c r="AJ204">
        <f t="shared" si="45"/>
        <v>1</v>
      </c>
      <c r="AK204">
        <f t="shared" si="46"/>
        <v>1</v>
      </c>
      <c r="AL204">
        <f t="shared" si="47"/>
        <v>0</v>
      </c>
      <c r="AM204">
        <f t="shared" si="48"/>
        <v>0</v>
      </c>
      <c r="AN204">
        <f t="shared" si="49"/>
        <v>1</v>
      </c>
      <c r="AO204" s="69" t="str">
        <f t="shared" si="50"/>
        <v>Costa de Marfil</v>
      </c>
      <c r="AP204" s="69" t="str">
        <f t="shared" si="51"/>
        <v>Irán</v>
      </c>
      <c r="AQ204" s="69" t="e">
        <f t="shared" si="52"/>
        <v>#N/A</v>
      </c>
      <c r="AR204" s="69" t="str">
        <f t="shared" si="53"/>
        <v>Paraguay</v>
      </c>
      <c r="AS204" s="69" t="str">
        <f t="shared" si="54"/>
        <v>Korea</v>
      </c>
      <c r="AT204" s="69" t="e">
        <f t="shared" si="55"/>
        <v>#N/A</v>
      </c>
      <c r="AU204" s="69" t="e">
        <f t="shared" si="56"/>
        <v>#N/A</v>
      </c>
      <c r="AV204" s="69" t="str">
        <f t="shared" si="57"/>
        <v>Senegal</v>
      </c>
    </row>
    <row r="205" spans="24:48" x14ac:dyDescent="0.2">
      <c r="X205" s="64" t="str">
        <f t="shared" si="58"/>
        <v/>
      </c>
      <c r="Y205" s="68" t="s">
        <v>15</v>
      </c>
      <c r="Z205" s="68" t="s">
        <v>14</v>
      </c>
      <c r="AA205" s="68" t="s">
        <v>13</v>
      </c>
      <c r="AB205" s="68" t="s">
        <v>28</v>
      </c>
      <c r="AC205" s="68" t="s">
        <v>25</v>
      </c>
      <c r="AD205" s="68" t="s">
        <v>32</v>
      </c>
      <c r="AE205" s="68" t="s">
        <v>184</v>
      </c>
      <c r="AF205" s="68" t="s">
        <v>185</v>
      </c>
      <c r="AG205">
        <f t="shared" si="59"/>
        <v>1</v>
      </c>
      <c r="AH205">
        <f t="shared" si="43"/>
        <v>1</v>
      </c>
      <c r="AI205">
        <f t="shared" si="44"/>
        <v>0</v>
      </c>
      <c r="AJ205">
        <f t="shared" si="45"/>
        <v>1</v>
      </c>
      <c r="AK205">
        <f t="shared" si="46"/>
        <v>1</v>
      </c>
      <c r="AL205">
        <f t="shared" si="47"/>
        <v>0</v>
      </c>
      <c r="AM205">
        <f t="shared" si="48"/>
        <v>1</v>
      </c>
      <c r="AN205">
        <f t="shared" si="49"/>
        <v>0</v>
      </c>
      <c r="AO205" s="69" t="str">
        <f t="shared" si="50"/>
        <v>Costa de Marfil</v>
      </c>
      <c r="AP205" s="69" t="str">
        <f t="shared" si="51"/>
        <v>Irán</v>
      </c>
      <c r="AQ205" s="69" t="e">
        <f t="shared" si="52"/>
        <v>#N/A</v>
      </c>
      <c r="AR205" s="69" t="str">
        <f t="shared" si="53"/>
        <v>Paraguay</v>
      </c>
      <c r="AS205" s="69" t="str">
        <f t="shared" si="54"/>
        <v>Korea</v>
      </c>
      <c r="AT205" s="69" t="e">
        <f t="shared" si="55"/>
        <v>#N/A</v>
      </c>
      <c r="AU205" s="69" t="str">
        <f t="shared" si="56"/>
        <v>Senegal</v>
      </c>
      <c r="AV205" s="69" t="e">
        <f t="shared" si="57"/>
        <v>#N/A</v>
      </c>
    </row>
    <row r="206" spans="24:48" x14ac:dyDescent="0.2">
      <c r="X206" s="64" t="str">
        <f t="shared" si="58"/>
        <v/>
      </c>
      <c r="Y206" s="68" t="s">
        <v>15</v>
      </c>
      <c r="Z206" s="68" t="s">
        <v>13</v>
      </c>
      <c r="AA206" s="68" t="s">
        <v>184</v>
      </c>
      <c r="AB206" s="68" t="s">
        <v>28</v>
      </c>
      <c r="AC206" s="68" t="s">
        <v>25</v>
      </c>
      <c r="AD206" s="68" t="s">
        <v>31</v>
      </c>
      <c r="AE206" s="68" t="s">
        <v>186</v>
      </c>
      <c r="AF206" s="68" t="s">
        <v>185</v>
      </c>
      <c r="AG206">
        <f t="shared" si="59"/>
        <v>1</v>
      </c>
      <c r="AH206">
        <f t="shared" si="43"/>
        <v>0</v>
      </c>
      <c r="AI206">
        <f t="shared" si="44"/>
        <v>1</v>
      </c>
      <c r="AJ206">
        <f t="shared" si="45"/>
        <v>1</v>
      </c>
      <c r="AK206">
        <f t="shared" si="46"/>
        <v>1</v>
      </c>
      <c r="AL206">
        <f t="shared" si="47"/>
        <v>1</v>
      </c>
      <c r="AM206">
        <f t="shared" si="48"/>
        <v>0</v>
      </c>
      <c r="AN206">
        <f t="shared" si="49"/>
        <v>0</v>
      </c>
      <c r="AO206" s="69" t="str">
        <f t="shared" si="50"/>
        <v>Costa de Marfil</v>
      </c>
      <c r="AP206" s="69" t="e">
        <f t="shared" si="51"/>
        <v>#N/A</v>
      </c>
      <c r="AQ206" s="69" t="str">
        <f t="shared" si="52"/>
        <v>Senegal</v>
      </c>
      <c r="AR206" s="69" t="str">
        <f t="shared" si="53"/>
        <v>Paraguay</v>
      </c>
      <c r="AS206" s="69" t="str">
        <f t="shared" si="54"/>
        <v>Korea</v>
      </c>
      <c r="AT206" s="69" t="str">
        <f t="shared" si="55"/>
        <v>Suecia</v>
      </c>
      <c r="AU206" s="69" t="e">
        <f t="shared" si="56"/>
        <v>#N/A</v>
      </c>
      <c r="AV206" s="69" t="e">
        <f t="shared" si="57"/>
        <v>#N/A</v>
      </c>
    </row>
    <row r="207" spans="24:48" x14ac:dyDescent="0.2">
      <c r="X207" s="64" t="str">
        <f t="shared" si="58"/>
        <v/>
      </c>
      <c r="Y207" s="68" t="s">
        <v>32</v>
      </c>
      <c r="Z207" s="68" t="s">
        <v>13</v>
      </c>
      <c r="AA207" s="68" t="s">
        <v>15</v>
      </c>
      <c r="AB207" s="68" t="s">
        <v>28</v>
      </c>
      <c r="AC207" s="68" t="s">
        <v>25</v>
      </c>
      <c r="AD207" s="68" t="s">
        <v>31</v>
      </c>
      <c r="AE207" s="68" t="s">
        <v>186</v>
      </c>
      <c r="AF207" s="68" t="s">
        <v>185</v>
      </c>
      <c r="AG207">
        <f t="shared" si="59"/>
        <v>0</v>
      </c>
      <c r="AH207">
        <f t="shared" si="43"/>
        <v>0</v>
      </c>
      <c r="AI207">
        <f t="shared" si="44"/>
        <v>1</v>
      </c>
      <c r="AJ207">
        <f t="shared" si="45"/>
        <v>1</v>
      </c>
      <c r="AK207">
        <f t="shared" si="46"/>
        <v>1</v>
      </c>
      <c r="AL207">
        <f t="shared" si="47"/>
        <v>1</v>
      </c>
      <c r="AM207">
        <f t="shared" si="48"/>
        <v>0</v>
      </c>
      <c r="AN207">
        <f t="shared" si="49"/>
        <v>0</v>
      </c>
      <c r="AO207" s="69" t="e">
        <f t="shared" si="50"/>
        <v>#N/A</v>
      </c>
      <c r="AP207" s="69" t="e">
        <f t="shared" si="51"/>
        <v>#N/A</v>
      </c>
      <c r="AQ207" s="69" t="str">
        <f t="shared" si="52"/>
        <v>Costa de Marfil</v>
      </c>
      <c r="AR207" s="69" t="str">
        <f t="shared" si="53"/>
        <v>Paraguay</v>
      </c>
      <c r="AS207" s="69" t="str">
        <f t="shared" si="54"/>
        <v>Korea</v>
      </c>
      <c r="AT207" s="69" t="str">
        <f t="shared" si="55"/>
        <v>Suecia</v>
      </c>
      <c r="AU207" s="69" t="e">
        <f t="shared" si="56"/>
        <v>#N/A</v>
      </c>
      <c r="AV207" s="69" t="e">
        <f t="shared" si="57"/>
        <v>#N/A</v>
      </c>
    </row>
    <row r="208" spans="24:48" x14ac:dyDescent="0.2">
      <c r="X208" s="64" t="str">
        <f t="shared" si="58"/>
        <v/>
      </c>
      <c r="Y208" s="68" t="s">
        <v>32</v>
      </c>
      <c r="Z208" s="68" t="s">
        <v>15</v>
      </c>
      <c r="AA208" s="68" t="s">
        <v>184</v>
      </c>
      <c r="AB208" s="68" t="s">
        <v>28</v>
      </c>
      <c r="AC208" s="68" t="s">
        <v>25</v>
      </c>
      <c r="AD208" s="68" t="s">
        <v>31</v>
      </c>
      <c r="AE208" s="68" t="s">
        <v>186</v>
      </c>
      <c r="AF208" s="68" t="s">
        <v>185</v>
      </c>
      <c r="AG208">
        <f t="shared" si="59"/>
        <v>0</v>
      </c>
      <c r="AH208">
        <f t="shared" si="43"/>
        <v>1</v>
      </c>
      <c r="AI208">
        <f t="shared" si="44"/>
        <v>1</v>
      </c>
      <c r="AJ208">
        <f t="shared" si="45"/>
        <v>1</v>
      </c>
      <c r="AK208">
        <f t="shared" si="46"/>
        <v>1</v>
      </c>
      <c r="AL208">
        <f t="shared" si="47"/>
        <v>1</v>
      </c>
      <c r="AM208">
        <f t="shared" si="48"/>
        <v>0</v>
      </c>
      <c r="AN208">
        <f t="shared" si="49"/>
        <v>0</v>
      </c>
      <c r="AO208" s="69" t="e">
        <f t="shared" si="50"/>
        <v>#N/A</v>
      </c>
      <c r="AP208" s="69" t="str">
        <f t="shared" si="51"/>
        <v>Costa de Marfil</v>
      </c>
      <c r="AQ208" s="69" t="str">
        <f t="shared" si="52"/>
        <v>Senegal</v>
      </c>
      <c r="AR208" s="69" t="str">
        <f t="shared" si="53"/>
        <v>Paraguay</v>
      </c>
      <c r="AS208" s="69" t="str">
        <f t="shared" si="54"/>
        <v>Korea</v>
      </c>
      <c r="AT208" s="69" t="str">
        <f t="shared" si="55"/>
        <v>Suecia</v>
      </c>
      <c r="AU208" s="69" t="e">
        <f t="shared" si="56"/>
        <v>#N/A</v>
      </c>
      <c r="AV208" s="69" t="e">
        <f t="shared" si="57"/>
        <v>#N/A</v>
      </c>
    </row>
    <row r="209" spans="24:48" x14ac:dyDescent="0.2">
      <c r="X209" s="64" t="str">
        <f t="shared" si="58"/>
        <v/>
      </c>
      <c r="Y209" s="68" t="s">
        <v>32</v>
      </c>
      <c r="Z209" s="68" t="s">
        <v>13</v>
      </c>
      <c r="AA209" s="68" t="s">
        <v>15</v>
      </c>
      <c r="AB209" s="68" t="s">
        <v>28</v>
      </c>
      <c r="AC209" s="68" t="s">
        <v>25</v>
      </c>
      <c r="AD209" s="68" t="s">
        <v>31</v>
      </c>
      <c r="AE209" s="68" t="s">
        <v>186</v>
      </c>
      <c r="AF209" s="68" t="s">
        <v>184</v>
      </c>
      <c r="AG209">
        <f t="shared" si="59"/>
        <v>0</v>
      </c>
      <c r="AH209">
        <f t="shared" si="43"/>
        <v>0</v>
      </c>
      <c r="AI209">
        <f t="shared" si="44"/>
        <v>1</v>
      </c>
      <c r="AJ209">
        <f t="shared" si="45"/>
        <v>1</v>
      </c>
      <c r="AK209">
        <f t="shared" si="46"/>
        <v>1</v>
      </c>
      <c r="AL209">
        <f t="shared" si="47"/>
        <v>1</v>
      </c>
      <c r="AM209">
        <f t="shared" si="48"/>
        <v>0</v>
      </c>
      <c r="AN209">
        <f t="shared" si="49"/>
        <v>1</v>
      </c>
      <c r="AO209" s="69" t="e">
        <f t="shared" si="50"/>
        <v>#N/A</v>
      </c>
      <c r="AP209" s="69" t="e">
        <f t="shared" si="51"/>
        <v>#N/A</v>
      </c>
      <c r="AQ209" s="69" t="str">
        <f t="shared" si="52"/>
        <v>Costa de Marfil</v>
      </c>
      <c r="AR209" s="69" t="str">
        <f t="shared" si="53"/>
        <v>Paraguay</v>
      </c>
      <c r="AS209" s="69" t="str">
        <f t="shared" si="54"/>
        <v>Korea</v>
      </c>
      <c r="AT209" s="69" t="str">
        <f t="shared" si="55"/>
        <v>Suecia</v>
      </c>
      <c r="AU209" s="69" t="e">
        <f t="shared" si="56"/>
        <v>#N/A</v>
      </c>
      <c r="AV209" s="69" t="str">
        <f t="shared" si="57"/>
        <v>Senegal</v>
      </c>
    </row>
    <row r="210" spans="24:48" x14ac:dyDescent="0.2">
      <c r="X210" s="64" t="str">
        <f t="shared" si="58"/>
        <v/>
      </c>
      <c r="Y210" s="68" t="s">
        <v>32</v>
      </c>
      <c r="Z210" s="68" t="s">
        <v>13</v>
      </c>
      <c r="AA210" s="68" t="s">
        <v>15</v>
      </c>
      <c r="AB210" s="68" t="s">
        <v>28</v>
      </c>
      <c r="AC210" s="68" t="s">
        <v>25</v>
      </c>
      <c r="AD210" s="68" t="s">
        <v>31</v>
      </c>
      <c r="AE210" s="68" t="s">
        <v>184</v>
      </c>
      <c r="AF210" s="68" t="s">
        <v>185</v>
      </c>
      <c r="AG210">
        <f t="shared" si="59"/>
        <v>0</v>
      </c>
      <c r="AH210">
        <f t="shared" si="43"/>
        <v>0</v>
      </c>
      <c r="AI210">
        <f t="shared" si="44"/>
        <v>1</v>
      </c>
      <c r="AJ210">
        <f t="shared" si="45"/>
        <v>1</v>
      </c>
      <c r="AK210">
        <f t="shared" si="46"/>
        <v>1</v>
      </c>
      <c r="AL210">
        <f t="shared" si="47"/>
        <v>1</v>
      </c>
      <c r="AM210">
        <f t="shared" si="48"/>
        <v>1</v>
      </c>
      <c r="AN210">
        <f t="shared" si="49"/>
        <v>0</v>
      </c>
      <c r="AO210" s="69" t="e">
        <f t="shared" si="50"/>
        <v>#N/A</v>
      </c>
      <c r="AP210" s="69" t="e">
        <f t="shared" si="51"/>
        <v>#N/A</v>
      </c>
      <c r="AQ210" s="69" t="str">
        <f t="shared" si="52"/>
        <v>Costa de Marfil</v>
      </c>
      <c r="AR210" s="69" t="str">
        <f t="shared" si="53"/>
        <v>Paraguay</v>
      </c>
      <c r="AS210" s="69" t="str">
        <f t="shared" si="54"/>
        <v>Korea</v>
      </c>
      <c r="AT210" s="69" t="str">
        <f t="shared" si="55"/>
        <v>Suecia</v>
      </c>
      <c r="AU210" s="69" t="str">
        <f t="shared" si="56"/>
        <v>Senegal</v>
      </c>
      <c r="AV210" s="69" t="e">
        <f t="shared" si="57"/>
        <v>#N/A</v>
      </c>
    </row>
    <row r="211" spans="24:48" x14ac:dyDescent="0.2">
      <c r="X211" s="64" t="str">
        <f t="shared" si="58"/>
        <v/>
      </c>
      <c r="Y211" s="68" t="s">
        <v>15</v>
      </c>
      <c r="Z211" s="68" t="s">
        <v>14</v>
      </c>
      <c r="AA211" s="68" t="s">
        <v>13</v>
      </c>
      <c r="AB211" s="68" t="s">
        <v>28</v>
      </c>
      <c r="AC211" s="68" t="s">
        <v>25</v>
      </c>
      <c r="AD211" s="68" t="s">
        <v>31</v>
      </c>
      <c r="AE211" s="68" t="s">
        <v>186</v>
      </c>
      <c r="AF211" s="68" t="s">
        <v>185</v>
      </c>
      <c r="AG211">
        <f t="shared" si="59"/>
        <v>1</v>
      </c>
      <c r="AH211">
        <f t="shared" si="43"/>
        <v>1</v>
      </c>
      <c r="AI211">
        <f t="shared" si="44"/>
        <v>0</v>
      </c>
      <c r="AJ211">
        <f t="shared" si="45"/>
        <v>1</v>
      </c>
      <c r="AK211">
        <f t="shared" si="46"/>
        <v>1</v>
      </c>
      <c r="AL211">
        <f t="shared" si="47"/>
        <v>1</v>
      </c>
      <c r="AM211">
        <f t="shared" si="48"/>
        <v>0</v>
      </c>
      <c r="AN211">
        <f t="shared" si="49"/>
        <v>0</v>
      </c>
      <c r="AO211" s="69" t="str">
        <f t="shared" si="50"/>
        <v>Costa de Marfil</v>
      </c>
      <c r="AP211" s="69" t="str">
        <f t="shared" si="51"/>
        <v>Irán</v>
      </c>
      <c r="AQ211" s="69" t="e">
        <f t="shared" si="52"/>
        <v>#N/A</v>
      </c>
      <c r="AR211" s="69" t="str">
        <f t="shared" si="53"/>
        <v>Paraguay</v>
      </c>
      <c r="AS211" s="69" t="str">
        <f t="shared" si="54"/>
        <v>Korea</v>
      </c>
      <c r="AT211" s="69" t="str">
        <f t="shared" si="55"/>
        <v>Suecia</v>
      </c>
      <c r="AU211" s="69" t="e">
        <f t="shared" si="56"/>
        <v>#N/A</v>
      </c>
      <c r="AV211" s="69" t="e">
        <f t="shared" si="57"/>
        <v>#N/A</v>
      </c>
    </row>
    <row r="212" spans="24:48" x14ac:dyDescent="0.2">
      <c r="X212" s="64" t="str">
        <f t="shared" si="58"/>
        <v/>
      </c>
      <c r="Y212" s="68" t="s">
        <v>15</v>
      </c>
      <c r="Z212" s="68" t="s">
        <v>14</v>
      </c>
      <c r="AA212" s="68" t="s">
        <v>184</v>
      </c>
      <c r="AB212" s="68" t="s">
        <v>28</v>
      </c>
      <c r="AC212" s="68" t="s">
        <v>25</v>
      </c>
      <c r="AD212" s="68" t="s">
        <v>31</v>
      </c>
      <c r="AE212" s="68" t="s">
        <v>186</v>
      </c>
      <c r="AF212" s="68" t="s">
        <v>185</v>
      </c>
      <c r="AG212">
        <f t="shared" si="59"/>
        <v>1</v>
      </c>
      <c r="AH212">
        <f t="shared" ref="AH212:AH275" si="60">IFERROR(VLOOKUP(Z212,$B$21:$T$28,19,0),0)</f>
        <v>1</v>
      </c>
      <c r="AI212">
        <f t="shared" ref="AI212:AI275" si="61">IFERROR(VLOOKUP(AA212,$B$21:$T$28,19,0),0)</f>
        <v>1</v>
      </c>
      <c r="AJ212">
        <f t="shared" ref="AJ212:AJ275" si="62">IFERROR(VLOOKUP(AB212,$B$21:$T$28,19,0),0)</f>
        <v>1</v>
      </c>
      <c r="AK212">
        <f t="shared" ref="AK212:AK275" si="63">IFERROR(VLOOKUP(AC212,$B$21:$T$28,19,0),0)</f>
        <v>1</v>
      </c>
      <c r="AL212">
        <f t="shared" ref="AL212:AL275" si="64">IFERROR(VLOOKUP(AD212,$B$21:$T$28,19,0),0)</f>
        <v>1</v>
      </c>
      <c r="AM212">
        <f t="shared" ref="AM212:AM275" si="65">IFERROR(VLOOKUP(AE212,$B$21:$T$28,19,0),0)</f>
        <v>0</v>
      </c>
      <c r="AN212">
        <f t="shared" ref="AN212:AN275" si="66">IFERROR(VLOOKUP(AF212,$B$21:$T$28,19,0),0)</f>
        <v>0</v>
      </c>
      <c r="AO212" s="69" t="str">
        <f t="shared" ref="AO212:AO275" si="67">VLOOKUP(Y212,$B$21:$C$28,2,0)</f>
        <v>Costa de Marfil</v>
      </c>
      <c r="AP212" s="69" t="str">
        <f t="shared" ref="AP212:AP275" si="68">VLOOKUP(Z212,$B$21:$C$28,2,0)</f>
        <v>Irán</v>
      </c>
      <c r="AQ212" s="69" t="str">
        <f t="shared" ref="AQ212:AQ275" si="69">VLOOKUP(AA212,$B$21:$C$28,2,0)</f>
        <v>Senegal</v>
      </c>
      <c r="AR212" s="69" t="str">
        <f t="shared" ref="AR212:AR275" si="70">VLOOKUP(AB212,$B$21:$C$28,2,0)</f>
        <v>Paraguay</v>
      </c>
      <c r="AS212" s="69" t="str">
        <f t="shared" ref="AS212:AS275" si="71">VLOOKUP(AC212,$B$21:$C$28,2,0)</f>
        <v>Korea</v>
      </c>
      <c r="AT212" s="69" t="str">
        <f t="shared" ref="AT212:AT275" si="72">VLOOKUP(AD212,$B$21:$C$28,2,0)</f>
        <v>Suecia</v>
      </c>
      <c r="AU212" s="69" t="e">
        <f t="shared" ref="AU212:AU275" si="73">VLOOKUP(AE212,$B$21:$C$28,2,0)</f>
        <v>#N/A</v>
      </c>
      <c r="AV212" s="69" t="e">
        <f t="shared" ref="AV212:AV275" si="74">VLOOKUP(AF212,$B$21:$C$28,2,0)</f>
        <v>#N/A</v>
      </c>
    </row>
    <row r="213" spans="24:48" x14ac:dyDescent="0.2">
      <c r="X213" s="64" t="str">
        <f t="shared" ref="X213:X276" si="75">IF(SUM(AG213:AN213)=8,"X","")</f>
        <v/>
      </c>
      <c r="Y213" s="68" t="s">
        <v>15</v>
      </c>
      <c r="Z213" s="68" t="s">
        <v>14</v>
      </c>
      <c r="AA213" s="68" t="s">
        <v>13</v>
      </c>
      <c r="AB213" s="68" t="s">
        <v>28</v>
      </c>
      <c r="AC213" s="68" t="s">
        <v>25</v>
      </c>
      <c r="AD213" s="68" t="s">
        <v>31</v>
      </c>
      <c r="AE213" s="68" t="s">
        <v>186</v>
      </c>
      <c r="AF213" s="68" t="s">
        <v>184</v>
      </c>
      <c r="AG213">
        <f t="shared" ref="AG213:AG276" si="76">IFERROR(VLOOKUP(Y213,$B$21:$T$28,19,0),0)</f>
        <v>1</v>
      </c>
      <c r="AH213">
        <f t="shared" si="60"/>
        <v>1</v>
      </c>
      <c r="AI213">
        <f t="shared" si="61"/>
        <v>0</v>
      </c>
      <c r="AJ213">
        <f t="shared" si="62"/>
        <v>1</v>
      </c>
      <c r="AK213">
        <f t="shared" si="63"/>
        <v>1</v>
      </c>
      <c r="AL213">
        <f t="shared" si="64"/>
        <v>1</v>
      </c>
      <c r="AM213">
        <f t="shared" si="65"/>
        <v>0</v>
      </c>
      <c r="AN213">
        <f t="shared" si="66"/>
        <v>1</v>
      </c>
      <c r="AO213" s="69" t="str">
        <f t="shared" si="67"/>
        <v>Costa de Marfil</v>
      </c>
      <c r="AP213" s="69" t="str">
        <f t="shared" si="68"/>
        <v>Irán</v>
      </c>
      <c r="AQ213" s="69" t="e">
        <f t="shared" si="69"/>
        <v>#N/A</v>
      </c>
      <c r="AR213" s="69" t="str">
        <f t="shared" si="70"/>
        <v>Paraguay</v>
      </c>
      <c r="AS213" s="69" t="str">
        <f t="shared" si="71"/>
        <v>Korea</v>
      </c>
      <c r="AT213" s="69" t="str">
        <f t="shared" si="72"/>
        <v>Suecia</v>
      </c>
      <c r="AU213" s="69" t="e">
        <f t="shared" si="73"/>
        <v>#N/A</v>
      </c>
      <c r="AV213" s="69" t="str">
        <f t="shared" si="74"/>
        <v>Senegal</v>
      </c>
    </row>
    <row r="214" spans="24:48" x14ac:dyDescent="0.2">
      <c r="X214" s="64" t="str">
        <f t="shared" si="75"/>
        <v/>
      </c>
      <c r="Y214" s="68" t="s">
        <v>15</v>
      </c>
      <c r="Z214" s="68" t="s">
        <v>14</v>
      </c>
      <c r="AA214" s="68" t="s">
        <v>13</v>
      </c>
      <c r="AB214" s="68" t="s">
        <v>28</v>
      </c>
      <c r="AC214" s="68" t="s">
        <v>25</v>
      </c>
      <c r="AD214" s="68" t="s">
        <v>31</v>
      </c>
      <c r="AE214" s="68" t="s">
        <v>184</v>
      </c>
      <c r="AF214" s="68" t="s">
        <v>185</v>
      </c>
      <c r="AG214">
        <f t="shared" si="76"/>
        <v>1</v>
      </c>
      <c r="AH214">
        <f t="shared" si="60"/>
        <v>1</v>
      </c>
      <c r="AI214">
        <f t="shared" si="61"/>
        <v>0</v>
      </c>
      <c r="AJ214">
        <f t="shared" si="62"/>
        <v>1</v>
      </c>
      <c r="AK214">
        <f t="shared" si="63"/>
        <v>1</v>
      </c>
      <c r="AL214">
        <f t="shared" si="64"/>
        <v>1</v>
      </c>
      <c r="AM214">
        <f t="shared" si="65"/>
        <v>1</v>
      </c>
      <c r="AN214">
        <f t="shared" si="66"/>
        <v>0</v>
      </c>
      <c r="AO214" s="69" t="str">
        <f t="shared" si="67"/>
        <v>Costa de Marfil</v>
      </c>
      <c r="AP214" s="69" t="str">
        <f t="shared" si="68"/>
        <v>Irán</v>
      </c>
      <c r="AQ214" s="69" t="e">
        <f t="shared" si="69"/>
        <v>#N/A</v>
      </c>
      <c r="AR214" s="69" t="str">
        <f t="shared" si="70"/>
        <v>Paraguay</v>
      </c>
      <c r="AS214" s="69" t="str">
        <f t="shared" si="71"/>
        <v>Korea</v>
      </c>
      <c r="AT214" s="69" t="str">
        <f t="shared" si="72"/>
        <v>Suecia</v>
      </c>
      <c r="AU214" s="69" t="str">
        <f t="shared" si="73"/>
        <v>Senegal</v>
      </c>
      <c r="AV214" s="69" t="e">
        <f t="shared" si="74"/>
        <v>#N/A</v>
      </c>
    </row>
    <row r="215" spans="24:48" x14ac:dyDescent="0.2">
      <c r="X215" s="64" t="str">
        <f t="shared" si="75"/>
        <v/>
      </c>
      <c r="Y215" s="68" t="s">
        <v>32</v>
      </c>
      <c r="Z215" s="68" t="s">
        <v>14</v>
      </c>
      <c r="AA215" s="68" t="s">
        <v>15</v>
      </c>
      <c r="AB215" s="68" t="s">
        <v>28</v>
      </c>
      <c r="AC215" s="68" t="s">
        <v>25</v>
      </c>
      <c r="AD215" s="68" t="s">
        <v>31</v>
      </c>
      <c r="AE215" s="68" t="s">
        <v>186</v>
      </c>
      <c r="AF215" s="68" t="s">
        <v>185</v>
      </c>
      <c r="AG215">
        <f t="shared" si="76"/>
        <v>0</v>
      </c>
      <c r="AH215">
        <f t="shared" si="60"/>
        <v>1</v>
      </c>
      <c r="AI215">
        <f t="shared" si="61"/>
        <v>1</v>
      </c>
      <c r="AJ215">
        <f t="shared" si="62"/>
        <v>1</v>
      </c>
      <c r="AK215">
        <f t="shared" si="63"/>
        <v>1</v>
      </c>
      <c r="AL215">
        <f t="shared" si="64"/>
        <v>1</v>
      </c>
      <c r="AM215">
        <f t="shared" si="65"/>
        <v>0</v>
      </c>
      <c r="AN215">
        <f t="shared" si="66"/>
        <v>0</v>
      </c>
      <c r="AO215" s="69" t="e">
        <f t="shared" si="67"/>
        <v>#N/A</v>
      </c>
      <c r="AP215" s="69" t="str">
        <f t="shared" si="68"/>
        <v>Irán</v>
      </c>
      <c r="AQ215" s="69" t="str">
        <f t="shared" si="69"/>
        <v>Costa de Marfil</v>
      </c>
      <c r="AR215" s="69" t="str">
        <f t="shared" si="70"/>
        <v>Paraguay</v>
      </c>
      <c r="AS215" s="69" t="str">
        <f t="shared" si="71"/>
        <v>Korea</v>
      </c>
      <c r="AT215" s="69" t="str">
        <f t="shared" si="72"/>
        <v>Suecia</v>
      </c>
      <c r="AU215" s="69" t="e">
        <f t="shared" si="73"/>
        <v>#N/A</v>
      </c>
      <c r="AV215" s="69" t="e">
        <f t="shared" si="74"/>
        <v>#N/A</v>
      </c>
    </row>
    <row r="216" spans="24:48" x14ac:dyDescent="0.2">
      <c r="X216" s="64" t="str">
        <f t="shared" si="75"/>
        <v/>
      </c>
      <c r="Y216" s="68" t="s">
        <v>32</v>
      </c>
      <c r="Z216" s="68" t="s">
        <v>14</v>
      </c>
      <c r="AA216" s="68" t="s">
        <v>13</v>
      </c>
      <c r="AB216" s="68" t="s">
        <v>28</v>
      </c>
      <c r="AC216" s="68" t="s">
        <v>25</v>
      </c>
      <c r="AD216" s="68" t="s">
        <v>31</v>
      </c>
      <c r="AE216" s="68" t="s">
        <v>186</v>
      </c>
      <c r="AF216" s="68" t="s">
        <v>15</v>
      </c>
      <c r="AG216">
        <f t="shared" si="76"/>
        <v>0</v>
      </c>
      <c r="AH216">
        <f t="shared" si="60"/>
        <v>1</v>
      </c>
      <c r="AI216">
        <f t="shared" si="61"/>
        <v>0</v>
      </c>
      <c r="AJ216">
        <f t="shared" si="62"/>
        <v>1</v>
      </c>
      <c r="AK216">
        <f t="shared" si="63"/>
        <v>1</v>
      </c>
      <c r="AL216">
        <f t="shared" si="64"/>
        <v>1</v>
      </c>
      <c r="AM216">
        <f t="shared" si="65"/>
        <v>0</v>
      </c>
      <c r="AN216">
        <f t="shared" si="66"/>
        <v>1</v>
      </c>
      <c r="AO216" s="69" t="e">
        <f t="shared" si="67"/>
        <v>#N/A</v>
      </c>
      <c r="AP216" s="69" t="str">
        <f t="shared" si="68"/>
        <v>Irán</v>
      </c>
      <c r="AQ216" s="69" t="e">
        <f t="shared" si="69"/>
        <v>#N/A</v>
      </c>
      <c r="AR216" s="69" t="str">
        <f t="shared" si="70"/>
        <v>Paraguay</v>
      </c>
      <c r="AS216" s="69" t="str">
        <f t="shared" si="71"/>
        <v>Korea</v>
      </c>
      <c r="AT216" s="69" t="str">
        <f t="shared" si="72"/>
        <v>Suecia</v>
      </c>
      <c r="AU216" s="69" t="e">
        <f t="shared" si="73"/>
        <v>#N/A</v>
      </c>
      <c r="AV216" s="69" t="str">
        <f t="shared" si="74"/>
        <v>Costa de Marfil</v>
      </c>
    </row>
    <row r="217" spans="24:48" x14ac:dyDescent="0.2">
      <c r="X217" s="64" t="str">
        <f t="shared" si="75"/>
        <v/>
      </c>
      <c r="Y217" s="68" t="s">
        <v>32</v>
      </c>
      <c r="Z217" s="68" t="s">
        <v>14</v>
      </c>
      <c r="AA217" s="68" t="s">
        <v>13</v>
      </c>
      <c r="AB217" s="68" t="s">
        <v>28</v>
      </c>
      <c r="AC217" s="68" t="s">
        <v>25</v>
      </c>
      <c r="AD217" s="68" t="s">
        <v>31</v>
      </c>
      <c r="AE217" s="68" t="s">
        <v>15</v>
      </c>
      <c r="AF217" s="68" t="s">
        <v>185</v>
      </c>
      <c r="AG217">
        <f t="shared" si="76"/>
        <v>0</v>
      </c>
      <c r="AH217">
        <f t="shared" si="60"/>
        <v>1</v>
      </c>
      <c r="AI217">
        <f t="shared" si="61"/>
        <v>0</v>
      </c>
      <c r="AJ217">
        <f t="shared" si="62"/>
        <v>1</v>
      </c>
      <c r="AK217">
        <f t="shared" si="63"/>
        <v>1</v>
      </c>
      <c r="AL217">
        <f t="shared" si="64"/>
        <v>1</v>
      </c>
      <c r="AM217">
        <f t="shared" si="65"/>
        <v>1</v>
      </c>
      <c r="AN217">
        <f t="shared" si="66"/>
        <v>0</v>
      </c>
      <c r="AO217" s="69" t="e">
        <f t="shared" si="67"/>
        <v>#N/A</v>
      </c>
      <c r="AP217" s="69" t="str">
        <f t="shared" si="68"/>
        <v>Irán</v>
      </c>
      <c r="AQ217" s="69" t="e">
        <f t="shared" si="69"/>
        <v>#N/A</v>
      </c>
      <c r="AR217" s="69" t="str">
        <f t="shared" si="70"/>
        <v>Paraguay</v>
      </c>
      <c r="AS217" s="69" t="str">
        <f t="shared" si="71"/>
        <v>Korea</v>
      </c>
      <c r="AT217" s="69" t="str">
        <f t="shared" si="72"/>
        <v>Suecia</v>
      </c>
      <c r="AU217" s="69" t="str">
        <f t="shared" si="73"/>
        <v>Costa de Marfil</v>
      </c>
      <c r="AV217" s="69" t="e">
        <f t="shared" si="74"/>
        <v>#N/A</v>
      </c>
    </row>
    <row r="218" spans="24:48" x14ac:dyDescent="0.2">
      <c r="X218" s="64" t="str">
        <f t="shared" si="75"/>
        <v/>
      </c>
      <c r="Y218" s="68" t="s">
        <v>32</v>
      </c>
      <c r="Z218" s="68" t="s">
        <v>14</v>
      </c>
      <c r="AA218" s="68" t="s">
        <v>15</v>
      </c>
      <c r="AB218" s="68" t="s">
        <v>28</v>
      </c>
      <c r="AC218" s="68" t="s">
        <v>25</v>
      </c>
      <c r="AD218" s="68" t="s">
        <v>31</v>
      </c>
      <c r="AE218" s="68" t="s">
        <v>186</v>
      </c>
      <c r="AF218" s="68" t="s">
        <v>184</v>
      </c>
      <c r="AG218">
        <f t="shared" si="76"/>
        <v>0</v>
      </c>
      <c r="AH218">
        <f t="shared" si="60"/>
        <v>1</v>
      </c>
      <c r="AI218">
        <f t="shared" si="61"/>
        <v>1</v>
      </c>
      <c r="AJ218">
        <f t="shared" si="62"/>
        <v>1</v>
      </c>
      <c r="AK218">
        <f t="shared" si="63"/>
        <v>1</v>
      </c>
      <c r="AL218">
        <f t="shared" si="64"/>
        <v>1</v>
      </c>
      <c r="AM218">
        <f t="shared" si="65"/>
        <v>0</v>
      </c>
      <c r="AN218">
        <f t="shared" si="66"/>
        <v>1</v>
      </c>
      <c r="AO218" s="69" t="e">
        <f t="shared" si="67"/>
        <v>#N/A</v>
      </c>
      <c r="AP218" s="69" t="str">
        <f t="shared" si="68"/>
        <v>Irán</v>
      </c>
      <c r="AQ218" s="69" t="str">
        <f t="shared" si="69"/>
        <v>Costa de Marfil</v>
      </c>
      <c r="AR218" s="69" t="str">
        <f t="shared" si="70"/>
        <v>Paraguay</v>
      </c>
      <c r="AS218" s="69" t="str">
        <f t="shared" si="71"/>
        <v>Korea</v>
      </c>
      <c r="AT218" s="69" t="str">
        <f t="shared" si="72"/>
        <v>Suecia</v>
      </c>
      <c r="AU218" s="69" t="e">
        <f t="shared" si="73"/>
        <v>#N/A</v>
      </c>
      <c r="AV218" s="69" t="str">
        <f t="shared" si="74"/>
        <v>Senegal</v>
      </c>
    </row>
    <row r="219" spans="24:48" x14ac:dyDescent="0.2">
      <c r="X219" s="64" t="str">
        <f t="shared" si="75"/>
        <v/>
      </c>
      <c r="Y219" s="68" t="s">
        <v>32</v>
      </c>
      <c r="Z219" s="68" t="s">
        <v>14</v>
      </c>
      <c r="AA219" s="68" t="s">
        <v>15</v>
      </c>
      <c r="AB219" s="68" t="s">
        <v>28</v>
      </c>
      <c r="AC219" s="68" t="s">
        <v>25</v>
      </c>
      <c r="AD219" s="68" t="s">
        <v>31</v>
      </c>
      <c r="AE219" s="68" t="s">
        <v>184</v>
      </c>
      <c r="AF219" s="68" t="s">
        <v>185</v>
      </c>
      <c r="AG219">
        <f t="shared" si="76"/>
        <v>0</v>
      </c>
      <c r="AH219">
        <f t="shared" si="60"/>
        <v>1</v>
      </c>
      <c r="AI219">
        <f t="shared" si="61"/>
        <v>1</v>
      </c>
      <c r="AJ219">
        <f t="shared" si="62"/>
        <v>1</v>
      </c>
      <c r="AK219">
        <f t="shared" si="63"/>
        <v>1</v>
      </c>
      <c r="AL219">
        <f t="shared" si="64"/>
        <v>1</v>
      </c>
      <c r="AM219">
        <f t="shared" si="65"/>
        <v>1</v>
      </c>
      <c r="AN219">
        <f t="shared" si="66"/>
        <v>0</v>
      </c>
      <c r="AO219" s="69" t="e">
        <f t="shared" si="67"/>
        <v>#N/A</v>
      </c>
      <c r="AP219" s="69" t="str">
        <f t="shared" si="68"/>
        <v>Irán</v>
      </c>
      <c r="AQ219" s="69" t="str">
        <f t="shared" si="69"/>
        <v>Costa de Marfil</v>
      </c>
      <c r="AR219" s="69" t="str">
        <f t="shared" si="70"/>
        <v>Paraguay</v>
      </c>
      <c r="AS219" s="69" t="str">
        <f t="shared" si="71"/>
        <v>Korea</v>
      </c>
      <c r="AT219" s="69" t="str">
        <f t="shared" si="72"/>
        <v>Suecia</v>
      </c>
      <c r="AU219" s="69" t="str">
        <f t="shared" si="73"/>
        <v>Senegal</v>
      </c>
      <c r="AV219" s="69" t="e">
        <f t="shared" si="74"/>
        <v>#N/A</v>
      </c>
    </row>
    <row r="220" spans="24:48" x14ac:dyDescent="0.2">
      <c r="X220" s="64" t="str">
        <f t="shared" si="75"/>
        <v/>
      </c>
      <c r="Y220" s="68" t="s">
        <v>32</v>
      </c>
      <c r="Z220" s="68" t="s">
        <v>14</v>
      </c>
      <c r="AA220" s="68" t="s">
        <v>13</v>
      </c>
      <c r="AB220" s="68" t="s">
        <v>28</v>
      </c>
      <c r="AC220" s="68" t="s">
        <v>25</v>
      </c>
      <c r="AD220" s="68" t="s">
        <v>31</v>
      </c>
      <c r="AE220" s="68" t="s">
        <v>15</v>
      </c>
      <c r="AF220" s="68" t="s">
        <v>184</v>
      </c>
      <c r="AG220">
        <f t="shared" si="76"/>
        <v>0</v>
      </c>
      <c r="AH220">
        <f t="shared" si="60"/>
        <v>1</v>
      </c>
      <c r="AI220">
        <f t="shared" si="61"/>
        <v>0</v>
      </c>
      <c r="AJ220">
        <f t="shared" si="62"/>
        <v>1</v>
      </c>
      <c r="AK220">
        <f t="shared" si="63"/>
        <v>1</v>
      </c>
      <c r="AL220">
        <f t="shared" si="64"/>
        <v>1</v>
      </c>
      <c r="AM220">
        <f t="shared" si="65"/>
        <v>1</v>
      </c>
      <c r="AN220">
        <f t="shared" si="66"/>
        <v>1</v>
      </c>
      <c r="AO220" s="69" t="e">
        <f t="shared" si="67"/>
        <v>#N/A</v>
      </c>
      <c r="AP220" s="69" t="str">
        <f t="shared" si="68"/>
        <v>Irán</v>
      </c>
      <c r="AQ220" s="69" t="e">
        <f t="shared" si="69"/>
        <v>#N/A</v>
      </c>
      <c r="AR220" s="69" t="str">
        <f t="shared" si="70"/>
        <v>Paraguay</v>
      </c>
      <c r="AS220" s="69" t="str">
        <f t="shared" si="71"/>
        <v>Korea</v>
      </c>
      <c r="AT220" s="69" t="str">
        <f t="shared" si="72"/>
        <v>Suecia</v>
      </c>
      <c r="AU220" s="69" t="str">
        <f t="shared" si="73"/>
        <v>Costa de Marfil</v>
      </c>
      <c r="AV220" s="69" t="str">
        <f t="shared" si="74"/>
        <v>Senegal</v>
      </c>
    </row>
    <row r="221" spans="24:48" x14ac:dyDescent="0.2">
      <c r="X221" s="64" t="str">
        <f t="shared" si="75"/>
        <v/>
      </c>
      <c r="Y221" s="68" t="s">
        <v>32</v>
      </c>
      <c r="Z221" s="68" t="s">
        <v>13</v>
      </c>
      <c r="AA221" s="68" t="s">
        <v>184</v>
      </c>
      <c r="AB221" s="68" t="s">
        <v>27</v>
      </c>
      <c r="AC221" s="68" t="s">
        <v>25</v>
      </c>
      <c r="AD221" s="68" t="s">
        <v>14</v>
      </c>
      <c r="AE221" s="68" t="s">
        <v>186</v>
      </c>
      <c r="AF221" s="68" t="s">
        <v>185</v>
      </c>
      <c r="AG221">
        <f t="shared" si="76"/>
        <v>0</v>
      </c>
      <c r="AH221">
        <f t="shared" si="60"/>
        <v>0</v>
      </c>
      <c r="AI221">
        <f t="shared" si="61"/>
        <v>1</v>
      </c>
      <c r="AJ221">
        <f t="shared" si="62"/>
        <v>1</v>
      </c>
      <c r="AK221">
        <f t="shared" si="63"/>
        <v>1</v>
      </c>
      <c r="AL221">
        <f t="shared" si="64"/>
        <v>1</v>
      </c>
      <c r="AM221">
        <f t="shared" si="65"/>
        <v>0</v>
      </c>
      <c r="AN221">
        <f t="shared" si="66"/>
        <v>0</v>
      </c>
      <c r="AO221" s="69" t="e">
        <f t="shared" si="67"/>
        <v>#N/A</v>
      </c>
      <c r="AP221" s="69" t="e">
        <f t="shared" si="68"/>
        <v>#N/A</v>
      </c>
      <c r="AQ221" s="69" t="str">
        <f t="shared" si="69"/>
        <v>Senegal</v>
      </c>
      <c r="AR221" s="69" t="str">
        <f t="shared" si="70"/>
        <v>Marruecos</v>
      </c>
      <c r="AS221" s="69" t="str">
        <f t="shared" si="71"/>
        <v>Korea</v>
      </c>
      <c r="AT221" s="69" t="str">
        <f t="shared" si="72"/>
        <v>Irán</v>
      </c>
      <c r="AU221" s="69" t="e">
        <f t="shared" si="73"/>
        <v>#N/A</v>
      </c>
      <c r="AV221" s="69" t="e">
        <f t="shared" si="74"/>
        <v>#N/A</v>
      </c>
    </row>
    <row r="222" spans="24:48" x14ac:dyDescent="0.2">
      <c r="X222" s="64" t="str">
        <f t="shared" si="75"/>
        <v/>
      </c>
      <c r="Y222" s="68" t="s">
        <v>32</v>
      </c>
      <c r="Z222" s="68" t="s">
        <v>13</v>
      </c>
      <c r="AA222" s="68" t="s">
        <v>184</v>
      </c>
      <c r="AB222" s="68" t="s">
        <v>27</v>
      </c>
      <c r="AC222" s="68" t="s">
        <v>25</v>
      </c>
      <c r="AD222" s="68" t="s">
        <v>31</v>
      </c>
      <c r="AE222" s="68" t="s">
        <v>186</v>
      </c>
      <c r="AF222" s="68" t="s">
        <v>185</v>
      </c>
      <c r="AG222">
        <f t="shared" si="76"/>
        <v>0</v>
      </c>
      <c r="AH222">
        <f t="shared" si="60"/>
        <v>0</v>
      </c>
      <c r="AI222">
        <f t="shared" si="61"/>
        <v>1</v>
      </c>
      <c r="AJ222">
        <f t="shared" si="62"/>
        <v>1</v>
      </c>
      <c r="AK222">
        <f t="shared" si="63"/>
        <v>1</v>
      </c>
      <c r="AL222">
        <f t="shared" si="64"/>
        <v>1</v>
      </c>
      <c r="AM222">
        <f t="shared" si="65"/>
        <v>0</v>
      </c>
      <c r="AN222">
        <f t="shared" si="66"/>
        <v>0</v>
      </c>
      <c r="AO222" s="69" t="e">
        <f t="shared" si="67"/>
        <v>#N/A</v>
      </c>
      <c r="AP222" s="69" t="e">
        <f t="shared" si="68"/>
        <v>#N/A</v>
      </c>
      <c r="AQ222" s="69" t="str">
        <f t="shared" si="69"/>
        <v>Senegal</v>
      </c>
      <c r="AR222" s="69" t="str">
        <f t="shared" si="70"/>
        <v>Marruecos</v>
      </c>
      <c r="AS222" s="69" t="str">
        <f t="shared" si="71"/>
        <v>Korea</v>
      </c>
      <c r="AT222" s="69" t="str">
        <f t="shared" si="72"/>
        <v>Suecia</v>
      </c>
      <c r="AU222" s="69" t="e">
        <f t="shared" si="73"/>
        <v>#N/A</v>
      </c>
      <c r="AV222" s="69" t="e">
        <f t="shared" si="74"/>
        <v>#N/A</v>
      </c>
    </row>
    <row r="223" spans="24:48" x14ac:dyDescent="0.2">
      <c r="X223" s="64" t="str">
        <f t="shared" si="75"/>
        <v/>
      </c>
      <c r="Y223" s="68" t="s">
        <v>184</v>
      </c>
      <c r="Z223" s="68" t="s">
        <v>14</v>
      </c>
      <c r="AA223" s="68" t="s">
        <v>13</v>
      </c>
      <c r="AB223" s="68" t="s">
        <v>27</v>
      </c>
      <c r="AC223" s="68" t="s">
        <v>25</v>
      </c>
      <c r="AD223" s="68" t="s">
        <v>31</v>
      </c>
      <c r="AE223" s="68" t="s">
        <v>186</v>
      </c>
      <c r="AF223" s="68" t="s">
        <v>185</v>
      </c>
      <c r="AG223">
        <f t="shared" si="76"/>
        <v>1</v>
      </c>
      <c r="AH223">
        <f t="shared" si="60"/>
        <v>1</v>
      </c>
      <c r="AI223">
        <f t="shared" si="61"/>
        <v>0</v>
      </c>
      <c r="AJ223">
        <f t="shared" si="62"/>
        <v>1</v>
      </c>
      <c r="AK223">
        <f t="shared" si="63"/>
        <v>1</v>
      </c>
      <c r="AL223">
        <f t="shared" si="64"/>
        <v>1</v>
      </c>
      <c r="AM223">
        <f t="shared" si="65"/>
        <v>0</v>
      </c>
      <c r="AN223">
        <f t="shared" si="66"/>
        <v>0</v>
      </c>
      <c r="AO223" s="69" t="str">
        <f t="shared" si="67"/>
        <v>Senegal</v>
      </c>
      <c r="AP223" s="69" t="str">
        <f t="shared" si="68"/>
        <v>Irán</v>
      </c>
      <c r="AQ223" s="69" t="e">
        <f t="shared" si="69"/>
        <v>#N/A</v>
      </c>
      <c r="AR223" s="69" t="str">
        <f t="shared" si="70"/>
        <v>Marruecos</v>
      </c>
      <c r="AS223" s="69" t="str">
        <f t="shared" si="71"/>
        <v>Korea</v>
      </c>
      <c r="AT223" s="69" t="str">
        <f t="shared" si="72"/>
        <v>Suecia</v>
      </c>
      <c r="AU223" s="69" t="e">
        <f t="shared" si="73"/>
        <v>#N/A</v>
      </c>
      <c r="AV223" s="69" t="e">
        <f t="shared" si="74"/>
        <v>#N/A</v>
      </c>
    </row>
    <row r="224" spans="24:48" x14ac:dyDescent="0.2">
      <c r="X224" s="64" t="str">
        <f t="shared" si="75"/>
        <v/>
      </c>
      <c r="Y224" s="68" t="s">
        <v>32</v>
      </c>
      <c r="Z224" s="68" t="s">
        <v>14</v>
      </c>
      <c r="AA224" s="68" t="s">
        <v>13</v>
      </c>
      <c r="AB224" s="68" t="s">
        <v>27</v>
      </c>
      <c r="AC224" s="68" t="s">
        <v>25</v>
      </c>
      <c r="AD224" s="68" t="s">
        <v>31</v>
      </c>
      <c r="AE224" s="68" t="s">
        <v>186</v>
      </c>
      <c r="AF224" s="68" t="s">
        <v>185</v>
      </c>
      <c r="AG224">
        <f t="shared" si="76"/>
        <v>0</v>
      </c>
      <c r="AH224">
        <f t="shared" si="60"/>
        <v>1</v>
      </c>
      <c r="AI224">
        <f t="shared" si="61"/>
        <v>0</v>
      </c>
      <c r="AJ224">
        <f t="shared" si="62"/>
        <v>1</v>
      </c>
      <c r="AK224">
        <f t="shared" si="63"/>
        <v>1</v>
      </c>
      <c r="AL224">
        <f t="shared" si="64"/>
        <v>1</v>
      </c>
      <c r="AM224">
        <f t="shared" si="65"/>
        <v>0</v>
      </c>
      <c r="AN224">
        <f t="shared" si="66"/>
        <v>0</v>
      </c>
      <c r="AO224" s="69" t="e">
        <f t="shared" si="67"/>
        <v>#N/A</v>
      </c>
      <c r="AP224" s="69" t="str">
        <f t="shared" si="68"/>
        <v>Irán</v>
      </c>
      <c r="AQ224" s="69" t="e">
        <f t="shared" si="69"/>
        <v>#N/A</v>
      </c>
      <c r="AR224" s="69" t="str">
        <f t="shared" si="70"/>
        <v>Marruecos</v>
      </c>
      <c r="AS224" s="69" t="str">
        <f t="shared" si="71"/>
        <v>Korea</v>
      </c>
      <c r="AT224" s="69" t="str">
        <f t="shared" si="72"/>
        <v>Suecia</v>
      </c>
      <c r="AU224" s="69" t="e">
        <f t="shared" si="73"/>
        <v>#N/A</v>
      </c>
      <c r="AV224" s="69" t="e">
        <f t="shared" si="74"/>
        <v>#N/A</v>
      </c>
    </row>
    <row r="225" spans="24:48" x14ac:dyDescent="0.2">
      <c r="X225" s="64" t="str">
        <f t="shared" si="75"/>
        <v/>
      </c>
      <c r="Y225" s="68" t="s">
        <v>32</v>
      </c>
      <c r="Z225" s="68" t="s">
        <v>14</v>
      </c>
      <c r="AA225" s="68" t="s">
        <v>184</v>
      </c>
      <c r="AB225" s="68" t="s">
        <v>27</v>
      </c>
      <c r="AC225" s="68" t="s">
        <v>25</v>
      </c>
      <c r="AD225" s="68" t="s">
        <v>31</v>
      </c>
      <c r="AE225" s="68" t="s">
        <v>186</v>
      </c>
      <c r="AF225" s="68" t="s">
        <v>185</v>
      </c>
      <c r="AG225">
        <f t="shared" si="76"/>
        <v>0</v>
      </c>
      <c r="AH225">
        <f t="shared" si="60"/>
        <v>1</v>
      </c>
      <c r="AI225">
        <f t="shared" si="61"/>
        <v>1</v>
      </c>
      <c r="AJ225">
        <f t="shared" si="62"/>
        <v>1</v>
      </c>
      <c r="AK225">
        <f t="shared" si="63"/>
        <v>1</v>
      </c>
      <c r="AL225">
        <f t="shared" si="64"/>
        <v>1</v>
      </c>
      <c r="AM225">
        <f t="shared" si="65"/>
        <v>0</v>
      </c>
      <c r="AN225">
        <f t="shared" si="66"/>
        <v>0</v>
      </c>
      <c r="AO225" s="69" t="e">
        <f t="shared" si="67"/>
        <v>#N/A</v>
      </c>
      <c r="AP225" s="69" t="str">
        <f t="shared" si="68"/>
        <v>Irán</v>
      </c>
      <c r="AQ225" s="69" t="str">
        <f t="shared" si="69"/>
        <v>Senegal</v>
      </c>
      <c r="AR225" s="69" t="str">
        <f t="shared" si="70"/>
        <v>Marruecos</v>
      </c>
      <c r="AS225" s="69" t="str">
        <f t="shared" si="71"/>
        <v>Korea</v>
      </c>
      <c r="AT225" s="69" t="str">
        <f t="shared" si="72"/>
        <v>Suecia</v>
      </c>
      <c r="AU225" s="69" t="e">
        <f t="shared" si="73"/>
        <v>#N/A</v>
      </c>
      <c r="AV225" s="69" t="e">
        <f t="shared" si="74"/>
        <v>#N/A</v>
      </c>
    </row>
    <row r="226" spans="24:48" x14ac:dyDescent="0.2">
      <c r="X226" s="64" t="str">
        <f t="shared" si="75"/>
        <v/>
      </c>
      <c r="Y226" s="68" t="s">
        <v>32</v>
      </c>
      <c r="Z226" s="68" t="s">
        <v>14</v>
      </c>
      <c r="AA226" s="68" t="s">
        <v>13</v>
      </c>
      <c r="AB226" s="68" t="s">
        <v>27</v>
      </c>
      <c r="AC226" s="68" t="s">
        <v>25</v>
      </c>
      <c r="AD226" s="68" t="s">
        <v>31</v>
      </c>
      <c r="AE226" s="68" t="s">
        <v>186</v>
      </c>
      <c r="AF226" s="68" t="s">
        <v>184</v>
      </c>
      <c r="AG226">
        <f t="shared" si="76"/>
        <v>0</v>
      </c>
      <c r="AH226">
        <f t="shared" si="60"/>
        <v>1</v>
      </c>
      <c r="AI226">
        <f t="shared" si="61"/>
        <v>0</v>
      </c>
      <c r="AJ226">
        <f t="shared" si="62"/>
        <v>1</v>
      </c>
      <c r="AK226">
        <f t="shared" si="63"/>
        <v>1</v>
      </c>
      <c r="AL226">
        <f t="shared" si="64"/>
        <v>1</v>
      </c>
      <c r="AM226">
        <f t="shared" si="65"/>
        <v>0</v>
      </c>
      <c r="AN226">
        <f t="shared" si="66"/>
        <v>1</v>
      </c>
      <c r="AO226" s="69" t="e">
        <f t="shared" si="67"/>
        <v>#N/A</v>
      </c>
      <c r="AP226" s="69" t="str">
        <f t="shared" si="68"/>
        <v>Irán</v>
      </c>
      <c r="AQ226" s="69" t="e">
        <f t="shared" si="69"/>
        <v>#N/A</v>
      </c>
      <c r="AR226" s="69" t="str">
        <f t="shared" si="70"/>
        <v>Marruecos</v>
      </c>
      <c r="AS226" s="69" t="str">
        <f t="shared" si="71"/>
        <v>Korea</v>
      </c>
      <c r="AT226" s="69" t="str">
        <f t="shared" si="72"/>
        <v>Suecia</v>
      </c>
      <c r="AU226" s="69" t="e">
        <f t="shared" si="73"/>
        <v>#N/A</v>
      </c>
      <c r="AV226" s="69" t="str">
        <f t="shared" si="74"/>
        <v>Senegal</v>
      </c>
    </row>
    <row r="227" spans="24:48" x14ac:dyDescent="0.2">
      <c r="X227" s="64" t="str">
        <f t="shared" si="75"/>
        <v/>
      </c>
      <c r="Y227" s="68" t="s">
        <v>32</v>
      </c>
      <c r="Z227" s="68" t="s">
        <v>14</v>
      </c>
      <c r="AA227" s="68" t="s">
        <v>13</v>
      </c>
      <c r="AB227" s="68" t="s">
        <v>27</v>
      </c>
      <c r="AC227" s="68" t="s">
        <v>25</v>
      </c>
      <c r="AD227" s="68" t="s">
        <v>31</v>
      </c>
      <c r="AE227" s="68" t="s">
        <v>184</v>
      </c>
      <c r="AF227" s="68" t="s">
        <v>185</v>
      </c>
      <c r="AG227">
        <f t="shared" si="76"/>
        <v>0</v>
      </c>
      <c r="AH227">
        <f t="shared" si="60"/>
        <v>1</v>
      </c>
      <c r="AI227">
        <f t="shared" si="61"/>
        <v>0</v>
      </c>
      <c r="AJ227">
        <f t="shared" si="62"/>
        <v>1</v>
      </c>
      <c r="AK227">
        <f t="shared" si="63"/>
        <v>1</v>
      </c>
      <c r="AL227">
        <f t="shared" si="64"/>
        <v>1</v>
      </c>
      <c r="AM227">
        <f t="shared" si="65"/>
        <v>1</v>
      </c>
      <c r="AN227">
        <f t="shared" si="66"/>
        <v>0</v>
      </c>
      <c r="AO227" s="69" t="e">
        <f t="shared" si="67"/>
        <v>#N/A</v>
      </c>
      <c r="AP227" s="69" t="str">
        <f t="shared" si="68"/>
        <v>Irán</v>
      </c>
      <c r="AQ227" s="69" t="e">
        <f t="shared" si="69"/>
        <v>#N/A</v>
      </c>
      <c r="AR227" s="69" t="str">
        <f t="shared" si="70"/>
        <v>Marruecos</v>
      </c>
      <c r="AS227" s="69" t="str">
        <f t="shared" si="71"/>
        <v>Korea</v>
      </c>
      <c r="AT227" s="69" t="str">
        <f t="shared" si="72"/>
        <v>Suecia</v>
      </c>
      <c r="AU227" s="69" t="str">
        <f t="shared" si="73"/>
        <v>Senegal</v>
      </c>
      <c r="AV227" s="69" t="e">
        <f t="shared" si="74"/>
        <v>#N/A</v>
      </c>
    </row>
    <row r="228" spans="24:48" x14ac:dyDescent="0.2">
      <c r="X228" s="64" t="str">
        <f t="shared" si="75"/>
        <v/>
      </c>
      <c r="Y228" s="68" t="s">
        <v>15</v>
      </c>
      <c r="Z228" s="68" t="s">
        <v>13</v>
      </c>
      <c r="AA228" s="68" t="s">
        <v>184</v>
      </c>
      <c r="AB228" s="68" t="s">
        <v>27</v>
      </c>
      <c r="AC228" s="68" t="s">
        <v>25</v>
      </c>
      <c r="AD228" s="68" t="s">
        <v>32</v>
      </c>
      <c r="AE228" s="68" t="s">
        <v>186</v>
      </c>
      <c r="AF228" s="68" t="s">
        <v>185</v>
      </c>
      <c r="AG228">
        <f t="shared" si="76"/>
        <v>1</v>
      </c>
      <c r="AH228">
        <f t="shared" si="60"/>
        <v>0</v>
      </c>
      <c r="AI228">
        <f t="shared" si="61"/>
        <v>1</v>
      </c>
      <c r="AJ228">
        <f t="shared" si="62"/>
        <v>1</v>
      </c>
      <c r="AK228">
        <f t="shared" si="63"/>
        <v>1</v>
      </c>
      <c r="AL228">
        <f t="shared" si="64"/>
        <v>0</v>
      </c>
      <c r="AM228">
        <f t="shared" si="65"/>
        <v>0</v>
      </c>
      <c r="AN228">
        <f t="shared" si="66"/>
        <v>0</v>
      </c>
      <c r="AO228" s="69" t="str">
        <f t="shared" si="67"/>
        <v>Costa de Marfil</v>
      </c>
      <c r="AP228" s="69" t="e">
        <f t="shared" si="68"/>
        <v>#N/A</v>
      </c>
      <c r="AQ228" s="69" t="str">
        <f t="shared" si="69"/>
        <v>Senegal</v>
      </c>
      <c r="AR228" s="69" t="str">
        <f t="shared" si="70"/>
        <v>Marruecos</v>
      </c>
      <c r="AS228" s="69" t="str">
        <f t="shared" si="71"/>
        <v>Korea</v>
      </c>
      <c r="AT228" s="69" t="e">
        <f t="shared" si="72"/>
        <v>#N/A</v>
      </c>
      <c r="AU228" s="69" t="e">
        <f t="shared" si="73"/>
        <v>#N/A</v>
      </c>
      <c r="AV228" s="69" t="e">
        <f t="shared" si="74"/>
        <v>#N/A</v>
      </c>
    </row>
    <row r="229" spans="24:48" x14ac:dyDescent="0.2">
      <c r="X229" s="64" t="str">
        <f t="shared" si="75"/>
        <v/>
      </c>
      <c r="Y229" s="68" t="s">
        <v>15</v>
      </c>
      <c r="Z229" s="68" t="s">
        <v>13</v>
      </c>
      <c r="AA229" s="68" t="s">
        <v>184</v>
      </c>
      <c r="AB229" s="68" t="s">
        <v>27</v>
      </c>
      <c r="AC229" s="68" t="s">
        <v>25</v>
      </c>
      <c r="AD229" s="68" t="s">
        <v>14</v>
      </c>
      <c r="AE229" s="68" t="s">
        <v>186</v>
      </c>
      <c r="AF229" s="68" t="s">
        <v>185</v>
      </c>
      <c r="AG229">
        <f t="shared" si="76"/>
        <v>1</v>
      </c>
      <c r="AH229">
        <f t="shared" si="60"/>
        <v>0</v>
      </c>
      <c r="AI229">
        <f t="shared" si="61"/>
        <v>1</v>
      </c>
      <c r="AJ229">
        <f t="shared" si="62"/>
        <v>1</v>
      </c>
      <c r="AK229">
        <f t="shared" si="63"/>
        <v>1</v>
      </c>
      <c r="AL229">
        <f t="shared" si="64"/>
        <v>1</v>
      </c>
      <c r="AM229">
        <f t="shared" si="65"/>
        <v>0</v>
      </c>
      <c r="AN229">
        <f t="shared" si="66"/>
        <v>0</v>
      </c>
      <c r="AO229" s="69" t="str">
        <f t="shared" si="67"/>
        <v>Costa de Marfil</v>
      </c>
      <c r="AP229" s="69" t="e">
        <f t="shared" si="68"/>
        <v>#N/A</v>
      </c>
      <c r="AQ229" s="69" t="str">
        <f t="shared" si="69"/>
        <v>Senegal</v>
      </c>
      <c r="AR229" s="69" t="str">
        <f t="shared" si="70"/>
        <v>Marruecos</v>
      </c>
      <c r="AS229" s="69" t="str">
        <f t="shared" si="71"/>
        <v>Korea</v>
      </c>
      <c r="AT229" s="69" t="str">
        <f t="shared" si="72"/>
        <v>Irán</v>
      </c>
      <c r="AU229" s="69" t="e">
        <f t="shared" si="73"/>
        <v>#N/A</v>
      </c>
      <c r="AV229" s="69" t="e">
        <f t="shared" si="74"/>
        <v>#N/A</v>
      </c>
    </row>
    <row r="230" spans="24:48" x14ac:dyDescent="0.2">
      <c r="X230" s="64" t="str">
        <f t="shared" si="75"/>
        <v/>
      </c>
      <c r="Y230" s="68" t="s">
        <v>15</v>
      </c>
      <c r="Z230" s="68" t="s">
        <v>14</v>
      </c>
      <c r="AA230" s="68" t="s">
        <v>13</v>
      </c>
      <c r="AB230" s="68" t="s">
        <v>27</v>
      </c>
      <c r="AC230" s="68" t="s">
        <v>25</v>
      </c>
      <c r="AD230" s="68" t="s">
        <v>32</v>
      </c>
      <c r="AE230" s="68" t="s">
        <v>186</v>
      </c>
      <c r="AF230" s="68" t="s">
        <v>185</v>
      </c>
      <c r="AG230">
        <f t="shared" si="76"/>
        <v>1</v>
      </c>
      <c r="AH230">
        <f t="shared" si="60"/>
        <v>1</v>
      </c>
      <c r="AI230">
        <f t="shared" si="61"/>
        <v>0</v>
      </c>
      <c r="AJ230">
        <f t="shared" si="62"/>
        <v>1</v>
      </c>
      <c r="AK230">
        <f t="shared" si="63"/>
        <v>1</v>
      </c>
      <c r="AL230">
        <f t="shared" si="64"/>
        <v>0</v>
      </c>
      <c r="AM230">
        <f t="shared" si="65"/>
        <v>0</v>
      </c>
      <c r="AN230">
        <f t="shared" si="66"/>
        <v>0</v>
      </c>
      <c r="AO230" s="69" t="str">
        <f t="shared" si="67"/>
        <v>Costa de Marfil</v>
      </c>
      <c r="AP230" s="69" t="str">
        <f t="shared" si="68"/>
        <v>Irán</v>
      </c>
      <c r="AQ230" s="69" t="e">
        <f t="shared" si="69"/>
        <v>#N/A</v>
      </c>
      <c r="AR230" s="69" t="str">
        <f t="shared" si="70"/>
        <v>Marruecos</v>
      </c>
      <c r="AS230" s="69" t="str">
        <f t="shared" si="71"/>
        <v>Korea</v>
      </c>
      <c r="AT230" s="69" t="e">
        <f t="shared" si="72"/>
        <v>#N/A</v>
      </c>
      <c r="AU230" s="69" t="e">
        <f t="shared" si="73"/>
        <v>#N/A</v>
      </c>
      <c r="AV230" s="69" t="e">
        <f t="shared" si="74"/>
        <v>#N/A</v>
      </c>
    </row>
    <row r="231" spans="24:48" x14ac:dyDescent="0.2">
      <c r="X231" s="64" t="str">
        <f t="shared" si="75"/>
        <v/>
      </c>
      <c r="Y231" s="68" t="s">
        <v>15</v>
      </c>
      <c r="Z231" s="68" t="s">
        <v>14</v>
      </c>
      <c r="AA231" s="68" t="s">
        <v>184</v>
      </c>
      <c r="AB231" s="68" t="s">
        <v>27</v>
      </c>
      <c r="AC231" s="68" t="s">
        <v>25</v>
      </c>
      <c r="AD231" s="68" t="s">
        <v>32</v>
      </c>
      <c r="AE231" s="68" t="s">
        <v>186</v>
      </c>
      <c r="AF231" s="68" t="s">
        <v>185</v>
      </c>
      <c r="AG231">
        <f t="shared" si="76"/>
        <v>1</v>
      </c>
      <c r="AH231">
        <f t="shared" si="60"/>
        <v>1</v>
      </c>
      <c r="AI231">
        <f t="shared" si="61"/>
        <v>1</v>
      </c>
      <c r="AJ231">
        <f t="shared" si="62"/>
        <v>1</v>
      </c>
      <c r="AK231">
        <f t="shared" si="63"/>
        <v>1</v>
      </c>
      <c r="AL231">
        <f t="shared" si="64"/>
        <v>0</v>
      </c>
      <c r="AM231">
        <f t="shared" si="65"/>
        <v>0</v>
      </c>
      <c r="AN231">
        <f t="shared" si="66"/>
        <v>0</v>
      </c>
      <c r="AO231" s="69" t="str">
        <f t="shared" si="67"/>
        <v>Costa de Marfil</v>
      </c>
      <c r="AP231" s="69" t="str">
        <f t="shared" si="68"/>
        <v>Irán</v>
      </c>
      <c r="AQ231" s="69" t="str">
        <f t="shared" si="69"/>
        <v>Senegal</v>
      </c>
      <c r="AR231" s="69" t="str">
        <f t="shared" si="70"/>
        <v>Marruecos</v>
      </c>
      <c r="AS231" s="69" t="str">
        <f t="shared" si="71"/>
        <v>Korea</v>
      </c>
      <c r="AT231" s="69" t="e">
        <f t="shared" si="72"/>
        <v>#N/A</v>
      </c>
      <c r="AU231" s="69" t="e">
        <f t="shared" si="73"/>
        <v>#N/A</v>
      </c>
      <c r="AV231" s="69" t="e">
        <f t="shared" si="74"/>
        <v>#N/A</v>
      </c>
    </row>
    <row r="232" spans="24:48" x14ac:dyDescent="0.2">
      <c r="X232" s="64" t="str">
        <f t="shared" si="75"/>
        <v/>
      </c>
      <c r="Y232" s="68" t="s">
        <v>15</v>
      </c>
      <c r="Z232" s="68" t="s">
        <v>14</v>
      </c>
      <c r="AA232" s="68" t="s">
        <v>13</v>
      </c>
      <c r="AB232" s="68" t="s">
        <v>27</v>
      </c>
      <c r="AC232" s="68" t="s">
        <v>25</v>
      </c>
      <c r="AD232" s="68" t="s">
        <v>32</v>
      </c>
      <c r="AE232" s="68" t="s">
        <v>186</v>
      </c>
      <c r="AF232" s="68" t="s">
        <v>184</v>
      </c>
      <c r="AG232">
        <f t="shared" si="76"/>
        <v>1</v>
      </c>
      <c r="AH232">
        <f t="shared" si="60"/>
        <v>1</v>
      </c>
      <c r="AI232">
        <f t="shared" si="61"/>
        <v>0</v>
      </c>
      <c r="AJ232">
        <f t="shared" si="62"/>
        <v>1</v>
      </c>
      <c r="AK232">
        <f t="shared" si="63"/>
        <v>1</v>
      </c>
      <c r="AL232">
        <f t="shared" si="64"/>
        <v>0</v>
      </c>
      <c r="AM232">
        <f t="shared" si="65"/>
        <v>0</v>
      </c>
      <c r="AN232">
        <f t="shared" si="66"/>
        <v>1</v>
      </c>
      <c r="AO232" s="69" t="str">
        <f t="shared" si="67"/>
        <v>Costa de Marfil</v>
      </c>
      <c r="AP232" s="69" t="str">
        <f t="shared" si="68"/>
        <v>Irán</v>
      </c>
      <c r="AQ232" s="69" t="e">
        <f t="shared" si="69"/>
        <v>#N/A</v>
      </c>
      <c r="AR232" s="69" t="str">
        <f t="shared" si="70"/>
        <v>Marruecos</v>
      </c>
      <c r="AS232" s="69" t="str">
        <f t="shared" si="71"/>
        <v>Korea</v>
      </c>
      <c r="AT232" s="69" t="e">
        <f t="shared" si="72"/>
        <v>#N/A</v>
      </c>
      <c r="AU232" s="69" t="e">
        <f t="shared" si="73"/>
        <v>#N/A</v>
      </c>
      <c r="AV232" s="69" t="str">
        <f t="shared" si="74"/>
        <v>Senegal</v>
      </c>
    </row>
    <row r="233" spans="24:48" x14ac:dyDescent="0.2">
      <c r="X233" s="64" t="str">
        <f t="shared" si="75"/>
        <v/>
      </c>
      <c r="Y233" s="68" t="s">
        <v>15</v>
      </c>
      <c r="Z233" s="68" t="s">
        <v>14</v>
      </c>
      <c r="AA233" s="68" t="s">
        <v>13</v>
      </c>
      <c r="AB233" s="68" t="s">
        <v>27</v>
      </c>
      <c r="AC233" s="68" t="s">
        <v>25</v>
      </c>
      <c r="AD233" s="68" t="s">
        <v>32</v>
      </c>
      <c r="AE233" s="68" t="s">
        <v>184</v>
      </c>
      <c r="AF233" s="68" t="s">
        <v>185</v>
      </c>
      <c r="AG233">
        <f t="shared" si="76"/>
        <v>1</v>
      </c>
      <c r="AH233">
        <f t="shared" si="60"/>
        <v>1</v>
      </c>
      <c r="AI233">
        <f t="shared" si="61"/>
        <v>0</v>
      </c>
      <c r="AJ233">
        <f t="shared" si="62"/>
        <v>1</v>
      </c>
      <c r="AK233">
        <f t="shared" si="63"/>
        <v>1</v>
      </c>
      <c r="AL233">
        <f t="shared" si="64"/>
        <v>0</v>
      </c>
      <c r="AM233">
        <f t="shared" si="65"/>
        <v>1</v>
      </c>
      <c r="AN233">
        <f t="shared" si="66"/>
        <v>0</v>
      </c>
      <c r="AO233" s="69" t="str">
        <f t="shared" si="67"/>
        <v>Costa de Marfil</v>
      </c>
      <c r="AP233" s="69" t="str">
        <f t="shared" si="68"/>
        <v>Irán</v>
      </c>
      <c r="AQ233" s="69" t="e">
        <f t="shared" si="69"/>
        <v>#N/A</v>
      </c>
      <c r="AR233" s="69" t="str">
        <f t="shared" si="70"/>
        <v>Marruecos</v>
      </c>
      <c r="AS233" s="69" t="str">
        <f t="shared" si="71"/>
        <v>Korea</v>
      </c>
      <c r="AT233" s="69" t="e">
        <f t="shared" si="72"/>
        <v>#N/A</v>
      </c>
      <c r="AU233" s="69" t="str">
        <f t="shared" si="73"/>
        <v>Senegal</v>
      </c>
      <c r="AV233" s="69" t="e">
        <f t="shared" si="74"/>
        <v>#N/A</v>
      </c>
    </row>
    <row r="234" spans="24:48" x14ac:dyDescent="0.2">
      <c r="X234" s="64" t="str">
        <f t="shared" si="75"/>
        <v/>
      </c>
      <c r="Y234" s="68" t="s">
        <v>15</v>
      </c>
      <c r="Z234" s="68" t="s">
        <v>13</v>
      </c>
      <c r="AA234" s="68" t="s">
        <v>184</v>
      </c>
      <c r="AB234" s="68" t="s">
        <v>27</v>
      </c>
      <c r="AC234" s="68" t="s">
        <v>25</v>
      </c>
      <c r="AD234" s="68" t="s">
        <v>31</v>
      </c>
      <c r="AE234" s="68" t="s">
        <v>186</v>
      </c>
      <c r="AF234" s="68" t="s">
        <v>185</v>
      </c>
      <c r="AG234">
        <f t="shared" si="76"/>
        <v>1</v>
      </c>
      <c r="AH234">
        <f t="shared" si="60"/>
        <v>0</v>
      </c>
      <c r="AI234">
        <f t="shared" si="61"/>
        <v>1</v>
      </c>
      <c r="AJ234">
        <f t="shared" si="62"/>
        <v>1</v>
      </c>
      <c r="AK234">
        <f t="shared" si="63"/>
        <v>1</v>
      </c>
      <c r="AL234">
        <f t="shared" si="64"/>
        <v>1</v>
      </c>
      <c r="AM234">
        <f t="shared" si="65"/>
        <v>0</v>
      </c>
      <c r="AN234">
        <f t="shared" si="66"/>
        <v>0</v>
      </c>
      <c r="AO234" s="69" t="str">
        <f t="shared" si="67"/>
        <v>Costa de Marfil</v>
      </c>
      <c r="AP234" s="69" t="e">
        <f t="shared" si="68"/>
        <v>#N/A</v>
      </c>
      <c r="AQ234" s="69" t="str">
        <f t="shared" si="69"/>
        <v>Senegal</v>
      </c>
      <c r="AR234" s="69" t="str">
        <f t="shared" si="70"/>
        <v>Marruecos</v>
      </c>
      <c r="AS234" s="69" t="str">
        <f t="shared" si="71"/>
        <v>Korea</v>
      </c>
      <c r="AT234" s="69" t="str">
        <f t="shared" si="72"/>
        <v>Suecia</v>
      </c>
      <c r="AU234" s="69" t="e">
        <f t="shared" si="73"/>
        <v>#N/A</v>
      </c>
      <c r="AV234" s="69" t="e">
        <f t="shared" si="74"/>
        <v>#N/A</v>
      </c>
    </row>
    <row r="235" spans="24:48" x14ac:dyDescent="0.2">
      <c r="X235" s="64" t="str">
        <f t="shared" si="75"/>
        <v/>
      </c>
      <c r="Y235" s="68" t="s">
        <v>32</v>
      </c>
      <c r="Z235" s="68" t="s">
        <v>13</v>
      </c>
      <c r="AA235" s="68" t="s">
        <v>15</v>
      </c>
      <c r="AB235" s="68" t="s">
        <v>27</v>
      </c>
      <c r="AC235" s="68" t="s">
        <v>25</v>
      </c>
      <c r="AD235" s="68" t="s">
        <v>31</v>
      </c>
      <c r="AE235" s="68" t="s">
        <v>186</v>
      </c>
      <c r="AF235" s="68" t="s">
        <v>185</v>
      </c>
      <c r="AG235">
        <f t="shared" si="76"/>
        <v>0</v>
      </c>
      <c r="AH235">
        <f t="shared" si="60"/>
        <v>0</v>
      </c>
      <c r="AI235">
        <f t="shared" si="61"/>
        <v>1</v>
      </c>
      <c r="AJ235">
        <f t="shared" si="62"/>
        <v>1</v>
      </c>
      <c r="AK235">
        <f t="shared" si="63"/>
        <v>1</v>
      </c>
      <c r="AL235">
        <f t="shared" si="64"/>
        <v>1</v>
      </c>
      <c r="AM235">
        <f t="shared" si="65"/>
        <v>0</v>
      </c>
      <c r="AN235">
        <f t="shared" si="66"/>
        <v>0</v>
      </c>
      <c r="AO235" s="69" t="e">
        <f t="shared" si="67"/>
        <v>#N/A</v>
      </c>
      <c r="AP235" s="69" t="e">
        <f t="shared" si="68"/>
        <v>#N/A</v>
      </c>
      <c r="AQ235" s="69" t="str">
        <f t="shared" si="69"/>
        <v>Costa de Marfil</v>
      </c>
      <c r="AR235" s="69" t="str">
        <f t="shared" si="70"/>
        <v>Marruecos</v>
      </c>
      <c r="AS235" s="69" t="str">
        <f t="shared" si="71"/>
        <v>Korea</v>
      </c>
      <c r="AT235" s="69" t="str">
        <f t="shared" si="72"/>
        <v>Suecia</v>
      </c>
      <c r="AU235" s="69" t="e">
        <f t="shared" si="73"/>
        <v>#N/A</v>
      </c>
      <c r="AV235" s="69" t="e">
        <f t="shared" si="74"/>
        <v>#N/A</v>
      </c>
    </row>
    <row r="236" spans="24:48" x14ac:dyDescent="0.2">
      <c r="X236" s="64" t="str">
        <f t="shared" si="75"/>
        <v/>
      </c>
      <c r="Y236" s="68" t="s">
        <v>32</v>
      </c>
      <c r="Z236" s="68" t="s">
        <v>15</v>
      </c>
      <c r="AA236" s="68" t="s">
        <v>184</v>
      </c>
      <c r="AB236" s="68" t="s">
        <v>27</v>
      </c>
      <c r="AC236" s="68" t="s">
        <v>25</v>
      </c>
      <c r="AD236" s="68" t="s">
        <v>31</v>
      </c>
      <c r="AE236" s="68" t="s">
        <v>186</v>
      </c>
      <c r="AF236" s="68" t="s">
        <v>185</v>
      </c>
      <c r="AG236">
        <f t="shared" si="76"/>
        <v>0</v>
      </c>
      <c r="AH236">
        <f t="shared" si="60"/>
        <v>1</v>
      </c>
      <c r="AI236">
        <f t="shared" si="61"/>
        <v>1</v>
      </c>
      <c r="AJ236">
        <f t="shared" si="62"/>
        <v>1</v>
      </c>
      <c r="AK236">
        <f t="shared" si="63"/>
        <v>1</v>
      </c>
      <c r="AL236">
        <f t="shared" si="64"/>
        <v>1</v>
      </c>
      <c r="AM236">
        <f t="shared" si="65"/>
        <v>0</v>
      </c>
      <c r="AN236">
        <f t="shared" si="66"/>
        <v>0</v>
      </c>
      <c r="AO236" s="69" t="e">
        <f t="shared" si="67"/>
        <v>#N/A</v>
      </c>
      <c r="AP236" s="69" t="str">
        <f t="shared" si="68"/>
        <v>Costa de Marfil</v>
      </c>
      <c r="AQ236" s="69" t="str">
        <f t="shared" si="69"/>
        <v>Senegal</v>
      </c>
      <c r="AR236" s="69" t="str">
        <f t="shared" si="70"/>
        <v>Marruecos</v>
      </c>
      <c r="AS236" s="69" t="str">
        <f t="shared" si="71"/>
        <v>Korea</v>
      </c>
      <c r="AT236" s="69" t="str">
        <f t="shared" si="72"/>
        <v>Suecia</v>
      </c>
      <c r="AU236" s="69" t="e">
        <f t="shared" si="73"/>
        <v>#N/A</v>
      </c>
      <c r="AV236" s="69" t="e">
        <f t="shared" si="74"/>
        <v>#N/A</v>
      </c>
    </row>
    <row r="237" spans="24:48" x14ac:dyDescent="0.2">
      <c r="X237" s="64" t="str">
        <f t="shared" si="75"/>
        <v/>
      </c>
      <c r="Y237" s="68" t="s">
        <v>32</v>
      </c>
      <c r="Z237" s="68" t="s">
        <v>13</v>
      </c>
      <c r="AA237" s="68" t="s">
        <v>15</v>
      </c>
      <c r="AB237" s="68" t="s">
        <v>27</v>
      </c>
      <c r="AC237" s="68" t="s">
        <v>25</v>
      </c>
      <c r="AD237" s="68" t="s">
        <v>31</v>
      </c>
      <c r="AE237" s="68" t="s">
        <v>186</v>
      </c>
      <c r="AF237" s="68" t="s">
        <v>184</v>
      </c>
      <c r="AG237">
        <f t="shared" si="76"/>
        <v>0</v>
      </c>
      <c r="AH237">
        <f t="shared" si="60"/>
        <v>0</v>
      </c>
      <c r="AI237">
        <f t="shared" si="61"/>
        <v>1</v>
      </c>
      <c r="AJ237">
        <f t="shared" si="62"/>
        <v>1</v>
      </c>
      <c r="AK237">
        <f t="shared" si="63"/>
        <v>1</v>
      </c>
      <c r="AL237">
        <f t="shared" si="64"/>
        <v>1</v>
      </c>
      <c r="AM237">
        <f t="shared" si="65"/>
        <v>0</v>
      </c>
      <c r="AN237">
        <f t="shared" si="66"/>
        <v>1</v>
      </c>
      <c r="AO237" s="69" t="e">
        <f t="shared" si="67"/>
        <v>#N/A</v>
      </c>
      <c r="AP237" s="69" t="e">
        <f t="shared" si="68"/>
        <v>#N/A</v>
      </c>
      <c r="AQ237" s="69" t="str">
        <f t="shared" si="69"/>
        <v>Costa de Marfil</v>
      </c>
      <c r="AR237" s="69" t="str">
        <f t="shared" si="70"/>
        <v>Marruecos</v>
      </c>
      <c r="AS237" s="69" t="str">
        <f t="shared" si="71"/>
        <v>Korea</v>
      </c>
      <c r="AT237" s="69" t="str">
        <f t="shared" si="72"/>
        <v>Suecia</v>
      </c>
      <c r="AU237" s="69" t="e">
        <f t="shared" si="73"/>
        <v>#N/A</v>
      </c>
      <c r="AV237" s="69" t="str">
        <f t="shared" si="74"/>
        <v>Senegal</v>
      </c>
    </row>
    <row r="238" spans="24:48" x14ac:dyDescent="0.2">
      <c r="X238" s="64" t="str">
        <f t="shared" si="75"/>
        <v/>
      </c>
      <c r="Y238" s="68" t="s">
        <v>32</v>
      </c>
      <c r="Z238" s="68" t="s">
        <v>13</v>
      </c>
      <c r="AA238" s="68" t="s">
        <v>15</v>
      </c>
      <c r="AB238" s="68" t="s">
        <v>27</v>
      </c>
      <c r="AC238" s="68" t="s">
        <v>25</v>
      </c>
      <c r="AD238" s="68" t="s">
        <v>31</v>
      </c>
      <c r="AE238" s="68" t="s">
        <v>184</v>
      </c>
      <c r="AF238" s="68" t="s">
        <v>185</v>
      </c>
      <c r="AG238">
        <f t="shared" si="76"/>
        <v>0</v>
      </c>
      <c r="AH238">
        <f t="shared" si="60"/>
        <v>0</v>
      </c>
      <c r="AI238">
        <f t="shared" si="61"/>
        <v>1</v>
      </c>
      <c r="AJ238">
        <f t="shared" si="62"/>
        <v>1</v>
      </c>
      <c r="AK238">
        <f t="shared" si="63"/>
        <v>1</v>
      </c>
      <c r="AL238">
        <f t="shared" si="64"/>
        <v>1</v>
      </c>
      <c r="AM238">
        <f t="shared" si="65"/>
        <v>1</v>
      </c>
      <c r="AN238">
        <f t="shared" si="66"/>
        <v>0</v>
      </c>
      <c r="AO238" s="69" t="e">
        <f t="shared" si="67"/>
        <v>#N/A</v>
      </c>
      <c r="AP238" s="69" t="e">
        <f t="shared" si="68"/>
        <v>#N/A</v>
      </c>
      <c r="AQ238" s="69" t="str">
        <f t="shared" si="69"/>
        <v>Costa de Marfil</v>
      </c>
      <c r="AR238" s="69" t="str">
        <f t="shared" si="70"/>
        <v>Marruecos</v>
      </c>
      <c r="AS238" s="69" t="str">
        <f t="shared" si="71"/>
        <v>Korea</v>
      </c>
      <c r="AT238" s="69" t="str">
        <f t="shared" si="72"/>
        <v>Suecia</v>
      </c>
      <c r="AU238" s="69" t="str">
        <f t="shared" si="73"/>
        <v>Senegal</v>
      </c>
      <c r="AV238" s="69" t="e">
        <f t="shared" si="74"/>
        <v>#N/A</v>
      </c>
    </row>
    <row r="239" spans="24:48" x14ac:dyDescent="0.2">
      <c r="X239" s="64" t="str">
        <f t="shared" si="75"/>
        <v/>
      </c>
      <c r="Y239" s="68" t="s">
        <v>15</v>
      </c>
      <c r="Z239" s="68" t="s">
        <v>14</v>
      </c>
      <c r="AA239" s="68" t="s">
        <v>13</v>
      </c>
      <c r="AB239" s="68" t="s">
        <v>27</v>
      </c>
      <c r="AC239" s="68" t="s">
        <v>25</v>
      </c>
      <c r="AD239" s="68" t="s">
        <v>31</v>
      </c>
      <c r="AE239" s="68" t="s">
        <v>186</v>
      </c>
      <c r="AF239" s="68" t="s">
        <v>185</v>
      </c>
      <c r="AG239">
        <f t="shared" si="76"/>
        <v>1</v>
      </c>
      <c r="AH239">
        <f t="shared" si="60"/>
        <v>1</v>
      </c>
      <c r="AI239">
        <f t="shared" si="61"/>
        <v>0</v>
      </c>
      <c r="AJ239">
        <f t="shared" si="62"/>
        <v>1</v>
      </c>
      <c r="AK239">
        <f t="shared" si="63"/>
        <v>1</v>
      </c>
      <c r="AL239">
        <f t="shared" si="64"/>
        <v>1</v>
      </c>
      <c r="AM239">
        <f t="shared" si="65"/>
        <v>0</v>
      </c>
      <c r="AN239">
        <f t="shared" si="66"/>
        <v>0</v>
      </c>
      <c r="AO239" s="69" t="str">
        <f t="shared" si="67"/>
        <v>Costa de Marfil</v>
      </c>
      <c r="AP239" s="69" t="str">
        <f t="shared" si="68"/>
        <v>Irán</v>
      </c>
      <c r="AQ239" s="69" t="e">
        <f t="shared" si="69"/>
        <v>#N/A</v>
      </c>
      <c r="AR239" s="69" t="str">
        <f t="shared" si="70"/>
        <v>Marruecos</v>
      </c>
      <c r="AS239" s="69" t="str">
        <f t="shared" si="71"/>
        <v>Korea</v>
      </c>
      <c r="AT239" s="69" t="str">
        <f t="shared" si="72"/>
        <v>Suecia</v>
      </c>
      <c r="AU239" s="69" t="e">
        <f t="shared" si="73"/>
        <v>#N/A</v>
      </c>
      <c r="AV239" s="69" t="e">
        <f t="shared" si="74"/>
        <v>#N/A</v>
      </c>
    </row>
    <row r="240" spans="24:48" x14ac:dyDescent="0.2">
      <c r="X240" s="64" t="str">
        <f t="shared" si="75"/>
        <v/>
      </c>
      <c r="Y240" s="68" t="s">
        <v>15</v>
      </c>
      <c r="Z240" s="68" t="s">
        <v>14</v>
      </c>
      <c r="AA240" s="68" t="s">
        <v>184</v>
      </c>
      <c r="AB240" s="68" t="s">
        <v>27</v>
      </c>
      <c r="AC240" s="68" t="s">
        <v>25</v>
      </c>
      <c r="AD240" s="68" t="s">
        <v>31</v>
      </c>
      <c r="AE240" s="68" t="s">
        <v>186</v>
      </c>
      <c r="AF240" s="68" t="s">
        <v>185</v>
      </c>
      <c r="AG240">
        <f t="shared" si="76"/>
        <v>1</v>
      </c>
      <c r="AH240">
        <f t="shared" si="60"/>
        <v>1</v>
      </c>
      <c r="AI240">
        <f t="shared" si="61"/>
        <v>1</v>
      </c>
      <c r="AJ240">
        <f t="shared" si="62"/>
        <v>1</v>
      </c>
      <c r="AK240">
        <f t="shared" si="63"/>
        <v>1</v>
      </c>
      <c r="AL240">
        <f t="shared" si="64"/>
        <v>1</v>
      </c>
      <c r="AM240">
        <f t="shared" si="65"/>
        <v>0</v>
      </c>
      <c r="AN240">
        <f t="shared" si="66"/>
        <v>0</v>
      </c>
      <c r="AO240" s="69" t="str">
        <f t="shared" si="67"/>
        <v>Costa de Marfil</v>
      </c>
      <c r="AP240" s="69" t="str">
        <f t="shared" si="68"/>
        <v>Irán</v>
      </c>
      <c r="AQ240" s="69" t="str">
        <f t="shared" si="69"/>
        <v>Senegal</v>
      </c>
      <c r="AR240" s="69" t="str">
        <f t="shared" si="70"/>
        <v>Marruecos</v>
      </c>
      <c r="AS240" s="69" t="str">
        <f t="shared" si="71"/>
        <v>Korea</v>
      </c>
      <c r="AT240" s="69" t="str">
        <f t="shared" si="72"/>
        <v>Suecia</v>
      </c>
      <c r="AU240" s="69" t="e">
        <f t="shared" si="73"/>
        <v>#N/A</v>
      </c>
      <c r="AV240" s="69" t="e">
        <f t="shared" si="74"/>
        <v>#N/A</v>
      </c>
    </row>
    <row r="241" spans="24:48" x14ac:dyDescent="0.2">
      <c r="X241" s="64" t="str">
        <f t="shared" si="75"/>
        <v/>
      </c>
      <c r="Y241" s="68" t="s">
        <v>15</v>
      </c>
      <c r="Z241" s="68" t="s">
        <v>14</v>
      </c>
      <c r="AA241" s="68" t="s">
        <v>13</v>
      </c>
      <c r="AB241" s="68" t="s">
        <v>27</v>
      </c>
      <c r="AC241" s="68" t="s">
        <v>25</v>
      </c>
      <c r="AD241" s="68" t="s">
        <v>31</v>
      </c>
      <c r="AE241" s="68" t="s">
        <v>186</v>
      </c>
      <c r="AF241" s="68" t="s">
        <v>184</v>
      </c>
      <c r="AG241">
        <f t="shared" si="76"/>
        <v>1</v>
      </c>
      <c r="AH241">
        <f t="shared" si="60"/>
        <v>1</v>
      </c>
      <c r="AI241">
        <f t="shared" si="61"/>
        <v>0</v>
      </c>
      <c r="AJ241">
        <f t="shared" si="62"/>
        <v>1</v>
      </c>
      <c r="AK241">
        <f t="shared" si="63"/>
        <v>1</v>
      </c>
      <c r="AL241">
        <f t="shared" si="64"/>
        <v>1</v>
      </c>
      <c r="AM241">
        <f t="shared" si="65"/>
        <v>0</v>
      </c>
      <c r="AN241">
        <f t="shared" si="66"/>
        <v>1</v>
      </c>
      <c r="AO241" s="69" t="str">
        <f t="shared" si="67"/>
        <v>Costa de Marfil</v>
      </c>
      <c r="AP241" s="69" t="str">
        <f t="shared" si="68"/>
        <v>Irán</v>
      </c>
      <c r="AQ241" s="69" t="e">
        <f t="shared" si="69"/>
        <v>#N/A</v>
      </c>
      <c r="AR241" s="69" t="str">
        <f t="shared" si="70"/>
        <v>Marruecos</v>
      </c>
      <c r="AS241" s="69" t="str">
        <f t="shared" si="71"/>
        <v>Korea</v>
      </c>
      <c r="AT241" s="69" t="str">
        <f t="shared" si="72"/>
        <v>Suecia</v>
      </c>
      <c r="AU241" s="69" t="e">
        <f t="shared" si="73"/>
        <v>#N/A</v>
      </c>
      <c r="AV241" s="69" t="str">
        <f t="shared" si="74"/>
        <v>Senegal</v>
      </c>
    </row>
    <row r="242" spans="24:48" x14ac:dyDescent="0.2">
      <c r="X242" s="64" t="str">
        <f t="shared" si="75"/>
        <v/>
      </c>
      <c r="Y242" s="68" t="s">
        <v>15</v>
      </c>
      <c r="Z242" s="68" t="s">
        <v>14</v>
      </c>
      <c r="AA242" s="68" t="s">
        <v>13</v>
      </c>
      <c r="AB242" s="68" t="s">
        <v>27</v>
      </c>
      <c r="AC242" s="68" t="s">
        <v>25</v>
      </c>
      <c r="AD242" s="68" t="s">
        <v>31</v>
      </c>
      <c r="AE242" s="68" t="s">
        <v>184</v>
      </c>
      <c r="AF242" s="68" t="s">
        <v>185</v>
      </c>
      <c r="AG242">
        <f t="shared" si="76"/>
        <v>1</v>
      </c>
      <c r="AH242">
        <f t="shared" si="60"/>
        <v>1</v>
      </c>
      <c r="AI242">
        <f t="shared" si="61"/>
        <v>0</v>
      </c>
      <c r="AJ242">
        <f t="shared" si="62"/>
        <v>1</v>
      </c>
      <c r="AK242">
        <f t="shared" si="63"/>
        <v>1</v>
      </c>
      <c r="AL242">
        <f t="shared" si="64"/>
        <v>1</v>
      </c>
      <c r="AM242">
        <f t="shared" si="65"/>
        <v>1</v>
      </c>
      <c r="AN242">
        <f t="shared" si="66"/>
        <v>0</v>
      </c>
      <c r="AO242" s="69" t="str">
        <f t="shared" si="67"/>
        <v>Costa de Marfil</v>
      </c>
      <c r="AP242" s="69" t="str">
        <f t="shared" si="68"/>
        <v>Irán</v>
      </c>
      <c r="AQ242" s="69" t="e">
        <f t="shared" si="69"/>
        <v>#N/A</v>
      </c>
      <c r="AR242" s="69" t="str">
        <f t="shared" si="70"/>
        <v>Marruecos</v>
      </c>
      <c r="AS242" s="69" t="str">
        <f t="shared" si="71"/>
        <v>Korea</v>
      </c>
      <c r="AT242" s="69" t="str">
        <f t="shared" si="72"/>
        <v>Suecia</v>
      </c>
      <c r="AU242" s="69" t="str">
        <f t="shared" si="73"/>
        <v>Senegal</v>
      </c>
      <c r="AV242" s="69" t="e">
        <f t="shared" si="74"/>
        <v>#N/A</v>
      </c>
    </row>
    <row r="243" spans="24:48" x14ac:dyDescent="0.2">
      <c r="X243" s="64" t="str">
        <f t="shared" si="75"/>
        <v/>
      </c>
      <c r="Y243" s="68" t="s">
        <v>32</v>
      </c>
      <c r="Z243" s="68" t="s">
        <v>14</v>
      </c>
      <c r="AA243" s="68" t="s">
        <v>15</v>
      </c>
      <c r="AB243" s="68" t="s">
        <v>27</v>
      </c>
      <c r="AC243" s="68" t="s">
        <v>25</v>
      </c>
      <c r="AD243" s="68" t="s">
        <v>31</v>
      </c>
      <c r="AE243" s="68" t="s">
        <v>186</v>
      </c>
      <c r="AF243" s="68" t="s">
        <v>185</v>
      </c>
      <c r="AG243">
        <f t="shared" si="76"/>
        <v>0</v>
      </c>
      <c r="AH243">
        <f t="shared" si="60"/>
        <v>1</v>
      </c>
      <c r="AI243">
        <f t="shared" si="61"/>
        <v>1</v>
      </c>
      <c r="AJ243">
        <f t="shared" si="62"/>
        <v>1</v>
      </c>
      <c r="AK243">
        <f t="shared" si="63"/>
        <v>1</v>
      </c>
      <c r="AL243">
        <f t="shared" si="64"/>
        <v>1</v>
      </c>
      <c r="AM243">
        <f t="shared" si="65"/>
        <v>0</v>
      </c>
      <c r="AN243">
        <f t="shared" si="66"/>
        <v>0</v>
      </c>
      <c r="AO243" s="69" t="e">
        <f t="shared" si="67"/>
        <v>#N/A</v>
      </c>
      <c r="AP243" s="69" t="str">
        <f t="shared" si="68"/>
        <v>Irán</v>
      </c>
      <c r="AQ243" s="69" t="str">
        <f t="shared" si="69"/>
        <v>Costa de Marfil</v>
      </c>
      <c r="AR243" s="69" t="str">
        <f t="shared" si="70"/>
        <v>Marruecos</v>
      </c>
      <c r="AS243" s="69" t="str">
        <f t="shared" si="71"/>
        <v>Korea</v>
      </c>
      <c r="AT243" s="69" t="str">
        <f t="shared" si="72"/>
        <v>Suecia</v>
      </c>
      <c r="AU243" s="69" t="e">
        <f t="shared" si="73"/>
        <v>#N/A</v>
      </c>
      <c r="AV243" s="69" t="e">
        <f t="shared" si="74"/>
        <v>#N/A</v>
      </c>
    </row>
    <row r="244" spans="24:48" x14ac:dyDescent="0.2">
      <c r="X244" s="64" t="str">
        <f t="shared" si="75"/>
        <v/>
      </c>
      <c r="Y244" s="68" t="s">
        <v>32</v>
      </c>
      <c r="Z244" s="68" t="s">
        <v>14</v>
      </c>
      <c r="AA244" s="68" t="s">
        <v>13</v>
      </c>
      <c r="AB244" s="68" t="s">
        <v>27</v>
      </c>
      <c r="AC244" s="68" t="s">
        <v>25</v>
      </c>
      <c r="AD244" s="68" t="s">
        <v>31</v>
      </c>
      <c r="AE244" s="68" t="s">
        <v>186</v>
      </c>
      <c r="AF244" s="68" t="s">
        <v>15</v>
      </c>
      <c r="AG244">
        <f t="shared" si="76"/>
        <v>0</v>
      </c>
      <c r="AH244">
        <f t="shared" si="60"/>
        <v>1</v>
      </c>
      <c r="AI244">
        <f t="shared" si="61"/>
        <v>0</v>
      </c>
      <c r="AJ244">
        <f t="shared" si="62"/>
        <v>1</v>
      </c>
      <c r="AK244">
        <f t="shared" si="63"/>
        <v>1</v>
      </c>
      <c r="AL244">
        <f t="shared" si="64"/>
        <v>1</v>
      </c>
      <c r="AM244">
        <f t="shared" si="65"/>
        <v>0</v>
      </c>
      <c r="AN244">
        <f t="shared" si="66"/>
        <v>1</v>
      </c>
      <c r="AO244" s="69" t="e">
        <f t="shared" si="67"/>
        <v>#N/A</v>
      </c>
      <c r="AP244" s="69" t="str">
        <f t="shared" si="68"/>
        <v>Irán</v>
      </c>
      <c r="AQ244" s="69" t="e">
        <f t="shared" si="69"/>
        <v>#N/A</v>
      </c>
      <c r="AR244" s="69" t="str">
        <f t="shared" si="70"/>
        <v>Marruecos</v>
      </c>
      <c r="AS244" s="69" t="str">
        <f t="shared" si="71"/>
        <v>Korea</v>
      </c>
      <c r="AT244" s="69" t="str">
        <f t="shared" si="72"/>
        <v>Suecia</v>
      </c>
      <c r="AU244" s="69" t="e">
        <f t="shared" si="73"/>
        <v>#N/A</v>
      </c>
      <c r="AV244" s="69" t="str">
        <f t="shared" si="74"/>
        <v>Costa de Marfil</v>
      </c>
    </row>
    <row r="245" spans="24:48" x14ac:dyDescent="0.2">
      <c r="X245" s="64" t="str">
        <f t="shared" si="75"/>
        <v/>
      </c>
      <c r="Y245" s="68" t="s">
        <v>32</v>
      </c>
      <c r="Z245" s="68" t="s">
        <v>14</v>
      </c>
      <c r="AA245" s="68" t="s">
        <v>13</v>
      </c>
      <c r="AB245" s="68" t="s">
        <v>27</v>
      </c>
      <c r="AC245" s="68" t="s">
        <v>25</v>
      </c>
      <c r="AD245" s="68" t="s">
        <v>31</v>
      </c>
      <c r="AE245" s="68" t="s">
        <v>15</v>
      </c>
      <c r="AF245" s="68" t="s">
        <v>185</v>
      </c>
      <c r="AG245">
        <f t="shared" si="76"/>
        <v>0</v>
      </c>
      <c r="AH245">
        <f t="shared" si="60"/>
        <v>1</v>
      </c>
      <c r="AI245">
        <f t="shared" si="61"/>
        <v>0</v>
      </c>
      <c r="AJ245">
        <f t="shared" si="62"/>
        <v>1</v>
      </c>
      <c r="AK245">
        <f t="shared" si="63"/>
        <v>1</v>
      </c>
      <c r="AL245">
        <f t="shared" si="64"/>
        <v>1</v>
      </c>
      <c r="AM245">
        <f t="shared" si="65"/>
        <v>1</v>
      </c>
      <c r="AN245">
        <f t="shared" si="66"/>
        <v>0</v>
      </c>
      <c r="AO245" s="69" t="e">
        <f t="shared" si="67"/>
        <v>#N/A</v>
      </c>
      <c r="AP245" s="69" t="str">
        <f t="shared" si="68"/>
        <v>Irán</v>
      </c>
      <c r="AQ245" s="69" t="e">
        <f t="shared" si="69"/>
        <v>#N/A</v>
      </c>
      <c r="AR245" s="69" t="str">
        <f t="shared" si="70"/>
        <v>Marruecos</v>
      </c>
      <c r="AS245" s="69" t="str">
        <f t="shared" si="71"/>
        <v>Korea</v>
      </c>
      <c r="AT245" s="69" t="str">
        <f t="shared" si="72"/>
        <v>Suecia</v>
      </c>
      <c r="AU245" s="69" t="str">
        <f t="shared" si="73"/>
        <v>Costa de Marfil</v>
      </c>
      <c r="AV245" s="69" t="e">
        <f t="shared" si="74"/>
        <v>#N/A</v>
      </c>
    </row>
    <row r="246" spans="24:48" x14ac:dyDescent="0.2">
      <c r="X246" s="64" t="str">
        <f t="shared" si="75"/>
        <v/>
      </c>
      <c r="Y246" s="68" t="s">
        <v>32</v>
      </c>
      <c r="Z246" s="68" t="s">
        <v>14</v>
      </c>
      <c r="AA246" s="68" t="s">
        <v>15</v>
      </c>
      <c r="AB246" s="68" t="s">
        <v>27</v>
      </c>
      <c r="AC246" s="68" t="s">
        <v>25</v>
      </c>
      <c r="AD246" s="68" t="s">
        <v>31</v>
      </c>
      <c r="AE246" s="68" t="s">
        <v>186</v>
      </c>
      <c r="AF246" s="68" t="s">
        <v>184</v>
      </c>
      <c r="AG246">
        <f t="shared" si="76"/>
        <v>0</v>
      </c>
      <c r="AH246">
        <f t="shared" si="60"/>
        <v>1</v>
      </c>
      <c r="AI246">
        <f t="shared" si="61"/>
        <v>1</v>
      </c>
      <c r="AJ246">
        <f t="shared" si="62"/>
        <v>1</v>
      </c>
      <c r="AK246">
        <f t="shared" si="63"/>
        <v>1</v>
      </c>
      <c r="AL246">
        <f t="shared" si="64"/>
        <v>1</v>
      </c>
      <c r="AM246">
        <f t="shared" si="65"/>
        <v>0</v>
      </c>
      <c r="AN246">
        <f t="shared" si="66"/>
        <v>1</v>
      </c>
      <c r="AO246" s="69" t="e">
        <f t="shared" si="67"/>
        <v>#N/A</v>
      </c>
      <c r="AP246" s="69" t="str">
        <f t="shared" si="68"/>
        <v>Irán</v>
      </c>
      <c r="AQ246" s="69" t="str">
        <f t="shared" si="69"/>
        <v>Costa de Marfil</v>
      </c>
      <c r="AR246" s="69" t="str">
        <f t="shared" si="70"/>
        <v>Marruecos</v>
      </c>
      <c r="AS246" s="69" t="str">
        <f t="shared" si="71"/>
        <v>Korea</v>
      </c>
      <c r="AT246" s="69" t="str">
        <f t="shared" si="72"/>
        <v>Suecia</v>
      </c>
      <c r="AU246" s="69" t="e">
        <f t="shared" si="73"/>
        <v>#N/A</v>
      </c>
      <c r="AV246" s="69" t="str">
        <f t="shared" si="74"/>
        <v>Senegal</v>
      </c>
    </row>
    <row r="247" spans="24:48" x14ac:dyDescent="0.2">
      <c r="X247" s="64" t="str">
        <f t="shared" si="75"/>
        <v/>
      </c>
      <c r="Y247" s="68" t="s">
        <v>32</v>
      </c>
      <c r="Z247" s="68" t="s">
        <v>14</v>
      </c>
      <c r="AA247" s="68" t="s">
        <v>15</v>
      </c>
      <c r="AB247" s="68" t="s">
        <v>27</v>
      </c>
      <c r="AC247" s="68" t="s">
        <v>25</v>
      </c>
      <c r="AD247" s="68" t="s">
        <v>31</v>
      </c>
      <c r="AE247" s="68" t="s">
        <v>184</v>
      </c>
      <c r="AF247" s="68" t="s">
        <v>185</v>
      </c>
      <c r="AG247">
        <f t="shared" si="76"/>
        <v>0</v>
      </c>
      <c r="AH247">
        <f t="shared" si="60"/>
        <v>1</v>
      </c>
      <c r="AI247">
        <f t="shared" si="61"/>
        <v>1</v>
      </c>
      <c r="AJ247">
        <f t="shared" si="62"/>
        <v>1</v>
      </c>
      <c r="AK247">
        <f t="shared" si="63"/>
        <v>1</v>
      </c>
      <c r="AL247">
        <f t="shared" si="64"/>
        <v>1</v>
      </c>
      <c r="AM247">
        <f t="shared" si="65"/>
        <v>1</v>
      </c>
      <c r="AN247">
        <f t="shared" si="66"/>
        <v>0</v>
      </c>
      <c r="AO247" s="69" t="e">
        <f t="shared" si="67"/>
        <v>#N/A</v>
      </c>
      <c r="AP247" s="69" t="str">
        <f t="shared" si="68"/>
        <v>Irán</v>
      </c>
      <c r="AQ247" s="69" t="str">
        <f t="shared" si="69"/>
        <v>Costa de Marfil</v>
      </c>
      <c r="AR247" s="69" t="str">
        <f t="shared" si="70"/>
        <v>Marruecos</v>
      </c>
      <c r="AS247" s="69" t="str">
        <f t="shared" si="71"/>
        <v>Korea</v>
      </c>
      <c r="AT247" s="69" t="str">
        <f t="shared" si="72"/>
        <v>Suecia</v>
      </c>
      <c r="AU247" s="69" t="str">
        <f t="shared" si="73"/>
        <v>Senegal</v>
      </c>
      <c r="AV247" s="69" t="e">
        <f t="shared" si="74"/>
        <v>#N/A</v>
      </c>
    </row>
    <row r="248" spans="24:48" x14ac:dyDescent="0.2">
      <c r="X248" s="64" t="str">
        <f t="shared" si="75"/>
        <v/>
      </c>
      <c r="Y248" s="68" t="s">
        <v>32</v>
      </c>
      <c r="Z248" s="68" t="s">
        <v>14</v>
      </c>
      <c r="AA248" s="68" t="s">
        <v>13</v>
      </c>
      <c r="AB248" s="68" t="s">
        <v>27</v>
      </c>
      <c r="AC248" s="68" t="s">
        <v>25</v>
      </c>
      <c r="AD248" s="68" t="s">
        <v>31</v>
      </c>
      <c r="AE248" s="68" t="s">
        <v>15</v>
      </c>
      <c r="AF248" s="68" t="s">
        <v>184</v>
      </c>
      <c r="AG248">
        <f t="shared" si="76"/>
        <v>0</v>
      </c>
      <c r="AH248">
        <f t="shared" si="60"/>
        <v>1</v>
      </c>
      <c r="AI248">
        <f t="shared" si="61"/>
        <v>0</v>
      </c>
      <c r="AJ248">
        <f t="shared" si="62"/>
        <v>1</v>
      </c>
      <c r="AK248">
        <f t="shared" si="63"/>
        <v>1</v>
      </c>
      <c r="AL248">
        <f t="shared" si="64"/>
        <v>1</v>
      </c>
      <c r="AM248">
        <f t="shared" si="65"/>
        <v>1</v>
      </c>
      <c r="AN248">
        <f t="shared" si="66"/>
        <v>1</v>
      </c>
      <c r="AO248" s="69" t="e">
        <f t="shared" si="67"/>
        <v>#N/A</v>
      </c>
      <c r="AP248" s="69" t="str">
        <f t="shared" si="68"/>
        <v>Irán</v>
      </c>
      <c r="AQ248" s="69" t="e">
        <f t="shared" si="69"/>
        <v>#N/A</v>
      </c>
      <c r="AR248" s="69" t="str">
        <f t="shared" si="70"/>
        <v>Marruecos</v>
      </c>
      <c r="AS248" s="69" t="str">
        <f t="shared" si="71"/>
        <v>Korea</v>
      </c>
      <c r="AT248" s="69" t="str">
        <f t="shared" si="72"/>
        <v>Suecia</v>
      </c>
      <c r="AU248" s="69" t="str">
        <f t="shared" si="73"/>
        <v>Costa de Marfil</v>
      </c>
      <c r="AV248" s="69" t="str">
        <f t="shared" si="74"/>
        <v>Senegal</v>
      </c>
    </row>
    <row r="249" spans="24:48" x14ac:dyDescent="0.2">
      <c r="X249" s="64" t="str">
        <f t="shared" si="75"/>
        <v/>
      </c>
      <c r="Y249" s="68" t="s">
        <v>32</v>
      </c>
      <c r="Z249" s="68" t="s">
        <v>13</v>
      </c>
      <c r="AA249" s="68" t="s">
        <v>184</v>
      </c>
      <c r="AB249" s="68" t="s">
        <v>27</v>
      </c>
      <c r="AC249" s="68" t="s">
        <v>25</v>
      </c>
      <c r="AD249" s="68" t="s">
        <v>28</v>
      </c>
      <c r="AE249" s="68" t="s">
        <v>186</v>
      </c>
      <c r="AF249" s="68" t="s">
        <v>185</v>
      </c>
      <c r="AG249">
        <f t="shared" si="76"/>
        <v>0</v>
      </c>
      <c r="AH249">
        <f t="shared" si="60"/>
        <v>0</v>
      </c>
      <c r="AI249">
        <f t="shared" si="61"/>
        <v>1</v>
      </c>
      <c r="AJ249">
        <f t="shared" si="62"/>
        <v>1</v>
      </c>
      <c r="AK249">
        <f t="shared" si="63"/>
        <v>1</v>
      </c>
      <c r="AL249">
        <f t="shared" si="64"/>
        <v>1</v>
      </c>
      <c r="AM249">
        <f t="shared" si="65"/>
        <v>0</v>
      </c>
      <c r="AN249">
        <f t="shared" si="66"/>
        <v>0</v>
      </c>
      <c r="AO249" s="69" t="e">
        <f t="shared" si="67"/>
        <v>#N/A</v>
      </c>
      <c r="AP249" s="69" t="e">
        <f t="shared" si="68"/>
        <v>#N/A</v>
      </c>
      <c r="AQ249" s="69" t="str">
        <f t="shared" si="69"/>
        <v>Senegal</v>
      </c>
      <c r="AR249" s="69" t="str">
        <f t="shared" si="70"/>
        <v>Marruecos</v>
      </c>
      <c r="AS249" s="69" t="str">
        <f t="shared" si="71"/>
        <v>Korea</v>
      </c>
      <c r="AT249" s="69" t="str">
        <f t="shared" si="72"/>
        <v>Paraguay</v>
      </c>
      <c r="AU249" s="69" t="e">
        <f t="shared" si="73"/>
        <v>#N/A</v>
      </c>
      <c r="AV249" s="69" t="e">
        <f t="shared" si="74"/>
        <v>#N/A</v>
      </c>
    </row>
    <row r="250" spans="24:48" x14ac:dyDescent="0.2">
      <c r="X250" s="64" t="str">
        <f t="shared" si="75"/>
        <v/>
      </c>
      <c r="Y250" s="68" t="s">
        <v>184</v>
      </c>
      <c r="Z250" s="68" t="s">
        <v>14</v>
      </c>
      <c r="AA250" s="68" t="s">
        <v>13</v>
      </c>
      <c r="AB250" s="68" t="s">
        <v>27</v>
      </c>
      <c r="AC250" s="68" t="s">
        <v>25</v>
      </c>
      <c r="AD250" s="68" t="s">
        <v>28</v>
      </c>
      <c r="AE250" s="68" t="s">
        <v>186</v>
      </c>
      <c r="AF250" s="68" t="s">
        <v>185</v>
      </c>
      <c r="AG250">
        <f t="shared" si="76"/>
        <v>1</v>
      </c>
      <c r="AH250">
        <f t="shared" si="60"/>
        <v>1</v>
      </c>
      <c r="AI250">
        <f t="shared" si="61"/>
        <v>0</v>
      </c>
      <c r="AJ250">
        <f t="shared" si="62"/>
        <v>1</v>
      </c>
      <c r="AK250">
        <f t="shared" si="63"/>
        <v>1</v>
      </c>
      <c r="AL250">
        <f t="shared" si="64"/>
        <v>1</v>
      </c>
      <c r="AM250">
        <f t="shared" si="65"/>
        <v>0</v>
      </c>
      <c r="AN250">
        <f t="shared" si="66"/>
        <v>0</v>
      </c>
      <c r="AO250" s="69" t="str">
        <f t="shared" si="67"/>
        <v>Senegal</v>
      </c>
      <c r="AP250" s="69" t="str">
        <f t="shared" si="68"/>
        <v>Irán</v>
      </c>
      <c r="AQ250" s="69" t="e">
        <f t="shared" si="69"/>
        <v>#N/A</v>
      </c>
      <c r="AR250" s="69" t="str">
        <f t="shared" si="70"/>
        <v>Marruecos</v>
      </c>
      <c r="AS250" s="69" t="str">
        <f t="shared" si="71"/>
        <v>Korea</v>
      </c>
      <c r="AT250" s="69" t="str">
        <f t="shared" si="72"/>
        <v>Paraguay</v>
      </c>
      <c r="AU250" s="69" t="e">
        <f t="shared" si="73"/>
        <v>#N/A</v>
      </c>
      <c r="AV250" s="69" t="e">
        <f t="shared" si="74"/>
        <v>#N/A</v>
      </c>
    </row>
    <row r="251" spans="24:48" x14ac:dyDescent="0.2">
      <c r="X251" s="64" t="str">
        <f t="shared" si="75"/>
        <v/>
      </c>
      <c r="Y251" s="68" t="s">
        <v>32</v>
      </c>
      <c r="Z251" s="68" t="s">
        <v>14</v>
      </c>
      <c r="AA251" s="68" t="s">
        <v>13</v>
      </c>
      <c r="AB251" s="68" t="s">
        <v>27</v>
      </c>
      <c r="AC251" s="68" t="s">
        <v>25</v>
      </c>
      <c r="AD251" s="68" t="s">
        <v>28</v>
      </c>
      <c r="AE251" s="68" t="s">
        <v>186</v>
      </c>
      <c r="AF251" s="68" t="s">
        <v>185</v>
      </c>
      <c r="AG251">
        <f t="shared" si="76"/>
        <v>0</v>
      </c>
      <c r="AH251">
        <f t="shared" si="60"/>
        <v>1</v>
      </c>
      <c r="AI251">
        <f t="shared" si="61"/>
        <v>0</v>
      </c>
      <c r="AJ251">
        <f t="shared" si="62"/>
        <v>1</v>
      </c>
      <c r="AK251">
        <f t="shared" si="63"/>
        <v>1</v>
      </c>
      <c r="AL251">
        <f t="shared" si="64"/>
        <v>1</v>
      </c>
      <c r="AM251">
        <f t="shared" si="65"/>
        <v>0</v>
      </c>
      <c r="AN251">
        <f t="shared" si="66"/>
        <v>0</v>
      </c>
      <c r="AO251" s="69" t="e">
        <f t="shared" si="67"/>
        <v>#N/A</v>
      </c>
      <c r="AP251" s="69" t="str">
        <f t="shared" si="68"/>
        <v>Irán</v>
      </c>
      <c r="AQ251" s="69" t="e">
        <f t="shared" si="69"/>
        <v>#N/A</v>
      </c>
      <c r="AR251" s="69" t="str">
        <f t="shared" si="70"/>
        <v>Marruecos</v>
      </c>
      <c r="AS251" s="69" t="str">
        <f t="shared" si="71"/>
        <v>Korea</v>
      </c>
      <c r="AT251" s="69" t="str">
        <f t="shared" si="72"/>
        <v>Paraguay</v>
      </c>
      <c r="AU251" s="69" t="e">
        <f t="shared" si="73"/>
        <v>#N/A</v>
      </c>
      <c r="AV251" s="69" t="e">
        <f t="shared" si="74"/>
        <v>#N/A</v>
      </c>
    </row>
    <row r="252" spans="24:48" x14ac:dyDescent="0.2">
      <c r="X252" s="64" t="str">
        <f t="shared" si="75"/>
        <v/>
      </c>
      <c r="Y252" s="68" t="s">
        <v>32</v>
      </c>
      <c r="Z252" s="68" t="s">
        <v>14</v>
      </c>
      <c r="AA252" s="68" t="s">
        <v>184</v>
      </c>
      <c r="AB252" s="68" t="s">
        <v>27</v>
      </c>
      <c r="AC252" s="68" t="s">
        <v>25</v>
      </c>
      <c r="AD252" s="68" t="s">
        <v>28</v>
      </c>
      <c r="AE252" s="68" t="s">
        <v>186</v>
      </c>
      <c r="AF252" s="68" t="s">
        <v>185</v>
      </c>
      <c r="AG252">
        <f t="shared" si="76"/>
        <v>0</v>
      </c>
      <c r="AH252">
        <f t="shared" si="60"/>
        <v>1</v>
      </c>
      <c r="AI252">
        <f t="shared" si="61"/>
        <v>1</v>
      </c>
      <c r="AJ252">
        <f t="shared" si="62"/>
        <v>1</v>
      </c>
      <c r="AK252">
        <f t="shared" si="63"/>
        <v>1</v>
      </c>
      <c r="AL252">
        <f t="shared" si="64"/>
        <v>1</v>
      </c>
      <c r="AM252">
        <f t="shared" si="65"/>
        <v>0</v>
      </c>
      <c r="AN252">
        <f t="shared" si="66"/>
        <v>0</v>
      </c>
      <c r="AO252" s="69" t="e">
        <f t="shared" si="67"/>
        <v>#N/A</v>
      </c>
      <c r="AP252" s="69" t="str">
        <f t="shared" si="68"/>
        <v>Irán</v>
      </c>
      <c r="AQ252" s="69" t="str">
        <f t="shared" si="69"/>
        <v>Senegal</v>
      </c>
      <c r="AR252" s="69" t="str">
        <f t="shared" si="70"/>
        <v>Marruecos</v>
      </c>
      <c r="AS252" s="69" t="str">
        <f t="shared" si="71"/>
        <v>Korea</v>
      </c>
      <c r="AT252" s="69" t="str">
        <f t="shared" si="72"/>
        <v>Paraguay</v>
      </c>
      <c r="AU252" s="69" t="e">
        <f t="shared" si="73"/>
        <v>#N/A</v>
      </c>
      <c r="AV252" s="69" t="e">
        <f t="shared" si="74"/>
        <v>#N/A</v>
      </c>
    </row>
    <row r="253" spans="24:48" x14ac:dyDescent="0.2">
      <c r="X253" s="64" t="str">
        <f t="shared" si="75"/>
        <v/>
      </c>
      <c r="Y253" s="68" t="s">
        <v>32</v>
      </c>
      <c r="Z253" s="68" t="s">
        <v>14</v>
      </c>
      <c r="AA253" s="68" t="s">
        <v>13</v>
      </c>
      <c r="AB253" s="68" t="s">
        <v>27</v>
      </c>
      <c r="AC253" s="68" t="s">
        <v>25</v>
      </c>
      <c r="AD253" s="68" t="s">
        <v>28</v>
      </c>
      <c r="AE253" s="68" t="s">
        <v>186</v>
      </c>
      <c r="AF253" s="68" t="s">
        <v>184</v>
      </c>
      <c r="AG253">
        <f t="shared" si="76"/>
        <v>0</v>
      </c>
      <c r="AH253">
        <f t="shared" si="60"/>
        <v>1</v>
      </c>
      <c r="AI253">
        <f t="shared" si="61"/>
        <v>0</v>
      </c>
      <c r="AJ253">
        <f t="shared" si="62"/>
        <v>1</v>
      </c>
      <c r="AK253">
        <f t="shared" si="63"/>
        <v>1</v>
      </c>
      <c r="AL253">
        <f t="shared" si="64"/>
        <v>1</v>
      </c>
      <c r="AM253">
        <f t="shared" si="65"/>
        <v>0</v>
      </c>
      <c r="AN253">
        <f t="shared" si="66"/>
        <v>1</v>
      </c>
      <c r="AO253" s="69" t="e">
        <f t="shared" si="67"/>
        <v>#N/A</v>
      </c>
      <c r="AP253" s="69" t="str">
        <f t="shared" si="68"/>
        <v>Irán</v>
      </c>
      <c r="AQ253" s="69" t="e">
        <f t="shared" si="69"/>
        <v>#N/A</v>
      </c>
      <c r="AR253" s="69" t="str">
        <f t="shared" si="70"/>
        <v>Marruecos</v>
      </c>
      <c r="AS253" s="69" t="str">
        <f t="shared" si="71"/>
        <v>Korea</v>
      </c>
      <c r="AT253" s="69" t="str">
        <f t="shared" si="72"/>
        <v>Paraguay</v>
      </c>
      <c r="AU253" s="69" t="e">
        <f t="shared" si="73"/>
        <v>#N/A</v>
      </c>
      <c r="AV253" s="69" t="str">
        <f t="shared" si="74"/>
        <v>Senegal</v>
      </c>
    </row>
    <row r="254" spans="24:48" x14ac:dyDescent="0.2">
      <c r="X254" s="64" t="str">
        <f t="shared" si="75"/>
        <v/>
      </c>
      <c r="Y254" s="68" t="s">
        <v>32</v>
      </c>
      <c r="Z254" s="68" t="s">
        <v>14</v>
      </c>
      <c r="AA254" s="68" t="s">
        <v>13</v>
      </c>
      <c r="AB254" s="68" t="s">
        <v>27</v>
      </c>
      <c r="AC254" s="68" t="s">
        <v>25</v>
      </c>
      <c r="AD254" s="68" t="s">
        <v>28</v>
      </c>
      <c r="AE254" s="68" t="s">
        <v>184</v>
      </c>
      <c r="AF254" s="68" t="s">
        <v>185</v>
      </c>
      <c r="AG254">
        <f t="shared" si="76"/>
        <v>0</v>
      </c>
      <c r="AH254">
        <f t="shared" si="60"/>
        <v>1</v>
      </c>
      <c r="AI254">
        <f t="shared" si="61"/>
        <v>0</v>
      </c>
      <c r="AJ254">
        <f t="shared" si="62"/>
        <v>1</v>
      </c>
      <c r="AK254">
        <f t="shared" si="63"/>
        <v>1</v>
      </c>
      <c r="AL254">
        <f t="shared" si="64"/>
        <v>1</v>
      </c>
      <c r="AM254">
        <f t="shared" si="65"/>
        <v>1</v>
      </c>
      <c r="AN254">
        <f t="shared" si="66"/>
        <v>0</v>
      </c>
      <c r="AO254" s="69" t="e">
        <f t="shared" si="67"/>
        <v>#N/A</v>
      </c>
      <c r="AP254" s="69" t="str">
        <f t="shared" si="68"/>
        <v>Irán</v>
      </c>
      <c r="AQ254" s="69" t="e">
        <f t="shared" si="69"/>
        <v>#N/A</v>
      </c>
      <c r="AR254" s="69" t="str">
        <f t="shared" si="70"/>
        <v>Marruecos</v>
      </c>
      <c r="AS254" s="69" t="str">
        <f t="shared" si="71"/>
        <v>Korea</v>
      </c>
      <c r="AT254" s="69" t="str">
        <f t="shared" si="72"/>
        <v>Paraguay</v>
      </c>
      <c r="AU254" s="69" t="str">
        <f t="shared" si="73"/>
        <v>Senegal</v>
      </c>
      <c r="AV254" s="69" t="e">
        <f t="shared" si="74"/>
        <v>#N/A</v>
      </c>
    </row>
    <row r="255" spans="24:48" x14ac:dyDescent="0.2">
      <c r="X255" s="64" t="str">
        <f t="shared" si="75"/>
        <v/>
      </c>
      <c r="Y255" s="68" t="s">
        <v>27</v>
      </c>
      <c r="Z255" s="68" t="s">
        <v>13</v>
      </c>
      <c r="AA255" s="68" t="s">
        <v>184</v>
      </c>
      <c r="AB255" s="68" t="s">
        <v>28</v>
      </c>
      <c r="AC255" s="68" t="s">
        <v>25</v>
      </c>
      <c r="AD255" s="68" t="s">
        <v>31</v>
      </c>
      <c r="AE255" s="68" t="s">
        <v>186</v>
      </c>
      <c r="AF255" s="68" t="s">
        <v>185</v>
      </c>
      <c r="AG255">
        <f t="shared" si="76"/>
        <v>1</v>
      </c>
      <c r="AH255">
        <f t="shared" si="60"/>
        <v>0</v>
      </c>
      <c r="AI255">
        <f t="shared" si="61"/>
        <v>1</v>
      </c>
      <c r="AJ255">
        <f t="shared" si="62"/>
        <v>1</v>
      </c>
      <c r="AK255">
        <f t="shared" si="63"/>
        <v>1</v>
      </c>
      <c r="AL255">
        <f t="shared" si="64"/>
        <v>1</v>
      </c>
      <c r="AM255">
        <f t="shared" si="65"/>
        <v>0</v>
      </c>
      <c r="AN255">
        <f t="shared" si="66"/>
        <v>0</v>
      </c>
      <c r="AO255" s="69" t="str">
        <f t="shared" si="67"/>
        <v>Marruecos</v>
      </c>
      <c r="AP255" s="69" t="e">
        <f t="shared" si="68"/>
        <v>#N/A</v>
      </c>
      <c r="AQ255" s="69" t="str">
        <f t="shared" si="69"/>
        <v>Senegal</v>
      </c>
      <c r="AR255" s="69" t="str">
        <f t="shared" si="70"/>
        <v>Paraguay</v>
      </c>
      <c r="AS255" s="69" t="str">
        <f t="shared" si="71"/>
        <v>Korea</v>
      </c>
      <c r="AT255" s="69" t="str">
        <f t="shared" si="72"/>
        <v>Suecia</v>
      </c>
      <c r="AU255" s="69" t="e">
        <f t="shared" si="73"/>
        <v>#N/A</v>
      </c>
      <c r="AV255" s="69" t="e">
        <f t="shared" si="74"/>
        <v>#N/A</v>
      </c>
    </row>
    <row r="256" spans="24:48" x14ac:dyDescent="0.2">
      <c r="X256" s="64" t="str">
        <f t="shared" si="75"/>
        <v/>
      </c>
      <c r="Y256" s="68" t="s">
        <v>32</v>
      </c>
      <c r="Z256" s="68" t="s">
        <v>13</v>
      </c>
      <c r="AA256" s="68" t="s">
        <v>31</v>
      </c>
      <c r="AB256" s="68" t="s">
        <v>27</v>
      </c>
      <c r="AC256" s="68" t="s">
        <v>25</v>
      </c>
      <c r="AD256" s="68" t="s">
        <v>28</v>
      </c>
      <c r="AE256" s="68" t="s">
        <v>186</v>
      </c>
      <c r="AF256" s="68" t="s">
        <v>185</v>
      </c>
      <c r="AG256">
        <f t="shared" si="76"/>
        <v>0</v>
      </c>
      <c r="AH256">
        <f t="shared" si="60"/>
        <v>0</v>
      </c>
      <c r="AI256">
        <f t="shared" si="61"/>
        <v>1</v>
      </c>
      <c r="AJ256">
        <f t="shared" si="62"/>
        <v>1</v>
      </c>
      <c r="AK256">
        <f t="shared" si="63"/>
        <v>1</v>
      </c>
      <c r="AL256">
        <f t="shared" si="64"/>
        <v>1</v>
      </c>
      <c r="AM256">
        <f t="shared" si="65"/>
        <v>0</v>
      </c>
      <c r="AN256">
        <f t="shared" si="66"/>
        <v>0</v>
      </c>
      <c r="AO256" s="69" t="e">
        <f t="shared" si="67"/>
        <v>#N/A</v>
      </c>
      <c r="AP256" s="69" t="e">
        <f t="shared" si="68"/>
        <v>#N/A</v>
      </c>
      <c r="AQ256" s="69" t="str">
        <f t="shared" si="69"/>
        <v>Suecia</v>
      </c>
      <c r="AR256" s="69" t="str">
        <f t="shared" si="70"/>
        <v>Marruecos</v>
      </c>
      <c r="AS256" s="69" t="str">
        <f t="shared" si="71"/>
        <v>Korea</v>
      </c>
      <c r="AT256" s="69" t="str">
        <f t="shared" si="72"/>
        <v>Paraguay</v>
      </c>
      <c r="AU256" s="69" t="e">
        <f t="shared" si="73"/>
        <v>#N/A</v>
      </c>
      <c r="AV256" s="69" t="e">
        <f t="shared" si="74"/>
        <v>#N/A</v>
      </c>
    </row>
    <row r="257" spans="24:48" x14ac:dyDescent="0.2">
      <c r="X257" s="64" t="str">
        <f t="shared" si="75"/>
        <v/>
      </c>
      <c r="Y257" s="68" t="s">
        <v>32</v>
      </c>
      <c r="Z257" s="68" t="s">
        <v>31</v>
      </c>
      <c r="AA257" s="68" t="s">
        <v>184</v>
      </c>
      <c r="AB257" s="68" t="s">
        <v>27</v>
      </c>
      <c r="AC257" s="68" t="s">
        <v>25</v>
      </c>
      <c r="AD257" s="68" t="s">
        <v>28</v>
      </c>
      <c r="AE257" s="68" t="s">
        <v>186</v>
      </c>
      <c r="AF257" s="68" t="s">
        <v>185</v>
      </c>
      <c r="AG257">
        <f t="shared" si="76"/>
        <v>0</v>
      </c>
      <c r="AH257">
        <f t="shared" si="60"/>
        <v>1</v>
      </c>
      <c r="AI257">
        <f t="shared" si="61"/>
        <v>1</v>
      </c>
      <c r="AJ257">
        <f t="shared" si="62"/>
        <v>1</v>
      </c>
      <c r="AK257">
        <f t="shared" si="63"/>
        <v>1</v>
      </c>
      <c r="AL257">
        <f t="shared" si="64"/>
        <v>1</v>
      </c>
      <c r="AM257">
        <f t="shared" si="65"/>
        <v>0</v>
      </c>
      <c r="AN257">
        <f t="shared" si="66"/>
        <v>0</v>
      </c>
      <c r="AO257" s="69" t="e">
        <f t="shared" si="67"/>
        <v>#N/A</v>
      </c>
      <c r="AP257" s="69" t="str">
        <f t="shared" si="68"/>
        <v>Suecia</v>
      </c>
      <c r="AQ257" s="69" t="str">
        <f t="shared" si="69"/>
        <v>Senegal</v>
      </c>
      <c r="AR257" s="69" t="str">
        <f t="shared" si="70"/>
        <v>Marruecos</v>
      </c>
      <c r="AS257" s="69" t="str">
        <f t="shared" si="71"/>
        <v>Korea</v>
      </c>
      <c r="AT257" s="69" t="str">
        <f t="shared" si="72"/>
        <v>Paraguay</v>
      </c>
      <c r="AU257" s="69" t="e">
        <f t="shared" si="73"/>
        <v>#N/A</v>
      </c>
      <c r="AV257" s="69" t="e">
        <f t="shared" si="74"/>
        <v>#N/A</v>
      </c>
    </row>
    <row r="258" spans="24:48" x14ac:dyDescent="0.2">
      <c r="X258" s="64" t="str">
        <f t="shared" si="75"/>
        <v/>
      </c>
      <c r="Y258" s="68" t="s">
        <v>32</v>
      </c>
      <c r="Z258" s="68" t="s">
        <v>13</v>
      </c>
      <c r="AA258" s="68" t="s">
        <v>31</v>
      </c>
      <c r="AB258" s="68" t="s">
        <v>27</v>
      </c>
      <c r="AC258" s="68" t="s">
        <v>25</v>
      </c>
      <c r="AD258" s="68" t="s">
        <v>28</v>
      </c>
      <c r="AE258" s="68" t="s">
        <v>186</v>
      </c>
      <c r="AF258" s="68" t="s">
        <v>184</v>
      </c>
      <c r="AG258">
        <f t="shared" si="76"/>
        <v>0</v>
      </c>
      <c r="AH258">
        <f t="shared" si="60"/>
        <v>0</v>
      </c>
      <c r="AI258">
        <f t="shared" si="61"/>
        <v>1</v>
      </c>
      <c r="AJ258">
        <f t="shared" si="62"/>
        <v>1</v>
      </c>
      <c r="AK258">
        <f t="shared" si="63"/>
        <v>1</v>
      </c>
      <c r="AL258">
        <f t="shared" si="64"/>
        <v>1</v>
      </c>
      <c r="AM258">
        <f t="shared" si="65"/>
        <v>0</v>
      </c>
      <c r="AN258">
        <f t="shared" si="66"/>
        <v>1</v>
      </c>
      <c r="AO258" s="69" t="e">
        <f t="shared" si="67"/>
        <v>#N/A</v>
      </c>
      <c r="AP258" s="69" t="e">
        <f t="shared" si="68"/>
        <v>#N/A</v>
      </c>
      <c r="AQ258" s="69" t="str">
        <f t="shared" si="69"/>
        <v>Suecia</v>
      </c>
      <c r="AR258" s="69" t="str">
        <f t="shared" si="70"/>
        <v>Marruecos</v>
      </c>
      <c r="AS258" s="69" t="str">
        <f t="shared" si="71"/>
        <v>Korea</v>
      </c>
      <c r="AT258" s="69" t="str">
        <f t="shared" si="72"/>
        <v>Paraguay</v>
      </c>
      <c r="AU258" s="69" t="e">
        <f t="shared" si="73"/>
        <v>#N/A</v>
      </c>
      <c r="AV258" s="69" t="str">
        <f t="shared" si="74"/>
        <v>Senegal</v>
      </c>
    </row>
    <row r="259" spans="24:48" x14ac:dyDescent="0.2">
      <c r="X259" s="64" t="str">
        <f t="shared" si="75"/>
        <v/>
      </c>
      <c r="Y259" s="68" t="s">
        <v>32</v>
      </c>
      <c r="Z259" s="68" t="s">
        <v>13</v>
      </c>
      <c r="AA259" s="68" t="s">
        <v>31</v>
      </c>
      <c r="AB259" s="68" t="s">
        <v>27</v>
      </c>
      <c r="AC259" s="68" t="s">
        <v>25</v>
      </c>
      <c r="AD259" s="68" t="s">
        <v>28</v>
      </c>
      <c r="AE259" s="68" t="s">
        <v>184</v>
      </c>
      <c r="AF259" s="68" t="s">
        <v>185</v>
      </c>
      <c r="AG259">
        <f t="shared" si="76"/>
        <v>0</v>
      </c>
      <c r="AH259">
        <f t="shared" si="60"/>
        <v>0</v>
      </c>
      <c r="AI259">
        <f t="shared" si="61"/>
        <v>1</v>
      </c>
      <c r="AJ259">
        <f t="shared" si="62"/>
        <v>1</v>
      </c>
      <c r="AK259">
        <f t="shared" si="63"/>
        <v>1</v>
      </c>
      <c r="AL259">
        <f t="shared" si="64"/>
        <v>1</v>
      </c>
      <c r="AM259">
        <f t="shared" si="65"/>
        <v>1</v>
      </c>
      <c r="AN259">
        <f t="shared" si="66"/>
        <v>0</v>
      </c>
      <c r="AO259" s="69" t="e">
        <f t="shared" si="67"/>
        <v>#N/A</v>
      </c>
      <c r="AP259" s="69" t="e">
        <f t="shared" si="68"/>
        <v>#N/A</v>
      </c>
      <c r="AQ259" s="69" t="str">
        <f t="shared" si="69"/>
        <v>Suecia</v>
      </c>
      <c r="AR259" s="69" t="str">
        <f t="shared" si="70"/>
        <v>Marruecos</v>
      </c>
      <c r="AS259" s="69" t="str">
        <f t="shared" si="71"/>
        <v>Korea</v>
      </c>
      <c r="AT259" s="69" t="str">
        <f t="shared" si="72"/>
        <v>Paraguay</v>
      </c>
      <c r="AU259" s="69" t="str">
        <f t="shared" si="73"/>
        <v>Senegal</v>
      </c>
      <c r="AV259" s="69" t="e">
        <f t="shared" si="74"/>
        <v>#N/A</v>
      </c>
    </row>
    <row r="260" spans="24:48" x14ac:dyDescent="0.2">
      <c r="X260" s="64" t="str">
        <f t="shared" si="75"/>
        <v/>
      </c>
      <c r="Y260" s="68" t="s">
        <v>27</v>
      </c>
      <c r="Z260" s="68" t="s">
        <v>14</v>
      </c>
      <c r="AA260" s="68" t="s">
        <v>13</v>
      </c>
      <c r="AB260" s="68" t="s">
        <v>28</v>
      </c>
      <c r="AC260" s="68" t="s">
        <v>25</v>
      </c>
      <c r="AD260" s="68" t="s">
        <v>31</v>
      </c>
      <c r="AE260" s="68" t="s">
        <v>186</v>
      </c>
      <c r="AF260" s="68" t="s">
        <v>185</v>
      </c>
      <c r="AG260">
        <f t="shared" si="76"/>
        <v>1</v>
      </c>
      <c r="AH260">
        <f t="shared" si="60"/>
        <v>1</v>
      </c>
      <c r="AI260">
        <f t="shared" si="61"/>
        <v>0</v>
      </c>
      <c r="AJ260">
        <f t="shared" si="62"/>
        <v>1</v>
      </c>
      <c r="AK260">
        <f t="shared" si="63"/>
        <v>1</v>
      </c>
      <c r="AL260">
        <f t="shared" si="64"/>
        <v>1</v>
      </c>
      <c r="AM260">
        <f t="shared" si="65"/>
        <v>0</v>
      </c>
      <c r="AN260">
        <f t="shared" si="66"/>
        <v>0</v>
      </c>
      <c r="AO260" s="69" t="str">
        <f t="shared" si="67"/>
        <v>Marruecos</v>
      </c>
      <c r="AP260" s="69" t="str">
        <f t="shared" si="68"/>
        <v>Irán</v>
      </c>
      <c r="AQ260" s="69" t="e">
        <f t="shared" si="69"/>
        <v>#N/A</v>
      </c>
      <c r="AR260" s="69" t="str">
        <f t="shared" si="70"/>
        <v>Paraguay</v>
      </c>
      <c r="AS260" s="69" t="str">
        <f t="shared" si="71"/>
        <v>Korea</v>
      </c>
      <c r="AT260" s="69" t="str">
        <f t="shared" si="72"/>
        <v>Suecia</v>
      </c>
      <c r="AU260" s="69" t="e">
        <f t="shared" si="73"/>
        <v>#N/A</v>
      </c>
      <c r="AV260" s="69" t="e">
        <f t="shared" si="74"/>
        <v>#N/A</v>
      </c>
    </row>
    <row r="261" spans="24:48" x14ac:dyDescent="0.2">
      <c r="X261" s="64" t="str">
        <f t="shared" si="75"/>
        <v/>
      </c>
      <c r="Y261" s="68" t="s">
        <v>27</v>
      </c>
      <c r="Z261" s="68" t="s">
        <v>14</v>
      </c>
      <c r="AA261" s="68" t="s">
        <v>184</v>
      </c>
      <c r="AB261" s="68" t="s">
        <v>28</v>
      </c>
      <c r="AC261" s="68" t="s">
        <v>25</v>
      </c>
      <c r="AD261" s="68" t="s">
        <v>31</v>
      </c>
      <c r="AE261" s="68" t="s">
        <v>186</v>
      </c>
      <c r="AF261" s="68" t="s">
        <v>185</v>
      </c>
      <c r="AG261">
        <f t="shared" si="76"/>
        <v>1</v>
      </c>
      <c r="AH261">
        <f t="shared" si="60"/>
        <v>1</v>
      </c>
      <c r="AI261">
        <f t="shared" si="61"/>
        <v>1</v>
      </c>
      <c r="AJ261">
        <f t="shared" si="62"/>
        <v>1</v>
      </c>
      <c r="AK261">
        <f t="shared" si="63"/>
        <v>1</v>
      </c>
      <c r="AL261">
        <f t="shared" si="64"/>
        <v>1</v>
      </c>
      <c r="AM261">
        <f t="shared" si="65"/>
        <v>0</v>
      </c>
      <c r="AN261">
        <f t="shared" si="66"/>
        <v>0</v>
      </c>
      <c r="AO261" s="69" t="str">
        <f t="shared" si="67"/>
        <v>Marruecos</v>
      </c>
      <c r="AP261" s="69" t="str">
        <f t="shared" si="68"/>
        <v>Irán</v>
      </c>
      <c r="AQ261" s="69" t="str">
        <f t="shared" si="69"/>
        <v>Senegal</v>
      </c>
      <c r="AR261" s="69" t="str">
        <f t="shared" si="70"/>
        <v>Paraguay</v>
      </c>
      <c r="AS261" s="69" t="str">
        <f t="shared" si="71"/>
        <v>Korea</v>
      </c>
      <c r="AT261" s="69" t="str">
        <f t="shared" si="72"/>
        <v>Suecia</v>
      </c>
      <c r="AU261" s="69" t="e">
        <f t="shared" si="73"/>
        <v>#N/A</v>
      </c>
      <c r="AV261" s="69" t="e">
        <f t="shared" si="74"/>
        <v>#N/A</v>
      </c>
    </row>
    <row r="262" spans="24:48" x14ac:dyDescent="0.2">
      <c r="X262" s="64" t="str">
        <f t="shared" si="75"/>
        <v/>
      </c>
      <c r="Y262" s="68" t="s">
        <v>27</v>
      </c>
      <c r="Z262" s="68" t="s">
        <v>14</v>
      </c>
      <c r="AA262" s="68" t="s">
        <v>13</v>
      </c>
      <c r="AB262" s="68" t="s">
        <v>28</v>
      </c>
      <c r="AC262" s="68" t="s">
        <v>25</v>
      </c>
      <c r="AD262" s="68" t="s">
        <v>31</v>
      </c>
      <c r="AE262" s="68" t="s">
        <v>186</v>
      </c>
      <c r="AF262" s="68" t="s">
        <v>184</v>
      </c>
      <c r="AG262">
        <f t="shared" si="76"/>
        <v>1</v>
      </c>
      <c r="AH262">
        <f t="shared" si="60"/>
        <v>1</v>
      </c>
      <c r="AI262">
        <f t="shared" si="61"/>
        <v>0</v>
      </c>
      <c r="AJ262">
        <f t="shared" si="62"/>
        <v>1</v>
      </c>
      <c r="AK262">
        <f t="shared" si="63"/>
        <v>1</v>
      </c>
      <c r="AL262">
        <f t="shared" si="64"/>
        <v>1</v>
      </c>
      <c r="AM262">
        <f t="shared" si="65"/>
        <v>0</v>
      </c>
      <c r="AN262">
        <f t="shared" si="66"/>
        <v>1</v>
      </c>
      <c r="AO262" s="69" t="str">
        <f t="shared" si="67"/>
        <v>Marruecos</v>
      </c>
      <c r="AP262" s="69" t="str">
        <f t="shared" si="68"/>
        <v>Irán</v>
      </c>
      <c r="AQ262" s="69" t="e">
        <f t="shared" si="69"/>
        <v>#N/A</v>
      </c>
      <c r="AR262" s="69" t="str">
        <f t="shared" si="70"/>
        <v>Paraguay</v>
      </c>
      <c r="AS262" s="69" t="str">
        <f t="shared" si="71"/>
        <v>Korea</v>
      </c>
      <c r="AT262" s="69" t="str">
        <f t="shared" si="72"/>
        <v>Suecia</v>
      </c>
      <c r="AU262" s="69" t="e">
        <f t="shared" si="73"/>
        <v>#N/A</v>
      </c>
      <c r="AV262" s="69" t="str">
        <f t="shared" si="74"/>
        <v>Senegal</v>
      </c>
    </row>
    <row r="263" spans="24:48" x14ac:dyDescent="0.2">
      <c r="X263" s="64" t="str">
        <f t="shared" si="75"/>
        <v/>
      </c>
      <c r="Y263" s="68" t="s">
        <v>27</v>
      </c>
      <c r="Z263" s="68" t="s">
        <v>14</v>
      </c>
      <c r="AA263" s="68" t="s">
        <v>13</v>
      </c>
      <c r="AB263" s="68" t="s">
        <v>28</v>
      </c>
      <c r="AC263" s="68" t="s">
        <v>25</v>
      </c>
      <c r="AD263" s="68" t="s">
        <v>31</v>
      </c>
      <c r="AE263" s="68" t="s">
        <v>184</v>
      </c>
      <c r="AF263" s="68" t="s">
        <v>185</v>
      </c>
      <c r="AG263">
        <f t="shared" si="76"/>
        <v>1</v>
      </c>
      <c r="AH263">
        <f t="shared" si="60"/>
        <v>1</v>
      </c>
      <c r="AI263">
        <f t="shared" si="61"/>
        <v>0</v>
      </c>
      <c r="AJ263">
        <f t="shared" si="62"/>
        <v>1</v>
      </c>
      <c r="AK263">
        <f t="shared" si="63"/>
        <v>1</v>
      </c>
      <c r="AL263">
        <f t="shared" si="64"/>
        <v>1</v>
      </c>
      <c r="AM263">
        <f t="shared" si="65"/>
        <v>1</v>
      </c>
      <c r="AN263">
        <f t="shared" si="66"/>
        <v>0</v>
      </c>
      <c r="AO263" s="69" t="str">
        <f t="shared" si="67"/>
        <v>Marruecos</v>
      </c>
      <c r="AP263" s="69" t="str">
        <f t="shared" si="68"/>
        <v>Irán</v>
      </c>
      <c r="AQ263" s="69" t="e">
        <f t="shared" si="69"/>
        <v>#N/A</v>
      </c>
      <c r="AR263" s="69" t="str">
        <f t="shared" si="70"/>
        <v>Paraguay</v>
      </c>
      <c r="AS263" s="69" t="str">
        <f t="shared" si="71"/>
        <v>Korea</v>
      </c>
      <c r="AT263" s="69" t="str">
        <f t="shared" si="72"/>
        <v>Suecia</v>
      </c>
      <c r="AU263" s="69" t="str">
        <f t="shared" si="73"/>
        <v>Senegal</v>
      </c>
      <c r="AV263" s="69" t="e">
        <f t="shared" si="74"/>
        <v>#N/A</v>
      </c>
    </row>
    <row r="264" spans="24:48" x14ac:dyDescent="0.2">
      <c r="X264" s="64" t="str">
        <f t="shared" si="75"/>
        <v/>
      </c>
      <c r="Y264" s="68" t="s">
        <v>32</v>
      </c>
      <c r="Z264" s="68" t="s">
        <v>14</v>
      </c>
      <c r="AA264" s="68" t="s">
        <v>31</v>
      </c>
      <c r="AB264" s="68" t="s">
        <v>27</v>
      </c>
      <c r="AC264" s="68" t="s">
        <v>25</v>
      </c>
      <c r="AD264" s="68" t="s">
        <v>28</v>
      </c>
      <c r="AE264" s="68" t="s">
        <v>186</v>
      </c>
      <c r="AF264" s="68" t="s">
        <v>185</v>
      </c>
      <c r="AG264">
        <f t="shared" si="76"/>
        <v>0</v>
      </c>
      <c r="AH264">
        <f t="shared" si="60"/>
        <v>1</v>
      </c>
      <c r="AI264">
        <f t="shared" si="61"/>
        <v>1</v>
      </c>
      <c r="AJ264">
        <f t="shared" si="62"/>
        <v>1</v>
      </c>
      <c r="AK264">
        <f t="shared" si="63"/>
        <v>1</v>
      </c>
      <c r="AL264">
        <f t="shared" si="64"/>
        <v>1</v>
      </c>
      <c r="AM264">
        <f t="shared" si="65"/>
        <v>0</v>
      </c>
      <c r="AN264">
        <f t="shared" si="66"/>
        <v>0</v>
      </c>
      <c r="AO264" s="69" t="e">
        <f t="shared" si="67"/>
        <v>#N/A</v>
      </c>
      <c r="AP264" s="69" t="str">
        <f t="shared" si="68"/>
        <v>Irán</v>
      </c>
      <c r="AQ264" s="69" t="str">
        <f t="shared" si="69"/>
        <v>Suecia</v>
      </c>
      <c r="AR264" s="69" t="str">
        <f t="shared" si="70"/>
        <v>Marruecos</v>
      </c>
      <c r="AS264" s="69" t="str">
        <f t="shared" si="71"/>
        <v>Korea</v>
      </c>
      <c r="AT264" s="69" t="str">
        <f t="shared" si="72"/>
        <v>Paraguay</v>
      </c>
      <c r="AU264" s="69" t="e">
        <f t="shared" si="73"/>
        <v>#N/A</v>
      </c>
      <c r="AV264" s="69" t="e">
        <f t="shared" si="74"/>
        <v>#N/A</v>
      </c>
    </row>
    <row r="265" spans="24:48" x14ac:dyDescent="0.2">
      <c r="X265" s="64" t="str">
        <f t="shared" si="75"/>
        <v/>
      </c>
      <c r="Y265" s="68" t="s">
        <v>27</v>
      </c>
      <c r="Z265" s="68" t="s">
        <v>14</v>
      </c>
      <c r="AA265" s="68" t="s">
        <v>13</v>
      </c>
      <c r="AB265" s="68" t="s">
        <v>28</v>
      </c>
      <c r="AC265" s="68" t="s">
        <v>25</v>
      </c>
      <c r="AD265" s="68" t="s">
        <v>31</v>
      </c>
      <c r="AE265" s="68" t="s">
        <v>186</v>
      </c>
      <c r="AF265" s="68" t="s">
        <v>32</v>
      </c>
      <c r="AG265">
        <f t="shared" si="76"/>
        <v>1</v>
      </c>
      <c r="AH265">
        <f t="shared" si="60"/>
        <v>1</v>
      </c>
      <c r="AI265">
        <f t="shared" si="61"/>
        <v>0</v>
      </c>
      <c r="AJ265">
        <f t="shared" si="62"/>
        <v>1</v>
      </c>
      <c r="AK265">
        <f t="shared" si="63"/>
        <v>1</v>
      </c>
      <c r="AL265">
        <f t="shared" si="64"/>
        <v>1</v>
      </c>
      <c r="AM265">
        <f t="shared" si="65"/>
        <v>0</v>
      </c>
      <c r="AN265">
        <f t="shared" si="66"/>
        <v>0</v>
      </c>
      <c r="AO265" s="69" t="str">
        <f t="shared" si="67"/>
        <v>Marruecos</v>
      </c>
      <c r="AP265" s="69" t="str">
        <f t="shared" si="68"/>
        <v>Irán</v>
      </c>
      <c r="AQ265" s="69" t="e">
        <f t="shared" si="69"/>
        <v>#N/A</v>
      </c>
      <c r="AR265" s="69" t="str">
        <f t="shared" si="70"/>
        <v>Paraguay</v>
      </c>
      <c r="AS265" s="69" t="str">
        <f t="shared" si="71"/>
        <v>Korea</v>
      </c>
      <c r="AT265" s="69" t="str">
        <f t="shared" si="72"/>
        <v>Suecia</v>
      </c>
      <c r="AU265" s="69" t="e">
        <f t="shared" si="73"/>
        <v>#N/A</v>
      </c>
      <c r="AV265" s="69" t="e">
        <f t="shared" si="74"/>
        <v>#N/A</v>
      </c>
    </row>
    <row r="266" spans="24:48" x14ac:dyDescent="0.2">
      <c r="X266" s="64" t="str">
        <f t="shared" si="75"/>
        <v/>
      </c>
      <c r="Y266" s="68" t="s">
        <v>32</v>
      </c>
      <c r="Z266" s="68" t="s">
        <v>14</v>
      </c>
      <c r="AA266" s="68" t="s">
        <v>13</v>
      </c>
      <c r="AB266" s="68" t="s">
        <v>27</v>
      </c>
      <c r="AC266" s="68" t="s">
        <v>25</v>
      </c>
      <c r="AD266" s="68" t="s">
        <v>31</v>
      </c>
      <c r="AE266" s="68" t="s">
        <v>28</v>
      </c>
      <c r="AF266" s="68" t="s">
        <v>185</v>
      </c>
      <c r="AG266">
        <f t="shared" si="76"/>
        <v>0</v>
      </c>
      <c r="AH266">
        <f t="shared" si="60"/>
        <v>1</v>
      </c>
      <c r="AI266">
        <f t="shared" si="61"/>
        <v>0</v>
      </c>
      <c r="AJ266">
        <f t="shared" si="62"/>
        <v>1</v>
      </c>
      <c r="AK266">
        <f t="shared" si="63"/>
        <v>1</v>
      </c>
      <c r="AL266">
        <f t="shared" si="64"/>
        <v>1</v>
      </c>
      <c r="AM266">
        <f t="shared" si="65"/>
        <v>1</v>
      </c>
      <c r="AN266">
        <f t="shared" si="66"/>
        <v>0</v>
      </c>
      <c r="AO266" s="69" t="e">
        <f t="shared" si="67"/>
        <v>#N/A</v>
      </c>
      <c r="AP266" s="69" t="str">
        <f t="shared" si="68"/>
        <v>Irán</v>
      </c>
      <c r="AQ266" s="69" t="e">
        <f t="shared" si="69"/>
        <v>#N/A</v>
      </c>
      <c r="AR266" s="69" t="str">
        <f t="shared" si="70"/>
        <v>Marruecos</v>
      </c>
      <c r="AS266" s="69" t="str">
        <f t="shared" si="71"/>
        <v>Korea</v>
      </c>
      <c r="AT266" s="69" t="str">
        <f t="shared" si="72"/>
        <v>Suecia</v>
      </c>
      <c r="AU266" s="69" t="str">
        <f t="shared" si="73"/>
        <v>Paraguay</v>
      </c>
      <c r="AV266" s="69" t="e">
        <f t="shared" si="74"/>
        <v>#N/A</v>
      </c>
    </row>
    <row r="267" spans="24:48" x14ac:dyDescent="0.2">
      <c r="X267" s="64" t="str">
        <f t="shared" si="75"/>
        <v/>
      </c>
      <c r="Y267" s="68" t="s">
        <v>32</v>
      </c>
      <c r="Z267" s="68" t="s">
        <v>14</v>
      </c>
      <c r="AA267" s="68" t="s">
        <v>31</v>
      </c>
      <c r="AB267" s="68" t="s">
        <v>27</v>
      </c>
      <c r="AC267" s="68" t="s">
        <v>25</v>
      </c>
      <c r="AD267" s="68" t="s">
        <v>28</v>
      </c>
      <c r="AE267" s="68" t="s">
        <v>186</v>
      </c>
      <c r="AF267" s="68" t="s">
        <v>184</v>
      </c>
      <c r="AG267">
        <f t="shared" si="76"/>
        <v>0</v>
      </c>
      <c r="AH267">
        <f t="shared" si="60"/>
        <v>1</v>
      </c>
      <c r="AI267">
        <f t="shared" si="61"/>
        <v>1</v>
      </c>
      <c r="AJ267">
        <f t="shared" si="62"/>
        <v>1</v>
      </c>
      <c r="AK267">
        <f t="shared" si="63"/>
        <v>1</v>
      </c>
      <c r="AL267">
        <f t="shared" si="64"/>
        <v>1</v>
      </c>
      <c r="AM267">
        <f t="shared" si="65"/>
        <v>0</v>
      </c>
      <c r="AN267">
        <f t="shared" si="66"/>
        <v>1</v>
      </c>
      <c r="AO267" s="69" t="e">
        <f t="shared" si="67"/>
        <v>#N/A</v>
      </c>
      <c r="AP267" s="69" t="str">
        <f t="shared" si="68"/>
        <v>Irán</v>
      </c>
      <c r="AQ267" s="69" t="str">
        <f t="shared" si="69"/>
        <v>Suecia</v>
      </c>
      <c r="AR267" s="69" t="str">
        <f t="shared" si="70"/>
        <v>Marruecos</v>
      </c>
      <c r="AS267" s="69" t="str">
        <f t="shared" si="71"/>
        <v>Korea</v>
      </c>
      <c r="AT267" s="69" t="str">
        <f t="shared" si="72"/>
        <v>Paraguay</v>
      </c>
      <c r="AU267" s="69" t="e">
        <f t="shared" si="73"/>
        <v>#N/A</v>
      </c>
      <c r="AV267" s="69" t="str">
        <f t="shared" si="74"/>
        <v>Senegal</v>
      </c>
    </row>
    <row r="268" spans="24:48" x14ac:dyDescent="0.2">
      <c r="X268" s="64" t="str">
        <f t="shared" si="75"/>
        <v/>
      </c>
      <c r="Y268" s="68" t="s">
        <v>32</v>
      </c>
      <c r="Z268" s="68" t="s">
        <v>14</v>
      </c>
      <c r="AA268" s="68" t="s">
        <v>31</v>
      </c>
      <c r="AB268" s="68" t="s">
        <v>27</v>
      </c>
      <c r="AC268" s="68" t="s">
        <v>25</v>
      </c>
      <c r="AD268" s="68" t="s">
        <v>28</v>
      </c>
      <c r="AE268" s="68" t="s">
        <v>184</v>
      </c>
      <c r="AF268" s="68" t="s">
        <v>185</v>
      </c>
      <c r="AG268">
        <f t="shared" si="76"/>
        <v>0</v>
      </c>
      <c r="AH268">
        <f t="shared" si="60"/>
        <v>1</v>
      </c>
      <c r="AI268">
        <f t="shared" si="61"/>
        <v>1</v>
      </c>
      <c r="AJ268">
        <f t="shared" si="62"/>
        <v>1</v>
      </c>
      <c r="AK268">
        <f t="shared" si="63"/>
        <v>1</v>
      </c>
      <c r="AL268">
        <f t="shared" si="64"/>
        <v>1</v>
      </c>
      <c r="AM268">
        <f t="shared" si="65"/>
        <v>1</v>
      </c>
      <c r="AN268">
        <f t="shared" si="66"/>
        <v>0</v>
      </c>
      <c r="AO268" s="69" t="e">
        <f t="shared" si="67"/>
        <v>#N/A</v>
      </c>
      <c r="AP268" s="69" t="str">
        <f t="shared" si="68"/>
        <v>Irán</v>
      </c>
      <c r="AQ268" s="69" t="str">
        <f t="shared" si="69"/>
        <v>Suecia</v>
      </c>
      <c r="AR268" s="69" t="str">
        <f t="shared" si="70"/>
        <v>Marruecos</v>
      </c>
      <c r="AS268" s="69" t="str">
        <f t="shared" si="71"/>
        <v>Korea</v>
      </c>
      <c r="AT268" s="69" t="str">
        <f t="shared" si="72"/>
        <v>Paraguay</v>
      </c>
      <c r="AU268" s="69" t="str">
        <f t="shared" si="73"/>
        <v>Senegal</v>
      </c>
      <c r="AV268" s="69" t="e">
        <f t="shared" si="74"/>
        <v>#N/A</v>
      </c>
    </row>
    <row r="269" spans="24:48" x14ac:dyDescent="0.2">
      <c r="X269" s="64" t="str">
        <f t="shared" si="75"/>
        <v/>
      </c>
      <c r="Y269" s="68" t="s">
        <v>32</v>
      </c>
      <c r="Z269" s="68" t="s">
        <v>14</v>
      </c>
      <c r="AA269" s="68" t="s">
        <v>13</v>
      </c>
      <c r="AB269" s="68" t="s">
        <v>27</v>
      </c>
      <c r="AC269" s="68" t="s">
        <v>25</v>
      </c>
      <c r="AD269" s="68" t="s">
        <v>31</v>
      </c>
      <c r="AE269" s="68" t="s">
        <v>28</v>
      </c>
      <c r="AF269" s="68" t="s">
        <v>184</v>
      </c>
      <c r="AG269">
        <f t="shared" si="76"/>
        <v>0</v>
      </c>
      <c r="AH269">
        <f t="shared" si="60"/>
        <v>1</v>
      </c>
      <c r="AI269">
        <f t="shared" si="61"/>
        <v>0</v>
      </c>
      <c r="AJ269">
        <f t="shared" si="62"/>
        <v>1</v>
      </c>
      <c r="AK269">
        <f t="shared" si="63"/>
        <v>1</v>
      </c>
      <c r="AL269">
        <f t="shared" si="64"/>
        <v>1</v>
      </c>
      <c r="AM269">
        <f t="shared" si="65"/>
        <v>1</v>
      </c>
      <c r="AN269">
        <f t="shared" si="66"/>
        <v>1</v>
      </c>
      <c r="AO269" s="69" t="e">
        <f t="shared" si="67"/>
        <v>#N/A</v>
      </c>
      <c r="AP269" s="69" t="str">
        <f t="shared" si="68"/>
        <v>Irán</v>
      </c>
      <c r="AQ269" s="69" t="e">
        <f t="shared" si="69"/>
        <v>#N/A</v>
      </c>
      <c r="AR269" s="69" t="str">
        <f t="shared" si="70"/>
        <v>Marruecos</v>
      </c>
      <c r="AS269" s="69" t="str">
        <f t="shared" si="71"/>
        <v>Korea</v>
      </c>
      <c r="AT269" s="69" t="str">
        <f t="shared" si="72"/>
        <v>Suecia</v>
      </c>
      <c r="AU269" s="69" t="str">
        <f t="shared" si="73"/>
        <v>Paraguay</v>
      </c>
      <c r="AV269" s="69" t="str">
        <f t="shared" si="74"/>
        <v>Senegal</v>
      </c>
    </row>
    <row r="270" spans="24:48" x14ac:dyDescent="0.2">
      <c r="X270" s="64" t="str">
        <f t="shared" si="75"/>
        <v/>
      </c>
      <c r="Y270" s="68" t="s">
        <v>15</v>
      </c>
      <c r="Z270" s="68" t="s">
        <v>13</v>
      </c>
      <c r="AA270" s="68" t="s">
        <v>184</v>
      </c>
      <c r="AB270" s="68" t="s">
        <v>27</v>
      </c>
      <c r="AC270" s="68" t="s">
        <v>25</v>
      </c>
      <c r="AD270" s="68" t="s">
        <v>28</v>
      </c>
      <c r="AE270" s="68" t="s">
        <v>186</v>
      </c>
      <c r="AF270" s="68" t="s">
        <v>185</v>
      </c>
      <c r="AG270">
        <f t="shared" si="76"/>
        <v>1</v>
      </c>
      <c r="AH270">
        <f t="shared" si="60"/>
        <v>0</v>
      </c>
      <c r="AI270">
        <f t="shared" si="61"/>
        <v>1</v>
      </c>
      <c r="AJ270">
        <f t="shared" si="62"/>
        <v>1</v>
      </c>
      <c r="AK270">
        <f t="shared" si="63"/>
        <v>1</v>
      </c>
      <c r="AL270">
        <f t="shared" si="64"/>
        <v>1</v>
      </c>
      <c r="AM270">
        <f t="shared" si="65"/>
        <v>0</v>
      </c>
      <c r="AN270">
        <f t="shared" si="66"/>
        <v>0</v>
      </c>
      <c r="AO270" s="69" t="str">
        <f t="shared" si="67"/>
        <v>Costa de Marfil</v>
      </c>
      <c r="AP270" s="69" t="e">
        <f t="shared" si="68"/>
        <v>#N/A</v>
      </c>
      <c r="AQ270" s="69" t="str">
        <f t="shared" si="69"/>
        <v>Senegal</v>
      </c>
      <c r="AR270" s="69" t="str">
        <f t="shared" si="70"/>
        <v>Marruecos</v>
      </c>
      <c r="AS270" s="69" t="str">
        <f t="shared" si="71"/>
        <v>Korea</v>
      </c>
      <c r="AT270" s="69" t="str">
        <f t="shared" si="72"/>
        <v>Paraguay</v>
      </c>
      <c r="AU270" s="69" t="e">
        <f t="shared" si="73"/>
        <v>#N/A</v>
      </c>
      <c r="AV270" s="69" t="e">
        <f t="shared" si="74"/>
        <v>#N/A</v>
      </c>
    </row>
    <row r="271" spans="24:48" x14ac:dyDescent="0.2">
      <c r="X271" s="64" t="str">
        <f t="shared" si="75"/>
        <v/>
      </c>
      <c r="Y271" s="68" t="s">
        <v>32</v>
      </c>
      <c r="Z271" s="68" t="s">
        <v>13</v>
      </c>
      <c r="AA271" s="68" t="s">
        <v>15</v>
      </c>
      <c r="AB271" s="68" t="s">
        <v>27</v>
      </c>
      <c r="AC271" s="68" t="s">
        <v>25</v>
      </c>
      <c r="AD271" s="68" t="s">
        <v>28</v>
      </c>
      <c r="AE271" s="68" t="s">
        <v>186</v>
      </c>
      <c r="AF271" s="68" t="s">
        <v>185</v>
      </c>
      <c r="AG271">
        <f t="shared" si="76"/>
        <v>0</v>
      </c>
      <c r="AH271">
        <f t="shared" si="60"/>
        <v>0</v>
      </c>
      <c r="AI271">
        <f t="shared" si="61"/>
        <v>1</v>
      </c>
      <c r="AJ271">
        <f t="shared" si="62"/>
        <v>1</v>
      </c>
      <c r="AK271">
        <f t="shared" si="63"/>
        <v>1</v>
      </c>
      <c r="AL271">
        <f t="shared" si="64"/>
        <v>1</v>
      </c>
      <c r="AM271">
        <f t="shared" si="65"/>
        <v>0</v>
      </c>
      <c r="AN271">
        <f t="shared" si="66"/>
        <v>0</v>
      </c>
      <c r="AO271" s="69" t="e">
        <f t="shared" si="67"/>
        <v>#N/A</v>
      </c>
      <c r="AP271" s="69" t="e">
        <f t="shared" si="68"/>
        <v>#N/A</v>
      </c>
      <c r="AQ271" s="69" t="str">
        <f t="shared" si="69"/>
        <v>Costa de Marfil</v>
      </c>
      <c r="AR271" s="69" t="str">
        <f t="shared" si="70"/>
        <v>Marruecos</v>
      </c>
      <c r="AS271" s="69" t="str">
        <f t="shared" si="71"/>
        <v>Korea</v>
      </c>
      <c r="AT271" s="69" t="str">
        <f t="shared" si="72"/>
        <v>Paraguay</v>
      </c>
      <c r="AU271" s="69" t="e">
        <f t="shared" si="73"/>
        <v>#N/A</v>
      </c>
      <c r="AV271" s="69" t="e">
        <f t="shared" si="74"/>
        <v>#N/A</v>
      </c>
    </row>
    <row r="272" spans="24:48" x14ac:dyDescent="0.2">
      <c r="X272" s="64" t="str">
        <f t="shared" si="75"/>
        <v/>
      </c>
      <c r="Y272" s="68" t="s">
        <v>32</v>
      </c>
      <c r="Z272" s="68" t="s">
        <v>15</v>
      </c>
      <c r="AA272" s="68" t="s">
        <v>184</v>
      </c>
      <c r="AB272" s="68" t="s">
        <v>27</v>
      </c>
      <c r="AC272" s="68" t="s">
        <v>25</v>
      </c>
      <c r="AD272" s="68" t="s">
        <v>28</v>
      </c>
      <c r="AE272" s="68" t="s">
        <v>186</v>
      </c>
      <c r="AF272" s="68" t="s">
        <v>185</v>
      </c>
      <c r="AG272">
        <f t="shared" si="76"/>
        <v>0</v>
      </c>
      <c r="AH272">
        <f t="shared" si="60"/>
        <v>1</v>
      </c>
      <c r="AI272">
        <f t="shared" si="61"/>
        <v>1</v>
      </c>
      <c r="AJ272">
        <f t="shared" si="62"/>
        <v>1</v>
      </c>
      <c r="AK272">
        <f t="shared" si="63"/>
        <v>1</v>
      </c>
      <c r="AL272">
        <f t="shared" si="64"/>
        <v>1</v>
      </c>
      <c r="AM272">
        <f t="shared" si="65"/>
        <v>0</v>
      </c>
      <c r="AN272">
        <f t="shared" si="66"/>
        <v>0</v>
      </c>
      <c r="AO272" s="69" t="e">
        <f t="shared" si="67"/>
        <v>#N/A</v>
      </c>
      <c r="AP272" s="69" t="str">
        <f t="shared" si="68"/>
        <v>Costa de Marfil</v>
      </c>
      <c r="AQ272" s="69" t="str">
        <f t="shared" si="69"/>
        <v>Senegal</v>
      </c>
      <c r="AR272" s="69" t="str">
        <f t="shared" si="70"/>
        <v>Marruecos</v>
      </c>
      <c r="AS272" s="69" t="str">
        <f t="shared" si="71"/>
        <v>Korea</v>
      </c>
      <c r="AT272" s="69" t="str">
        <f t="shared" si="72"/>
        <v>Paraguay</v>
      </c>
      <c r="AU272" s="69" t="e">
        <f t="shared" si="73"/>
        <v>#N/A</v>
      </c>
      <c r="AV272" s="69" t="e">
        <f t="shared" si="74"/>
        <v>#N/A</v>
      </c>
    </row>
    <row r="273" spans="24:48" x14ac:dyDescent="0.2">
      <c r="X273" s="64" t="str">
        <f t="shared" si="75"/>
        <v/>
      </c>
      <c r="Y273" s="68" t="s">
        <v>32</v>
      </c>
      <c r="Z273" s="68" t="s">
        <v>13</v>
      </c>
      <c r="AA273" s="68" t="s">
        <v>15</v>
      </c>
      <c r="AB273" s="68" t="s">
        <v>27</v>
      </c>
      <c r="AC273" s="68" t="s">
        <v>25</v>
      </c>
      <c r="AD273" s="68" t="s">
        <v>28</v>
      </c>
      <c r="AE273" s="68" t="s">
        <v>186</v>
      </c>
      <c r="AF273" s="68" t="s">
        <v>184</v>
      </c>
      <c r="AG273">
        <f t="shared" si="76"/>
        <v>0</v>
      </c>
      <c r="AH273">
        <f t="shared" si="60"/>
        <v>0</v>
      </c>
      <c r="AI273">
        <f t="shared" si="61"/>
        <v>1</v>
      </c>
      <c r="AJ273">
        <f t="shared" si="62"/>
        <v>1</v>
      </c>
      <c r="AK273">
        <f t="shared" si="63"/>
        <v>1</v>
      </c>
      <c r="AL273">
        <f t="shared" si="64"/>
        <v>1</v>
      </c>
      <c r="AM273">
        <f t="shared" si="65"/>
        <v>0</v>
      </c>
      <c r="AN273">
        <f t="shared" si="66"/>
        <v>1</v>
      </c>
      <c r="AO273" s="69" t="e">
        <f t="shared" si="67"/>
        <v>#N/A</v>
      </c>
      <c r="AP273" s="69" t="e">
        <f t="shared" si="68"/>
        <v>#N/A</v>
      </c>
      <c r="AQ273" s="69" t="str">
        <f t="shared" si="69"/>
        <v>Costa de Marfil</v>
      </c>
      <c r="AR273" s="69" t="str">
        <f t="shared" si="70"/>
        <v>Marruecos</v>
      </c>
      <c r="AS273" s="69" t="str">
        <f t="shared" si="71"/>
        <v>Korea</v>
      </c>
      <c r="AT273" s="69" t="str">
        <f t="shared" si="72"/>
        <v>Paraguay</v>
      </c>
      <c r="AU273" s="69" t="e">
        <f t="shared" si="73"/>
        <v>#N/A</v>
      </c>
      <c r="AV273" s="69" t="str">
        <f t="shared" si="74"/>
        <v>Senegal</v>
      </c>
    </row>
    <row r="274" spans="24:48" x14ac:dyDescent="0.2">
      <c r="X274" s="64" t="str">
        <f t="shared" si="75"/>
        <v/>
      </c>
      <c r="Y274" s="68" t="s">
        <v>32</v>
      </c>
      <c r="Z274" s="68" t="s">
        <v>13</v>
      </c>
      <c r="AA274" s="68" t="s">
        <v>15</v>
      </c>
      <c r="AB274" s="68" t="s">
        <v>27</v>
      </c>
      <c r="AC274" s="68" t="s">
        <v>25</v>
      </c>
      <c r="AD274" s="68" t="s">
        <v>28</v>
      </c>
      <c r="AE274" s="68" t="s">
        <v>184</v>
      </c>
      <c r="AF274" s="68" t="s">
        <v>185</v>
      </c>
      <c r="AG274">
        <f t="shared" si="76"/>
        <v>0</v>
      </c>
      <c r="AH274">
        <f t="shared" si="60"/>
        <v>0</v>
      </c>
      <c r="AI274">
        <f t="shared" si="61"/>
        <v>1</v>
      </c>
      <c r="AJ274">
        <f t="shared" si="62"/>
        <v>1</v>
      </c>
      <c r="AK274">
        <f t="shared" si="63"/>
        <v>1</v>
      </c>
      <c r="AL274">
        <f t="shared" si="64"/>
        <v>1</v>
      </c>
      <c r="AM274">
        <f t="shared" si="65"/>
        <v>1</v>
      </c>
      <c r="AN274">
        <f t="shared" si="66"/>
        <v>0</v>
      </c>
      <c r="AO274" s="69" t="e">
        <f t="shared" si="67"/>
        <v>#N/A</v>
      </c>
      <c r="AP274" s="69" t="e">
        <f t="shared" si="68"/>
        <v>#N/A</v>
      </c>
      <c r="AQ274" s="69" t="str">
        <f t="shared" si="69"/>
        <v>Costa de Marfil</v>
      </c>
      <c r="AR274" s="69" t="str">
        <f t="shared" si="70"/>
        <v>Marruecos</v>
      </c>
      <c r="AS274" s="69" t="str">
        <f t="shared" si="71"/>
        <v>Korea</v>
      </c>
      <c r="AT274" s="69" t="str">
        <f t="shared" si="72"/>
        <v>Paraguay</v>
      </c>
      <c r="AU274" s="69" t="str">
        <f t="shared" si="73"/>
        <v>Senegal</v>
      </c>
      <c r="AV274" s="69" t="e">
        <f t="shared" si="74"/>
        <v>#N/A</v>
      </c>
    </row>
    <row r="275" spans="24:48" x14ac:dyDescent="0.2">
      <c r="X275" s="64" t="str">
        <f t="shared" si="75"/>
        <v/>
      </c>
      <c r="Y275" s="68" t="s">
        <v>15</v>
      </c>
      <c r="Z275" s="68" t="s">
        <v>14</v>
      </c>
      <c r="AA275" s="68" t="s">
        <v>13</v>
      </c>
      <c r="AB275" s="68" t="s">
        <v>27</v>
      </c>
      <c r="AC275" s="68" t="s">
        <v>25</v>
      </c>
      <c r="AD275" s="68" t="s">
        <v>28</v>
      </c>
      <c r="AE275" s="68" t="s">
        <v>186</v>
      </c>
      <c r="AF275" s="68" t="s">
        <v>185</v>
      </c>
      <c r="AG275">
        <f t="shared" si="76"/>
        <v>1</v>
      </c>
      <c r="AH275">
        <f t="shared" si="60"/>
        <v>1</v>
      </c>
      <c r="AI275">
        <f t="shared" si="61"/>
        <v>0</v>
      </c>
      <c r="AJ275">
        <f t="shared" si="62"/>
        <v>1</v>
      </c>
      <c r="AK275">
        <f t="shared" si="63"/>
        <v>1</v>
      </c>
      <c r="AL275">
        <f t="shared" si="64"/>
        <v>1</v>
      </c>
      <c r="AM275">
        <f t="shared" si="65"/>
        <v>0</v>
      </c>
      <c r="AN275">
        <f t="shared" si="66"/>
        <v>0</v>
      </c>
      <c r="AO275" s="69" t="str">
        <f t="shared" si="67"/>
        <v>Costa de Marfil</v>
      </c>
      <c r="AP275" s="69" t="str">
        <f t="shared" si="68"/>
        <v>Irán</v>
      </c>
      <c r="AQ275" s="69" t="e">
        <f t="shared" si="69"/>
        <v>#N/A</v>
      </c>
      <c r="AR275" s="69" t="str">
        <f t="shared" si="70"/>
        <v>Marruecos</v>
      </c>
      <c r="AS275" s="69" t="str">
        <f t="shared" si="71"/>
        <v>Korea</v>
      </c>
      <c r="AT275" s="69" t="str">
        <f t="shared" si="72"/>
        <v>Paraguay</v>
      </c>
      <c r="AU275" s="69" t="e">
        <f t="shared" si="73"/>
        <v>#N/A</v>
      </c>
      <c r="AV275" s="69" t="e">
        <f t="shared" si="74"/>
        <v>#N/A</v>
      </c>
    </row>
    <row r="276" spans="24:48" x14ac:dyDescent="0.2">
      <c r="X276" s="64" t="str">
        <f t="shared" si="75"/>
        <v/>
      </c>
      <c r="Y276" s="68" t="s">
        <v>15</v>
      </c>
      <c r="Z276" s="68" t="s">
        <v>14</v>
      </c>
      <c r="AA276" s="68" t="s">
        <v>184</v>
      </c>
      <c r="AB276" s="68" t="s">
        <v>27</v>
      </c>
      <c r="AC276" s="68" t="s">
        <v>25</v>
      </c>
      <c r="AD276" s="68" t="s">
        <v>28</v>
      </c>
      <c r="AE276" s="68" t="s">
        <v>186</v>
      </c>
      <c r="AF276" s="68" t="s">
        <v>185</v>
      </c>
      <c r="AG276">
        <f t="shared" si="76"/>
        <v>1</v>
      </c>
      <c r="AH276">
        <f t="shared" ref="AH276:AH339" si="77">IFERROR(VLOOKUP(Z276,$B$21:$T$28,19,0),0)</f>
        <v>1</v>
      </c>
      <c r="AI276">
        <f t="shared" ref="AI276:AI339" si="78">IFERROR(VLOOKUP(AA276,$B$21:$T$28,19,0),0)</f>
        <v>1</v>
      </c>
      <c r="AJ276">
        <f t="shared" ref="AJ276:AJ339" si="79">IFERROR(VLOOKUP(AB276,$B$21:$T$28,19,0),0)</f>
        <v>1</v>
      </c>
      <c r="AK276">
        <f t="shared" ref="AK276:AK339" si="80">IFERROR(VLOOKUP(AC276,$B$21:$T$28,19,0),0)</f>
        <v>1</v>
      </c>
      <c r="AL276">
        <f t="shared" ref="AL276:AL339" si="81">IFERROR(VLOOKUP(AD276,$B$21:$T$28,19,0),0)</f>
        <v>1</v>
      </c>
      <c r="AM276">
        <f t="shared" ref="AM276:AM339" si="82">IFERROR(VLOOKUP(AE276,$B$21:$T$28,19,0),0)</f>
        <v>0</v>
      </c>
      <c r="AN276">
        <f t="shared" ref="AN276:AN339" si="83">IFERROR(VLOOKUP(AF276,$B$21:$T$28,19,0),0)</f>
        <v>0</v>
      </c>
      <c r="AO276" s="69" t="str">
        <f t="shared" ref="AO276:AO339" si="84">VLOOKUP(Y276,$B$21:$C$28,2,0)</f>
        <v>Costa de Marfil</v>
      </c>
      <c r="AP276" s="69" t="str">
        <f t="shared" ref="AP276:AP339" si="85">VLOOKUP(Z276,$B$21:$C$28,2,0)</f>
        <v>Irán</v>
      </c>
      <c r="AQ276" s="69" t="str">
        <f t="shared" ref="AQ276:AQ339" si="86">VLOOKUP(AA276,$B$21:$C$28,2,0)</f>
        <v>Senegal</v>
      </c>
      <c r="AR276" s="69" t="str">
        <f t="shared" ref="AR276:AR339" si="87">VLOOKUP(AB276,$B$21:$C$28,2,0)</f>
        <v>Marruecos</v>
      </c>
      <c r="AS276" s="69" t="str">
        <f t="shared" ref="AS276:AS339" si="88">VLOOKUP(AC276,$B$21:$C$28,2,0)</f>
        <v>Korea</v>
      </c>
      <c r="AT276" s="69" t="str">
        <f t="shared" ref="AT276:AT339" si="89">VLOOKUP(AD276,$B$21:$C$28,2,0)</f>
        <v>Paraguay</v>
      </c>
      <c r="AU276" s="69" t="e">
        <f t="shared" ref="AU276:AU339" si="90">VLOOKUP(AE276,$B$21:$C$28,2,0)</f>
        <v>#N/A</v>
      </c>
      <c r="AV276" s="69" t="e">
        <f t="shared" ref="AV276:AV339" si="91">VLOOKUP(AF276,$B$21:$C$28,2,0)</f>
        <v>#N/A</v>
      </c>
    </row>
    <row r="277" spans="24:48" x14ac:dyDescent="0.2">
      <c r="X277" s="64" t="str">
        <f t="shared" ref="X277:X340" si="92">IF(SUM(AG277:AN277)=8,"X","")</f>
        <v/>
      </c>
      <c r="Y277" s="68" t="s">
        <v>15</v>
      </c>
      <c r="Z277" s="68" t="s">
        <v>14</v>
      </c>
      <c r="AA277" s="68" t="s">
        <v>13</v>
      </c>
      <c r="AB277" s="68" t="s">
        <v>27</v>
      </c>
      <c r="AC277" s="68" t="s">
        <v>25</v>
      </c>
      <c r="AD277" s="68" t="s">
        <v>28</v>
      </c>
      <c r="AE277" s="68" t="s">
        <v>186</v>
      </c>
      <c r="AF277" s="68" t="s">
        <v>184</v>
      </c>
      <c r="AG277">
        <f t="shared" ref="AG277:AG340" si="93">IFERROR(VLOOKUP(Y277,$B$21:$T$28,19,0),0)</f>
        <v>1</v>
      </c>
      <c r="AH277">
        <f t="shared" si="77"/>
        <v>1</v>
      </c>
      <c r="AI277">
        <f t="shared" si="78"/>
        <v>0</v>
      </c>
      <c r="AJ277">
        <f t="shared" si="79"/>
        <v>1</v>
      </c>
      <c r="AK277">
        <f t="shared" si="80"/>
        <v>1</v>
      </c>
      <c r="AL277">
        <f t="shared" si="81"/>
        <v>1</v>
      </c>
      <c r="AM277">
        <f t="shared" si="82"/>
        <v>0</v>
      </c>
      <c r="AN277">
        <f t="shared" si="83"/>
        <v>1</v>
      </c>
      <c r="AO277" s="69" t="str">
        <f t="shared" si="84"/>
        <v>Costa de Marfil</v>
      </c>
      <c r="AP277" s="69" t="str">
        <f t="shared" si="85"/>
        <v>Irán</v>
      </c>
      <c r="AQ277" s="69" t="e">
        <f t="shared" si="86"/>
        <v>#N/A</v>
      </c>
      <c r="AR277" s="69" t="str">
        <f t="shared" si="87"/>
        <v>Marruecos</v>
      </c>
      <c r="AS277" s="69" t="str">
        <f t="shared" si="88"/>
        <v>Korea</v>
      </c>
      <c r="AT277" s="69" t="str">
        <f t="shared" si="89"/>
        <v>Paraguay</v>
      </c>
      <c r="AU277" s="69" t="e">
        <f t="shared" si="90"/>
        <v>#N/A</v>
      </c>
      <c r="AV277" s="69" t="str">
        <f t="shared" si="91"/>
        <v>Senegal</v>
      </c>
    </row>
    <row r="278" spans="24:48" x14ac:dyDescent="0.2">
      <c r="X278" s="64" t="str">
        <f t="shared" si="92"/>
        <v/>
      </c>
      <c r="Y278" s="68" t="s">
        <v>15</v>
      </c>
      <c r="Z278" s="68" t="s">
        <v>14</v>
      </c>
      <c r="AA278" s="68" t="s">
        <v>13</v>
      </c>
      <c r="AB278" s="68" t="s">
        <v>27</v>
      </c>
      <c r="AC278" s="68" t="s">
        <v>25</v>
      </c>
      <c r="AD278" s="68" t="s">
        <v>28</v>
      </c>
      <c r="AE278" s="68" t="s">
        <v>184</v>
      </c>
      <c r="AF278" s="68" t="s">
        <v>185</v>
      </c>
      <c r="AG278">
        <f t="shared" si="93"/>
        <v>1</v>
      </c>
      <c r="AH278">
        <f t="shared" si="77"/>
        <v>1</v>
      </c>
      <c r="AI278">
        <f t="shared" si="78"/>
        <v>0</v>
      </c>
      <c r="AJ278">
        <f t="shared" si="79"/>
        <v>1</v>
      </c>
      <c r="AK278">
        <f t="shared" si="80"/>
        <v>1</v>
      </c>
      <c r="AL278">
        <f t="shared" si="81"/>
        <v>1</v>
      </c>
      <c r="AM278">
        <f t="shared" si="82"/>
        <v>1</v>
      </c>
      <c r="AN278">
        <f t="shared" si="83"/>
        <v>0</v>
      </c>
      <c r="AO278" s="69" t="str">
        <f t="shared" si="84"/>
        <v>Costa de Marfil</v>
      </c>
      <c r="AP278" s="69" t="str">
        <f t="shared" si="85"/>
        <v>Irán</v>
      </c>
      <c r="AQ278" s="69" t="e">
        <f t="shared" si="86"/>
        <v>#N/A</v>
      </c>
      <c r="AR278" s="69" t="str">
        <f t="shared" si="87"/>
        <v>Marruecos</v>
      </c>
      <c r="AS278" s="69" t="str">
        <f t="shared" si="88"/>
        <v>Korea</v>
      </c>
      <c r="AT278" s="69" t="str">
        <f t="shared" si="89"/>
        <v>Paraguay</v>
      </c>
      <c r="AU278" s="69" t="str">
        <f t="shared" si="90"/>
        <v>Senegal</v>
      </c>
      <c r="AV278" s="69" t="e">
        <f t="shared" si="91"/>
        <v>#N/A</v>
      </c>
    </row>
    <row r="279" spans="24:48" x14ac:dyDescent="0.2">
      <c r="X279" s="64" t="str">
        <f t="shared" si="92"/>
        <v/>
      </c>
      <c r="Y279" s="68" t="s">
        <v>32</v>
      </c>
      <c r="Z279" s="68" t="s">
        <v>14</v>
      </c>
      <c r="AA279" s="68" t="s">
        <v>15</v>
      </c>
      <c r="AB279" s="68" t="s">
        <v>27</v>
      </c>
      <c r="AC279" s="68" t="s">
        <v>25</v>
      </c>
      <c r="AD279" s="68" t="s">
        <v>28</v>
      </c>
      <c r="AE279" s="68" t="s">
        <v>186</v>
      </c>
      <c r="AF279" s="68" t="s">
        <v>185</v>
      </c>
      <c r="AG279">
        <f t="shared" si="93"/>
        <v>0</v>
      </c>
      <c r="AH279">
        <f t="shared" si="77"/>
        <v>1</v>
      </c>
      <c r="AI279">
        <f t="shared" si="78"/>
        <v>1</v>
      </c>
      <c r="AJ279">
        <f t="shared" si="79"/>
        <v>1</v>
      </c>
      <c r="AK279">
        <f t="shared" si="80"/>
        <v>1</v>
      </c>
      <c r="AL279">
        <f t="shared" si="81"/>
        <v>1</v>
      </c>
      <c r="AM279">
        <f t="shared" si="82"/>
        <v>0</v>
      </c>
      <c r="AN279">
        <f t="shared" si="83"/>
        <v>0</v>
      </c>
      <c r="AO279" s="69" t="e">
        <f t="shared" si="84"/>
        <v>#N/A</v>
      </c>
      <c r="AP279" s="69" t="str">
        <f t="shared" si="85"/>
        <v>Irán</v>
      </c>
      <c r="AQ279" s="69" t="str">
        <f t="shared" si="86"/>
        <v>Costa de Marfil</v>
      </c>
      <c r="AR279" s="69" t="str">
        <f t="shared" si="87"/>
        <v>Marruecos</v>
      </c>
      <c r="AS279" s="69" t="str">
        <f t="shared" si="88"/>
        <v>Korea</v>
      </c>
      <c r="AT279" s="69" t="str">
        <f t="shared" si="89"/>
        <v>Paraguay</v>
      </c>
      <c r="AU279" s="69" t="e">
        <f t="shared" si="90"/>
        <v>#N/A</v>
      </c>
      <c r="AV279" s="69" t="e">
        <f t="shared" si="91"/>
        <v>#N/A</v>
      </c>
    </row>
    <row r="280" spans="24:48" x14ac:dyDescent="0.2">
      <c r="X280" s="64" t="str">
        <f t="shared" si="92"/>
        <v/>
      </c>
      <c r="Y280" s="68" t="s">
        <v>32</v>
      </c>
      <c r="Z280" s="68" t="s">
        <v>14</v>
      </c>
      <c r="AA280" s="68" t="s">
        <v>13</v>
      </c>
      <c r="AB280" s="68" t="s">
        <v>27</v>
      </c>
      <c r="AC280" s="68" t="s">
        <v>25</v>
      </c>
      <c r="AD280" s="68" t="s">
        <v>28</v>
      </c>
      <c r="AE280" s="68" t="s">
        <v>186</v>
      </c>
      <c r="AF280" s="68" t="s">
        <v>15</v>
      </c>
      <c r="AG280">
        <f t="shared" si="93"/>
        <v>0</v>
      </c>
      <c r="AH280">
        <f t="shared" si="77"/>
        <v>1</v>
      </c>
      <c r="AI280">
        <f t="shared" si="78"/>
        <v>0</v>
      </c>
      <c r="AJ280">
        <f t="shared" si="79"/>
        <v>1</v>
      </c>
      <c r="AK280">
        <f t="shared" si="80"/>
        <v>1</v>
      </c>
      <c r="AL280">
        <f t="shared" si="81"/>
        <v>1</v>
      </c>
      <c r="AM280">
        <f t="shared" si="82"/>
        <v>0</v>
      </c>
      <c r="AN280">
        <f t="shared" si="83"/>
        <v>1</v>
      </c>
      <c r="AO280" s="69" t="e">
        <f t="shared" si="84"/>
        <v>#N/A</v>
      </c>
      <c r="AP280" s="69" t="str">
        <f t="shared" si="85"/>
        <v>Irán</v>
      </c>
      <c r="AQ280" s="69" t="e">
        <f t="shared" si="86"/>
        <v>#N/A</v>
      </c>
      <c r="AR280" s="69" t="str">
        <f t="shared" si="87"/>
        <v>Marruecos</v>
      </c>
      <c r="AS280" s="69" t="str">
        <f t="shared" si="88"/>
        <v>Korea</v>
      </c>
      <c r="AT280" s="69" t="str">
        <f t="shared" si="89"/>
        <v>Paraguay</v>
      </c>
      <c r="AU280" s="69" t="e">
        <f t="shared" si="90"/>
        <v>#N/A</v>
      </c>
      <c r="AV280" s="69" t="str">
        <f t="shared" si="91"/>
        <v>Costa de Marfil</v>
      </c>
    </row>
    <row r="281" spans="24:48" x14ac:dyDescent="0.2">
      <c r="X281" s="64" t="str">
        <f t="shared" si="92"/>
        <v/>
      </c>
      <c r="Y281" s="68" t="s">
        <v>32</v>
      </c>
      <c r="Z281" s="68" t="s">
        <v>14</v>
      </c>
      <c r="AA281" s="68" t="s">
        <v>13</v>
      </c>
      <c r="AB281" s="68" t="s">
        <v>27</v>
      </c>
      <c r="AC281" s="68" t="s">
        <v>25</v>
      </c>
      <c r="AD281" s="68" t="s">
        <v>28</v>
      </c>
      <c r="AE281" s="68" t="s">
        <v>15</v>
      </c>
      <c r="AF281" s="68" t="s">
        <v>185</v>
      </c>
      <c r="AG281">
        <f t="shared" si="93"/>
        <v>0</v>
      </c>
      <c r="AH281">
        <f t="shared" si="77"/>
        <v>1</v>
      </c>
      <c r="AI281">
        <f t="shared" si="78"/>
        <v>0</v>
      </c>
      <c r="AJ281">
        <f t="shared" si="79"/>
        <v>1</v>
      </c>
      <c r="AK281">
        <f t="shared" si="80"/>
        <v>1</v>
      </c>
      <c r="AL281">
        <f t="shared" si="81"/>
        <v>1</v>
      </c>
      <c r="AM281">
        <f t="shared" si="82"/>
        <v>1</v>
      </c>
      <c r="AN281">
        <f t="shared" si="83"/>
        <v>0</v>
      </c>
      <c r="AO281" s="69" t="e">
        <f t="shared" si="84"/>
        <v>#N/A</v>
      </c>
      <c r="AP281" s="69" t="str">
        <f t="shared" si="85"/>
        <v>Irán</v>
      </c>
      <c r="AQ281" s="69" t="e">
        <f t="shared" si="86"/>
        <v>#N/A</v>
      </c>
      <c r="AR281" s="69" t="str">
        <f t="shared" si="87"/>
        <v>Marruecos</v>
      </c>
      <c r="AS281" s="69" t="str">
        <f t="shared" si="88"/>
        <v>Korea</v>
      </c>
      <c r="AT281" s="69" t="str">
        <f t="shared" si="89"/>
        <v>Paraguay</v>
      </c>
      <c r="AU281" s="69" t="str">
        <f t="shared" si="90"/>
        <v>Costa de Marfil</v>
      </c>
      <c r="AV281" s="69" t="e">
        <f t="shared" si="91"/>
        <v>#N/A</v>
      </c>
    </row>
    <row r="282" spans="24:48" x14ac:dyDescent="0.2">
      <c r="X282" s="64" t="str">
        <f t="shared" si="92"/>
        <v/>
      </c>
      <c r="Y282" s="68" t="s">
        <v>32</v>
      </c>
      <c r="Z282" s="68" t="s">
        <v>14</v>
      </c>
      <c r="AA282" s="68" t="s">
        <v>15</v>
      </c>
      <c r="AB282" s="68" t="s">
        <v>27</v>
      </c>
      <c r="AC282" s="68" t="s">
        <v>25</v>
      </c>
      <c r="AD282" s="68" t="s">
        <v>28</v>
      </c>
      <c r="AE282" s="68" t="s">
        <v>186</v>
      </c>
      <c r="AF282" s="68" t="s">
        <v>184</v>
      </c>
      <c r="AG282">
        <f t="shared" si="93"/>
        <v>0</v>
      </c>
      <c r="AH282">
        <f t="shared" si="77"/>
        <v>1</v>
      </c>
      <c r="AI282">
        <f t="shared" si="78"/>
        <v>1</v>
      </c>
      <c r="AJ282">
        <f t="shared" si="79"/>
        <v>1</v>
      </c>
      <c r="AK282">
        <f t="shared" si="80"/>
        <v>1</v>
      </c>
      <c r="AL282">
        <f t="shared" si="81"/>
        <v>1</v>
      </c>
      <c r="AM282">
        <f t="shared" si="82"/>
        <v>0</v>
      </c>
      <c r="AN282">
        <f t="shared" si="83"/>
        <v>1</v>
      </c>
      <c r="AO282" s="69" t="e">
        <f t="shared" si="84"/>
        <v>#N/A</v>
      </c>
      <c r="AP282" s="69" t="str">
        <f t="shared" si="85"/>
        <v>Irán</v>
      </c>
      <c r="AQ282" s="69" t="str">
        <f t="shared" si="86"/>
        <v>Costa de Marfil</v>
      </c>
      <c r="AR282" s="69" t="str">
        <f t="shared" si="87"/>
        <v>Marruecos</v>
      </c>
      <c r="AS282" s="69" t="str">
        <f t="shared" si="88"/>
        <v>Korea</v>
      </c>
      <c r="AT282" s="69" t="str">
        <f t="shared" si="89"/>
        <v>Paraguay</v>
      </c>
      <c r="AU282" s="69" t="e">
        <f t="shared" si="90"/>
        <v>#N/A</v>
      </c>
      <c r="AV282" s="69" t="str">
        <f t="shared" si="91"/>
        <v>Senegal</v>
      </c>
    </row>
    <row r="283" spans="24:48" x14ac:dyDescent="0.2">
      <c r="X283" s="64" t="str">
        <f t="shared" si="92"/>
        <v/>
      </c>
      <c r="Y283" s="68" t="s">
        <v>32</v>
      </c>
      <c r="Z283" s="68" t="s">
        <v>14</v>
      </c>
      <c r="AA283" s="68" t="s">
        <v>15</v>
      </c>
      <c r="AB283" s="68" t="s">
        <v>27</v>
      </c>
      <c r="AC283" s="68" t="s">
        <v>25</v>
      </c>
      <c r="AD283" s="68" t="s">
        <v>28</v>
      </c>
      <c r="AE283" s="68" t="s">
        <v>184</v>
      </c>
      <c r="AF283" s="68" t="s">
        <v>185</v>
      </c>
      <c r="AG283">
        <f t="shared" si="93"/>
        <v>0</v>
      </c>
      <c r="AH283">
        <f t="shared" si="77"/>
        <v>1</v>
      </c>
      <c r="AI283">
        <f t="shared" si="78"/>
        <v>1</v>
      </c>
      <c r="AJ283">
        <f t="shared" si="79"/>
        <v>1</v>
      </c>
      <c r="AK283">
        <f t="shared" si="80"/>
        <v>1</v>
      </c>
      <c r="AL283">
        <f t="shared" si="81"/>
        <v>1</v>
      </c>
      <c r="AM283">
        <f t="shared" si="82"/>
        <v>1</v>
      </c>
      <c r="AN283">
        <f t="shared" si="83"/>
        <v>0</v>
      </c>
      <c r="AO283" s="69" t="e">
        <f t="shared" si="84"/>
        <v>#N/A</v>
      </c>
      <c r="AP283" s="69" t="str">
        <f t="shared" si="85"/>
        <v>Irán</v>
      </c>
      <c r="AQ283" s="69" t="str">
        <f t="shared" si="86"/>
        <v>Costa de Marfil</v>
      </c>
      <c r="AR283" s="69" t="str">
        <f t="shared" si="87"/>
        <v>Marruecos</v>
      </c>
      <c r="AS283" s="69" t="str">
        <f t="shared" si="88"/>
        <v>Korea</v>
      </c>
      <c r="AT283" s="69" t="str">
        <f t="shared" si="89"/>
        <v>Paraguay</v>
      </c>
      <c r="AU283" s="69" t="str">
        <f t="shared" si="90"/>
        <v>Senegal</v>
      </c>
      <c r="AV283" s="69" t="e">
        <f t="shared" si="91"/>
        <v>#N/A</v>
      </c>
    </row>
    <row r="284" spans="24:48" x14ac:dyDescent="0.2">
      <c r="X284" s="64" t="str">
        <f t="shared" si="92"/>
        <v/>
      </c>
      <c r="Y284" s="68" t="s">
        <v>32</v>
      </c>
      <c r="Z284" s="68" t="s">
        <v>14</v>
      </c>
      <c r="AA284" s="68" t="s">
        <v>13</v>
      </c>
      <c r="AB284" s="68" t="s">
        <v>27</v>
      </c>
      <c r="AC284" s="68" t="s">
        <v>25</v>
      </c>
      <c r="AD284" s="68" t="s">
        <v>28</v>
      </c>
      <c r="AE284" s="68" t="s">
        <v>15</v>
      </c>
      <c r="AF284" s="68" t="s">
        <v>184</v>
      </c>
      <c r="AG284">
        <f t="shared" si="93"/>
        <v>0</v>
      </c>
      <c r="AH284">
        <f t="shared" si="77"/>
        <v>1</v>
      </c>
      <c r="AI284">
        <f t="shared" si="78"/>
        <v>0</v>
      </c>
      <c r="AJ284">
        <f t="shared" si="79"/>
        <v>1</v>
      </c>
      <c r="AK284">
        <f t="shared" si="80"/>
        <v>1</v>
      </c>
      <c r="AL284">
        <f t="shared" si="81"/>
        <v>1</v>
      </c>
      <c r="AM284">
        <f t="shared" si="82"/>
        <v>1</v>
      </c>
      <c r="AN284">
        <f t="shared" si="83"/>
        <v>1</v>
      </c>
      <c r="AO284" s="69" t="e">
        <f t="shared" si="84"/>
        <v>#N/A</v>
      </c>
      <c r="AP284" s="69" t="str">
        <f t="shared" si="85"/>
        <v>Irán</v>
      </c>
      <c r="AQ284" s="69" t="e">
        <f t="shared" si="86"/>
        <v>#N/A</v>
      </c>
      <c r="AR284" s="69" t="str">
        <f t="shared" si="87"/>
        <v>Marruecos</v>
      </c>
      <c r="AS284" s="69" t="str">
        <f t="shared" si="88"/>
        <v>Korea</v>
      </c>
      <c r="AT284" s="69" t="str">
        <f t="shared" si="89"/>
        <v>Paraguay</v>
      </c>
      <c r="AU284" s="69" t="str">
        <f t="shared" si="90"/>
        <v>Costa de Marfil</v>
      </c>
      <c r="AV284" s="69" t="str">
        <f t="shared" si="91"/>
        <v>Senegal</v>
      </c>
    </row>
    <row r="285" spans="24:48" x14ac:dyDescent="0.2">
      <c r="X285" s="64" t="str">
        <f t="shared" si="92"/>
        <v/>
      </c>
      <c r="Y285" s="68" t="s">
        <v>27</v>
      </c>
      <c r="Z285" s="68" t="s">
        <v>13</v>
      </c>
      <c r="AA285" s="68" t="s">
        <v>15</v>
      </c>
      <c r="AB285" s="68" t="s">
        <v>28</v>
      </c>
      <c r="AC285" s="68" t="s">
        <v>25</v>
      </c>
      <c r="AD285" s="68" t="s">
        <v>31</v>
      </c>
      <c r="AE285" s="68" t="s">
        <v>186</v>
      </c>
      <c r="AF285" s="68" t="s">
        <v>185</v>
      </c>
      <c r="AG285">
        <f t="shared" si="93"/>
        <v>1</v>
      </c>
      <c r="AH285">
        <f t="shared" si="77"/>
        <v>0</v>
      </c>
      <c r="AI285">
        <f t="shared" si="78"/>
        <v>1</v>
      </c>
      <c r="AJ285">
        <f t="shared" si="79"/>
        <v>1</v>
      </c>
      <c r="AK285">
        <f t="shared" si="80"/>
        <v>1</v>
      </c>
      <c r="AL285">
        <f t="shared" si="81"/>
        <v>1</v>
      </c>
      <c r="AM285">
        <f t="shared" si="82"/>
        <v>0</v>
      </c>
      <c r="AN285">
        <f t="shared" si="83"/>
        <v>0</v>
      </c>
      <c r="AO285" s="69" t="str">
        <f t="shared" si="84"/>
        <v>Marruecos</v>
      </c>
      <c r="AP285" s="69" t="e">
        <f t="shared" si="85"/>
        <v>#N/A</v>
      </c>
      <c r="AQ285" s="69" t="str">
        <f t="shared" si="86"/>
        <v>Costa de Marfil</v>
      </c>
      <c r="AR285" s="69" t="str">
        <f t="shared" si="87"/>
        <v>Paraguay</v>
      </c>
      <c r="AS285" s="69" t="str">
        <f t="shared" si="88"/>
        <v>Korea</v>
      </c>
      <c r="AT285" s="69" t="str">
        <f t="shared" si="89"/>
        <v>Suecia</v>
      </c>
      <c r="AU285" s="69" t="e">
        <f t="shared" si="90"/>
        <v>#N/A</v>
      </c>
      <c r="AV285" s="69" t="e">
        <f t="shared" si="91"/>
        <v>#N/A</v>
      </c>
    </row>
    <row r="286" spans="24:48" x14ac:dyDescent="0.2">
      <c r="X286" s="64" t="str">
        <f t="shared" si="92"/>
        <v/>
      </c>
      <c r="Y286" s="68" t="s">
        <v>27</v>
      </c>
      <c r="Z286" s="68" t="s">
        <v>15</v>
      </c>
      <c r="AA286" s="68" t="s">
        <v>184</v>
      </c>
      <c r="AB286" s="68" t="s">
        <v>28</v>
      </c>
      <c r="AC286" s="68" t="s">
        <v>25</v>
      </c>
      <c r="AD286" s="68" t="s">
        <v>31</v>
      </c>
      <c r="AE286" s="68" t="s">
        <v>186</v>
      </c>
      <c r="AF286" s="68" t="s">
        <v>185</v>
      </c>
      <c r="AG286">
        <f t="shared" si="93"/>
        <v>1</v>
      </c>
      <c r="AH286">
        <f t="shared" si="77"/>
        <v>1</v>
      </c>
      <c r="AI286">
        <f t="shared" si="78"/>
        <v>1</v>
      </c>
      <c r="AJ286">
        <f t="shared" si="79"/>
        <v>1</v>
      </c>
      <c r="AK286">
        <f t="shared" si="80"/>
        <v>1</v>
      </c>
      <c r="AL286">
        <f t="shared" si="81"/>
        <v>1</v>
      </c>
      <c r="AM286">
        <f t="shared" si="82"/>
        <v>0</v>
      </c>
      <c r="AN286">
        <f t="shared" si="83"/>
        <v>0</v>
      </c>
      <c r="AO286" s="69" t="str">
        <f t="shared" si="84"/>
        <v>Marruecos</v>
      </c>
      <c r="AP286" s="69" t="str">
        <f t="shared" si="85"/>
        <v>Costa de Marfil</v>
      </c>
      <c r="AQ286" s="69" t="str">
        <f t="shared" si="86"/>
        <v>Senegal</v>
      </c>
      <c r="AR286" s="69" t="str">
        <f t="shared" si="87"/>
        <v>Paraguay</v>
      </c>
      <c r="AS286" s="69" t="str">
        <f t="shared" si="88"/>
        <v>Korea</v>
      </c>
      <c r="AT286" s="69" t="str">
        <f t="shared" si="89"/>
        <v>Suecia</v>
      </c>
      <c r="AU286" s="69" t="e">
        <f t="shared" si="90"/>
        <v>#N/A</v>
      </c>
      <c r="AV286" s="69" t="e">
        <f t="shared" si="91"/>
        <v>#N/A</v>
      </c>
    </row>
    <row r="287" spans="24:48" x14ac:dyDescent="0.2">
      <c r="X287" s="64" t="str">
        <f t="shared" si="92"/>
        <v/>
      </c>
      <c r="Y287" s="68" t="s">
        <v>27</v>
      </c>
      <c r="Z287" s="68" t="s">
        <v>13</v>
      </c>
      <c r="AA287" s="68" t="s">
        <v>15</v>
      </c>
      <c r="AB287" s="68" t="s">
        <v>28</v>
      </c>
      <c r="AC287" s="68" t="s">
        <v>25</v>
      </c>
      <c r="AD287" s="68" t="s">
        <v>31</v>
      </c>
      <c r="AE287" s="68" t="s">
        <v>186</v>
      </c>
      <c r="AF287" s="68" t="s">
        <v>184</v>
      </c>
      <c r="AG287">
        <f t="shared" si="93"/>
        <v>1</v>
      </c>
      <c r="AH287">
        <f t="shared" si="77"/>
        <v>0</v>
      </c>
      <c r="AI287">
        <f t="shared" si="78"/>
        <v>1</v>
      </c>
      <c r="AJ287">
        <f t="shared" si="79"/>
        <v>1</v>
      </c>
      <c r="AK287">
        <f t="shared" si="80"/>
        <v>1</v>
      </c>
      <c r="AL287">
        <f t="shared" si="81"/>
        <v>1</v>
      </c>
      <c r="AM287">
        <f t="shared" si="82"/>
        <v>0</v>
      </c>
      <c r="AN287">
        <f t="shared" si="83"/>
        <v>1</v>
      </c>
      <c r="AO287" s="69" t="str">
        <f t="shared" si="84"/>
        <v>Marruecos</v>
      </c>
      <c r="AP287" s="69" t="e">
        <f t="shared" si="85"/>
        <v>#N/A</v>
      </c>
      <c r="AQ287" s="69" t="str">
        <f t="shared" si="86"/>
        <v>Costa de Marfil</v>
      </c>
      <c r="AR287" s="69" t="str">
        <f t="shared" si="87"/>
        <v>Paraguay</v>
      </c>
      <c r="AS287" s="69" t="str">
        <f t="shared" si="88"/>
        <v>Korea</v>
      </c>
      <c r="AT287" s="69" t="str">
        <f t="shared" si="89"/>
        <v>Suecia</v>
      </c>
      <c r="AU287" s="69" t="e">
        <f t="shared" si="90"/>
        <v>#N/A</v>
      </c>
      <c r="AV287" s="69" t="str">
        <f t="shared" si="91"/>
        <v>Senegal</v>
      </c>
    </row>
    <row r="288" spans="24:48" x14ac:dyDescent="0.2">
      <c r="X288" s="64" t="str">
        <f t="shared" si="92"/>
        <v/>
      </c>
      <c r="Y288" s="68" t="s">
        <v>27</v>
      </c>
      <c r="Z288" s="68" t="s">
        <v>13</v>
      </c>
      <c r="AA288" s="68" t="s">
        <v>15</v>
      </c>
      <c r="AB288" s="68" t="s">
        <v>28</v>
      </c>
      <c r="AC288" s="68" t="s">
        <v>25</v>
      </c>
      <c r="AD288" s="68" t="s">
        <v>31</v>
      </c>
      <c r="AE288" s="68" t="s">
        <v>184</v>
      </c>
      <c r="AF288" s="68" t="s">
        <v>185</v>
      </c>
      <c r="AG288">
        <f t="shared" si="93"/>
        <v>1</v>
      </c>
      <c r="AH288">
        <f t="shared" si="77"/>
        <v>0</v>
      </c>
      <c r="AI288">
        <f t="shared" si="78"/>
        <v>1</v>
      </c>
      <c r="AJ288">
        <f t="shared" si="79"/>
        <v>1</v>
      </c>
      <c r="AK288">
        <f t="shared" si="80"/>
        <v>1</v>
      </c>
      <c r="AL288">
        <f t="shared" si="81"/>
        <v>1</v>
      </c>
      <c r="AM288">
        <f t="shared" si="82"/>
        <v>1</v>
      </c>
      <c r="AN288">
        <f t="shared" si="83"/>
        <v>0</v>
      </c>
      <c r="AO288" s="69" t="str">
        <f t="shared" si="84"/>
        <v>Marruecos</v>
      </c>
      <c r="AP288" s="69" t="e">
        <f t="shared" si="85"/>
        <v>#N/A</v>
      </c>
      <c r="AQ288" s="69" t="str">
        <f t="shared" si="86"/>
        <v>Costa de Marfil</v>
      </c>
      <c r="AR288" s="69" t="str">
        <f t="shared" si="87"/>
        <v>Paraguay</v>
      </c>
      <c r="AS288" s="69" t="str">
        <f t="shared" si="88"/>
        <v>Korea</v>
      </c>
      <c r="AT288" s="69" t="str">
        <f t="shared" si="89"/>
        <v>Suecia</v>
      </c>
      <c r="AU288" s="69" t="str">
        <f t="shared" si="90"/>
        <v>Senegal</v>
      </c>
      <c r="AV288" s="69" t="e">
        <f t="shared" si="91"/>
        <v>#N/A</v>
      </c>
    </row>
    <row r="289" spans="24:48" x14ac:dyDescent="0.2">
      <c r="X289" s="64" t="str">
        <f t="shared" si="92"/>
        <v/>
      </c>
      <c r="Y289" s="68" t="s">
        <v>32</v>
      </c>
      <c r="Z289" s="68" t="s">
        <v>15</v>
      </c>
      <c r="AA289" s="68" t="s">
        <v>31</v>
      </c>
      <c r="AB289" s="68" t="s">
        <v>27</v>
      </c>
      <c r="AC289" s="68" t="s">
        <v>25</v>
      </c>
      <c r="AD289" s="68" t="s">
        <v>28</v>
      </c>
      <c r="AE289" s="68" t="s">
        <v>186</v>
      </c>
      <c r="AF289" s="68" t="s">
        <v>185</v>
      </c>
      <c r="AG289">
        <f t="shared" si="93"/>
        <v>0</v>
      </c>
      <c r="AH289">
        <f t="shared" si="77"/>
        <v>1</v>
      </c>
      <c r="AI289">
        <f t="shared" si="78"/>
        <v>1</v>
      </c>
      <c r="AJ289">
        <f t="shared" si="79"/>
        <v>1</v>
      </c>
      <c r="AK289">
        <f t="shared" si="80"/>
        <v>1</v>
      </c>
      <c r="AL289">
        <f t="shared" si="81"/>
        <v>1</v>
      </c>
      <c r="AM289">
        <f t="shared" si="82"/>
        <v>0</v>
      </c>
      <c r="AN289">
        <f t="shared" si="83"/>
        <v>0</v>
      </c>
      <c r="AO289" s="69" t="e">
        <f t="shared" si="84"/>
        <v>#N/A</v>
      </c>
      <c r="AP289" s="69" t="str">
        <f t="shared" si="85"/>
        <v>Costa de Marfil</v>
      </c>
      <c r="AQ289" s="69" t="str">
        <f t="shared" si="86"/>
        <v>Suecia</v>
      </c>
      <c r="AR289" s="69" t="str">
        <f t="shared" si="87"/>
        <v>Marruecos</v>
      </c>
      <c r="AS289" s="69" t="str">
        <f t="shared" si="88"/>
        <v>Korea</v>
      </c>
      <c r="AT289" s="69" t="str">
        <f t="shared" si="89"/>
        <v>Paraguay</v>
      </c>
      <c r="AU289" s="69" t="e">
        <f t="shared" si="90"/>
        <v>#N/A</v>
      </c>
      <c r="AV289" s="69" t="e">
        <f t="shared" si="91"/>
        <v>#N/A</v>
      </c>
    </row>
    <row r="290" spans="24:48" x14ac:dyDescent="0.2">
      <c r="X290" s="64" t="str">
        <f t="shared" si="92"/>
        <v/>
      </c>
      <c r="Y290" s="68" t="s">
        <v>32</v>
      </c>
      <c r="Z290" s="68" t="s">
        <v>13</v>
      </c>
      <c r="AA290" s="68" t="s">
        <v>31</v>
      </c>
      <c r="AB290" s="68" t="s">
        <v>27</v>
      </c>
      <c r="AC290" s="68" t="s">
        <v>25</v>
      </c>
      <c r="AD290" s="68" t="s">
        <v>28</v>
      </c>
      <c r="AE290" s="68" t="s">
        <v>186</v>
      </c>
      <c r="AF290" s="68" t="s">
        <v>15</v>
      </c>
      <c r="AG290">
        <f t="shared" si="93"/>
        <v>0</v>
      </c>
      <c r="AH290">
        <f t="shared" si="77"/>
        <v>0</v>
      </c>
      <c r="AI290">
        <f t="shared" si="78"/>
        <v>1</v>
      </c>
      <c r="AJ290">
        <f t="shared" si="79"/>
        <v>1</v>
      </c>
      <c r="AK290">
        <f t="shared" si="80"/>
        <v>1</v>
      </c>
      <c r="AL290">
        <f t="shared" si="81"/>
        <v>1</v>
      </c>
      <c r="AM290">
        <f t="shared" si="82"/>
        <v>0</v>
      </c>
      <c r="AN290">
        <f t="shared" si="83"/>
        <v>1</v>
      </c>
      <c r="AO290" s="69" t="e">
        <f t="shared" si="84"/>
        <v>#N/A</v>
      </c>
      <c r="AP290" s="69" t="e">
        <f t="shared" si="85"/>
        <v>#N/A</v>
      </c>
      <c r="AQ290" s="69" t="str">
        <f t="shared" si="86"/>
        <v>Suecia</v>
      </c>
      <c r="AR290" s="69" t="str">
        <f t="shared" si="87"/>
        <v>Marruecos</v>
      </c>
      <c r="AS290" s="69" t="str">
        <f t="shared" si="88"/>
        <v>Korea</v>
      </c>
      <c r="AT290" s="69" t="str">
        <f t="shared" si="89"/>
        <v>Paraguay</v>
      </c>
      <c r="AU290" s="69" t="e">
        <f t="shared" si="90"/>
        <v>#N/A</v>
      </c>
      <c r="AV290" s="69" t="str">
        <f t="shared" si="91"/>
        <v>Costa de Marfil</v>
      </c>
    </row>
    <row r="291" spans="24:48" x14ac:dyDescent="0.2">
      <c r="X291" s="64" t="str">
        <f t="shared" si="92"/>
        <v/>
      </c>
      <c r="Y291" s="68" t="s">
        <v>32</v>
      </c>
      <c r="Z291" s="68" t="s">
        <v>13</v>
      </c>
      <c r="AA291" s="68" t="s">
        <v>15</v>
      </c>
      <c r="AB291" s="68" t="s">
        <v>27</v>
      </c>
      <c r="AC291" s="68" t="s">
        <v>25</v>
      </c>
      <c r="AD291" s="68" t="s">
        <v>31</v>
      </c>
      <c r="AE291" s="68" t="s">
        <v>28</v>
      </c>
      <c r="AF291" s="68" t="s">
        <v>185</v>
      </c>
      <c r="AG291">
        <f t="shared" si="93"/>
        <v>0</v>
      </c>
      <c r="AH291">
        <f t="shared" si="77"/>
        <v>0</v>
      </c>
      <c r="AI291">
        <f t="shared" si="78"/>
        <v>1</v>
      </c>
      <c r="AJ291">
        <f t="shared" si="79"/>
        <v>1</v>
      </c>
      <c r="AK291">
        <f t="shared" si="80"/>
        <v>1</v>
      </c>
      <c r="AL291">
        <f t="shared" si="81"/>
        <v>1</v>
      </c>
      <c r="AM291">
        <f t="shared" si="82"/>
        <v>1</v>
      </c>
      <c r="AN291">
        <f t="shared" si="83"/>
        <v>0</v>
      </c>
      <c r="AO291" s="69" t="e">
        <f t="shared" si="84"/>
        <v>#N/A</v>
      </c>
      <c r="AP291" s="69" t="e">
        <f t="shared" si="85"/>
        <v>#N/A</v>
      </c>
      <c r="AQ291" s="69" t="str">
        <f t="shared" si="86"/>
        <v>Costa de Marfil</v>
      </c>
      <c r="AR291" s="69" t="str">
        <f t="shared" si="87"/>
        <v>Marruecos</v>
      </c>
      <c r="AS291" s="69" t="str">
        <f t="shared" si="88"/>
        <v>Korea</v>
      </c>
      <c r="AT291" s="69" t="str">
        <f t="shared" si="89"/>
        <v>Suecia</v>
      </c>
      <c r="AU291" s="69" t="str">
        <f t="shared" si="90"/>
        <v>Paraguay</v>
      </c>
      <c r="AV291" s="69" t="e">
        <f t="shared" si="91"/>
        <v>#N/A</v>
      </c>
    </row>
    <row r="292" spans="24:48" x14ac:dyDescent="0.2">
      <c r="X292" s="64" t="str">
        <f t="shared" si="92"/>
        <v/>
      </c>
      <c r="Y292" s="68" t="s">
        <v>32</v>
      </c>
      <c r="Z292" s="68" t="s">
        <v>15</v>
      </c>
      <c r="AA292" s="68" t="s">
        <v>31</v>
      </c>
      <c r="AB292" s="68" t="s">
        <v>27</v>
      </c>
      <c r="AC292" s="68" t="s">
        <v>25</v>
      </c>
      <c r="AD292" s="68" t="s">
        <v>28</v>
      </c>
      <c r="AE292" s="68" t="s">
        <v>186</v>
      </c>
      <c r="AF292" s="68" t="s">
        <v>184</v>
      </c>
      <c r="AG292">
        <f t="shared" si="93"/>
        <v>0</v>
      </c>
      <c r="AH292">
        <f t="shared" si="77"/>
        <v>1</v>
      </c>
      <c r="AI292">
        <f t="shared" si="78"/>
        <v>1</v>
      </c>
      <c r="AJ292">
        <f t="shared" si="79"/>
        <v>1</v>
      </c>
      <c r="AK292">
        <f t="shared" si="80"/>
        <v>1</v>
      </c>
      <c r="AL292">
        <f t="shared" si="81"/>
        <v>1</v>
      </c>
      <c r="AM292">
        <f t="shared" si="82"/>
        <v>0</v>
      </c>
      <c r="AN292">
        <f t="shared" si="83"/>
        <v>1</v>
      </c>
      <c r="AO292" s="69" t="e">
        <f t="shared" si="84"/>
        <v>#N/A</v>
      </c>
      <c r="AP292" s="69" t="str">
        <f t="shared" si="85"/>
        <v>Costa de Marfil</v>
      </c>
      <c r="AQ292" s="69" t="str">
        <f t="shared" si="86"/>
        <v>Suecia</v>
      </c>
      <c r="AR292" s="69" t="str">
        <f t="shared" si="87"/>
        <v>Marruecos</v>
      </c>
      <c r="AS292" s="69" t="str">
        <f t="shared" si="88"/>
        <v>Korea</v>
      </c>
      <c r="AT292" s="69" t="str">
        <f t="shared" si="89"/>
        <v>Paraguay</v>
      </c>
      <c r="AU292" s="69" t="e">
        <f t="shared" si="90"/>
        <v>#N/A</v>
      </c>
      <c r="AV292" s="69" t="str">
        <f t="shared" si="91"/>
        <v>Senegal</v>
      </c>
    </row>
    <row r="293" spans="24:48" x14ac:dyDescent="0.2">
      <c r="X293" s="64" t="str">
        <f t="shared" si="92"/>
        <v/>
      </c>
      <c r="Y293" s="68" t="s">
        <v>32</v>
      </c>
      <c r="Z293" s="68" t="s">
        <v>15</v>
      </c>
      <c r="AA293" s="68" t="s">
        <v>31</v>
      </c>
      <c r="AB293" s="68" t="s">
        <v>27</v>
      </c>
      <c r="AC293" s="68" t="s">
        <v>25</v>
      </c>
      <c r="AD293" s="68" t="s">
        <v>28</v>
      </c>
      <c r="AE293" s="68" t="s">
        <v>184</v>
      </c>
      <c r="AF293" s="68" t="s">
        <v>185</v>
      </c>
      <c r="AG293">
        <f t="shared" si="93"/>
        <v>0</v>
      </c>
      <c r="AH293">
        <f t="shared" si="77"/>
        <v>1</v>
      </c>
      <c r="AI293">
        <f t="shared" si="78"/>
        <v>1</v>
      </c>
      <c r="AJ293">
        <f t="shared" si="79"/>
        <v>1</v>
      </c>
      <c r="AK293">
        <f t="shared" si="80"/>
        <v>1</v>
      </c>
      <c r="AL293">
        <f t="shared" si="81"/>
        <v>1</v>
      </c>
      <c r="AM293">
        <f t="shared" si="82"/>
        <v>1</v>
      </c>
      <c r="AN293">
        <f t="shared" si="83"/>
        <v>0</v>
      </c>
      <c r="AO293" s="69" t="e">
        <f t="shared" si="84"/>
        <v>#N/A</v>
      </c>
      <c r="AP293" s="69" t="str">
        <f t="shared" si="85"/>
        <v>Costa de Marfil</v>
      </c>
      <c r="AQ293" s="69" t="str">
        <f t="shared" si="86"/>
        <v>Suecia</v>
      </c>
      <c r="AR293" s="69" t="str">
        <f t="shared" si="87"/>
        <v>Marruecos</v>
      </c>
      <c r="AS293" s="69" t="str">
        <f t="shared" si="88"/>
        <v>Korea</v>
      </c>
      <c r="AT293" s="69" t="str">
        <f t="shared" si="89"/>
        <v>Paraguay</v>
      </c>
      <c r="AU293" s="69" t="str">
        <f t="shared" si="90"/>
        <v>Senegal</v>
      </c>
      <c r="AV293" s="69" t="e">
        <f t="shared" si="91"/>
        <v>#N/A</v>
      </c>
    </row>
    <row r="294" spans="24:48" x14ac:dyDescent="0.2">
      <c r="X294" s="64" t="str">
        <f t="shared" si="92"/>
        <v/>
      </c>
      <c r="Y294" s="68" t="s">
        <v>32</v>
      </c>
      <c r="Z294" s="68" t="s">
        <v>13</v>
      </c>
      <c r="AA294" s="68" t="s">
        <v>15</v>
      </c>
      <c r="AB294" s="68" t="s">
        <v>27</v>
      </c>
      <c r="AC294" s="68" t="s">
        <v>25</v>
      </c>
      <c r="AD294" s="68" t="s">
        <v>31</v>
      </c>
      <c r="AE294" s="68" t="s">
        <v>28</v>
      </c>
      <c r="AF294" s="68" t="s">
        <v>184</v>
      </c>
      <c r="AG294">
        <f t="shared" si="93"/>
        <v>0</v>
      </c>
      <c r="AH294">
        <f t="shared" si="77"/>
        <v>0</v>
      </c>
      <c r="AI294">
        <f t="shared" si="78"/>
        <v>1</v>
      </c>
      <c r="AJ294">
        <f t="shared" si="79"/>
        <v>1</v>
      </c>
      <c r="AK294">
        <f t="shared" si="80"/>
        <v>1</v>
      </c>
      <c r="AL294">
        <f t="shared" si="81"/>
        <v>1</v>
      </c>
      <c r="AM294">
        <f t="shared" si="82"/>
        <v>1</v>
      </c>
      <c r="AN294">
        <f t="shared" si="83"/>
        <v>1</v>
      </c>
      <c r="AO294" s="69" t="e">
        <f t="shared" si="84"/>
        <v>#N/A</v>
      </c>
      <c r="AP294" s="69" t="e">
        <f t="shared" si="85"/>
        <v>#N/A</v>
      </c>
      <c r="AQ294" s="69" t="str">
        <f t="shared" si="86"/>
        <v>Costa de Marfil</v>
      </c>
      <c r="AR294" s="69" t="str">
        <f t="shared" si="87"/>
        <v>Marruecos</v>
      </c>
      <c r="AS294" s="69" t="str">
        <f t="shared" si="88"/>
        <v>Korea</v>
      </c>
      <c r="AT294" s="69" t="str">
        <f t="shared" si="89"/>
        <v>Suecia</v>
      </c>
      <c r="AU294" s="69" t="str">
        <f t="shared" si="90"/>
        <v>Paraguay</v>
      </c>
      <c r="AV294" s="69" t="str">
        <f t="shared" si="91"/>
        <v>Senegal</v>
      </c>
    </row>
    <row r="295" spans="24:48" x14ac:dyDescent="0.2">
      <c r="X295" s="64" t="str">
        <f t="shared" si="92"/>
        <v/>
      </c>
      <c r="Y295" s="68" t="s">
        <v>27</v>
      </c>
      <c r="Z295" s="68" t="s">
        <v>14</v>
      </c>
      <c r="AA295" s="68" t="s">
        <v>15</v>
      </c>
      <c r="AB295" s="68" t="s">
        <v>28</v>
      </c>
      <c r="AC295" s="68" t="s">
        <v>25</v>
      </c>
      <c r="AD295" s="68" t="s">
        <v>31</v>
      </c>
      <c r="AE295" s="68" t="s">
        <v>186</v>
      </c>
      <c r="AF295" s="68" t="s">
        <v>185</v>
      </c>
      <c r="AG295">
        <f t="shared" si="93"/>
        <v>1</v>
      </c>
      <c r="AH295">
        <f t="shared" si="77"/>
        <v>1</v>
      </c>
      <c r="AI295">
        <f t="shared" si="78"/>
        <v>1</v>
      </c>
      <c r="AJ295">
        <f t="shared" si="79"/>
        <v>1</v>
      </c>
      <c r="AK295">
        <f t="shared" si="80"/>
        <v>1</v>
      </c>
      <c r="AL295">
        <f t="shared" si="81"/>
        <v>1</v>
      </c>
      <c r="AM295">
        <f t="shared" si="82"/>
        <v>0</v>
      </c>
      <c r="AN295">
        <f t="shared" si="83"/>
        <v>0</v>
      </c>
      <c r="AO295" s="69" t="str">
        <f t="shared" si="84"/>
        <v>Marruecos</v>
      </c>
      <c r="AP295" s="69" t="str">
        <f t="shared" si="85"/>
        <v>Irán</v>
      </c>
      <c r="AQ295" s="69" t="str">
        <f t="shared" si="86"/>
        <v>Costa de Marfil</v>
      </c>
      <c r="AR295" s="69" t="str">
        <f t="shared" si="87"/>
        <v>Paraguay</v>
      </c>
      <c r="AS295" s="69" t="str">
        <f t="shared" si="88"/>
        <v>Korea</v>
      </c>
      <c r="AT295" s="69" t="str">
        <f t="shared" si="89"/>
        <v>Suecia</v>
      </c>
      <c r="AU295" s="69" t="e">
        <f t="shared" si="90"/>
        <v>#N/A</v>
      </c>
      <c r="AV295" s="69" t="e">
        <f t="shared" si="91"/>
        <v>#N/A</v>
      </c>
    </row>
    <row r="296" spans="24:48" x14ac:dyDescent="0.2">
      <c r="X296" s="64" t="str">
        <f t="shared" si="92"/>
        <v/>
      </c>
      <c r="Y296" s="68" t="s">
        <v>27</v>
      </c>
      <c r="Z296" s="68" t="s">
        <v>14</v>
      </c>
      <c r="AA296" s="68" t="s">
        <v>13</v>
      </c>
      <c r="AB296" s="68" t="s">
        <v>28</v>
      </c>
      <c r="AC296" s="68" t="s">
        <v>25</v>
      </c>
      <c r="AD296" s="68" t="s">
        <v>31</v>
      </c>
      <c r="AE296" s="68" t="s">
        <v>186</v>
      </c>
      <c r="AF296" s="68" t="s">
        <v>15</v>
      </c>
      <c r="AG296">
        <f t="shared" si="93"/>
        <v>1</v>
      </c>
      <c r="AH296">
        <f t="shared" si="77"/>
        <v>1</v>
      </c>
      <c r="AI296">
        <f t="shared" si="78"/>
        <v>0</v>
      </c>
      <c r="AJ296">
        <f t="shared" si="79"/>
        <v>1</v>
      </c>
      <c r="AK296">
        <f t="shared" si="80"/>
        <v>1</v>
      </c>
      <c r="AL296">
        <f t="shared" si="81"/>
        <v>1</v>
      </c>
      <c r="AM296">
        <f t="shared" si="82"/>
        <v>0</v>
      </c>
      <c r="AN296">
        <f t="shared" si="83"/>
        <v>1</v>
      </c>
      <c r="AO296" s="69" t="str">
        <f t="shared" si="84"/>
        <v>Marruecos</v>
      </c>
      <c r="AP296" s="69" t="str">
        <f t="shared" si="85"/>
        <v>Irán</v>
      </c>
      <c r="AQ296" s="69" t="e">
        <f t="shared" si="86"/>
        <v>#N/A</v>
      </c>
      <c r="AR296" s="69" t="str">
        <f t="shared" si="87"/>
        <v>Paraguay</v>
      </c>
      <c r="AS296" s="69" t="str">
        <f t="shared" si="88"/>
        <v>Korea</v>
      </c>
      <c r="AT296" s="69" t="str">
        <f t="shared" si="89"/>
        <v>Suecia</v>
      </c>
      <c r="AU296" s="69" t="e">
        <f t="shared" si="90"/>
        <v>#N/A</v>
      </c>
      <c r="AV296" s="69" t="str">
        <f t="shared" si="91"/>
        <v>Costa de Marfil</v>
      </c>
    </row>
    <row r="297" spans="24:48" x14ac:dyDescent="0.2">
      <c r="X297" s="64" t="str">
        <f t="shared" si="92"/>
        <v/>
      </c>
      <c r="Y297" s="68" t="s">
        <v>27</v>
      </c>
      <c r="Z297" s="68" t="s">
        <v>14</v>
      </c>
      <c r="AA297" s="68" t="s">
        <v>13</v>
      </c>
      <c r="AB297" s="68" t="s">
        <v>28</v>
      </c>
      <c r="AC297" s="68" t="s">
        <v>25</v>
      </c>
      <c r="AD297" s="68" t="s">
        <v>31</v>
      </c>
      <c r="AE297" s="68" t="s">
        <v>15</v>
      </c>
      <c r="AF297" s="68" t="s">
        <v>185</v>
      </c>
      <c r="AG297">
        <f t="shared" si="93"/>
        <v>1</v>
      </c>
      <c r="AH297">
        <f t="shared" si="77"/>
        <v>1</v>
      </c>
      <c r="AI297">
        <f t="shared" si="78"/>
        <v>0</v>
      </c>
      <c r="AJ297">
        <f t="shared" si="79"/>
        <v>1</v>
      </c>
      <c r="AK297">
        <f t="shared" si="80"/>
        <v>1</v>
      </c>
      <c r="AL297">
        <f t="shared" si="81"/>
        <v>1</v>
      </c>
      <c r="AM297">
        <f t="shared" si="82"/>
        <v>1</v>
      </c>
      <c r="AN297">
        <f t="shared" si="83"/>
        <v>0</v>
      </c>
      <c r="AO297" s="69" t="str">
        <f t="shared" si="84"/>
        <v>Marruecos</v>
      </c>
      <c r="AP297" s="69" t="str">
        <f t="shared" si="85"/>
        <v>Irán</v>
      </c>
      <c r="AQ297" s="69" t="e">
        <f t="shared" si="86"/>
        <v>#N/A</v>
      </c>
      <c r="AR297" s="69" t="str">
        <f t="shared" si="87"/>
        <v>Paraguay</v>
      </c>
      <c r="AS297" s="69" t="str">
        <f t="shared" si="88"/>
        <v>Korea</v>
      </c>
      <c r="AT297" s="69" t="str">
        <f t="shared" si="89"/>
        <v>Suecia</v>
      </c>
      <c r="AU297" s="69" t="str">
        <f t="shared" si="90"/>
        <v>Costa de Marfil</v>
      </c>
      <c r="AV297" s="69" t="e">
        <f t="shared" si="91"/>
        <v>#N/A</v>
      </c>
    </row>
    <row r="298" spans="24:48" x14ac:dyDescent="0.2">
      <c r="X298" s="64" t="str">
        <f t="shared" si="92"/>
        <v/>
      </c>
      <c r="Y298" s="68" t="s">
        <v>27</v>
      </c>
      <c r="Z298" s="68" t="s">
        <v>14</v>
      </c>
      <c r="AA298" s="68" t="s">
        <v>15</v>
      </c>
      <c r="AB298" s="68" t="s">
        <v>28</v>
      </c>
      <c r="AC298" s="68" t="s">
        <v>25</v>
      </c>
      <c r="AD298" s="68" t="s">
        <v>31</v>
      </c>
      <c r="AE298" s="68" t="s">
        <v>186</v>
      </c>
      <c r="AF298" s="68" t="s">
        <v>184</v>
      </c>
      <c r="AG298">
        <f t="shared" si="93"/>
        <v>1</v>
      </c>
      <c r="AH298">
        <f t="shared" si="77"/>
        <v>1</v>
      </c>
      <c r="AI298">
        <f t="shared" si="78"/>
        <v>1</v>
      </c>
      <c r="AJ298">
        <f t="shared" si="79"/>
        <v>1</v>
      </c>
      <c r="AK298">
        <f t="shared" si="80"/>
        <v>1</v>
      </c>
      <c r="AL298">
        <f t="shared" si="81"/>
        <v>1</v>
      </c>
      <c r="AM298">
        <f t="shared" si="82"/>
        <v>0</v>
      </c>
      <c r="AN298">
        <f t="shared" si="83"/>
        <v>1</v>
      </c>
      <c r="AO298" s="69" t="str">
        <f t="shared" si="84"/>
        <v>Marruecos</v>
      </c>
      <c r="AP298" s="69" t="str">
        <f t="shared" si="85"/>
        <v>Irán</v>
      </c>
      <c r="AQ298" s="69" t="str">
        <f t="shared" si="86"/>
        <v>Costa de Marfil</v>
      </c>
      <c r="AR298" s="69" t="str">
        <f t="shared" si="87"/>
        <v>Paraguay</v>
      </c>
      <c r="AS298" s="69" t="str">
        <f t="shared" si="88"/>
        <v>Korea</v>
      </c>
      <c r="AT298" s="69" t="str">
        <f t="shared" si="89"/>
        <v>Suecia</v>
      </c>
      <c r="AU298" s="69" t="e">
        <f t="shared" si="90"/>
        <v>#N/A</v>
      </c>
      <c r="AV298" s="69" t="str">
        <f t="shared" si="91"/>
        <v>Senegal</v>
      </c>
    </row>
    <row r="299" spans="24:48" x14ac:dyDescent="0.2">
      <c r="X299" s="64" t="str">
        <f t="shared" si="92"/>
        <v/>
      </c>
      <c r="Y299" s="68" t="s">
        <v>27</v>
      </c>
      <c r="Z299" s="68" t="s">
        <v>14</v>
      </c>
      <c r="AA299" s="68" t="s">
        <v>15</v>
      </c>
      <c r="AB299" s="68" t="s">
        <v>28</v>
      </c>
      <c r="AC299" s="68" t="s">
        <v>25</v>
      </c>
      <c r="AD299" s="68" t="s">
        <v>31</v>
      </c>
      <c r="AE299" s="68" t="s">
        <v>184</v>
      </c>
      <c r="AF299" s="68" t="s">
        <v>185</v>
      </c>
      <c r="AG299">
        <f t="shared" si="93"/>
        <v>1</v>
      </c>
      <c r="AH299">
        <f t="shared" si="77"/>
        <v>1</v>
      </c>
      <c r="AI299">
        <f t="shared" si="78"/>
        <v>1</v>
      </c>
      <c r="AJ299">
        <f t="shared" si="79"/>
        <v>1</v>
      </c>
      <c r="AK299">
        <f t="shared" si="80"/>
        <v>1</v>
      </c>
      <c r="AL299">
        <f t="shared" si="81"/>
        <v>1</v>
      </c>
      <c r="AM299">
        <f t="shared" si="82"/>
        <v>1</v>
      </c>
      <c r="AN299">
        <f t="shared" si="83"/>
        <v>0</v>
      </c>
      <c r="AO299" s="69" t="str">
        <f t="shared" si="84"/>
        <v>Marruecos</v>
      </c>
      <c r="AP299" s="69" t="str">
        <f t="shared" si="85"/>
        <v>Irán</v>
      </c>
      <c r="AQ299" s="69" t="str">
        <f t="shared" si="86"/>
        <v>Costa de Marfil</v>
      </c>
      <c r="AR299" s="69" t="str">
        <f t="shared" si="87"/>
        <v>Paraguay</v>
      </c>
      <c r="AS299" s="69" t="str">
        <f t="shared" si="88"/>
        <v>Korea</v>
      </c>
      <c r="AT299" s="69" t="str">
        <f t="shared" si="89"/>
        <v>Suecia</v>
      </c>
      <c r="AU299" s="69" t="str">
        <f t="shared" si="90"/>
        <v>Senegal</v>
      </c>
      <c r="AV299" s="69" t="e">
        <f t="shared" si="91"/>
        <v>#N/A</v>
      </c>
    </row>
    <row r="300" spans="24:48" x14ac:dyDescent="0.2">
      <c r="X300" s="64" t="str">
        <f t="shared" si="92"/>
        <v/>
      </c>
      <c r="Y300" s="68" t="s">
        <v>27</v>
      </c>
      <c r="Z300" s="68" t="s">
        <v>14</v>
      </c>
      <c r="AA300" s="68" t="s">
        <v>13</v>
      </c>
      <c r="AB300" s="68" t="s">
        <v>28</v>
      </c>
      <c r="AC300" s="68" t="s">
        <v>25</v>
      </c>
      <c r="AD300" s="68" t="s">
        <v>31</v>
      </c>
      <c r="AE300" s="68" t="s">
        <v>15</v>
      </c>
      <c r="AF300" s="68" t="s">
        <v>184</v>
      </c>
      <c r="AG300">
        <f t="shared" si="93"/>
        <v>1</v>
      </c>
      <c r="AH300">
        <f t="shared" si="77"/>
        <v>1</v>
      </c>
      <c r="AI300">
        <f t="shared" si="78"/>
        <v>0</v>
      </c>
      <c r="AJ300">
        <f t="shared" si="79"/>
        <v>1</v>
      </c>
      <c r="AK300">
        <f t="shared" si="80"/>
        <v>1</v>
      </c>
      <c r="AL300">
        <f t="shared" si="81"/>
        <v>1</v>
      </c>
      <c r="AM300">
        <f t="shared" si="82"/>
        <v>1</v>
      </c>
      <c r="AN300">
        <f t="shared" si="83"/>
        <v>1</v>
      </c>
      <c r="AO300" s="69" t="str">
        <f t="shared" si="84"/>
        <v>Marruecos</v>
      </c>
      <c r="AP300" s="69" t="str">
        <f t="shared" si="85"/>
        <v>Irán</v>
      </c>
      <c r="AQ300" s="69" t="e">
        <f t="shared" si="86"/>
        <v>#N/A</v>
      </c>
      <c r="AR300" s="69" t="str">
        <f t="shared" si="87"/>
        <v>Paraguay</v>
      </c>
      <c r="AS300" s="69" t="str">
        <f t="shared" si="88"/>
        <v>Korea</v>
      </c>
      <c r="AT300" s="69" t="str">
        <f t="shared" si="89"/>
        <v>Suecia</v>
      </c>
      <c r="AU300" s="69" t="str">
        <f t="shared" si="90"/>
        <v>Costa de Marfil</v>
      </c>
      <c r="AV300" s="69" t="str">
        <f t="shared" si="91"/>
        <v>Senegal</v>
      </c>
    </row>
    <row r="301" spans="24:48" x14ac:dyDescent="0.2">
      <c r="X301" s="64" t="str">
        <f t="shared" si="92"/>
        <v/>
      </c>
      <c r="Y301" s="68" t="s">
        <v>32</v>
      </c>
      <c r="Z301" s="68" t="s">
        <v>14</v>
      </c>
      <c r="AA301" s="68" t="s">
        <v>31</v>
      </c>
      <c r="AB301" s="68" t="s">
        <v>27</v>
      </c>
      <c r="AC301" s="68" t="s">
        <v>25</v>
      </c>
      <c r="AD301" s="68" t="s">
        <v>28</v>
      </c>
      <c r="AE301" s="68" t="s">
        <v>186</v>
      </c>
      <c r="AF301" s="68" t="s">
        <v>15</v>
      </c>
      <c r="AG301">
        <f t="shared" si="93"/>
        <v>0</v>
      </c>
      <c r="AH301">
        <f t="shared" si="77"/>
        <v>1</v>
      </c>
      <c r="AI301">
        <f t="shared" si="78"/>
        <v>1</v>
      </c>
      <c r="AJ301">
        <f t="shared" si="79"/>
        <v>1</v>
      </c>
      <c r="AK301">
        <f t="shared" si="80"/>
        <v>1</v>
      </c>
      <c r="AL301">
        <f t="shared" si="81"/>
        <v>1</v>
      </c>
      <c r="AM301">
        <f t="shared" si="82"/>
        <v>0</v>
      </c>
      <c r="AN301">
        <f t="shared" si="83"/>
        <v>1</v>
      </c>
      <c r="AO301" s="69" t="e">
        <f t="shared" si="84"/>
        <v>#N/A</v>
      </c>
      <c r="AP301" s="69" t="str">
        <f t="shared" si="85"/>
        <v>Irán</v>
      </c>
      <c r="AQ301" s="69" t="str">
        <f t="shared" si="86"/>
        <v>Suecia</v>
      </c>
      <c r="AR301" s="69" t="str">
        <f t="shared" si="87"/>
        <v>Marruecos</v>
      </c>
      <c r="AS301" s="69" t="str">
        <f t="shared" si="88"/>
        <v>Korea</v>
      </c>
      <c r="AT301" s="69" t="str">
        <f t="shared" si="89"/>
        <v>Paraguay</v>
      </c>
      <c r="AU301" s="69" t="e">
        <f t="shared" si="90"/>
        <v>#N/A</v>
      </c>
      <c r="AV301" s="69" t="str">
        <f t="shared" si="91"/>
        <v>Costa de Marfil</v>
      </c>
    </row>
    <row r="302" spans="24:48" x14ac:dyDescent="0.2">
      <c r="X302" s="64" t="str">
        <f t="shared" si="92"/>
        <v/>
      </c>
      <c r="Y302" s="68" t="s">
        <v>32</v>
      </c>
      <c r="Z302" s="68" t="s">
        <v>14</v>
      </c>
      <c r="AA302" s="68" t="s">
        <v>15</v>
      </c>
      <c r="AB302" s="68" t="s">
        <v>27</v>
      </c>
      <c r="AC302" s="68" t="s">
        <v>25</v>
      </c>
      <c r="AD302" s="68" t="s">
        <v>31</v>
      </c>
      <c r="AE302" s="68" t="s">
        <v>28</v>
      </c>
      <c r="AF302" s="68" t="s">
        <v>185</v>
      </c>
      <c r="AG302">
        <f t="shared" si="93"/>
        <v>0</v>
      </c>
      <c r="AH302">
        <f t="shared" si="77"/>
        <v>1</v>
      </c>
      <c r="AI302">
        <f t="shared" si="78"/>
        <v>1</v>
      </c>
      <c r="AJ302">
        <f t="shared" si="79"/>
        <v>1</v>
      </c>
      <c r="AK302">
        <f t="shared" si="80"/>
        <v>1</v>
      </c>
      <c r="AL302">
        <f t="shared" si="81"/>
        <v>1</v>
      </c>
      <c r="AM302">
        <f t="shared" si="82"/>
        <v>1</v>
      </c>
      <c r="AN302">
        <f t="shared" si="83"/>
        <v>0</v>
      </c>
      <c r="AO302" s="69" t="e">
        <f t="shared" si="84"/>
        <v>#N/A</v>
      </c>
      <c r="AP302" s="69" t="str">
        <f t="shared" si="85"/>
        <v>Irán</v>
      </c>
      <c r="AQ302" s="69" t="str">
        <f t="shared" si="86"/>
        <v>Costa de Marfil</v>
      </c>
      <c r="AR302" s="69" t="str">
        <f t="shared" si="87"/>
        <v>Marruecos</v>
      </c>
      <c r="AS302" s="69" t="str">
        <f t="shared" si="88"/>
        <v>Korea</v>
      </c>
      <c r="AT302" s="69" t="str">
        <f t="shared" si="89"/>
        <v>Suecia</v>
      </c>
      <c r="AU302" s="69" t="str">
        <f t="shared" si="90"/>
        <v>Paraguay</v>
      </c>
      <c r="AV302" s="69" t="e">
        <f t="shared" si="91"/>
        <v>#N/A</v>
      </c>
    </row>
    <row r="303" spans="24:48" x14ac:dyDescent="0.2">
      <c r="X303" s="64" t="str">
        <f t="shared" si="92"/>
        <v/>
      </c>
      <c r="Y303" s="68" t="s">
        <v>32</v>
      </c>
      <c r="Z303" s="68" t="s">
        <v>14</v>
      </c>
      <c r="AA303" s="68" t="s">
        <v>13</v>
      </c>
      <c r="AB303" s="68" t="s">
        <v>27</v>
      </c>
      <c r="AC303" s="68" t="s">
        <v>25</v>
      </c>
      <c r="AD303" s="68" t="s">
        <v>31</v>
      </c>
      <c r="AE303" s="68" t="s">
        <v>28</v>
      </c>
      <c r="AF303" s="68" t="s">
        <v>15</v>
      </c>
      <c r="AG303">
        <f t="shared" si="93"/>
        <v>0</v>
      </c>
      <c r="AH303">
        <f t="shared" si="77"/>
        <v>1</v>
      </c>
      <c r="AI303">
        <f t="shared" si="78"/>
        <v>0</v>
      </c>
      <c r="AJ303">
        <f t="shared" si="79"/>
        <v>1</v>
      </c>
      <c r="AK303">
        <f t="shared" si="80"/>
        <v>1</v>
      </c>
      <c r="AL303">
        <f t="shared" si="81"/>
        <v>1</v>
      </c>
      <c r="AM303">
        <f t="shared" si="82"/>
        <v>1</v>
      </c>
      <c r="AN303">
        <f t="shared" si="83"/>
        <v>1</v>
      </c>
      <c r="AO303" s="69" t="e">
        <f t="shared" si="84"/>
        <v>#N/A</v>
      </c>
      <c r="AP303" s="69" t="str">
        <f t="shared" si="85"/>
        <v>Irán</v>
      </c>
      <c r="AQ303" s="69" t="e">
        <f t="shared" si="86"/>
        <v>#N/A</v>
      </c>
      <c r="AR303" s="69" t="str">
        <f t="shared" si="87"/>
        <v>Marruecos</v>
      </c>
      <c r="AS303" s="69" t="str">
        <f t="shared" si="88"/>
        <v>Korea</v>
      </c>
      <c r="AT303" s="69" t="str">
        <f t="shared" si="89"/>
        <v>Suecia</v>
      </c>
      <c r="AU303" s="69" t="str">
        <f t="shared" si="90"/>
        <v>Paraguay</v>
      </c>
      <c r="AV303" s="69" t="str">
        <f t="shared" si="91"/>
        <v>Costa de Marfil</v>
      </c>
    </row>
    <row r="304" spans="24:48" x14ac:dyDescent="0.2">
      <c r="X304" s="64" t="str">
        <f t="shared" si="92"/>
        <v/>
      </c>
      <c r="Y304" s="68" t="s">
        <v>32</v>
      </c>
      <c r="Z304" s="68" t="s">
        <v>14</v>
      </c>
      <c r="AA304" s="68" t="s">
        <v>15</v>
      </c>
      <c r="AB304" s="68" t="s">
        <v>27</v>
      </c>
      <c r="AC304" s="68" t="s">
        <v>25</v>
      </c>
      <c r="AD304" s="68" t="s">
        <v>31</v>
      </c>
      <c r="AE304" s="68" t="s">
        <v>28</v>
      </c>
      <c r="AF304" s="68" t="s">
        <v>184</v>
      </c>
      <c r="AG304">
        <f t="shared" si="93"/>
        <v>0</v>
      </c>
      <c r="AH304">
        <f t="shared" si="77"/>
        <v>1</v>
      </c>
      <c r="AI304">
        <f t="shared" si="78"/>
        <v>1</v>
      </c>
      <c r="AJ304">
        <f t="shared" si="79"/>
        <v>1</v>
      </c>
      <c r="AK304">
        <f t="shared" si="80"/>
        <v>1</v>
      </c>
      <c r="AL304">
        <f t="shared" si="81"/>
        <v>1</v>
      </c>
      <c r="AM304">
        <f t="shared" si="82"/>
        <v>1</v>
      </c>
      <c r="AN304">
        <f t="shared" si="83"/>
        <v>1</v>
      </c>
      <c r="AO304" s="69" t="e">
        <f t="shared" si="84"/>
        <v>#N/A</v>
      </c>
      <c r="AP304" s="69" t="str">
        <f t="shared" si="85"/>
        <v>Irán</v>
      </c>
      <c r="AQ304" s="69" t="str">
        <f t="shared" si="86"/>
        <v>Costa de Marfil</v>
      </c>
      <c r="AR304" s="69" t="str">
        <f t="shared" si="87"/>
        <v>Marruecos</v>
      </c>
      <c r="AS304" s="69" t="str">
        <f t="shared" si="88"/>
        <v>Korea</v>
      </c>
      <c r="AT304" s="69" t="str">
        <f t="shared" si="89"/>
        <v>Suecia</v>
      </c>
      <c r="AU304" s="69" t="str">
        <f t="shared" si="90"/>
        <v>Paraguay</v>
      </c>
      <c r="AV304" s="69" t="str">
        <f t="shared" si="91"/>
        <v>Senegal</v>
      </c>
    </row>
    <row r="305" spans="24:48" x14ac:dyDescent="0.2">
      <c r="X305" s="64" t="str">
        <f t="shared" si="92"/>
        <v/>
      </c>
      <c r="Y305" s="68" t="s">
        <v>32</v>
      </c>
      <c r="Z305" s="68" t="s">
        <v>13</v>
      </c>
      <c r="AA305" s="68" t="s">
        <v>26</v>
      </c>
      <c r="AB305" s="68" t="s">
        <v>25</v>
      </c>
      <c r="AC305" s="68" t="s">
        <v>184</v>
      </c>
      <c r="AD305" s="68" t="s">
        <v>14</v>
      </c>
      <c r="AE305" s="68" t="s">
        <v>186</v>
      </c>
      <c r="AF305" s="68" t="s">
        <v>185</v>
      </c>
      <c r="AG305">
        <f t="shared" si="93"/>
        <v>0</v>
      </c>
      <c r="AH305">
        <f t="shared" si="77"/>
        <v>0</v>
      </c>
      <c r="AI305">
        <f t="shared" si="78"/>
        <v>1</v>
      </c>
      <c r="AJ305">
        <f t="shared" si="79"/>
        <v>1</v>
      </c>
      <c r="AK305">
        <f t="shared" si="80"/>
        <v>1</v>
      </c>
      <c r="AL305">
        <f t="shared" si="81"/>
        <v>1</v>
      </c>
      <c r="AM305">
        <f t="shared" si="82"/>
        <v>0</v>
      </c>
      <c r="AN305">
        <f t="shared" si="83"/>
        <v>0</v>
      </c>
      <c r="AO305" s="69" t="e">
        <f t="shared" si="84"/>
        <v>#N/A</v>
      </c>
      <c r="AP305" s="69" t="e">
        <f t="shared" si="85"/>
        <v>#N/A</v>
      </c>
      <c r="AQ305" s="69" t="str">
        <f t="shared" si="86"/>
        <v>Bosnia</v>
      </c>
      <c r="AR305" s="69" t="str">
        <f t="shared" si="87"/>
        <v>Korea</v>
      </c>
      <c r="AS305" s="69" t="str">
        <f t="shared" si="88"/>
        <v>Senegal</v>
      </c>
      <c r="AT305" s="69" t="str">
        <f t="shared" si="89"/>
        <v>Irán</v>
      </c>
      <c r="AU305" s="69" t="e">
        <f t="shared" si="90"/>
        <v>#N/A</v>
      </c>
      <c r="AV305" s="69" t="e">
        <f t="shared" si="91"/>
        <v>#N/A</v>
      </c>
    </row>
    <row r="306" spans="24:48" x14ac:dyDescent="0.2">
      <c r="X306" s="64" t="str">
        <f t="shared" si="92"/>
        <v/>
      </c>
      <c r="Y306" s="68" t="s">
        <v>32</v>
      </c>
      <c r="Z306" s="68" t="s">
        <v>13</v>
      </c>
      <c r="AA306" s="68" t="s">
        <v>26</v>
      </c>
      <c r="AB306" s="68" t="s">
        <v>25</v>
      </c>
      <c r="AC306" s="68" t="s">
        <v>184</v>
      </c>
      <c r="AD306" s="68" t="s">
        <v>31</v>
      </c>
      <c r="AE306" s="68" t="s">
        <v>186</v>
      </c>
      <c r="AF306" s="68" t="s">
        <v>185</v>
      </c>
      <c r="AG306">
        <f t="shared" si="93"/>
        <v>0</v>
      </c>
      <c r="AH306">
        <f t="shared" si="77"/>
        <v>0</v>
      </c>
      <c r="AI306">
        <f t="shared" si="78"/>
        <v>1</v>
      </c>
      <c r="AJ306">
        <f t="shared" si="79"/>
        <v>1</v>
      </c>
      <c r="AK306">
        <f t="shared" si="80"/>
        <v>1</v>
      </c>
      <c r="AL306">
        <f t="shared" si="81"/>
        <v>1</v>
      </c>
      <c r="AM306">
        <f t="shared" si="82"/>
        <v>0</v>
      </c>
      <c r="AN306">
        <f t="shared" si="83"/>
        <v>0</v>
      </c>
      <c r="AO306" s="69" t="e">
        <f t="shared" si="84"/>
        <v>#N/A</v>
      </c>
      <c r="AP306" s="69" t="e">
        <f t="shared" si="85"/>
        <v>#N/A</v>
      </c>
      <c r="AQ306" s="69" t="str">
        <f t="shared" si="86"/>
        <v>Bosnia</v>
      </c>
      <c r="AR306" s="69" t="str">
        <f t="shared" si="87"/>
        <v>Korea</v>
      </c>
      <c r="AS306" s="69" t="str">
        <f t="shared" si="88"/>
        <v>Senegal</v>
      </c>
      <c r="AT306" s="69" t="str">
        <f t="shared" si="89"/>
        <v>Suecia</v>
      </c>
      <c r="AU306" s="69" t="e">
        <f t="shared" si="90"/>
        <v>#N/A</v>
      </c>
      <c r="AV306" s="69" t="e">
        <f t="shared" si="91"/>
        <v>#N/A</v>
      </c>
    </row>
    <row r="307" spans="24:48" x14ac:dyDescent="0.2">
      <c r="X307" s="64" t="str">
        <f t="shared" si="92"/>
        <v/>
      </c>
      <c r="Y307" s="68" t="s">
        <v>184</v>
      </c>
      <c r="Z307" s="68" t="s">
        <v>13</v>
      </c>
      <c r="AA307" s="68" t="s">
        <v>26</v>
      </c>
      <c r="AB307" s="68" t="s">
        <v>31</v>
      </c>
      <c r="AC307" s="68" t="s">
        <v>25</v>
      </c>
      <c r="AD307" s="68" t="s">
        <v>14</v>
      </c>
      <c r="AE307" s="68" t="s">
        <v>186</v>
      </c>
      <c r="AF307" s="68" t="s">
        <v>185</v>
      </c>
      <c r="AG307">
        <f t="shared" si="93"/>
        <v>1</v>
      </c>
      <c r="AH307">
        <f t="shared" si="77"/>
        <v>0</v>
      </c>
      <c r="AI307">
        <f t="shared" si="78"/>
        <v>1</v>
      </c>
      <c r="AJ307">
        <f t="shared" si="79"/>
        <v>1</v>
      </c>
      <c r="AK307">
        <f t="shared" si="80"/>
        <v>1</v>
      </c>
      <c r="AL307">
        <f t="shared" si="81"/>
        <v>1</v>
      </c>
      <c r="AM307">
        <f t="shared" si="82"/>
        <v>0</v>
      </c>
      <c r="AN307">
        <f t="shared" si="83"/>
        <v>0</v>
      </c>
      <c r="AO307" s="69" t="str">
        <f t="shared" si="84"/>
        <v>Senegal</v>
      </c>
      <c r="AP307" s="69" t="e">
        <f t="shared" si="85"/>
        <v>#N/A</v>
      </c>
      <c r="AQ307" s="69" t="str">
        <f t="shared" si="86"/>
        <v>Bosnia</v>
      </c>
      <c r="AR307" s="69" t="str">
        <f t="shared" si="87"/>
        <v>Suecia</v>
      </c>
      <c r="AS307" s="69" t="str">
        <f t="shared" si="88"/>
        <v>Korea</v>
      </c>
      <c r="AT307" s="69" t="str">
        <f t="shared" si="89"/>
        <v>Irán</v>
      </c>
      <c r="AU307" s="69" t="e">
        <f t="shared" si="90"/>
        <v>#N/A</v>
      </c>
      <c r="AV307" s="69" t="e">
        <f t="shared" si="91"/>
        <v>#N/A</v>
      </c>
    </row>
    <row r="308" spans="24:48" x14ac:dyDescent="0.2">
      <c r="X308" s="64" t="str">
        <f t="shared" si="92"/>
        <v/>
      </c>
      <c r="Y308" s="68" t="s">
        <v>32</v>
      </c>
      <c r="Z308" s="68" t="s">
        <v>13</v>
      </c>
      <c r="AA308" s="68" t="s">
        <v>26</v>
      </c>
      <c r="AB308" s="68" t="s">
        <v>31</v>
      </c>
      <c r="AC308" s="68" t="s">
        <v>25</v>
      </c>
      <c r="AD308" s="68" t="s">
        <v>14</v>
      </c>
      <c r="AE308" s="68" t="s">
        <v>186</v>
      </c>
      <c r="AF308" s="68" t="s">
        <v>185</v>
      </c>
      <c r="AG308">
        <f t="shared" si="93"/>
        <v>0</v>
      </c>
      <c r="AH308">
        <f t="shared" si="77"/>
        <v>0</v>
      </c>
      <c r="AI308">
        <f t="shared" si="78"/>
        <v>1</v>
      </c>
      <c r="AJ308">
        <f t="shared" si="79"/>
        <v>1</v>
      </c>
      <c r="AK308">
        <f t="shared" si="80"/>
        <v>1</v>
      </c>
      <c r="AL308">
        <f t="shared" si="81"/>
        <v>1</v>
      </c>
      <c r="AM308">
        <f t="shared" si="82"/>
        <v>0</v>
      </c>
      <c r="AN308">
        <f t="shared" si="83"/>
        <v>0</v>
      </c>
      <c r="AO308" s="69" t="e">
        <f t="shared" si="84"/>
        <v>#N/A</v>
      </c>
      <c r="AP308" s="69" t="e">
        <f t="shared" si="85"/>
        <v>#N/A</v>
      </c>
      <c r="AQ308" s="69" t="str">
        <f t="shared" si="86"/>
        <v>Bosnia</v>
      </c>
      <c r="AR308" s="69" t="str">
        <f t="shared" si="87"/>
        <v>Suecia</v>
      </c>
      <c r="AS308" s="69" t="str">
        <f t="shared" si="88"/>
        <v>Korea</v>
      </c>
      <c r="AT308" s="69" t="str">
        <f t="shared" si="89"/>
        <v>Irán</v>
      </c>
      <c r="AU308" s="69" t="e">
        <f t="shared" si="90"/>
        <v>#N/A</v>
      </c>
      <c r="AV308" s="69" t="e">
        <f t="shared" si="91"/>
        <v>#N/A</v>
      </c>
    </row>
    <row r="309" spans="24:48" x14ac:dyDescent="0.2">
      <c r="X309" s="64" t="str">
        <f t="shared" si="92"/>
        <v/>
      </c>
      <c r="Y309" s="68" t="s">
        <v>32</v>
      </c>
      <c r="Z309" s="68" t="s">
        <v>14</v>
      </c>
      <c r="AA309" s="68" t="s">
        <v>26</v>
      </c>
      <c r="AB309" s="68" t="s">
        <v>25</v>
      </c>
      <c r="AC309" s="68" t="s">
        <v>184</v>
      </c>
      <c r="AD309" s="68" t="s">
        <v>31</v>
      </c>
      <c r="AE309" s="68" t="s">
        <v>186</v>
      </c>
      <c r="AF309" s="68" t="s">
        <v>185</v>
      </c>
      <c r="AG309">
        <f t="shared" si="93"/>
        <v>0</v>
      </c>
      <c r="AH309">
        <f t="shared" si="77"/>
        <v>1</v>
      </c>
      <c r="AI309">
        <f t="shared" si="78"/>
        <v>1</v>
      </c>
      <c r="AJ309">
        <f t="shared" si="79"/>
        <v>1</v>
      </c>
      <c r="AK309">
        <f t="shared" si="80"/>
        <v>1</v>
      </c>
      <c r="AL309">
        <f t="shared" si="81"/>
        <v>1</v>
      </c>
      <c r="AM309">
        <f t="shared" si="82"/>
        <v>0</v>
      </c>
      <c r="AN309">
        <f t="shared" si="83"/>
        <v>0</v>
      </c>
      <c r="AO309" s="69" t="e">
        <f t="shared" si="84"/>
        <v>#N/A</v>
      </c>
      <c r="AP309" s="69" t="str">
        <f t="shared" si="85"/>
        <v>Irán</v>
      </c>
      <c r="AQ309" s="69" t="str">
        <f t="shared" si="86"/>
        <v>Bosnia</v>
      </c>
      <c r="AR309" s="69" t="str">
        <f t="shared" si="87"/>
        <v>Korea</v>
      </c>
      <c r="AS309" s="69" t="str">
        <f t="shared" si="88"/>
        <v>Senegal</v>
      </c>
      <c r="AT309" s="69" t="str">
        <f t="shared" si="89"/>
        <v>Suecia</v>
      </c>
      <c r="AU309" s="69" t="e">
        <f t="shared" si="90"/>
        <v>#N/A</v>
      </c>
      <c r="AV309" s="69" t="e">
        <f t="shared" si="91"/>
        <v>#N/A</v>
      </c>
    </row>
    <row r="310" spans="24:48" x14ac:dyDescent="0.2">
      <c r="X310" s="64" t="str">
        <f t="shared" si="92"/>
        <v/>
      </c>
      <c r="Y310" s="68" t="s">
        <v>32</v>
      </c>
      <c r="Z310" s="68" t="s">
        <v>13</v>
      </c>
      <c r="AA310" s="68" t="s">
        <v>26</v>
      </c>
      <c r="AB310" s="68" t="s">
        <v>31</v>
      </c>
      <c r="AC310" s="68" t="s">
        <v>25</v>
      </c>
      <c r="AD310" s="68" t="s">
        <v>14</v>
      </c>
      <c r="AE310" s="68" t="s">
        <v>186</v>
      </c>
      <c r="AF310" s="68" t="s">
        <v>184</v>
      </c>
      <c r="AG310">
        <f t="shared" si="93"/>
        <v>0</v>
      </c>
      <c r="AH310">
        <f t="shared" si="77"/>
        <v>0</v>
      </c>
      <c r="AI310">
        <f t="shared" si="78"/>
        <v>1</v>
      </c>
      <c r="AJ310">
        <f t="shared" si="79"/>
        <v>1</v>
      </c>
      <c r="AK310">
        <f t="shared" si="80"/>
        <v>1</v>
      </c>
      <c r="AL310">
        <f t="shared" si="81"/>
        <v>1</v>
      </c>
      <c r="AM310">
        <f t="shared" si="82"/>
        <v>0</v>
      </c>
      <c r="AN310">
        <f t="shared" si="83"/>
        <v>1</v>
      </c>
      <c r="AO310" s="69" t="e">
        <f t="shared" si="84"/>
        <v>#N/A</v>
      </c>
      <c r="AP310" s="69" t="e">
        <f t="shared" si="85"/>
        <v>#N/A</v>
      </c>
      <c r="AQ310" s="69" t="str">
        <f t="shared" si="86"/>
        <v>Bosnia</v>
      </c>
      <c r="AR310" s="69" t="str">
        <f t="shared" si="87"/>
        <v>Suecia</v>
      </c>
      <c r="AS310" s="69" t="str">
        <f t="shared" si="88"/>
        <v>Korea</v>
      </c>
      <c r="AT310" s="69" t="str">
        <f t="shared" si="89"/>
        <v>Irán</v>
      </c>
      <c r="AU310" s="69" t="e">
        <f t="shared" si="90"/>
        <v>#N/A</v>
      </c>
      <c r="AV310" s="69" t="str">
        <f t="shared" si="91"/>
        <v>Senegal</v>
      </c>
    </row>
    <row r="311" spans="24:48" x14ac:dyDescent="0.2">
      <c r="X311" s="64" t="str">
        <f t="shared" si="92"/>
        <v/>
      </c>
      <c r="Y311" s="68" t="s">
        <v>32</v>
      </c>
      <c r="Z311" s="68" t="s">
        <v>13</v>
      </c>
      <c r="AA311" s="68" t="s">
        <v>26</v>
      </c>
      <c r="AB311" s="68" t="s">
        <v>31</v>
      </c>
      <c r="AC311" s="68" t="s">
        <v>25</v>
      </c>
      <c r="AD311" s="68" t="s">
        <v>14</v>
      </c>
      <c r="AE311" s="68" t="s">
        <v>184</v>
      </c>
      <c r="AF311" s="68" t="s">
        <v>185</v>
      </c>
      <c r="AG311">
        <f t="shared" si="93"/>
        <v>0</v>
      </c>
      <c r="AH311">
        <f t="shared" si="77"/>
        <v>0</v>
      </c>
      <c r="AI311">
        <f t="shared" si="78"/>
        <v>1</v>
      </c>
      <c r="AJ311">
        <f t="shared" si="79"/>
        <v>1</v>
      </c>
      <c r="AK311">
        <f t="shared" si="80"/>
        <v>1</v>
      </c>
      <c r="AL311">
        <f t="shared" si="81"/>
        <v>1</v>
      </c>
      <c r="AM311">
        <f t="shared" si="82"/>
        <v>1</v>
      </c>
      <c r="AN311">
        <f t="shared" si="83"/>
        <v>0</v>
      </c>
      <c r="AO311" s="69" t="e">
        <f t="shared" si="84"/>
        <v>#N/A</v>
      </c>
      <c r="AP311" s="69" t="e">
        <f t="shared" si="85"/>
        <v>#N/A</v>
      </c>
      <c r="AQ311" s="69" t="str">
        <f t="shared" si="86"/>
        <v>Bosnia</v>
      </c>
      <c r="AR311" s="69" t="str">
        <f t="shared" si="87"/>
        <v>Suecia</v>
      </c>
      <c r="AS311" s="69" t="str">
        <f t="shared" si="88"/>
        <v>Korea</v>
      </c>
      <c r="AT311" s="69" t="str">
        <f t="shared" si="89"/>
        <v>Irán</v>
      </c>
      <c r="AU311" s="69" t="str">
        <f t="shared" si="90"/>
        <v>Senegal</v>
      </c>
      <c r="AV311" s="69" t="e">
        <f t="shared" si="91"/>
        <v>#N/A</v>
      </c>
    </row>
    <row r="312" spans="24:48" x14ac:dyDescent="0.2">
      <c r="X312" s="64" t="str">
        <f t="shared" si="92"/>
        <v/>
      </c>
      <c r="Y312" s="68" t="s">
        <v>15</v>
      </c>
      <c r="Z312" s="68" t="s">
        <v>13</v>
      </c>
      <c r="AA312" s="68" t="s">
        <v>26</v>
      </c>
      <c r="AB312" s="68" t="s">
        <v>25</v>
      </c>
      <c r="AC312" s="68" t="s">
        <v>184</v>
      </c>
      <c r="AD312" s="68" t="s">
        <v>32</v>
      </c>
      <c r="AE312" s="68" t="s">
        <v>186</v>
      </c>
      <c r="AF312" s="68" t="s">
        <v>185</v>
      </c>
      <c r="AG312">
        <f t="shared" si="93"/>
        <v>1</v>
      </c>
      <c r="AH312">
        <f t="shared" si="77"/>
        <v>0</v>
      </c>
      <c r="AI312">
        <f t="shared" si="78"/>
        <v>1</v>
      </c>
      <c r="AJ312">
        <f t="shared" si="79"/>
        <v>1</v>
      </c>
      <c r="AK312">
        <f t="shared" si="80"/>
        <v>1</v>
      </c>
      <c r="AL312">
        <f t="shared" si="81"/>
        <v>0</v>
      </c>
      <c r="AM312">
        <f t="shared" si="82"/>
        <v>0</v>
      </c>
      <c r="AN312">
        <f t="shared" si="83"/>
        <v>0</v>
      </c>
      <c r="AO312" s="69" t="str">
        <f t="shared" si="84"/>
        <v>Costa de Marfil</v>
      </c>
      <c r="AP312" s="69" t="e">
        <f t="shared" si="85"/>
        <v>#N/A</v>
      </c>
      <c r="AQ312" s="69" t="str">
        <f t="shared" si="86"/>
        <v>Bosnia</v>
      </c>
      <c r="AR312" s="69" t="str">
        <f t="shared" si="87"/>
        <v>Korea</v>
      </c>
      <c r="AS312" s="69" t="str">
        <f t="shared" si="88"/>
        <v>Senegal</v>
      </c>
      <c r="AT312" s="69" t="e">
        <f t="shared" si="89"/>
        <v>#N/A</v>
      </c>
      <c r="AU312" s="69" t="e">
        <f t="shared" si="90"/>
        <v>#N/A</v>
      </c>
      <c r="AV312" s="69" t="e">
        <f t="shared" si="91"/>
        <v>#N/A</v>
      </c>
    </row>
    <row r="313" spans="24:48" x14ac:dyDescent="0.2">
      <c r="X313" s="64" t="str">
        <f t="shared" si="92"/>
        <v/>
      </c>
      <c r="Y313" s="68" t="s">
        <v>15</v>
      </c>
      <c r="Z313" s="68" t="s">
        <v>13</v>
      </c>
      <c r="AA313" s="68" t="s">
        <v>26</v>
      </c>
      <c r="AB313" s="68" t="s">
        <v>25</v>
      </c>
      <c r="AC313" s="68" t="s">
        <v>184</v>
      </c>
      <c r="AD313" s="68" t="s">
        <v>14</v>
      </c>
      <c r="AE313" s="68" t="s">
        <v>186</v>
      </c>
      <c r="AF313" s="68" t="s">
        <v>185</v>
      </c>
      <c r="AG313">
        <f t="shared" si="93"/>
        <v>1</v>
      </c>
      <c r="AH313">
        <f t="shared" si="77"/>
        <v>0</v>
      </c>
      <c r="AI313">
        <f t="shared" si="78"/>
        <v>1</v>
      </c>
      <c r="AJ313">
        <f t="shared" si="79"/>
        <v>1</v>
      </c>
      <c r="AK313">
        <f t="shared" si="80"/>
        <v>1</v>
      </c>
      <c r="AL313">
        <f t="shared" si="81"/>
        <v>1</v>
      </c>
      <c r="AM313">
        <f t="shared" si="82"/>
        <v>0</v>
      </c>
      <c r="AN313">
        <f t="shared" si="83"/>
        <v>0</v>
      </c>
      <c r="AO313" s="69" t="str">
        <f t="shared" si="84"/>
        <v>Costa de Marfil</v>
      </c>
      <c r="AP313" s="69" t="e">
        <f t="shared" si="85"/>
        <v>#N/A</v>
      </c>
      <c r="AQ313" s="69" t="str">
        <f t="shared" si="86"/>
        <v>Bosnia</v>
      </c>
      <c r="AR313" s="69" t="str">
        <f t="shared" si="87"/>
        <v>Korea</v>
      </c>
      <c r="AS313" s="69" t="str">
        <f t="shared" si="88"/>
        <v>Senegal</v>
      </c>
      <c r="AT313" s="69" t="str">
        <f t="shared" si="89"/>
        <v>Irán</v>
      </c>
      <c r="AU313" s="69" t="e">
        <f t="shared" si="90"/>
        <v>#N/A</v>
      </c>
      <c r="AV313" s="69" t="e">
        <f t="shared" si="91"/>
        <v>#N/A</v>
      </c>
    </row>
    <row r="314" spans="24:48" x14ac:dyDescent="0.2">
      <c r="X314" s="64" t="str">
        <f t="shared" si="92"/>
        <v/>
      </c>
      <c r="Y314" s="68" t="s">
        <v>15</v>
      </c>
      <c r="Z314" s="68" t="s">
        <v>13</v>
      </c>
      <c r="AA314" s="68" t="s">
        <v>26</v>
      </c>
      <c r="AB314" s="68" t="s">
        <v>25</v>
      </c>
      <c r="AC314" s="68" t="s">
        <v>32</v>
      </c>
      <c r="AD314" s="68" t="s">
        <v>14</v>
      </c>
      <c r="AE314" s="68" t="s">
        <v>186</v>
      </c>
      <c r="AF314" s="68" t="s">
        <v>185</v>
      </c>
      <c r="AG314">
        <f t="shared" si="93"/>
        <v>1</v>
      </c>
      <c r="AH314">
        <f t="shared" si="77"/>
        <v>0</v>
      </c>
      <c r="AI314">
        <f t="shared" si="78"/>
        <v>1</v>
      </c>
      <c r="AJ314">
        <f t="shared" si="79"/>
        <v>1</v>
      </c>
      <c r="AK314">
        <f t="shared" si="80"/>
        <v>0</v>
      </c>
      <c r="AL314">
        <f t="shared" si="81"/>
        <v>1</v>
      </c>
      <c r="AM314">
        <f t="shared" si="82"/>
        <v>0</v>
      </c>
      <c r="AN314">
        <f t="shared" si="83"/>
        <v>0</v>
      </c>
      <c r="AO314" s="69" t="str">
        <f t="shared" si="84"/>
        <v>Costa de Marfil</v>
      </c>
      <c r="AP314" s="69" t="e">
        <f t="shared" si="85"/>
        <v>#N/A</v>
      </c>
      <c r="AQ314" s="69" t="str">
        <f t="shared" si="86"/>
        <v>Bosnia</v>
      </c>
      <c r="AR314" s="69" t="str">
        <f t="shared" si="87"/>
        <v>Korea</v>
      </c>
      <c r="AS314" s="69" t="e">
        <f t="shared" si="88"/>
        <v>#N/A</v>
      </c>
      <c r="AT314" s="69" t="str">
        <f t="shared" si="89"/>
        <v>Irán</v>
      </c>
      <c r="AU314" s="69" t="e">
        <f t="shared" si="90"/>
        <v>#N/A</v>
      </c>
      <c r="AV314" s="69" t="e">
        <f t="shared" si="91"/>
        <v>#N/A</v>
      </c>
    </row>
    <row r="315" spans="24:48" x14ac:dyDescent="0.2">
      <c r="X315" s="64" t="str">
        <f t="shared" si="92"/>
        <v/>
      </c>
      <c r="Y315" s="68" t="s">
        <v>15</v>
      </c>
      <c r="Z315" s="68" t="s">
        <v>14</v>
      </c>
      <c r="AA315" s="68" t="s">
        <v>26</v>
      </c>
      <c r="AB315" s="68" t="s">
        <v>25</v>
      </c>
      <c r="AC315" s="68" t="s">
        <v>184</v>
      </c>
      <c r="AD315" s="68" t="s">
        <v>32</v>
      </c>
      <c r="AE315" s="68" t="s">
        <v>186</v>
      </c>
      <c r="AF315" s="68" t="s">
        <v>185</v>
      </c>
      <c r="AG315">
        <f t="shared" si="93"/>
        <v>1</v>
      </c>
      <c r="AH315">
        <f t="shared" si="77"/>
        <v>1</v>
      </c>
      <c r="AI315">
        <f t="shared" si="78"/>
        <v>1</v>
      </c>
      <c r="AJ315">
        <f t="shared" si="79"/>
        <v>1</v>
      </c>
      <c r="AK315">
        <f t="shared" si="80"/>
        <v>1</v>
      </c>
      <c r="AL315">
        <f t="shared" si="81"/>
        <v>0</v>
      </c>
      <c r="AM315">
        <f t="shared" si="82"/>
        <v>0</v>
      </c>
      <c r="AN315">
        <f t="shared" si="83"/>
        <v>0</v>
      </c>
      <c r="AO315" s="69" t="str">
        <f t="shared" si="84"/>
        <v>Costa de Marfil</v>
      </c>
      <c r="AP315" s="69" t="str">
        <f t="shared" si="85"/>
        <v>Irán</v>
      </c>
      <c r="AQ315" s="69" t="str">
        <f t="shared" si="86"/>
        <v>Bosnia</v>
      </c>
      <c r="AR315" s="69" t="str">
        <f t="shared" si="87"/>
        <v>Korea</v>
      </c>
      <c r="AS315" s="69" t="str">
        <f t="shared" si="88"/>
        <v>Senegal</v>
      </c>
      <c r="AT315" s="69" t="e">
        <f t="shared" si="89"/>
        <v>#N/A</v>
      </c>
      <c r="AU315" s="69" t="e">
        <f t="shared" si="90"/>
        <v>#N/A</v>
      </c>
      <c r="AV315" s="69" t="e">
        <f t="shared" si="91"/>
        <v>#N/A</v>
      </c>
    </row>
    <row r="316" spans="24:48" x14ac:dyDescent="0.2">
      <c r="X316" s="64" t="str">
        <f t="shared" si="92"/>
        <v/>
      </c>
      <c r="Y316" s="68" t="s">
        <v>15</v>
      </c>
      <c r="Z316" s="68" t="s">
        <v>13</v>
      </c>
      <c r="AA316" s="68" t="s">
        <v>26</v>
      </c>
      <c r="AB316" s="68" t="s">
        <v>25</v>
      </c>
      <c r="AC316" s="68" t="s">
        <v>32</v>
      </c>
      <c r="AD316" s="68" t="s">
        <v>14</v>
      </c>
      <c r="AE316" s="68" t="s">
        <v>186</v>
      </c>
      <c r="AF316" s="68" t="s">
        <v>184</v>
      </c>
      <c r="AG316">
        <f t="shared" si="93"/>
        <v>1</v>
      </c>
      <c r="AH316">
        <f t="shared" si="77"/>
        <v>0</v>
      </c>
      <c r="AI316">
        <f t="shared" si="78"/>
        <v>1</v>
      </c>
      <c r="AJ316">
        <f t="shared" si="79"/>
        <v>1</v>
      </c>
      <c r="AK316">
        <f t="shared" si="80"/>
        <v>0</v>
      </c>
      <c r="AL316">
        <f t="shared" si="81"/>
        <v>1</v>
      </c>
      <c r="AM316">
        <f t="shared" si="82"/>
        <v>0</v>
      </c>
      <c r="AN316">
        <f t="shared" si="83"/>
        <v>1</v>
      </c>
      <c r="AO316" s="69" t="str">
        <f t="shared" si="84"/>
        <v>Costa de Marfil</v>
      </c>
      <c r="AP316" s="69" t="e">
        <f t="shared" si="85"/>
        <v>#N/A</v>
      </c>
      <c r="AQ316" s="69" t="str">
        <f t="shared" si="86"/>
        <v>Bosnia</v>
      </c>
      <c r="AR316" s="69" t="str">
        <f t="shared" si="87"/>
        <v>Korea</v>
      </c>
      <c r="AS316" s="69" t="e">
        <f t="shared" si="88"/>
        <v>#N/A</v>
      </c>
      <c r="AT316" s="69" t="str">
        <f t="shared" si="89"/>
        <v>Irán</v>
      </c>
      <c r="AU316" s="69" t="e">
        <f t="shared" si="90"/>
        <v>#N/A</v>
      </c>
      <c r="AV316" s="69" t="str">
        <f t="shared" si="91"/>
        <v>Senegal</v>
      </c>
    </row>
    <row r="317" spans="24:48" x14ac:dyDescent="0.2">
      <c r="X317" s="64" t="str">
        <f t="shared" si="92"/>
        <v/>
      </c>
      <c r="Y317" s="68" t="s">
        <v>15</v>
      </c>
      <c r="Z317" s="68" t="s">
        <v>13</v>
      </c>
      <c r="AA317" s="68" t="s">
        <v>26</v>
      </c>
      <c r="AB317" s="68" t="s">
        <v>25</v>
      </c>
      <c r="AC317" s="68" t="s">
        <v>32</v>
      </c>
      <c r="AD317" s="68" t="s">
        <v>14</v>
      </c>
      <c r="AE317" s="68" t="s">
        <v>184</v>
      </c>
      <c r="AF317" s="68" t="s">
        <v>185</v>
      </c>
      <c r="AG317">
        <f t="shared" si="93"/>
        <v>1</v>
      </c>
      <c r="AH317">
        <f t="shared" si="77"/>
        <v>0</v>
      </c>
      <c r="AI317">
        <f t="shared" si="78"/>
        <v>1</v>
      </c>
      <c r="AJ317">
        <f t="shared" si="79"/>
        <v>1</v>
      </c>
      <c r="AK317">
        <f t="shared" si="80"/>
        <v>0</v>
      </c>
      <c r="AL317">
        <f t="shared" si="81"/>
        <v>1</v>
      </c>
      <c r="AM317">
        <f t="shared" si="82"/>
        <v>1</v>
      </c>
      <c r="AN317">
        <f t="shared" si="83"/>
        <v>0</v>
      </c>
      <c r="AO317" s="69" t="str">
        <f t="shared" si="84"/>
        <v>Costa de Marfil</v>
      </c>
      <c r="AP317" s="69" t="e">
        <f t="shared" si="85"/>
        <v>#N/A</v>
      </c>
      <c r="AQ317" s="69" t="str">
        <f t="shared" si="86"/>
        <v>Bosnia</v>
      </c>
      <c r="AR317" s="69" t="str">
        <f t="shared" si="87"/>
        <v>Korea</v>
      </c>
      <c r="AS317" s="69" t="e">
        <f t="shared" si="88"/>
        <v>#N/A</v>
      </c>
      <c r="AT317" s="69" t="str">
        <f t="shared" si="89"/>
        <v>Irán</v>
      </c>
      <c r="AU317" s="69" t="str">
        <f t="shared" si="90"/>
        <v>Senegal</v>
      </c>
      <c r="AV317" s="69" t="e">
        <f t="shared" si="91"/>
        <v>#N/A</v>
      </c>
    </row>
    <row r="318" spans="24:48" x14ac:dyDescent="0.2">
      <c r="X318" s="64" t="str">
        <f t="shared" si="92"/>
        <v/>
      </c>
      <c r="Y318" s="68" t="s">
        <v>15</v>
      </c>
      <c r="Z318" s="68" t="s">
        <v>13</v>
      </c>
      <c r="AA318" s="68" t="s">
        <v>26</v>
      </c>
      <c r="AB318" s="68" t="s">
        <v>25</v>
      </c>
      <c r="AC318" s="68" t="s">
        <v>184</v>
      </c>
      <c r="AD318" s="68" t="s">
        <v>31</v>
      </c>
      <c r="AE318" s="68" t="s">
        <v>186</v>
      </c>
      <c r="AF318" s="68" t="s">
        <v>185</v>
      </c>
      <c r="AG318">
        <f t="shared" si="93"/>
        <v>1</v>
      </c>
      <c r="AH318">
        <f t="shared" si="77"/>
        <v>0</v>
      </c>
      <c r="AI318">
        <f t="shared" si="78"/>
        <v>1</v>
      </c>
      <c r="AJ318">
        <f t="shared" si="79"/>
        <v>1</v>
      </c>
      <c r="AK318">
        <f t="shared" si="80"/>
        <v>1</v>
      </c>
      <c r="AL318">
        <f t="shared" si="81"/>
        <v>1</v>
      </c>
      <c r="AM318">
        <f t="shared" si="82"/>
        <v>0</v>
      </c>
      <c r="AN318">
        <f t="shared" si="83"/>
        <v>0</v>
      </c>
      <c r="AO318" s="69" t="str">
        <f t="shared" si="84"/>
        <v>Costa de Marfil</v>
      </c>
      <c r="AP318" s="69" t="e">
        <f t="shared" si="85"/>
        <v>#N/A</v>
      </c>
      <c r="AQ318" s="69" t="str">
        <f t="shared" si="86"/>
        <v>Bosnia</v>
      </c>
      <c r="AR318" s="69" t="str">
        <f t="shared" si="87"/>
        <v>Korea</v>
      </c>
      <c r="AS318" s="69" t="str">
        <f t="shared" si="88"/>
        <v>Senegal</v>
      </c>
      <c r="AT318" s="69" t="str">
        <f t="shared" si="89"/>
        <v>Suecia</v>
      </c>
      <c r="AU318" s="69" t="e">
        <f t="shared" si="90"/>
        <v>#N/A</v>
      </c>
      <c r="AV318" s="69" t="e">
        <f t="shared" si="91"/>
        <v>#N/A</v>
      </c>
    </row>
    <row r="319" spans="24:48" x14ac:dyDescent="0.2">
      <c r="X319" s="64" t="str">
        <f t="shared" si="92"/>
        <v/>
      </c>
      <c r="Y319" s="68" t="s">
        <v>15</v>
      </c>
      <c r="Z319" s="68" t="s">
        <v>13</v>
      </c>
      <c r="AA319" s="68" t="s">
        <v>26</v>
      </c>
      <c r="AB319" s="68" t="s">
        <v>31</v>
      </c>
      <c r="AC319" s="68" t="s">
        <v>25</v>
      </c>
      <c r="AD319" s="68" t="s">
        <v>32</v>
      </c>
      <c r="AE319" s="68" t="s">
        <v>186</v>
      </c>
      <c r="AF319" s="68" t="s">
        <v>185</v>
      </c>
      <c r="AG319">
        <f t="shared" si="93"/>
        <v>1</v>
      </c>
      <c r="AH319">
        <f t="shared" si="77"/>
        <v>0</v>
      </c>
      <c r="AI319">
        <f t="shared" si="78"/>
        <v>1</v>
      </c>
      <c r="AJ319">
        <f t="shared" si="79"/>
        <v>1</v>
      </c>
      <c r="AK319">
        <f t="shared" si="80"/>
        <v>1</v>
      </c>
      <c r="AL319">
        <f t="shared" si="81"/>
        <v>0</v>
      </c>
      <c r="AM319">
        <f t="shared" si="82"/>
        <v>0</v>
      </c>
      <c r="AN319">
        <f t="shared" si="83"/>
        <v>0</v>
      </c>
      <c r="AO319" s="69" t="str">
        <f t="shared" si="84"/>
        <v>Costa de Marfil</v>
      </c>
      <c r="AP319" s="69" t="e">
        <f t="shared" si="85"/>
        <v>#N/A</v>
      </c>
      <c r="AQ319" s="69" t="str">
        <f t="shared" si="86"/>
        <v>Bosnia</v>
      </c>
      <c r="AR319" s="69" t="str">
        <f t="shared" si="87"/>
        <v>Suecia</v>
      </c>
      <c r="AS319" s="69" t="str">
        <f t="shared" si="88"/>
        <v>Korea</v>
      </c>
      <c r="AT319" s="69" t="e">
        <f t="shared" si="89"/>
        <v>#N/A</v>
      </c>
      <c r="AU319" s="69" t="e">
        <f t="shared" si="90"/>
        <v>#N/A</v>
      </c>
      <c r="AV319" s="69" t="e">
        <f t="shared" si="91"/>
        <v>#N/A</v>
      </c>
    </row>
    <row r="320" spans="24:48" x14ac:dyDescent="0.2">
      <c r="X320" s="64" t="str">
        <f t="shared" si="92"/>
        <v/>
      </c>
      <c r="Y320" s="68" t="s">
        <v>15</v>
      </c>
      <c r="Z320" s="68" t="s">
        <v>184</v>
      </c>
      <c r="AA320" s="68" t="s">
        <v>26</v>
      </c>
      <c r="AB320" s="68" t="s">
        <v>31</v>
      </c>
      <c r="AC320" s="68" t="s">
        <v>25</v>
      </c>
      <c r="AD320" s="68" t="s">
        <v>32</v>
      </c>
      <c r="AE320" s="68" t="s">
        <v>186</v>
      </c>
      <c r="AF320" s="68" t="s">
        <v>185</v>
      </c>
      <c r="AG320">
        <f t="shared" si="93"/>
        <v>1</v>
      </c>
      <c r="AH320">
        <f t="shared" si="77"/>
        <v>1</v>
      </c>
      <c r="AI320">
        <f t="shared" si="78"/>
        <v>1</v>
      </c>
      <c r="AJ320">
        <f t="shared" si="79"/>
        <v>1</v>
      </c>
      <c r="AK320">
        <f t="shared" si="80"/>
        <v>1</v>
      </c>
      <c r="AL320">
        <f t="shared" si="81"/>
        <v>0</v>
      </c>
      <c r="AM320">
        <f t="shared" si="82"/>
        <v>0</v>
      </c>
      <c r="AN320">
        <f t="shared" si="83"/>
        <v>0</v>
      </c>
      <c r="AO320" s="69" t="str">
        <f t="shared" si="84"/>
        <v>Costa de Marfil</v>
      </c>
      <c r="AP320" s="69" t="str">
        <f t="shared" si="85"/>
        <v>Senegal</v>
      </c>
      <c r="AQ320" s="69" t="str">
        <f t="shared" si="86"/>
        <v>Bosnia</v>
      </c>
      <c r="AR320" s="69" t="str">
        <f t="shared" si="87"/>
        <v>Suecia</v>
      </c>
      <c r="AS320" s="69" t="str">
        <f t="shared" si="88"/>
        <v>Korea</v>
      </c>
      <c r="AT320" s="69" t="e">
        <f t="shared" si="89"/>
        <v>#N/A</v>
      </c>
      <c r="AU320" s="69" t="e">
        <f t="shared" si="90"/>
        <v>#N/A</v>
      </c>
      <c r="AV320" s="69" t="e">
        <f t="shared" si="91"/>
        <v>#N/A</v>
      </c>
    </row>
    <row r="321" spans="24:48" x14ac:dyDescent="0.2">
      <c r="X321" s="64" t="str">
        <f t="shared" si="92"/>
        <v/>
      </c>
      <c r="Y321" s="68" t="s">
        <v>15</v>
      </c>
      <c r="Z321" s="68" t="s">
        <v>13</v>
      </c>
      <c r="AA321" s="68" t="s">
        <v>26</v>
      </c>
      <c r="AB321" s="68" t="s">
        <v>31</v>
      </c>
      <c r="AC321" s="68" t="s">
        <v>25</v>
      </c>
      <c r="AD321" s="68" t="s">
        <v>32</v>
      </c>
      <c r="AE321" s="68" t="s">
        <v>186</v>
      </c>
      <c r="AF321" s="68" t="s">
        <v>184</v>
      </c>
      <c r="AG321">
        <f t="shared" si="93"/>
        <v>1</v>
      </c>
      <c r="AH321">
        <f t="shared" si="77"/>
        <v>0</v>
      </c>
      <c r="AI321">
        <f t="shared" si="78"/>
        <v>1</v>
      </c>
      <c r="AJ321">
        <f t="shared" si="79"/>
        <v>1</v>
      </c>
      <c r="AK321">
        <f t="shared" si="80"/>
        <v>1</v>
      </c>
      <c r="AL321">
        <f t="shared" si="81"/>
        <v>0</v>
      </c>
      <c r="AM321">
        <f t="shared" si="82"/>
        <v>0</v>
      </c>
      <c r="AN321">
        <f t="shared" si="83"/>
        <v>1</v>
      </c>
      <c r="AO321" s="69" t="str">
        <f t="shared" si="84"/>
        <v>Costa de Marfil</v>
      </c>
      <c r="AP321" s="69" t="e">
        <f t="shared" si="85"/>
        <v>#N/A</v>
      </c>
      <c r="AQ321" s="69" t="str">
        <f t="shared" si="86"/>
        <v>Bosnia</v>
      </c>
      <c r="AR321" s="69" t="str">
        <f t="shared" si="87"/>
        <v>Suecia</v>
      </c>
      <c r="AS321" s="69" t="str">
        <f t="shared" si="88"/>
        <v>Korea</v>
      </c>
      <c r="AT321" s="69" t="e">
        <f t="shared" si="89"/>
        <v>#N/A</v>
      </c>
      <c r="AU321" s="69" t="e">
        <f t="shared" si="90"/>
        <v>#N/A</v>
      </c>
      <c r="AV321" s="69" t="str">
        <f t="shared" si="91"/>
        <v>Senegal</v>
      </c>
    </row>
    <row r="322" spans="24:48" x14ac:dyDescent="0.2">
      <c r="X322" s="64" t="str">
        <f t="shared" si="92"/>
        <v/>
      </c>
      <c r="Y322" s="68" t="s">
        <v>15</v>
      </c>
      <c r="Z322" s="68" t="s">
        <v>13</v>
      </c>
      <c r="AA322" s="68" t="s">
        <v>26</v>
      </c>
      <c r="AB322" s="68" t="s">
        <v>31</v>
      </c>
      <c r="AC322" s="68" t="s">
        <v>25</v>
      </c>
      <c r="AD322" s="68" t="s">
        <v>32</v>
      </c>
      <c r="AE322" s="68" t="s">
        <v>184</v>
      </c>
      <c r="AF322" s="68" t="s">
        <v>185</v>
      </c>
      <c r="AG322">
        <f t="shared" si="93"/>
        <v>1</v>
      </c>
      <c r="AH322">
        <f t="shared" si="77"/>
        <v>0</v>
      </c>
      <c r="AI322">
        <f t="shared" si="78"/>
        <v>1</v>
      </c>
      <c r="AJ322">
        <f t="shared" si="79"/>
        <v>1</v>
      </c>
      <c r="AK322">
        <f t="shared" si="80"/>
        <v>1</v>
      </c>
      <c r="AL322">
        <f t="shared" si="81"/>
        <v>0</v>
      </c>
      <c r="AM322">
        <f t="shared" si="82"/>
        <v>1</v>
      </c>
      <c r="AN322">
        <f t="shared" si="83"/>
        <v>0</v>
      </c>
      <c r="AO322" s="69" t="str">
        <f t="shared" si="84"/>
        <v>Costa de Marfil</v>
      </c>
      <c r="AP322" s="69" t="e">
        <f t="shared" si="85"/>
        <v>#N/A</v>
      </c>
      <c r="AQ322" s="69" t="str">
        <f t="shared" si="86"/>
        <v>Bosnia</v>
      </c>
      <c r="AR322" s="69" t="str">
        <f t="shared" si="87"/>
        <v>Suecia</v>
      </c>
      <c r="AS322" s="69" t="str">
        <f t="shared" si="88"/>
        <v>Korea</v>
      </c>
      <c r="AT322" s="69" t="e">
        <f t="shared" si="89"/>
        <v>#N/A</v>
      </c>
      <c r="AU322" s="69" t="str">
        <f t="shared" si="90"/>
        <v>Senegal</v>
      </c>
      <c r="AV322" s="69" t="e">
        <f t="shared" si="91"/>
        <v>#N/A</v>
      </c>
    </row>
    <row r="323" spans="24:48" x14ac:dyDescent="0.2">
      <c r="X323" s="64" t="str">
        <f t="shared" si="92"/>
        <v/>
      </c>
      <c r="Y323" s="68" t="s">
        <v>15</v>
      </c>
      <c r="Z323" s="68" t="s">
        <v>13</v>
      </c>
      <c r="AA323" s="68" t="s">
        <v>26</v>
      </c>
      <c r="AB323" s="68" t="s">
        <v>31</v>
      </c>
      <c r="AC323" s="68" t="s">
        <v>25</v>
      </c>
      <c r="AD323" s="68" t="s">
        <v>14</v>
      </c>
      <c r="AE323" s="68" t="s">
        <v>186</v>
      </c>
      <c r="AF323" s="68" t="s">
        <v>185</v>
      </c>
      <c r="AG323">
        <f t="shared" si="93"/>
        <v>1</v>
      </c>
      <c r="AH323">
        <f t="shared" si="77"/>
        <v>0</v>
      </c>
      <c r="AI323">
        <f t="shared" si="78"/>
        <v>1</v>
      </c>
      <c r="AJ323">
        <f t="shared" si="79"/>
        <v>1</v>
      </c>
      <c r="AK323">
        <f t="shared" si="80"/>
        <v>1</v>
      </c>
      <c r="AL323">
        <f t="shared" si="81"/>
        <v>1</v>
      </c>
      <c r="AM323">
        <f t="shared" si="82"/>
        <v>0</v>
      </c>
      <c r="AN323">
        <f t="shared" si="83"/>
        <v>0</v>
      </c>
      <c r="AO323" s="69" t="str">
        <f t="shared" si="84"/>
        <v>Costa de Marfil</v>
      </c>
      <c r="AP323" s="69" t="e">
        <f t="shared" si="85"/>
        <v>#N/A</v>
      </c>
      <c r="AQ323" s="69" t="str">
        <f t="shared" si="86"/>
        <v>Bosnia</v>
      </c>
      <c r="AR323" s="69" t="str">
        <f t="shared" si="87"/>
        <v>Suecia</v>
      </c>
      <c r="AS323" s="69" t="str">
        <f t="shared" si="88"/>
        <v>Korea</v>
      </c>
      <c r="AT323" s="69" t="str">
        <f t="shared" si="89"/>
        <v>Irán</v>
      </c>
      <c r="AU323" s="69" t="e">
        <f t="shared" si="90"/>
        <v>#N/A</v>
      </c>
      <c r="AV323" s="69" t="e">
        <f t="shared" si="91"/>
        <v>#N/A</v>
      </c>
    </row>
    <row r="324" spans="24:48" x14ac:dyDescent="0.2">
      <c r="X324" s="64" t="str">
        <f t="shared" si="92"/>
        <v/>
      </c>
      <c r="Y324" s="68" t="s">
        <v>15</v>
      </c>
      <c r="Z324" s="68" t="s">
        <v>14</v>
      </c>
      <c r="AA324" s="68" t="s">
        <v>26</v>
      </c>
      <c r="AB324" s="68" t="s">
        <v>25</v>
      </c>
      <c r="AC324" s="68" t="s">
        <v>184</v>
      </c>
      <c r="AD324" s="68" t="s">
        <v>31</v>
      </c>
      <c r="AE324" s="68" t="s">
        <v>186</v>
      </c>
      <c r="AF324" s="68" t="s">
        <v>185</v>
      </c>
      <c r="AG324">
        <f t="shared" si="93"/>
        <v>1</v>
      </c>
      <c r="AH324">
        <f t="shared" si="77"/>
        <v>1</v>
      </c>
      <c r="AI324">
        <f t="shared" si="78"/>
        <v>1</v>
      </c>
      <c r="AJ324">
        <f t="shared" si="79"/>
        <v>1</v>
      </c>
      <c r="AK324">
        <f t="shared" si="80"/>
        <v>1</v>
      </c>
      <c r="AL324">
        <f t="shared" si="81"/>
        <v>1</v>
      </c>
      <c r="AM324">
        <f t="shared" si="82"/>
        <v>0</v>
      </c>
      <c r="AN324">
        <f t="shared" si="83"/>
        <v>0</v>
      </c>
      <c r="AO324" s="69" t="str">
        <f t="shared" si="84"/>
        <v>Costa de Marfil</v>
      </c>
      <c r="AP324" s="69" t="str">
        <f t="shared" si="85"/>
        <v>Irán</v>
      </c>
      <c r="AQ324" s="69" t="str">
        <f t="shared" si="86"/>
        <v>Bosnia</v>
      </c>
      <c r="AR324" s="69" t="str">
        <f t="shared" si="87"/>
        <v>Korea</v>
      </c>
      <c r="AS324" s="69" t="str">
        <f t="shared" si="88"/>
        <v>Senegal</v>
      </c>
      <c r="AT324" s="69" t="str">
        <f t="shared" si="89"/>
        <v>Suecia</v>
      </c>
      <c r="AU324" s="69" t="e">
        <f t="shared" si="90"/>
        <v>#N/A</v>
      </c>
      <c r="AV324" s="69" t="e">
        <f t="shared" si="91"/>
        <v>#N/A</v>
      </c>
    </row>
    <row r="325" spans="24:48" x14ac:dyDescent="0.2">
      <c r="X325" s="64" t="str">
        <f t="shared" si="92"/>
        <v/>
      </c>
      <c r="Y325" s="68" t="s">
        <v>15</v>
      </c>
      <c r="Z325" s="68" t="s">
        <v>13</v>
      </c>
      <c r="AA325" s="68" t="s">
        <v>26</v>
      </c>
      <c r="AB325" s="68" t="s">
        <v>31</v>
      </c>
      <c r="AC325" s="68" t="s">
        <v>25</v>
      </c>
      <c r="AD325" s="68" t="s">
        <v>14</v>
      </c>
      <c r="AE325" s="68" t="s">
        <v>186</v>
      </c>
      <c r="AF325" s="68" t="s">
        <v>184</v>
      </c>
      <c r="AG325">
        <f t="shared" si="93"/>
        <v>1</v>
      </c>
      <c r="AH325">
        <f t="shared" si="77"/>
        <v>0</v>
      </c>
      <c r="AI325">
        <f t="shared" si="78"/>
        <v>1</v>
      </c>
      <c r="AJ325">
        <f t="shared" si="79"/>
        <v>1</v>
      </c>
      <c r="AK325">
        <f t="shared" si="80"/>
        <v>1</v>
      </c>
      <c r="AL325">
        <f t="shared" si="81"/>
        <v>1</v>
      </c>
      <c r="AM325">
        <f t="shared" si="82"/>
        <v>0</v>
      </c>
      <c r="AN325">
        <f t="shared" si="83"/>
        <v>1</v>
      </c>
      <c r="AO325" s="69" t="str">
        <f t="shared" si="84"/>
        <v>Costa de Marfil</v>
      </c>
      <c r="AP325" s="69" t="e">
        <f t="shared" si="85"/>
        <v>#N/A</v>
      </c>
      <c r="AQ325" s="69" t="str">
        <f t="shared" si="86"/>
        <v>Bosnia</v>
      </c>
      <c r="AR325" s="69" t="str">
        <f t="shared" si="87"/>
        <v>Suecia</v>
      </c>
      <c r="AS325" s="69" t="str">
        <f t="shared" si="88"/>
        <v>Korea</v>
      </c>
      <c r="AT325" s="69" t="str">
        <f t="shared" si="89"/>
        <v>Irán</v>
      </c>
      <c r="AU325" s="69" t="e">
        <f t="shared" si="90"/>
        <v>#N/A</v>
      </c>
      <c r="AV325" s="69" t="str">
        <f t="shared" si="91"/>
        <v>Senegal</v>
      </c>
    </row>
    <row r="326" spans="24:48" x14ac:dyDescent="0.2">
      <c r="X326" s="64" t="str">
        <f t="shared" si="92"/>
        <v/>
      </c>
      <c r="Y326" s="68" t="s">
        <v>15</v>
      </c>
      <c r="Z326" s="68" t="s">
        <v>13</v>
      </c>
      <c r="AA326" s="68" t="s">
        <v>26</v>
      </c>
      <c r="AB326" s="68" t="s">
        <v>31</v>
      </c>
      <c r="AC326" s="68" t="s">
        <v>25</v>
      </c>
      <c r="AD326" s="68" t="s">
        <v>14</v>
      </c>
      <c r="AE326" s="68" t="s">
        <v>184</v>
      </c>
      <c r="AF326" s="68" t="s">
        <v>185</v>
      </c>
      <c r="AG326">
        <f t="shared" si="93"/>
        <v>1</v>
      </c>
      <c r="AH326">
        <f t="shared" si="77"/>
        <v>0</v>
      </c>
      <c r="AI326">
        <f t="shared" si="78"/>
        <v>1</v>
      </c>
      <c r="AJ326">
        <f t="shared" si="79"/>
        <v>1</v>
      </c>
      <c r="AK326">
        <f t="shared" si="80"/>
        <v>1</v>
      </c>
      <c r="AL326">
        <f t="shared" si="81"/>
        <v>1</v>
      </c>
      <c r="AM326">
        <f t="shared" si="82"/>
        <v>1</v>
      </c>
      <c r="AN326">
        <f t="shared" si="83"/>
        <v>0</v>
      </c>
      <c r="AO326" s="69" t="str">
        <f t="shared" si="84"/>
        <v>Costa de Marfil</v>
      </c>
      <c r="AP326" s="69" t="e">
        <f t="shared" si="85"/>
        <v>#N/A</v>
      </c>
      <c r="AQ326" s="69" t="str">
        <f t="shared" si="86"/>
        <v>Bosnia</v>
      </c>
      <c r="AR326" s="69" t="str">
        <f t="shared" si="87"/>
        <v>Suecia</v>
      </c>
      <c r="AS326" s="69" t="str">
        <f t="shared" si="88"/>
        <v>Korea</v>
      </c>
      <c r="AT326" s="69" t="str">
        <f t="shared" si="89"/>
        <v>Irán</v>
      </c>
      <c r="AU326" s="69" t="str">
        <f t="shared" si="90"/>
        <v>Senegal</v>
      </c>
      <c r="AV326" s="69" t="e">
        <f t="shared" si="91"/>
        <v>#N/A</v>
      </c>
    </row>
    <row r="327" spans="24:48" x14ac:dyDescent="0.2">
      <c r="X327" s="64" t="str">
        <f t="shared" si="92"/>
        <v/>
      </c>
      <c r="Y327" s="68" t="s">
        <v>15</v>
      </c>
      <c r="Z327" s="68" t="s">
        <v>14</v>
      </c>
      <c r="AA327" s="68" t="s">
        <v>26</v>
      </c>
      <c r="AB327" s="68" t="s">
        <v>31</v>
      </c>
      <c r="AC327" s="68" t="s">
        <v>25</v>
      </c>
      <c r="AD327" s="68" t="s">
        <v>32</v>
      </c>
      <c r="AE327" s="68" t="s">
        <v>186</v>
      </c>
      <c r="AF327" s="68" t="s">
        <v>185</v>
      </c>
      <c r="AG327">
        <f t="shared" si="93"/>
        <v>1</v>
      </c>
      <c r="AH327">
        <f t="shared" si="77"/>
        <v>1</v>
      </c>
      <c r="AI327">
        <f t="shared" si="78"/>
        <v>1</v>
      </c>
      <c r="AJ327">
        <f t="shared" si="79"/>
        <v>1</v>
      </c>
      <c r="AK327">
        <f t="shared" si="80"/>
        <v>1</v>
      </c>
      <c r="AL327">
        <f t="shared" si="81"/>
        <v>0</v>
      </c>
      <c r="AM327">
        <f t="shared" si="82"/>
        <v>0</v>
      </c>
      <c r="AN327">
        <f t="shared" si="83"/>
        <v>0</v>
      </c>
      <c r="AO327" s="69" t="str">
        <f t="shared" si="84"/>
        <v>Costa de Marfil</v>
      </c>
      <c r="AP327" s="69" t="str">
        <f t="shared" si="85"/>
        <v>Irán</v>
      </c>
      <c r="AQ327" s="69" t="str">
        <f t="shared" si="86"/>
        <v>Bosnia</v>
      </c>
      <c r="AR327" s="69" t="str">
        <f t="shared" si="87"/>
        <v>Suecia</v>
      </c>
      <c r="AS327" s="69" t="str">
        <f t="shared" si="88"/>
        <v>Korea</v>
      </c>
      <c r="AT327" s="69" t="e">
        <f t="shared" si="89"/>
        <v>#N/A</v>
      </c>
      <c r="AU327" s="69" t="e">
        <f t="shared" si="90"/>
        <v>#N/A</v>
      </c>
      <c r="AV327" s="69" t="e">
        <f t="shared" si="91"/>
        <v>#N/A</v>
      </c>
    </row>
    <row r="328" spans="24:48" x14ac:dyDescent="0.2">
      <c r="X328" s="64" t="str">
        <f t="shared" si="92"/>
        <v/>
      </c>
      <c r="Y328" s="68" t="s">
        <v>32</v>
      </c>
      <c r="Z328" s="68" t="s">
        <v>13</v>
      </c>
      <c r="AA328" s="68" t="s">
        <v>26</v>
      </c>
      <c r="AB328" s="68" t="s">
        <v>31</v>
      </c>
      <c r="AC328" s="68" t="s">
        <v>25</v>
      </c>
      <c r="AD328" s="68" t="s">
        <v>14</v>
      </c>
      <c r="AE328" s="68" t="s">
        <v>186</v>
      </c>
      <c r="AF328" s="68" t="s">
        <v>15</v>
      </c>
      <c r="AG328">
        <f t="shared" si="93"/>
        <v>0</v>
      </c>
      <c r="AH328">
        <f t="shared" si="77"/>
        <v>0</v>
      </c>
      <c r="AI328">
        <f t="shared" si="78"/>
        <v>1</v>
      </c>
      <c r="AJ328">
        <f t="shared" si="79"/>
        <v>1</v>
      </c>
      <c r="AK328">
        <f t="shared" si="80"/>
        <v>1</v>
      </c>
      <c r="AL328">
        <f t="shared" si="81"/>
        <v>1</v>
      </c>
      <c r="AM328">
        <f t="shared" si="82"/>
        <v>0</v>
      </c>
      <c r="AN328">
        <f t="shared" si="83"/>
        <v>1</v>
      </c>
      <c r="AO328" s="69" t="e">
        <f t="shared" si="84"/>
        <v>#N/A</v>
      </c>
      <c r="AP328" s="69" t="e">
        <f t="shared" si="85"/>
        <v>#N/A</v>
      </c>
      <c r="AQ328" s="69" t="str">
        <f t="shared" si="86"/>
        <v>Bosnia</v>
      </c>
      <c r="AR328" s="69" t="str">
        <f t="shared" si="87"/>
        <v>Suecia</v>
      </c>
      <c r="AS328" s="69" t="str">
        <f t="shared" si="88"/>
        <v>Korea</v>
      </c>
      <c r="AT328" s="69" t="str">
        <f t="shared" si="89"/>
        <v>Irán</v>
      </c>
      <c r="AU328" s="69" t="e">
        <f t="shared" si="90"/>
        <v>#N/A</v>
      </c>
      <c r="AV328" s="69" t="str">
        <f t="shared" si="91"/>
        <v>Costa de Marfil</v>
      </c>
    </row>
    <row r="329" spans="24:48" x14ac:dyDescent="0.2">
      <c r="X329" s="64" t="str">
        <f t="shared" si="92"/>
        <v/>
      </c>
      <c r="Y329" s="68" t="s">
        <v>32</v>
      </c>
      <c r="Z329" s="68" t="s">
        <v>13</v>
      </c>
      <c r="AA329" s="68" t="s">
        <v>26</v>
      </c>
      <c r="AB329" s="68" t="s">
        <v>31</v>
      </c>
      <c r="AC329" s="68" t="s">
        <v>25</v>
      </c>
      <c r="AD329" s="68" t="s">
        <v>14</v>
      </c>
      <c r="AE329" s="68" t="s">
        <v>15</v>
      </c>
      <c r="AF329" s="68" t="s">
        <v>185</v>
      </c>
      <c r="AG329">
        <f t="shared" si="93"/>
        <v>0</v>
      </c>
      <c r="AH329">
        <f t="shared" si="77"/>
        <v>0</v>
      </c>
      <c r="AI329">
        <f t="shared" si="78"/>
        <v>1</v>
      </c>
      <c r="AJ329">
        <f t="shared" si="79"/>
        <v>1</v>
      </c>
      <c r="AK329">
        <f t="shared" si="80"/>
        <v>1</v>
      </c>
      <c r="AL329">
        <f t="shared" si="81"/>
        <v>1</v>
      </c>
      <c r="AM329">
        <f t="shared" si="82"/>
        <v>1</v>
      </c>
      <c r="AN329">
        <f t="shared" si="83"/>
        <v>0</v>
      </c>
      <c r="AO329" s="69" t="e">
        <f t="shared" si="84"/>
        <v>#N/A</v>
      </c>
      <c r="AP329" s="69" t="e">
        <f t="shared" si="85"/>
        <v>#N/A</v>
      </c>
      <c r="AQ329" s="69" t="str">
        <f t="shared" si="86"/>
        <v>Bosnia</v>
      </c>
      <c r="AR329" s="69" t="str">
        <f t="shared" si="87"/>
        <v>Suecia</v>
      </c>
      <c r="AS329" s="69" t="str">
        <f t="shared" si="88"/>
        <v>Korea</v>
      </c>
      <c r="AT329" s="69" t="str">
        <f t="shared" si="89"/>
        <v>Irán</v>
      </c>
      <c r="AU329" s="69" t="str">
        <f t="shared" si="90"/>
        <v>Costa de Marfil</v>
      </c>
      <c r="AV329" s="69" t="e">
        <f t="shared" si="91"/>
        <v>#N/A</v>
      </c>
    </row>
    <row r="330" spans="24:48" x14ac:dyDescent="0.2">
      <c r="X330" s="64" t="str">
        <f t="shared" si="92"/>
        <v/>
      </c>
      <c r="Y330" s="68" t="s">
        <v>15</v>
      </c>
      <c r="Z330" s="68" t="s">
        <v>14</v>
      </c>
      <c r="AA330" s="68" t="s">
        <v>26</v>
      </c>
      <c r="AB330" s="68" t="s">
        <v>31</v>
      </c>
      <c r="AC330" s="68" t="s">
        <v>25</v>
      </c>
      <c r="AD330" s="68" t="s">
        <v>32</v>
      </c>
      <c r="AE330" s="68" t="s">
        <v>186</v>
      </c>
      <c r="AF330" s="68" t="s">
        <v>184</v>
      </c>
      <c r="AG330">
        <f t="shared" si="93"/>
        <v>1</v>
      </c>
      <c r="AH330">
        <f t="shared" si="77"/>
        <v>1</v>
      </c>
      <c r="AI330">
        <f t="shared" si="78"/>
        <v>1</v>
      </c>
      <c r="AJ330">
        <f t="shared" si="79"/>
        <v>1</v>
      </c>
      <c r="AK330">
        <f t="shared" si="80"/>
        <v>1</v>
      </c>
      <c r="AL330">
        <f t="shared" si="81"/>
        <v>0</v>
      </c>
      <c r="AM330">
        <f t="shared" si="82"/>
        <v>0</v>
      </c>
      <c r="AN330">
        <f t="shared" si="83"/>
        <v>1</v>
      </c>
      <c r="AO330" s="69" t="str">
        <f t="shared" si="84"/>
        <v>Costa de Marfil</v>
      </c>
      <c r="AP330" s="69" t="str">
        <f t="shared" si="85"/>
        <v>Irán</v>
      </c>
      <c r="AQ330" s="69" t="str">
        <f t="shared" si="86"/>
        <v>Bosnia</v>
      </c>
      <c r="AR330" s="69" t="str">
        <f t="shared" si="87"/>
        <v>Suecia</v>
      </c>
      <c r="AS330" s="69" t="str">
        <f t="shared" si="88"/>
        <v>Korea</v>
      </c>
      <c r="AT330" s="69" t="e">
        <f t="shared" si="89"/>
        <v>#N/A</v>
      </c>
      <c r="AU330" s="69" t="e">
        <f t="shared" si="90"/>
        <v>#N/A</v>
      </c>
      <c r="AV330" s="69" t="str">
        <f t="shared" si="91"/>
        <v>Senegal</v>
      </c>
    </row>
    <row r="331" spans="24:48" x14ac:dyDescent="0.2">
      <c r="X331" s="64" t="str">
        <f t="shared" si="92"/>
        <v/>
      </c>
      <c r="Y331" s="68" t="s">
        <v>15</v>
      </c>
      <c r="Z331" s="68" t="s">
        <v>14</v>
      </c>
      <c r="AA331" s="68" t="s">
        <v>26</v>
      </c>
      <c r="AB331" s="68" t="s">
        <v>31</v>
      </c>
      <c r="AC331" s="68" t="s">
        <v>25</v>
      </c>
      <c r="AD331" s="68" t="s">
        <v>32</v>
      </c>
      <c r="AE331" s="68" t="s">
        <v>184</v>
      </c>
      <c r="AF331" s="68" t="s">
        <v>185</v>
      </c>
      <c r="AG331">
        <f t="shared" si="93"/>
        <v>1</v>
      </c>
      <c r="AH331">
        <f t="shared" si="77"/>
        <v>1</v>
      </c>
      <c r="AI331">
        <f t="shared" si="78"/>
        <v>1</v>
      </c>
      <c r="AJ331">
        <f t="shared" si="79"/>
        <v>1</v>
      </c>
      <c r="AK331">
        <f t="shared" si="80"/>
        <v>1</v>
      </c>
      <c r="AL331">
        <f t="shared" si="81"/>
        <v>0</v>
      </c>
      <c r="AM331">
        <f t="shared" si="82"/>
        <v>1</v>
      </c>
      <c r="AN331">
        <f t="shared" si="83"/>
        <v>0</v>
      </c>
      <c r="AO331" s="69" t="str">
        <f t="shared" si="84"/>
        <v>Costa de Marfil</v>
      </c>
      <c r="AP331" s="69" t="str">
        <f t="shared" si="85"/>
        <v>Irán</v>
      </c>
      <c r="AQ331" s="69" t="str">
        <f t="shared" si="86"/>
        <v>Bosnia</v>
      </c>
      <c r="AR331" s="69" t="str">
        <f t="shared" si="87"/>
        <v>Suecia</v>
      </c>
      <c r="AS331" s="69" t="str">
        <f t="shared" si="88"/>
        <v>Korea</v>
      </c>
      <c r="AT331" s="69" t="e">
        <f t="shared" si="89"/>
        <v>#N/A</v>
      </c>
      <c r="AU331" s="69" t="str">
        <f t="shared" si="90"/>
        <v>Senegal</v>
      </c>
      <c r="AV331" s="69" t="e">
        <f t="shared" si="91"/>
        <v>#N/A</v>
      </c>
    </row>
    <row r="332" spans="24:48" x14ac:dyDescent="0.2">
      <c r="X332" s="64" t="str">
        <f t="shared" si="92"/>
        <v/>
      </c>
      <c r="Y332" s="68" t="s">
        <v>32</v>
      </c>
      <c r="Z332" s="68" t="s">
        <v>13</v>
      </c>
      <c r="AA332" s="68" t="s">
        <v>26</v>
      </c>
      <c r="AB332" s="68" t="s">
        <v>31</v>
      </c>
      <c r="AC332" s="68" t="s">
        <v>25</v>
      </c>
      <c r="AD332" s="68" t="s">
        <v>14</v>
      </c>
      <c r="AE332" s="68" t="s">
        <v>15</v>
      </c>
      <c r="AF332" s="68" t="s">
        <v>184</v>
      </c>
      <c r="AG332">
        <f t="shared" si="93"/>
        <v>0</v>
      </c>
      <c r="AH332">
        <f t="shared" si="77"/>
        <v>0</v>
      </c>
      <c r="AI332">
        <f t="shared" si="78"/>
        <v>1</v>
      </c>
      <c r="AJ332">
        <f t="shared" si="79"/>
        <v>1</v>
      </c>
      <c r="AK332">
        <f t="shared" si="80"/>
        <v>1</v>
      </c>
      <c r="AL332">
        <f t="shared" si="81"/>
        <v>1</v>
      </c>
      <c r="AM332">
        <f t="shared" si="82"/>
        <v>1</v>
      </c>
      <c r="AN332">
        <f t="shared" si="83"/>
        <v>1</v>
      </c>
      <c r="AO332" s="69" t="e">
        <f t="shared" si="84"/>
        <v>#N/A</v>
      </c>
      <c r="AP332" s="69" t="e">
        <f t="shared" si="85"/>
        <v>#N/A</v>
      </c>
      <c r="AQ332" s="69" t="str">
        <f t="shared" si="86"/>
        <v>Bosnia</v>
      </c>
      <c r="AR332" s="69" t="str">
        <f t="shared" si="87"/>
        <v>Suecia</v>
      </c>
      <c r="AS332" s="69" t="str">
        <f t="shared" si="88"/>
        <v>Korea</v>
      </c>
      <c r="AT332" s="69" t="str">
        <f t="shared" si="89"/>
        <v>Irán</v>
      </c>
      <c r="AU332" s="69" t="str">
        <f t="shared" si="90"/>
        <v>Costa de Marfil</v>
      </c>
      <c r="AV332" s="69" t="str">
        <f t="shared" si="91"/>
        <v>Senegal</v>
      </c>
    </row>
    <row r="333" spans="24:48" x14ac:dyDescent="0.2">
      <c r="X333" s="64" t="str">
        <f t="shared" si="92"/>
        <v/>
      </c>
      <c r="Y333" s="68" t="s">
        <v>184</v>
      </c>
      <c r="Z333" s="68" t="s">
        <v>13</v>
      </c>
      <c r="AA333" s="68" t="s">
        <v>26</v>
      </c>
      <c r="AB333" s="68" t="s">
        <v>28</v>
      </c>
      <c r="AC333" s="68" t="s">
        <v>25</v>
      </c>
      <c r="AD333" s="68" t="s">
        <v>32</v>
      </c>
      <c r="AE333" s="68" t="s">
        <v>186</v>
      </c>
      <c r="AF333" s="68" t="s">
        <v>185</v>
      </c>
      <c r="AG333">
        <f t="shared" si="93"/>
        <v>1</v>
      </c>
      <c r="AH333">
        <f t="shared" si="77"/>
        <v>0</v>
      </c>
      <c r="AI333">
        <f t="shared" si="78"/>
        <v>1</v>
      </c>
      <c r="AJ333">
        <f t="shared" si="79"/>
        <v>1</v>
      </c>
      <c r="AK333">
        <f t="shared" si="80"/>
        <v>1</v>
      </c>
      <c r="AL333">
        <f t="shared" si="81"/>
        <v>0</v>
      </c>
      <c r="AM333">
        <f t="shared" si="82"/>
        <v>0</v>
      </c>
      <c r="AN333">
        <f t="shared" si="83"/>
        <v>0</v>
      </c>
      <c r="AO333" s="69" t="str">
        <f t="shared" si="84"/>
        <v>Senegal</v>
      </c>
      <c r="AP333" s="69" t="e">
        <f t="shared" si="85"/>
        <v>#N/A</v>
      </c>
      <c r="AQ333" s="69" t="str">
        <f t="shared" si="86"/>
        <v>Bosnia</v>
      </c>
      <c r="AR333" s="69" t="str">
        <f t="shared" si="87"/>
        <v>Paraguay</v>
      </c>
      <c r="AS333" s="69" t="str">
        <f t="shared" si="88"/>
        <v>Korea</v>
      </c>
      <c r="AT333" s="69" t="e">
        <f t="shared" si="89"/>
        <v>#N/A</v>
      </c>
      <c r="AU333" s="69" t="e">
        <f t="shared" si="90"/>
        <v>#N/A</v>
      </c>
      <c r="AV333" s="69" t="e">
        <f t="shared" si="91"/>
        <v>#N/A</v>
      </c>
    </row>
    <row r="334" spans="24:48" x14ac:dyDescent="0.2">
      <c r="X334" s="64" t="str">
        <f t="shared" si="92"/>
        <v/>
      </c>
      <c r="Y334" s="68" t="s">
        <v>184</v>
      </c>
      <c r="Z334" s="68" t="s">
        <v>13</v>
      </c>
      <c r="AA334" s="68" t="s">
        <v>26</v>
      </c>
      <c r="AB334" s="68" t="s">
        <v>28</v>
      </c>
      <c r="AC334" s="68" t="s">
        <v>25</v>
      </c>
      <c r="AD334" s="68" t="s">
        <v>14</v>
      </c>
      <c r="AE334" s="68" t="s">
        <v>186</v>
      </c>
      <c r="AF334" s="68" t="s">
        <v>185</v>
      </c>
      <c r="AG334">
        <f t="shared" si="93"/>
        <v>1</v>
      </c>
      <c r="AH334">
        <f t="shared" si="77"/>
        <v>0</v>
      </c>
      <c r="AI334">
        <f t="shared" si="78"/>
        <v>1</v>
      </c>
      <c r="AJ334">
        <f t="shared" si="79"/>
        <v>1</v>
      </c>
      <c r="AK334">
        <f t="shared" si="80"/>
        <v>1</v>
      </c>
      <c r="AL334">
        <f t="shared" si="81"/>
        <v>1</v>
      </c>
      <c r="AM334">
        <f t="shared" si="82"/>
        <v>0</v>
      </c>
      <c r="AN334">
        <f t="shared" si="83"/>
        <v>0</v>
      </c>
      <c r="AO334" s="69" t="str">
        <f t="shared" si="84"/>
        <v>Senegal</v>
      </c>
      <c r="AP334" s="69" t="e">
        <f t="shared" si="85"/>
        <v>#N/A</v>
      </c>
      <c r="AQ334" s="69" t="str">
        <f t="shared" si="86"/>
        <v>Bosnia</v>
      </c>
      <c r="AR334" s="69" t="str">
        <f t="shared" si="87"/>
        <v>Paraguay</v>
      </c>
      <c r="AS334" s="69" t="str">
        <f t="shared" si="88"/>
        <v>Korea</v>
      </c>
      <c r="AT334" s="69" t="str">
        <f t="shared" si="89"/>
        <v>Irán</v>
      </c>
      <c r="AU334" s="69" t="e">
        <f t="shared" si="90"/>
        <v>#N/A</v>
      </c>
      <c r="AV334" s="69" t="e">
        <f t="shared" si="91"/>
        <v>#N/A</v>
      </c>
    </row>
    <row r="335" spans="24:48" x14ac:dyDescent="0.2">
      <c r="X335" s="64" t="str">
        <f t="shared" si="92"/>
        <v/>
      </c>
      <c r="Y335" s="68" t="s">
        <v>32</v>
      </c>
      <c r="Z335" s="68" t="s">
        <v>13</v>
      </c>
      <c r="AA335" s="68" t="s">
        <v>26</v>
      </c>
      <c r="AB335" s="68" t="s">
        <v>28</v>
      </c>
      <c r="AC335" s="68" t="s">
        <v>25</v>
      </c>
      <c r="AD335" s="68" t="s">
        <v>14</v>
      </c>
      <c r="AE335" s="68" t="s">
        <v>186</v>
      </c>
      <c r="AF335" s="68" t="s">
        <v>185</v>
      </c>
      <c r="AG335">
        <f t="shared" si="93"/>
        <v>0</v>
      </c>
      <c r="AH335">
        <f t="shared" si="77"/>
        <v>0</v>
      </c>
      <c r="AI335">
        <f t="shared" si="78"/>
        <v>1</v>
      </c>
      <c r="AJ335">
        <f t="shared" si="79"/>
        <v>1</v>
      </c>
      <c r="AK335">
        <f t="shared" si="80"/>
        <v>1</v>
      </c>
      <c r="AL335">
        <f t="shared" si="81"/>
        <v>1</v>
      </c>
      <c r="AM335">
        <f t="shared" si="82"/>
        <v>0</v>
      </c>
      <c r="AN335">
        <f t="shared" si="83"/>
        <v>0</v>
      </c>
      <c r="AO335" s="69" t="e">
        <f t="shared" si="84"/>
        <v>#N/A</v>
      </c>
      <c r="AP335" s="69" t="e">
        <f t="shared" si="85"/>
        <v>#N/A</v>
      </c>
      <c r="AQ335" s="69" t="str">
        <f t="shared" si="86"/>
        <v>Bosnia</v>
      </c>
      <c r="AR335" s="69" t="str">
        <f t="shared" si="87"/>
        <v>Paraguay</v>
      </c>
      <c r="AS335" s="69" t="str">
        <f t="shared" si="88"/>
        <v>Korea</v>
      </c>
      <c r="AT335" s="69" t="str">
        <f t="shared" si="89"/>
        <v>Irán</v>
      </c>
      <c r="AU335" s="69" t="e">
        <f t="shared" si="90"/>
        <v>#N/A</v>
      </c>
      <c r="AV335" s="69" t="e">
        <f t="shared" si="91"/>
        <v>#N/A</v>
      </c>
    </row>
    <row r="336" spans="24:48" x14ac:dyDescent="0.2">
      <c r="X336" s="64" t="str">
        <f t="shared" si="92"/>
        <v/>
      </c>
      <c r="Y336" s="68" t="s">
        <v>184</v>
      </c>
      <c r="Z336" s="68" t="s">
        <v>14</v>
      </c>
      <c r="AA336" s="68" t="s">
        <v>26</v>
      </c>
      <c r="AB336" s="68" t="s">
        <v>28</v>
      </c>
      <c r="AC336" s="68" t="s">
        <v>25</v>
      </c>
      <c r="AD336" s="68" t="s">
        <v>32</v>
      </c>
      <c r="AE336" s="68" t="s">
        <v>186</v>
      </c>
      <c r="AF336" s="68" t="s">
        <v>185</v>
      </c>
      <c r="AG336">
        <f t="shared" si="93"/>
        <v>1</v>
      </c>
      <c r="AH336">
        <f t="shared" si="77"/>
        <v>1</v>
      </c>
      <c r="AI336">
        <f t="shared" si="78"/>
        <v>1</v>
      </c>
      <c r="AJ336">
        <f t="shared" si="79"/>
        <v>1</v>
      </c>
      <c r="AK336">
        <f t="shared" si="80"/>
        <v>1</v>
      </c>
      <c r="AL336">
        <f t="shared" si="81"/>
        <v>0</v>
      </c>
      <c r="AM336">
        <f t="shared" si="82"/>
        <v>0</v>
      </c>
      <c r="AN336">
        <f t="shared" si="83"/>
        <v>0</v>
      </c>
      <c r="AO336" s="69" t="str">
        <f t="shared" si="84"/>
        <v>Senegal</v>
      </c>
      <c r="AP336" s="69" t="str">
        <f t="shared" si="85"/>
        <v>Irán</v>
      </c>
      <c r="AQ336" s="69" t="str">
        <f t="shared" si="86"/>
        <v>Bosnia</v>
      </c>
      <c r="AR336" s="69" t="str">
        <f t="shared" si="87"/>
        <v>Paraguay</v>
      </c>
      <c r="AS336" s="69" t="str">
        <f t="shared" si="88"/>
        <v>Korea</v>
      </c>
      <c r="AT336" s="69" t="e">
        <f t="shared" si="89"/>
        <v>#N/A</v>
      </c>
      <c r="AU336" s="69" t="e">
        <f t="shared" si="90"/>
        <v>#N/A</v>
      </c>
      <c r="AV336" s="69" t="e">
        <f t="shared" si="91"/>
        <v>#N/A</v>
      </c>
    </row>
    <row r="337" spans="24:48" x14ac:dyDescent="0.2">
      <c r="X337" s="64" t="str">
        <f t="shared" si="92"/>
        <v/>
      </c>
      <c r="Y337" s="68" t="s">
        <v>32</v>
      </c>
      <c r="Z337" s="68" t="s">
        <v>13</v>
      </c>
      <c r="AA337" s="68" t="s">
        <v>26</v>
      </c>
      <c r="AB337" s="68" t="s">
        <v>28</v>
      </c>
      <c r="AC337" s="68" t="s">
        <v>25</v>
      </c>
      <c r="AD337" s="68" t="s">
        <v>14</v>
      </c>
      <c r="AE337" s="68" t="s">
        <v>186</v>
      </c>
      <c r="AF337" s="68" t="s">
        <v>184</v>
      </c>
      <c r="AG337">
        <f t="shared" si="93"/>
        <v>0</v>
      </c>
      <c r="AH337">
        <f t="shared" si="77"/>
        <v>0</v>
      </c>
      <c r="AI337">
        <f t="shared" si="78"/>
        <v>1</v>
      </c>
      <c r="AJ337">
        <f t="shared" si="79"/>
        <v>1</v>
      </c>
      <c r="AK337">
        <f t="shared" si="80"/>
        <v>1</v>
      </c>
      <c r="AL337">
        <f t="shared" si="81"/>
        <v>1</v>
      </c>
      <c r="AM337">
        <f t="shared" si="82"/>
        <v>0</v>
      </c>
      <c r="AN337">
        <f t="shared" si="83"/>
        <v>1</v>
      </c>
      <c r="AO337" s="69" t="e">
        <f t="shared" si="84"/>
        <v>#N/A</v>
      </c>
      <c r="AP337" s="69" t="e">
        <f t="shared" si="85"/>
        <v>#N/A</v>
      </c>
      <c r="AQ337" s="69" t="str">
        <f t="shared" si="86"/>
        <v>Bosnia</v>
      </c>
      <c r="AR337" s="69" t="str">
        <f t="shared" si="87"/>
        <v>Paraguay</v>
      </c>
      <c r="AS337" s="69" t="str">
        <f t="shared" si="88"/>
        <v>Korea</v>
      </c>
      <c r="AT337" s="69" t="str">
        <f t="shared" si="89"/>
        <v>Irán</v>
      </c>
      <c r="AU337" s="69" t="e">
        <f t="shared" si="90"/>
        <v>#N/A</v>
      </c>
      <c r="AV337" s="69" t="str">
        <f t="shared" si="91"/>
        <v>Senegal</v>
      </c>
    </row>
    <row r="338" spans="24:48" x14ac:dyDescent="0.2">
      <c r="X338" s="64" t="str">
        <f t="shared" si="92"/>
        <v/>
      </c>
      <c r="Y338" s="68" t="s">
        <v>32</v>
      </c>
      <c r="Z338" s="68" t="s">
        <v>13</v>
      </c>
      <c r="AA338" s="68" t="s">
        <v>26</v>
      </c>
      <c r="AB338" s="68" t="s">
        <v>28</v>
      </c>
      <c r="AC338" s="68" t="s">
        <v>25</v>
      </c>
      <c r="AD338" s="68" t="s">
        <v>14</v>
      </c>
      <c r="AE338" s="68" t="s">
        <v>184</v>
      </c>
      <c r="AF338" s="68" t="s">
        <v>185</v>
      </c>
      <c r="AG338">
        <f t="shared" si="93"/>
        <v>0</v>
      </c>
      <c r="AH338">
        <f t="shared" si="77"/>
        <v>0</v>
      </c>
      <c r="AI338">
        <f t="shared" si="78"/>
        <v>1</v>
      </c>
      <c r="AJ338">
        <f t="shared" si="79"/>
        <v>1</v>
      </c>
      <c r="AK338">
        <f t="shared" si="80"/>
        <v>1</v>
      </c>
      <c r="AL338">
        <f t="shared" si="81"/>
        <v>1</v>
      </c>
      <c r="AM338">
        <f t="shared" si="82"/>
        <v>1</v>
      </c>
      <c r="AN338">
        <f t="shared" si="83"/>
        <v>0</v>
      </c>
      <c r="AO338" s="69" t="e">
        <f t="shared" si="84"/>
        <v>#N/A</v>
      </c>
      <c r="AP338" s="69" t="e">
        <f t="shared" si="85"/>
        <v>#N/A</v>
      </c>
      <c r="AQ338" s="69" t="str">
        <f t="shared" si="86"/>
        <v>Bosnia</v>
      </c>
      <c r="AR338" s="69" t="str">
        <f t="shared" si="87"/>
        <v>Paraguay</v>
      </c>
      <c r="AS338" s="69" t="str">
        <f t="shared" si="88"/>
        <v>Korea</v>
      </c>
      <c r="AT338" s="69" t="str">
        <f t="shared" si="89"/>
        <v>Irán</v>
      </c>
      <c r="AU338" s="69" t="str">
        <f t="shared" si="90"/>
        <v>Senegal</v>
      </c>
      <c r="AV338" s="69" t="e">
        <f t="shared" si="91"/>
        <v>#N/A</v>
      </c>
    </row>
    <row r="339" spans="24:48" x14ac:dyDescent="0.2">
      <c r="X339" s="64" t="str">
        <f t="shared" si="92"/>
        <v/>
      </c>
      <c r="Y339" s="68" t="s">
        <v>184</v>
      </c>
      <c r="Z339" s="68" t="s">
        <v>13</v>
      </c>
      <c r="AA339" s="68" t="s">
        <v>26</v>
      </c>
      <c r="AB339" s="68" t="s">
        <v>28</v>
      </c>
      <c r="AC339" s="68" t="s">
        <v>25</v>
      </c>
      <c r="AD339" s="68" t="s">
        <v>31</v>
      </c>
      <c r="AE339" s="68" t="s">
        <v>186</v>
      </c>
      <c r="AF339" s="68" t="s">
        <v>185</v>
      </c>
      <c r="AG339">
        <f t="shared" si="93"/>
        <v>1</v>
      </c>
      <c r="AH339">
        <f t="shared" si="77"/>
        <v>0</v>
      </c>
      <c r="AI339">
        <f t="shared" si="78"/>
        <v>1</v>
      </c>
      <c r="AJ339">
        <f t="shared" si="79"/>
        <v>1</v>
      </c>
      <c r="AK339">
        <f t="shared" si="80"/>
        <v>1</v>
      </c>
      <c r="AL339">
        <f t="shared" si="81"/>
        <v>1</v>
      </c>
      <c r="AM339">
        <f t="shared" si="82"/>
        <v>0</v>
      </c>
      <c r="AN339">
        <f t="shared" si="83"/>
        <v>0</v>
      </c>
      <c r="AO339" s="69" t="str">
        <f t="shared" si="84"/>
        <v>Senegal</v>
      </c>
      <c r="AP339" s="69" t="e">
        <f t="shared" si="85"/>
        <v>#N/A</v>
      </c>
      <c r="AQ339" s="69" t="str">
        <f t="shared" si="86"/>
        <v>Bosnia</v>
      </c>
      <c r="AR339" s="69" t="str">
        <f t="shared" si="87"/>
        <v>Paraguay</v>
      </c>
      <c r="AS339" s="69" t="str">
        <f t="shared" si="88"/>
        <v>Korea</v>
      </c>
      <c r="AT339" s="69" t="str">
        <f t="shared" si="89"/>
        <v>Suecia</v>
      </c>
      <c r="AU339" s="69" t="e">
        <f t="shared" si="90"/>
        <v>#N/A</v>
      </c>
      <c r="AV339" s="69" t="e">
        <f t="shared" si="91"/>
        <v>#N/A</v>
      </c>
    </row>
    <row r="340" spans="24:48" x14ac:dyDescent="0.2">
      <c r="X340" s="64" t="str">
        <f t="shared" si="92"/>
        <v/>
      </c>
      <c r="Y340" s="68" t="s">
        <v>32</v>
      </c>
      <c r="Z340" s="68" t="s">
        <v>13</v>
      </c>
      <c r="AA340" s="68" t="s">
        <v>26</v>
      </c>
      <c r="AB340" s="68" t="s">
        <v>28</v>
      </c>
      <c r="AC340" s="68" t="s">
        <v>25</v>
      </c>
      <c r="AD340" s="68" t="s">
        <v>31</v>
      </c>
      <c r="AE340" s="68" t="s">
        <v>186</v>
      </c>
      <c r="AF340" s="68" t="s">
        <v>185</v>
      </c>
      <c r="AG340">
        <f t="shared" si="93"/>
        <v>0</v>
      </c>
      <c r="AH340">
        <f t="shared" ref="AH340:AH403" si="94">IFERROR(VLOOKUP(Z340,$B$21:$T$28,19,0),0)</f>
        <v>0</v>
      </c>
      <c r="AI340">
        <f t="shared" ref="AI340:AI403" si="95">IFERROR(VLOOKUP(AA340,$B$21:$T$28,19,0),0)</f>
        <v>1</v>
      </c>
      <c r="AJ340">
        <f t="shared" ref="AJ340:AJ403" si="96">IFERROR(VLOOKUP(AB340,$B$21:$T$28,19,0),0)</f>
        <v>1</v>
      </c>
      <c r="AK340">
        <f t="shared" ref="AK340:AK403" si="97">IFERROR(VLOOKUP(AC340,$B$21:$T$28,19,0),0)</f>
        <v>1</v>
      </c>
      <c r="AL340">
        <f t="shared" ref="AL340:AL403" si="98">IFERROR(VLOOKUP(AD340,$B$21:$T$28,19,0),0)</f>
        <v>1</v>
      </c>
      <c r="AM340">
        <f t="shared" ref="AM340:AM403" si="99">IFERROR(VLOOKUP(AE340,$B$21:$T$28,19,0),0)</f>
        <v>0</v>
      </c>
      <c r="AN340">
        <f t="shared" ref="AN340:AN403" si="100">IFERROR(VLOOKUP(AF340,$B$21:$T$28,19,0),0)</f>
        <v>0</v>
      </c>
      <c r="AO340" s="69" t="e">
        <f t="shared" ref="AO340:AO403" si="101">VLOOKUP(Y340,$B$21:$C$28,2,0)</f>
        <v>#N/A</v>
      </c>
      <c r="AP340" s="69" t="e">
        <f t="shared" ref="AP340:AP403" si="102">VLOOKUP(Z340,$B$21:$C$28,2,0)</f>
        <v>#N/A</v>
      </c>
      <c r="AQ340" s="69" t="str">
        <f t="shared" ref="AQ340:AQ403" si="103">VLOOKUP(AA340,$B$21:$C$28,2,0)</f>
        <v>Bosnia</v>
      </c>
      <c r="AR340" s="69" t="str">
        <f t="shared" ref="AR340:AR403" si="104">VLOOKUP(AB340,$B$21:$C$28,2,0)</f>
        <v>Paraguay</v>
      </c>
      <c r="AS340" s="69" t="str">
        <f t="shared" ref="AS340:AS403" si="105">VLOOKUP(AC340,$B$21:$C$28,2,0)</f>
        <v>Korea</v>
      </c>
      <c r="AT340" s="69" t="str">
        <f t="shared" ref="AT340:AT403" si="106">VLOOKUP(AD340,$B$21:$C$28,2,0)</f>
        <v>Suecia</v>
      </c>
      <c r="AU340" s="69" t="e">
        <f t="shared" ref="AU340:AU403" si="107">VLOOKUP(AE340,$B$21:$C$28,2,0)</f>
        <v>#N/A</v>
      </c>
      <c r="AV340" s="69" t="e">
        <f t="shared" ref="AV340:AV403" si="108">VLOOKUP(AF340,$B$21:$C$28,2,0)</f>
        <v>#N/A</v>
      </c>
    </row>
    <row r="341" spans="24:48" x14ac:dyDescent="0.2">
      <c r="X341" s="64" t="str">
        <f t="shared" ref="X341:X404" si="109">IF(SUM(AG341:AN341)=8,"X","")</f>
        <v/>
      </c>
      <c r="Y341" s="68" t="s">
        <v>32</v>
      </c>
      <c r="Z341" s="68" t="s">
        <v>184</v>
      </c>
      <c r="AA341" s="68" t="s">
        <v>26</v>
      </c>
      <c r="AB341" s="68" t="s">
        <v>28</v>
      </c>
      <c r="AC341" s="68" t="s">
        <v>25</v>
      </c>
      <c r="AD341" s="68" t="s">
        <v>31</v>
      </c>
      <c r="AE341" s="68" t="s">
        <v>186</v>
      </c>
      <c r="AF341" s="68" t="s">
        <v>185</v>
      </c>
      <c r="AG341">
        <f t="shared" ref="AG341:AG404" si="110">IFERROR(VLOOKUP(Y341,$B$21:$T$28,19,0),0)</f>
        <v>0</v>
      </c>
      <c r="AH341">
        <f t="shared" si="94"/>
        <v>1</v>
      </c>
      <c r="AI341">
        <f t="shared" si="95"/>
        <v>1</v>
      </c>
      <c r="AJ341">
        <f t="shared" si="96"/>
        <v>1</v>
      </c>
      <c r="AK341">
        <f t="shared" si="97"/>
        <v>1</v>
      </c>
      <c r="AL341">
        <f t="shared" si="98"/>
        <v>1</v>
      </c>
      <c r="AM341">
        <f t="shared" si="99"/>
        <v>0</v>
      </c>
      <c r="AN341">
        <f t="shared" si="100"/>
        <v>0</v>
      </c>
      <c r="AO341" s="69" t="e">
        <f t="shared" si="101"/>
        <v>#N/A</v>
      </c>
      <c r="AP341" s="69" t="str">
        <f t="shared" si="102"/>
        <v>Senegal</v>
      </c>
      <c r="AQ341" s="69" t="str">
        <f t="shared" si="103"/>
        <v>Bosnia</v>
      </c>
      <c r="AR341" s="69" t="str">
        <f t="shared" si="104"/>
        <v>Paraguay</v>
      </c>
      <c r="AS341" s="69" t="str">
        <f t="shared" si="105"/>
        <v>Korea</v>
      </c>
      <c r="AT341" s="69" t="str">
        <f t="shared" si="106"/>
        <v>Suecia</v>
      </c>
      <c r="AU341" s="69" t="e">
        <f t="shared" si="107"/>
        <v>#N/A</v>
      </c>
      <c r="AV341" s="69" t="e">
        <f t="shared" si="108"/>
        <v>#N/A</v>
      </c>
    </row>
    <row r="342" spans="24:48" x14ac:dyDescent="0.2">
      <c r="X342" s="64" t="str">
        <f t="shared" si="109"/>
        <v/>
      </c>
      <c r="Y342" s="68" t="s">
        <v>32</v>
      </c>
      <c r="Z342" s="68" t="s">
        <v>13</v>
      </c>
      <c r="AA342" s="68" t="s">
        <v>26</v>
      </c>
      <c r="AB342" s="68" t="s">
        <v>28</v>
      </c>
      <c r="AC342" s="68" t="s">
        <v>25</v>
      </c>
      <c r="AD342" s="68" t="s">
        <v>31</v>
      </c>
      <c r="AE342" s="68" t="s">
        <v>186</v>
      </c>
      <c r="AF342" s="68" t="s">
        <v>184</v>
      </c>
      <c r="AG342">
        <f t="shared" si="110"/>
        <v>0</v>
      </c>
      <c r="AH342">
        <f t="shared" si="94"/>
        <v>0</v>
      </c>
      <c r="AI342">
        <f t="shared" si="95"/>
        <v>1</v>
      </c>
      <c r="AJ342">
        <f t="shared" si="96"/>
        <v>1</v>
      </c>
      <c r="AK342">
        <f t="shared" si="97"/>
        <v>1</v>
      </c>
      <c r="AL342">
        <f t="shared" si="98"/>
        <v>1</v>
      </c>
      <c r="AM342">
        <f t="shared" si="99"/>
        <v>0</v>
      </c>
      <c r="AN342">
        <f t="shared" si="100"/>
        <v>1</v>
      </c>
      <c r="AO342" s="69" t="e">
        <f t="shared" si="101"/>
        <v>#N/A</v>
      </c>
      <c r="AP342" s="69" t="e">
        <f t="shared" si="102"/>
        <v>#N/A</v>
      </c>
      <c r="AQ342" s="69" t="str">
        <f t="shared" si="103"/>
        <v>Bosnia</v>
      </c>
      <c r="AR342" s="69" t="str">
        <f t="shared" si="104"/>
        <v>Paraguay</v>
      </c>
      <c r="AS342" s="69" t="str">
        <f t="shared" si="105"/>
        <v>Korea</v>
      </c>
      <c r="AT342" s="69" t="str">
        <f t="shared" si="106"/>
        <v>Suecia</v>
      </c>
      <c r="AU342" s="69" t="e">
        <f t="shared" si="107"/>
        <v>#N/A</v>
      </c>
      <c r="AV342" s="69" t="str">
        <f t="shared" si="108"/>
        <v>Senegal</v>
      </c>
    </row>
    <row r="343" spans="24:48" x14ac:dyDescent="0.2">
      <c r="X343" s="64" t="str">
        <f t="shared" si="109"/>
        <v/>
      </c>
      <c r="Y343" s="68" t="s">
        <v>32</v>
      </c>
      <c r="Z343" s="68" t="s">
        <v>13</v>
      </c>
      <c r="AA343" s="68" t="s">
        <v>26</v>
      </c>
      <c r="AB343" s="68" t="s">
        <v>28</v>
      </c>
      <c r="AC343" s="68" t="s">
        <v>25</v>
      </c>
      <c r="AD343" s="68" t="s">
        <v>31</v>
      </c>
      <c r="AE343" s="68" t="s">
        <v>184</v>
      </c>
      <c r="AF343" s="68" t="s">
        <v>185</v>
      </c>
      <c r="AG343">
        <f t="shared" si="110"/>
        <v>0</v>
      </c>
      <c r="AH343">
        <f t="shared" si="94"/>
        <v>0</v>
      </c>
      <c r="AI343">
        <f t="shared" si="95"/>
        <v>1</v>
      </c>
      <c r="AJ343">
        <f t="shared" si="96"/>
        <v>1</v>
      </c>
      <c r="AK343">
        <f t="shared" si="97"/>
        <v>1</v>
      </c>
      <c r="AL343">
        <f t="shared" si="98"/>
        <v>1</v>
      </c>
      <c r="AM343">
        <f t="shared" si="99"/>
        <v>1</v>
      </c>
      <c r="AN343">
        <f t="shared" si="100"/>
        <v>0</v>
      </c>
      <c r="AO343" s="69" t="e">
        <f t="shared" si="101"/>
        <v>#N/A</v>
      </c>
      <c r="AP343" s="69" t="e">
        <f t="shared" si="102"/>
        <v>#N/A</v>
      </c>
      <c r="AQ343" s="69" t="str">
        <f t="shared" si="103"/>
        <v>Bosnia</v>
      </c>
      <c r="AR343" s="69" t="str">
        <f t="shared" si="104"/>
        <v>Paraguay</v>
      </c>
      <c r="AS343" s="69" t="str">
        <f t="shared" si="105"/>
        <v>Korea</v>
      </c>
      <c r="AT343" s="69" t="str">
        <f t="shared" si="106"/>
        <v>Suecia</v>
      </c>
      <c r="AU343" s="69" t="str">
        <f t="shared" si="107"/>
        <v>Senegal</v>
      </c>
      <c r="AV343" s="69" t="e">
        <f t="shared" si="108"/>
        <v>#N/A</v>
      </c>
    </row>
    <row r="344" spans="24:48" x14ac:dyDescent="0.2">
      <c r="X344" s="64" t="str">
        <f t="shared" si="109"/>
        <v/>
      </c>
      <c r="Y344" s="68" t="s">
        <v>31</v>
      </c>
      <c r="Z344" s="68" t="s">
        <v>13</v>
      </c>
      <c r="AA344" s="68" t="s">
        <v>26</v>
      </c>
      <c r="AB344" s="68" t="s">
        <v>28</v>
      </c>
      <c r="AC344" s="68" t="s">
        <v>25</v>
      </c>
      <c r="AD344" s="68" t="s">
        <v>14</v>
      </c>
      <c r="AE344" s="68" t="s">
        <v>186</v>
      </c>
      <c r="AF344" s="68" t="s">
        <v>185</v>
      </c>
      <c r="AG344">
        <f t="shared" si="110"/>
        <v>1</v>
      </c>
      <c r="AH344">
        <f t="shared" si="94"/>
        <v>0</v>
      </c>
      <c r="AI344">
        <f t="shared" si="95"/>
        <v>1</v>
      </c>
      <c r="AJ344">
        <f t="shared" si="96"/>
        <v>1</v>
      </c>
      <c r="AK344">
        <f t="shared" si="97"/>
        <v>1</v>
      </c>
      <c r="AL344">
        <f t="shared" si="98"/>
        <v>1</v>
      </c>
      <c r="AM344">
        <f t="shared" si="99"/>
        <v>0</v>
      </c>
      <c r="AN344">
        <f t="shared" si="100"/>
        <v>0</v>
      </c>
      <c r="AO344" s="69" t="str">
        <f t="shared" si="101"/>
        <v>Suecia</v>
      </c>
      <c r="AP344" s="69" t="e">
        <f t="shared" si="102"/>
        <v>#N/A</v>
      </c>
      <c r="AQ344" s="69" t="str">
        <f t="shared" si="103"/>
        <v>Bosnia</v>
      </c>
      <c r="AR344" s="69" t="str">
        <f t="shared" si="104"/>
        <v>Paraguay</v>
      </c>
      <c r="AS344" s="69" t="str">
        <f t="shared" si="105"/>
        <v>Korea</v>
      </c>
      <c r="AT344" s="69" t="str">
        <f t="shared" si="106"/>
        <v>Irán</v>
      </c>
      <c r="AU344" s="69" t="e">
        <f t="shared" si="107"/>
        <v>#N/A</v>
      </c>
      <c r="AV344" s="69" t="e">
        <f t="shared" si="108"/>
        <v>#N/A</v>
      </c>
    </row>
    <row r="345" spans="24:48" x14ac:dyDescent="0.2">
      <c r="X345" s="64" t="str">
        <f t="shared" si="109"/>
        <v/>
      </c>
      <c r="Y345" s="68" t="s">
        <v>184</v>
      </c>
      <c r="Z345" s="68" t="s">
        <v>14</v>
      </c>
      <c r="AA345" s="68" t="s">
        <v>26</v>
      </c>
      <c r="AB345" s="68" t="s">
        <v>28</v>
      </c>
      <c r="AC345" s="68" t="s">
        <v>25</v>
      </c>
      <c r="AD345" s="68" t="s">
        <v>31</v>
      </c>
      <c r="AE345" s="68" t="s">
        <v>186</v>
      </c>
      <c r="AF345" s="68" t="s">
        <v>185</v>
      </c>
      <c r="AG345">
        <f t="shared" si="110"/>
        <v>1</v>
      </c>
      <c r="AH345">
        <f t="shared" si="94"/>
        <v>1</v>
      </c>
      <c r="AI345">
        <f t="shared" si="95"/>
        <v>1</v>
      </c>
      <c r="AJ345">
        <f t="shared" si="96"/>
        <v>1</v>
      </c>
      <c r="AK345">
        <f t="shared" si="97"/>
        <v>1</v>
      </c>
      <c r="AL345">
        <f t="shared" si="98"/>
        <v>1</v>
      </c>
      <c r="AM345">
        <f t="shared" si="99"/>
        <v>0</v>
      </c>
      <c r="AN345">
        <f t="shared" si="100"/>
        <v>0</v>
      </c>
      <c r="AO345" s="69" t="str">
        <f t="shared" si="101"/>
        <v>Senegal</v>
      </c>
      <c r="AP345" s="69" t="str">
        <f t="shared" si="102"/>
        <v>Irán</v>
      </c>
      <c r="AQ345" s="69" t="str">
        <f t="shared" si="103"/>
        <v>Bosnia</v>
      </c>
      <c r="AR345" s="69" t="str">
        <f t="shared" si="104"/>
        <v>Paraguay</v>
      </c>
      <c r="AS345" s="69" t="str">
        <f t="shared" si="105"/>
        <v>Korea</v>
      </c>
      <c r="AT345" s="69" t="str">
        <f t="shared" si="106"/>
        <v>Suecia</v>
      </c>
      <c r="AU345" s="69" t="e">
        <f t="shared" si="107"/>
        <v>#N/A</v>
      </c>
      <c r="AV345" s="69" t="e">
        <f t="shared" si="108"/>
        <v>#N/A</v>
      </c>
    </row>
    <row r="346" spans="24:48" x14ac:dyDescent="0.2">
      <c r="X346" s="64" t="str">
        <f t="shared" si="109"/>
        <v/>
      </c>
      <c r="Y346" s="68" t="s">
        <v>31</v>
      </c>
      <c r="Z346" s="68" t="s">
        <v>13</v>
      </c>
      <c r="AA346" s="68" t="s">
        <v>26</v>
      </c>
      <c r="AB346" s="68" t="s">
        <v>28</v>
      </c>
      <c r="AC346" s="68" t="s">
        <v>25</v>
      </c>
      <c r="AD346" s="68" t="s">
        <v>14</v>
      </c>
      <c r="AE346" s="68" t="s">
        <v>186</v>
      </c>
      <c r="AF346" s="68" t="s">
        <v>184</v>
      </c>
      <c r="AG346">
        <f t="shared" si="110"/>
        <v>1</v>
      </c>
      <c r="AH346">
        <f t="shared" si="94"/>
        <v>0</v>
      </c>
      <c r="AI346">
        <f t="shared" si="95"/>
        <v>1</v>
      </c>
      <c r="AJ346">
        <f t="shared" si="96"/>
        <v>1</v>
      </c>
      <c r="AK346">
        <f t="shared" si="97"/>
        <v>1</v>
      </c>
      <c r="AL346">
        <f t="shared" si="98"/>
        <v>1</v>
      </c>
      <c r="AM346">
        <f t="shared" si="99"/>
        <v>0</v>
      </c>
      <c r="AN346">
        <f t="shared" si="100"/>
        <v>1</v>
      </c>
      <c r="AO346" s="69" t="str">
        <f t="shared" si="101"/>
        <v>Suecia</v>
      </c>
      <c r="AP346" s="69" t="e">
        <f t="shared" si="102"/>
        <v>#N/A</v>
      </c>
      <c r="AQ346" s="69" t="str">
        <f t="shared" si="103"/>
        <v>Bosnia</v>
      </c>
      <c r="AR346" s="69" t="str">
        <f t="shared" si="104"/>
        <v>Paraguay</v>
      </c>
      <c r="AS346" s="69" t="str">
        <f t="shared" si="105"/>
        <v>Korea</v>
      </c>
      <c r="AT346" s="69" t="str">
        <f t="shared" si="106"/>
        <v>Irán</v>
      </c>
      <c r="AU346" s="69" t="e">
        <f t="shared" si="107"/>
        <v>#N/A</v>
      </c>
      <c r="AV346" s="69" t="str">
        <f t="shared" si="108"/>
        <v>Senegal</v>
      </c>
    </row>
    <row r="347" spans="24:48" x14ac:dyDescent="0.2">
      <c r="X347" s="64" t="str">
        <f t="shared" si="109"/>
        <v/>
      </c>
      <c r="Y347" s="68" t="s">
        <v>31</v>
      </c>
      <c r="Z347" s="68" t="s">
        <v>13</v>
      </c>
      <c r="AA347" s="68" t="s">
        <v>26</v>
      </c>
      <c r="AB347" s="68" t="s">
        <v>28</v>
      </c>
      <c r="AC347" s="68" t="s">
        <v>25</v>
      </c>
      <c r="AD347" s="68" t="s">
        <v>14</v>
      </c>
      <c r="AE347" s="68" t="s">
        <v>184</v>
      </c>
      <c r="AF347" s="68" t="s">
        <v>185</v>
      </c>
      <c r="AG347">
        <f t="shared" si="110"/>
        <v>1</v>
      </c>
      <c r="AH347">
        <f t="shared" si="94"/>
        <v>0</v>
      </c>
      <c r="AI347">
        <f t="shared" si="95"/>
        <v>1</v>
      </c>
      <c r="AJ347">
        <f t="shared" si="96"/>
        <v>1</v>
      </c>
      <c r="AK347">
        <f t="shared" si="97"/>
        <v>1</v>
      </c>
      <c r="AL347">
        <f t="shared" si="98"/>
        <v>1</v>
      </c>
      <c r="AM347">
        <f t="shared" si="99"/>
        <v>1</v>
      </c>
      <c r="AN347">
        <f t="shared" si="100"/>
        <v>0</v>
      </c>
      <c r="AO347" s="69" t="str">
        <f t="shared" si="101"/>
        <v>Suecia</v>
      </c>
      <c r="AP347" s="69" t="e">
        <f t="shared" si="102"/>
        <v>#N/A</v>
      </c>
      <c r="AQ347" s="69" t="str">
        <f t="shared" si="103"/>
        <v>Bosnia</v>
      </c>
      <c r="AR347" s="69" t="str">
        <f t="shared" si="104"/>
        <v>Paraguay</v>
      </c>
      <c r="AS347" s="69" t="str">
        <f t="shared" si="105"/>
        <v>Korea</v>
      </c>
      <c r="AT347" s="69" t="str">
        <f t="shared" si="106"/>
        <v>Irán</v>
      </c>
      <c r="AU347" s="69" t="str">
        <f t="shared" si="107"/>
        <v>Senegal</v>
      </c>
      <c r="AV347" s="69" t="e">
        <f t="shared" si="108"/>
        <v>#N/A</v>
      </c>
    </row>
    <row r="348" spans="24:48" x14ac:dyDescent="0.2">
      <c r="X348" s="64" t="str">
        <f t="shared" si="109"/>
        <v/>
      </c>
      <c r="Y348" s="68" t="s">
        <v>32</v>
      </c>
      <c r="Z348" s="68" t="s">
        <v>14</v>
      </c>
      <c r="AA348" s="68" t="s">
        <v>26</v>
      </c>
      <c r="AB348" s="68" t="s">
        <v>28</v>
      </c>
      <c r="AC348" s="68" t="s">
        <v>25</v>
      </c>
      <c r="AD348" s="68" t="s">
        <v>31</v>
      </c>
      <c r="AE348" s="68" t="s">
        <v>186</v>
      </c>
      <c r="AF348" s="68" t="s">
        <v>185</v>
      </c>
      <c r="AG348">
        <f t="shared" si="110"/>
        <v>0</v>
      </c>
      <c r="AH348">
        <f t="shared" si="94"/>
        <v>1</v>
      </c>
      <c r="AI348">
        <f t="shared" si="95"/>
        <v>1</v>
      </c>
      <c r="AJ348">
        <f t="shared" si="96"/>
        <v>1</v>
      </c>
      <c r="AK348">
        <f t="shared" si="97"/>
        <v>1</v>
      </c>
      <c r="AL348">
        <f t="shared" si="98"/>
        <v>1</v>
      </c>
      <c r="AM348">
        <f t="shared" si="99"/>
        <v>0</v>
      </c>
      <c r="AN348">
        <f t="shared" si="100"/>
        <v>0</v>
      </c>
      <c r="AO348" s="69" t="e">
        <f t="shared" si="101"/>
        <v>#N/A</v>
      </c>
      <c r="AP348" s="69" t="str">
        <f t="shared" si="102"/>
        <v>Irán</v>
      </c>
      <c r="AQ348" s="69" t="str">
        <f t="shared" si="103"/>
        <v>Bosnia</v>
      </c>
      <c r="AR348" s="69" t="str">
        <f t="shared" si="104"/>
        <v>Paraguay</v>
      </c>
      <c r="AS348" s="69" t="str">
        <f t="shared" si="105"/>
        <v>Korea</v>
      </c>
      <c r="AT348" s="69" t="str">
        <f t="shared" si="106"/>
        <v>Suecia</v>
      </c>
      <c r="AU348" s="69" t="e">
        <f t="shared" si="107"/>
        <v>#N/A</v>
      </c>
      <c r="AV348" s="69" t="e">
        <f t="shared" si="108"/>
        <v>#N/A</v>
      </c>
    </row>
    <row r="349" spans="24:48" x14ac:dyDescent="0.2">
      <c r="X349" s="64" t="str">
        <f t="shared" si="109"/>
        <v/>
      </c>
      <c r="Y349" s="68" t="s">
        <v>32</v>
      </c>
      <c r="Z349" s="68" t="s">
        <v>14</v>
      </c>
      <c r="AA349" s="68" t="s">
        <v>26</v>
      </c>
      <c r="AB349" s="68" t="s">
        <v>28</v>
      </c>
      <c r="AC349" s="68" t="s">
        <v>25</v>
      </c>
      <c r="AD349" s="68" t="s">
        <v>31</v>
      </c>
      <c r="AE349" s="68" t="s">
        <v>186</v>
      </c>
      <c r="AF349" s="68" t="s">
        <v>13</v>
      </c>
      <c r="AG349">
        <f t="shared" si="110"/>
        <v>0</v>
      </c>
      <c r="AH349">
        <f t="shared" si="94"/>
        <v>1</v>
      </c>
      <c r="AI349">
        <f t="shared" si="95"/>
        <v>1</v>
      </c>
      <c r="AJ349">
        <f t="shared" si="96"/>
        <v>1</v>
      </c>
      <c r="AK349">
        <f t="shared" si="97"/>
        <v>1</v>
      </c>
      <c r="AL349">
        <f t="shared" si="98"/>
        <v>1</v>
      </c>
      <c r="AM349">
        <f t="shared" si="99"/>
        <v>0</v>
      </c>
      <c r="AN349">
        <f t="shared" si="100"/>
        <v>0</v>
      </c>
      <c r="AO349" s="69" t="e">
        <f t="shared" si="101"/>
        <v>#N/A</v>
      </c>
      <c r="AP349" s="69" t="str">
        <f t="shared" si="102"/>
        <v>Irán</v>
      </c>
      <c r="AQ349" s="69" t="str">
        <f t="shared" si="103"/>
        <v>Bosnia</v>
      </c>
      <c r="AR349" s="69" t="str">
        <f t="shared" si="104"/>
        <v>Paraguay</v>
      </c>
      <c r="AS349" s="69" t="str">
        <f t="shared" si="105"/>
        <v>Korea</v>
      </c>
      <c r="AT349" s="69" t="str">
        <f t="shared" si="106"/>
        <v>Suecia</v>
      </c>
      <c r="AU349" s="69" t="e">
        <f t="shared" si="107"/>
        <v>#N/A</v>
      </c>
      <c r="AV349" s="69" t="e">
        <f t="shared" si="108"/>
        <v>#N/A</v>
      </c>
    </row>
    <row r="350" spans="24:48" x14ac:dyDescent="0.2">
      <c r="X350" s="64" t="str">
        <f t="shared" si="109"/>
        <v/>
      </c>
      <c r="Y350" s="68" t="s">
        <v>32</v>
      </c>
      <c r="Z350" s="68" t="s">
        <v>14</v>
      </c>
      <c r="AA350" s="68" t="s">
        <v>26</v>
      </c>
      <c r="AB350" s="68" t="s">
        <v>28</v>
      </c>
      <c r="AC350" s="68" t="s">
        <v>25</v>
      </c>
      <c r="AD350" s="68" t="s">
        <v>31</v>
      </c>
      <c r="AE350" s="68" t="s">
        <v>13</v>
      </c>
      <c r="AF350" s="68" t="s">
        <v>185</v>
      </c>
      <c r="AG350">
        <f t="shared" si="110"/>
        <v>0</v>
      </c>
      <c r="AH350">
        <f t="shared" si="94"/>
        <v>1</v>
      </c>
      <c r="AI350">
        <f t="shared" si="95"/>
        <v>1</v>
      </c>
      <c r="AJ350">
        <f t="shared" si="96"/>
        <v>1</v>
      </c>
      <c r="AK350">
        <f t="shared" si="97"/>
        <v>1</v>
      </c>
      <c r="AL350">
        <f t="shared" si="98"/>
        <v>1</v>
      </c>
      <c r="AM350">
        <f t="shared" si="99"/>
        <v>0</v>
      </c>
      <c r="AN350">
        <f t="shared" si="100"/>
        <v>0</v>
      </c>
      <c r="AO350" s="69" t="e">
        <f t="shared" si="101"/>
        <v>#N/A</v>
      </c>
      <c r="AP350" s="69" t="str">
        <f t="shared" si="102"/>
        <v>Irán</v>
      </c>
      <c r="AQ350" s="69" t="str">
        <f t="shared" si="103"/>
        <v>Bosnia</v>
      </c>
      <c r="AR350" s="69" t="str">
        <f t="shared" si="104"/>
        <v>Paraguay</v>
      </c>
      <c r="AS350" s="69" t="str">
        <f t="shared" si="105"/>
        <v>Korea</v>
      </c>
      <c r="AT350" s="69" t="str">
        <f t="shared" si="106"/>
        <v>Suecia</v>
      </c>
      <c r="AU350" s="69" t="e">
        <f t="shared" si="107"/>
        <v>#N/A</v>
      </c>
      <c r="AV350" s="69" t="e">
        <f t="shared" si="108"/>
        <v>#N/A</v>
      </c>
    </row>
    <row r="351" spans="24:48" x14ac:dyDescent="0.2">
      <c r="X351" s="64" t="str">
        <f t="shared" si="109"/>
        <v/>
      </c>
      <c r="Y351" s="68" t="s">
        <v>32</v>
      </c>
      <c r="Z351" s="68" t="s">
        <v>14</v>
      </c>
      <c r="AA351" s="68" t="s">
        <v>26</v>
      </c>
      <c r="AB351" s="68" t="s">
        <v>28</v>
      </c>
      <c r="AC351" s="68" t="s">
        <v>25</v>
      </c>
      <c r="AD351" s="68" t="s">
        <v>31</v>
      </c>
      <c r="AE351" s="68" t="s">
        <v>186</v>
      </c>
      <c r="AF351" s="68" t="s">
        <v>184</v>
      </c>
      <c r="AG351">
        <f t="shared" si="110"/>
        <v>0</v>
      </c>
      <c r="AH351">
        <f t="shared" si="94"/>
        <v>1</v>
      </c>
      <c r="AI351">
        <f t="shared" si="95"/>
        <v>1</v>
      </c>
      <c r="AJ351">
        <f t="shared" si="96"/>
        <v>1</v>
      </c>
      <c r="AK351">
        <f t="shared" si="97"/>
        <v>1</v>
      </c>
      <c r="AL351">
        <f t="shared" si="98"/>
        <v>1</v>
      </c>
      <c r="AM351">
        <f t="shared" si="99"/>
        <v>0</v>
      </c>
      <c r="AN351">
        <f t="shared" si="100"/>
        <v>1</v>
      </c>
      <c r="AO351" s="69" t="e">
        <f t="shared" si="101"/>
        <v>#N/A</v>
      </c>
      <c r="AP351" s="69" t="str">
        <f t="shared" si="102"/>
        <v>Irán</v>
      </c>
      <c r="AQ351" s="69" t="str">
        <f t="shared" si="103"/>
        <v>Bosnia</v>
      </c>
      <c r="AR351" s="69" t="str">
        <f t="shared" si="104"/>
        <v>Paraguay</v>
      </c>
      <c r="AS351" s="69" t="str">
        <f t="shared" si="105"/>
        <v>Korea</v>
      </c>
      <c r="AT351" s="69" t="str">
        <f t="shared" si="106"/>
        <v>Suecia</v>
      </c>
      <c r="AU351" s="69" t="e">
        <f t="shared" si="107"/>
        <v>#N/A</v>
      </c>
      <c r="AV351" s="69" t="str">
        <f t="shared" si="108"/>
        <v>Senegal</v>
      </c>
    </row>
    <row r="352" spans="24:48" x14ac:dyDescent="0.2">
      <c r="X352" s="64" t="str">
        <f t="shared" si="109"/>
        <v/>
      </c>
      <c r="Y352" s="68" t="s">
        <v>32</v>
      </c>
      <c r="Z352" s="68" t="s">
        <v>14</v>
      </c>
      <c r="AA352" s="68" t="s">
        <v>26</v>
      </c>
      <c r="AB352" s="68" t="s">
        <v>28</v>
      </c>
      <c r="AC352" s="68" t="s">
        <v>25</v>
      </c>
      <c r="AD352" s="68" t="s">
        <v>31</v>
      </c>
      <c r="AE352" s="68" t="s">
        <v>184</v>
      </c>
      <c r="AF352" s="68" t="s">
        <v>185</v>
      </c>
      <c r="AG352">
        <f t="shared" si="110"/>
        <v>0</v>
      </c>
      <c r="AH352">
        <f t="shared" si="94"/>
        <v>1</v>
      </c>
      <c r="AI352">
        <f t="shared" si="95"/>
        <v>1</v>
      </c>
      <c r="AJ352">
        <f t="shared" si="96"/>
        <v>1</v>
      </c>
      <c r="AK352">
        <f t="shared" si="97"/>
        <v>1</v>
      </c>
      <c r="AL352">
        <f t="shared" si="98"/>
        <v>1</v>
      </c>
      <c r="AM352">
        <f t="shared" si="99"/>
        <v>1</v>
      </c>
      <c r="AN352">
        <f t="shared" si="100"/>
        <v>0</v>
      </c>
      <c r="AO352" s="69" t="e">
        <f t="shared" si="101"/>
        <v>#N/A</v>
      </c>
      <c r="AP352" s="69" t="str">
        <f t="shared" si="102"/>
        <v>Irán</v>
      </c>
      <c r="AQ352" s="69" t="str">
        <f t="shared" si="103"/>
        <v>Bosnia</v>
      </c>
      <c r="AR352" s="69" t="str">
        <f t="shared" si="104"/>
        <v>Paraguay</v>
      </c>
      <c r="AS352" s="69" t="str">
        <f t="shared" si="105"/>
        <v>Korea</v>
      </c>
      <c r="AT352" s="69" t="str">
        <f t="shared" si="106"/>
        <v>Suecia</v>
      </c>
      <c r="AU352" s="69" t="str">
        <f t="shared" si="107"/>
        <v>Senegal</v>
      </c>
      <c r="AV352" s="69" t="e">
        <f t="shared" si="108"/>
        <v>#N/A</v>
      </c>
    </row>
    <row r="353" spans="24:48" x14ac:dyDescent="0.2">
      <c r="X353" s="64" t="str">
        <f t="shared" si="109"/>
        <v/>
      </c>
      <c r="Y353" s="68" t="s">
        <v>32</v>
      </c>
      <c r="Z353" s="68" t="s">
        <v>14</v>
      </c>
      <c r="AA353" s="68" t="s">
        <v>26</v>
      </c>
      <c r="AB353" s="68" t="s">
        <v>28</v>
      </c>
      <c r="AC353" s="68" t="s">
        <v>25</v>
      </c>
      <c r="AD353" s="68" t="s">
        <v>31</v>
      </c>
      <c r="AE353" s="68" t="s">
        <v>184</v>
      </c>
      <c r="AF353" s="68" t="s">
        <v>13</v>
      </c>
      <c r="AG353">
        <f t="shared" si="110"/>
        <v>0</v>
      </c>
      <c r="AH353">
        <f t="shared" si="94"/>
        <v>1</v>
      </c>
      <c r="AI353">
        <f t="shared" si="95"/>
        <v>1</v>
      </c>
      <c r="AJ353">
        <f t="shared" si="96"/>
        <v>1</v>
      </c>
      <c r="AK353">
        <f t="shared" si="97"/>
        <v>1</v>
      </c>
      <c r="AL353">
        <f t="shared" si="98"/>
        <v>1</v>
      </c>
      <c r="AM353">
        <f t="shared" si="99"/>
        <v>1</v>
      </c>
      <c r="AN353">
        <f t="shared" si="100"/>
        <v>0</v>
      </c>
      <c r="AO353" s="69" t="e">
        <f t="shared" si="101"/>
        <v>#N/A</v>
      </c>
      <c r="AP353" s="69" t="str">
        <f t="shared" si="102"/>
        <v>Irán</v>
      </c>
      <c r="AQ353" s="69" t="str">
        <f t="shared" si="103"/>
        <v>Bosnia</v>
      </c>
      <c r="AR353" s="69" t="str">
        <f t="shared" si="104"/>
        <v>Paraguay</v>
      </c>
      <c r="AS353" s="69" t="str">
        <f t="shared" si="105"/>
        <v>Korea</v>
      </c>
      <c r="AT353" s="69" t="str">
        <f t="shared" si="106"/>
        <v>Suecia</v>
      </c>
      <c r="AU353" s="69" t="str">
        <f t="shared" si="107"/>
        <v>Senegal</v>
      </c>
      <c r="AV353" s="69" t="e">
        <f t="shared" si="108"/>
        <v>#N/A</v>
      </c>
    </row>
    <row r="354" spans="24:48" x14ac:dyDescent="0.2">
      <c r="X354" s="64" t="str">
        <f t="shared" si="109"/>
        <v/>
      </c>
      <c r="Y354" s="68" t="s">
        <v>15</v>
      </c>
      <c r="Z354" s="68" t="s">
        <v>13</v>
      </c>
      <c r="AA354" s="68" t="s">
        <v>26</v>
      </c>
      <c r="AB354" s="68" t="s">
        <v>25</v>
      </c>
      <c r="AC354" s="68" t="s">
        <v>184</v>
      </c>
      <c r="AD354" s="68" t="s">
        <v>28</v>
      </c>
      <c r="AE354" s="68" t="s">
        <v>186</v>
      </c>
      <c r="AF354" s="68" t="s">
        <v>185</v>
      </c>
      <c r="AG354">
        <f t="shared" si="110"/>
        <v>1</v>
      </c>
      <c r="AH354">
        <f t="shared" si="94"/>
        <v>0</v>
      </c>
      <c r="AI354">
        <f t="shared" si="95"/>
        <v>1</v>
      </c>
      <c r="AJ354">
        <f t="shared" si="96"/>
        <v>1</v>
      </c>
      <c r="AK354">
        <f t="shared" si="97"/>
        <v>1</v>
      </c>
      <c r="AL354">
        <f t="shared" si="98"/>
        <v>1</v>
      </c>
      <c r="AM354">
        <f t="shared" si="99"/>
        <v>0</v>
      </c>
      <c r="AN354">
        <f t="shared" si="100"/>
        <v>0</v>
      </c>
      <c r="AO354" s="69" t="str">
        <f t="shared" si="101"/>
        <v>Costa de Marfil</v>
      </c>
      <c r="AP354" s="69" t="e">
        <f t="shared" si="102"/>
        <v>#N/A</v>
      </c>
      <c r="AQ354" s="69" t="str">
        <f t="shared" si="103"/>
        <v>Bosnia</v>
      </c>
      <c r="AR354" s="69" t="str">
        <f t="shared" si="104"/>
        <v>Korea</v>
      </c>
      <c r="AS354" s="69" t="str">
        <f t="shared" si="105"/>
        <v>Senegal</v>
      </c>
      <c r="AT354" s="69" t="str">
        <f t="shared" si="106"/>
        <v>Paraguay</v>
      </c>
      <c r="AU354" s="69" t="e">
        <f t="shared" si="107"/>
        <v>#N/A</v>
      </c>
      <c r="AV354" s="69" t="e">
        <f t="shared" si="108"/>
        <v>#N/A</v>
      </c>
    </row>
    <row r="355" spans="24:48" x14ac:dyDescent="0.2">
      <c r="X355" s="64" t="str">
        <f t="shared" si="109"/>
        <v/>
      </c>
      <c r="Y355" s="68" t="s">
        <v>15</v>
      </c>
      <c r="Z355" s="68" t="s">
        <v>13</v>
      </c>
      <c r="AA355" s="68" t="s">
        <v>26</v>
      </c>
      <c r="AB355" s="68" t="s">
        <v>28</v>
      </c>
      <c r="AC355" s="68" t="s">
        <v>25</v>
      </c>
      <c r="AD355" s="68" t="s">
        <v>32</v>
      </c>
      <c r="AE355" s="68" t="s">
        <v>186</v>
      </c>
      <c r="AF355" s="68" t="s">
        <v>185</v>
      </c>
      <c r="AG355">
        <f t="shared" si="110"/>
        <v>1</v>
      </c>
      <c r="AH355">
        <f t="shared" si="94"/>
        <v>0</v>
      </c>
      <c r="AI355">
        <f t="shared" si="95"/>
        <v>1</v>
      </c>
      <c r="AJ355">
        <f t="shared" si="96"/>
        <v>1</v>
      </c>
      <c r="AK355">
        <f t="shared" si="97"/>
        <v>1</v>
      </c>
      <c r="AL355">
        <f t="shared" si="98"/>
        <v>0</v>
      </c>
      <c r="AM355">
        <f t="shared" si="99"/>
        <v>0</v>
      </c>
      <c r="AN355">
        <f t="shared" si="100"/>
        <v>0</v>
      </c>
      <c r="AO355" s="69" t="str">
        <f t="shared" si="101"/>
        <v>Costa de Marfil</v>
      </c>
      <c r="AP355" s="69" t="e">
        <f t="shared" si="102"/>
        <v>#N/A</v>
      </c>
      <c r="AQ355" s="69" t="str">
        <f t="shared" si="103"/>
        <v>Bosnia</v>
      </c>
      <c r="AR355" s="69" t="str">
        <f t="shared" si="104"/>
        <v>Paraguay</v>
      </c>
      <c r="AS355" s="69" t="str">
        <f t="shared" si="105"/>
        <v>Korea</v>
      </c>
      <c r="AT355" s="69" t="e">
        <f t="shared" si="106"/>
        <v>#N/A</v>
      </c>
      <c r="AU355" s="69" t="e">
        <f t="shared" si="107"/>
        <v>#N/A</v>
      </c>
      <c r="AV355" s="69" t="e">
        <f t="shared" si="108"/>
        <v>#N/A</v>
      </c>
    </row>
    <row r="356" spans="24:48" x14ac:dyDescent="0.2">
      <c r="X356" s="64" t="str">
        <f t="shared" si="109"/>
        <v/>
      </c>
      <c r="Y356" s="68" t="s">
        <v>15</v>
      </c>
      <c r="Z356" s="68" t="s">
        <v>184</v>
      </c>
      <c r="AA356" s="68" t="s">
        <v>26</v>
      </c>
      <c r="AB356" s="68" t="s">
        <v>28</v>
      </c>
      <c r="AC356" s="68" t="s">
        <v>25</v>
      </c>
      <c r="AD356" s="68" t="s">
        <v>32</v>
      </c>
      <c r="AE356" s="68" t="s">
        <v>186</v>
      </c>
      <c r="AF356" s="68" t="s">
        <v>185</v>
      </c>
      <c r="AG356">
        <f t="shared" si="110"/>
        <v>1</v>
      </c>
      <c r="AH356">
        <f t="shared" si="94"/>
        <v>1</v>
      </c>
      <c r="AI356">
        <f t="shared" si="95"/>
        <v>1</v>
      </c>
      <c r="AJ356">
        <f t="shared" si="96"/>
        <v>1</v>
      </c>
      <c r="AK356">
        <f t="shared" si="97"/>
        <v>1</v>
      </c>
      <c r="AL356">
        <f t="shared" si="98"/>
        <v>0</v>
      </c>
      <c r="AM356">
        <f t="shared" si="99"/>
        <v>0</v>
      </c>
      <c r="AN356">
        <f t="shared" si="100"/>
        <v>0</v>
      </c>
      <c r="AO356" s="69" t="str">
        <f t="shared" si="101"/>
        <v>Costa de Marfil</v>
      </c>
      <c r="AP356" s="69" t="str">
        <f t="shared" si="102"/>
        <v>Senegal</v>
      </c>
      <c r="AQ356" s="69" t="str">
        <f t="shared" si="103"/>
        <v>Bosnia</v>
      </c>
      <c r="AR356" s="69" t="str">
        <f t="shared" si="104"/>
        <v>Paraguay</v>
      </c>
      <c r="AS356" s="69" t="str">
        <f t="shared" si="105"/>
        <v>Korea</v>
      </c>
      <c r="AT356" s="69" t="e">
        <f t="shared" si="106"/>
        <v>#N/A</v>
      </c>
      <c r="AU356" s="69" t="e">
        <f t="shared" si="107"/>
        <v>#N/A</v>
      </c>
      <c r="AV356" s="69" t="e">
        <f t="shared" si="108"/>
        <v>#N/A</v>
      </c>
    </row>
    <row r="357" spans="24:48" x14ac:dyDescent="0.2">
      <c r="X357" s="64" t="str">
        <f t="shared" si="109"/>
        <v/>
      </c>
      <c r="Y357" s="68" t="s">
        <v>15</v>
      </c>
      <c r="Z357" s="68" t="s">
        <v>13</v>
      </c>
      <c r="AA357" s="68" t="s">
        <v>26</v>
      </c>
      <c r="AB357" s="68" t="s">
        <v>28</v>
      </c>
      <c r="AC357" s="68" t="s">
        <v>25</v>
      </c>
      <c r="AD357" s="68" t="s">
        <v>32</v>
      </c>
      <c r="AE357" s="68" t="s">
        <v>186</v>
      </c>
      <c r="AF357" s="68" t="s">
        <v>184</v>
      </c>
      <c r="AG357">
        <f t="shared" si="110"/>
        <v>1</v>
      </c>
      <c r="AH357">
        <f t="shared" si="94"/>
        <v>0</v>
      </c>
      <c r="AI357">
        <f t="shared" si="95"/>
        <v>1</v>
      </c>
      <c r="AJ357">
        <f t="shared" si="96"/>
        <v>1</v>
      </c>
      <c r="AK357">
        <f t="shared" si="97"/>
        <v>1</v>
      </c>
      <c r="AL357">
        <f t="shared" si="98"/>
        <v>0</v>
      </c>
      <c r="AM357">
        <f t="shared" si="99"/>
        <v>0</v>
      </c>
      <c r="AN357">
        <f t="shared" si="100"/>
        <v>1</v>
      </c>
      <c r="AO357" s="69" t="str">
        <f t="shared" si="101"/>
        <v>Costa de Marfil</v>
      </c>
      <c r="AP357" s="69" t="e">
        <f t="shared" si="102"/>
        <v>#N/A</v>
      </c>
      <c r="AQ357" s="69" t="str">
        <f t="shared" si="103"/>
        <v>Bosnia</v>
      </c>
      <c r="AR357" s="69" t="str">
        <f t="shared" si="104"/>
        <v>Paraguay</v>
      </c>
      <c r="AS357" s="69" t="str">
        <f t="shared" si="105"/>
        <v>Korea</v>
      </c>
      <c r="AT357" s="69" t="e">
        <f t="shared" si="106"/>
        <v>#N/A</v>
      </c>
      <c r="AU357" s="69" t="e">
        <f t="shared" si="107"/>
        <v>#N/A</v>
      </c>
      <c r="AV357" s="69" t="str">
        <f t="shared" si="108"/>
        <v>Senegal</v>
      </c>
    </row>
    <row r="358" spans="24:48" x14ac:dyDescent="0.2">
      <c r="X358" s="64" t="str">
        <f t="shared" si="109"/>
        <v/>
      </c>
      <c r="Y358" s="68" t="s">
        <v>15</v>
      </c>
      <c r="Z358" s="68" t="s">
        <v>13</v>
      </c>
      <c r="AA358" s="68" t="s">
        <v>26</v>
      </c>
      <c r="AB358" s="68" t="s">
        <v>28</v>
      </c>
      <c r="AC358" s="68" t="s">
        <v>25</v>
      </c>
      <c r="AD358" s="68" t="s">
        <v>32</v>
      </c>
      <c r="AE358" s="68" t="s">
        <v>184</v>
      </c>
      <c r="AF358" s="68" t="s">
        <v>185</v>
      </c>
      <c r="AG358">
        <f t="shared" si="110"/>
        <v>1</v>
      </c>
      <c r="AH358">
        <f t="shared" si="94"/>
        <v>0</v>
      </c>
      <c r="AI358">
        <f t="shared" si="95"/>
        <v>1</v>
      </c>
      <c r="AJ358">
        <f t="shared" si="96"/>
        <v>1</v>
      </c>
      <c r="AK358">
        <f t="shared" si="97"/>
        <v>1</v>
      </c>
      <c r="AL358">
        <f t="shared" si="98"/>
        <v>0</v>
      </c>
      <c r="AM358">
        <f t="shared" si="99"/>
        <v>1</v>
      </c>
      <c r="AN358">
        <f t="shared" si="100"/>
        <v>0</v>
      </c>
      <c r="AO358" s="69" t="str">
        <f t="shared" si="101"/>
        <v>Costa de Marfil</v>
      </c>
      <c r="AP358" s="69" t="e">
        <f t="shared" si="102"/>
        <v>#N/A</v>
      </c>
      <c r="AQ358" s="69" t="str">
        <f t="shared" si="103"/>
        <v>Bosnia</v>
      </c>
      <c r="AR358" s="69" t="str">
        <f t="shared" si="104"/>
        <v>Paraguay</v>
      </c>
      <c r="AS358" s="69" t="str">
        <f t="shared" si="105"/>
        <v>Korea</v>
      </c>
      <c r="AT358" s="69" t="e">
        <f t="shared" si="106"/>
        <v>#N/A</v>
      </c>
      <c r="AU358" s="69" t="str">
        <f t="shared" si="107"/>
        <v>Senegal</v>
      </c>
      <c r="AV358" s="69" t="e">
        <f t="shared" si="108"/>
        <v>#N/A</v>
      </c>
    </row>
    <row r="359" spans="24:48" x14ac:dyDescent="0.2">
      <c r="X359" s="64" t="str">
        <f t="shared" si="109"/>
        <v/>
      </c>
      <c r="Y359" s="68" t="s">
        <v>15</v>
      </c>
      <c r="Z359" s="68" t="s">
        <v>13</v>
      </c>
      <c r="AA359" s="68" t="s">
        <v>26</v>
      </c>
      <c r="AB359" s="68" t="s">
        <v>28</v>
      </c>
      <c r="AC359" s="68" t="s">
        <v>25</v>
      </c>
      <c r="AD359" s="68" t="s">
        <v>14</v>
      </c>
      <c r="AE359" s="68" t="s">
        <v>186</v>
      </c>
      <c r="AF359" s="68" t="s">
        <v>185</v>
      </c>
      <c r="AG359">
        <f t="shared" si="110"/>
        <v>1</v>
      </c>
      <c r="AH359">
        <f t="shared" si="94"/>
        <v>0</v>
      </c>
      <c r="AI359">
        <f t="shared" si="95"/>
        <v>1</v>
      </c>
      <c r="AJ359">
        <f t="shared" si="96"/>
        <v>1</v>
      </c>
      <c r="AK359">
        <f t="shared" si="97"/>
        <v>1</v>
      </c>
      <c r="AL359">
        <f t="shared" si="98"/>
        <v>1</v>
      </c>
      <c r="AM359">
        <f t="shared" si="99"/>
        <v>0</v>
      </c>
      <c r="AN359">
        <f t="shared" si="100"/>
        <v>0</v>
      </c>
      <c r="AO359" s="69" t="str">
        <f t="shared" si="101"/>
        <v>Costa de Marfil</v>
      </c>
      <c r="AP359" s="69" t="e">
        <f t="shared" si="102"/>
        <v>#N/A</v>
      </c>
      <c r="AQ359" s="69" t="str">
        <f t="shared" si="103"/>
        <v>Bosnia</v>
      </c>
      <c r="AR359" s="69" t="str">
        <f t="shared" si="104"/>
        <v>Paraguay</v>
      </c>
      <c r="AS359" s="69" t="str">
        <f t="shared" si="105"/>
        <v>Korea</v>
      </c>
      <c r="AT359" s="69" t="str">
        <f t="shared" si="106"/>
        <v>Irán</v>
      </c>
      <c r="AU359" s="69" t="e">
        <f t="shared" si="107"/>
        <v>#N/A</v>
      </c>
      <c r="AV359" s="69" t="e">
        <f t="shared" si="108"/>
        <v>#N/A</v>
      </c>
    </row>
    <row r="360" spans="24:48" x14ac:dyDescent="0.2">
      <c r="X360" s="64" t="str">
        <f t="shared" si="109"/>
        <v/>
      </c>
      <c r="Y360" s="68" t="s">
        <v>15</v>
      </c>
      <c r="Z360" s="68" t="s">
        <v>14</v>
      </c>
      <c r="AA360" s="68" t="s">
        <v>26</v>
      </c>
      <c r="AB360" s="68" t="s">
        <v>25</v>
      </c>
      <c r="AC360" s="68" t="s">
        <v>184</v>
      </c>
      <c r="AD360" s="68" t="s">
        <v>28</v>
      </c>
      <c r="AE360" s="68" t="s">
        <v>186</v>
      </c>
      <c r="AF360" s="68" t="s">
        <v>185</v>
      </c>
      <c r="AG360">
        <f t="shared" si="110"/>
        <v>1</v>
      </c>
      <c r="AH360">
        <f t="shared" si="94"/>
        <v>1</v>
      </c>
      <c r="AI360">
        <f t="shared" si="95"/>
        <v>1</v>
      </c>
      <c r="AJ360">
        <f t="shared" si="96"/>
        <v>1</v>
      </c>
      <c r="AK360">
        <f t="shared" si="97"/>
        <v>1</v>
      </c>
      <c r="AL360">
        <f t="shared" si="98"/>
        <v>1</v>
      </c>
      <c r="AM360">
        <f t="shared" si="99"/>
        <v>0</v>
      </c>
      <c r="AN360">
        <f t="shared" si="100"/>
        <v>0</v>
      </c>
      <c r="AO360" s="69" t="str">
        <f t="shared" si="101"/>
        <v>Costa de Marfil</v>
      </c>
      <c r="AP360" s="69" t="str">
        <f t="shared" si="102"/>
        <v>Irán</v>
      </c>
      <c r="AQ360" s="69" t="str">
        <f t="shared" si="103"/>
        <v>Bosnia</v>
      </c>
      <c r="AR360" s="69" t="str">
        <f t="shared" si="104"/>
        <v>Korea</v>
      </c>
      <c r="AS360" s="69" t="str">
        <f t="shared" si="105"/>
        <v>Senegal</v>
      </c>
      <c r="AT360" s="69" t="str">
        <f t="shared" si="106"/>
        <v>Paraguay</v>
      </c>
      <c r="AU360" s="69" t="e">
        <f t="shared" si="107"/>
        <v>#N/A</v>
      </c>
      <c r="AV360" s="69" t="e">
        <f t="shared" si="108"/>
        <v>#N/A</v>
      </c>
    </row>
    <row r="361" spans="24:48" x14ac:dyDescent="0.2">
      <c r="X361" s="64" t="str">
        <f t="shared" si="109"/>
        <v/>
      </c>
      <c r="Y361" s="68" t="s">
        <v>15</v>
      </c>
      <c r="Z361" s="68" t="s">
        <v>13</v>
      </c>
      <c r="AA361" s="68" t="s">
        <v>26</v>
      </c>
      <c r="AB361" s="68" t="s">
        <v>28</v>
      </c>
      <c r="AC361" s="68" t="s">
        <v>25</v>
      </c>
      <c r="AD361" s="68" t="s">
        <v>14</v>
      </c>
      <c r="AE361" s="68" t="s">
        <v>186</v>
      </c>
      <c r="AF361" s="68" t="s">
        <v>184</v>
      </c>
      <c r="AG361">
        <f t="shared" si="110"/>
        <v>1</v>
      </c>
      <c r="AH361">
        <f t="shared" si="94"/>
        <v>0</v>
      </c>
      <c r="AI361">
        <f t="shared" si="95"/>
        <v>1</v>
      </c>
      <c r="AJ361">
        <f t="shared" si="96"/>
        <v>1</v>
      </c>
      <c r="AK361">
        <f t="shared" si="97"/>
        <v>1</v>
      </c>
      <c r="AL361">
        <f t="shared" si="98"/>
        <v>1</v>
      </c>
      <c r="AM361">
        <f t="shared" si="99"/>
        <v>0</v>
      </c>
      <c r="AN361">
        <f t="shared" si="100"/>
        <v>1</v>
      </c>
      <c r="AO361" s="69" t="str">
        <f t="shared" si="101"/>
        <v>Costa de Marfil</v>
      </c>
      <c r="AP361" s="69" t="e">
        <f t="shared" si="102"/>
        <v>#N/A</v>
      </c>
      <c r="AQ361" s="69" t="str">
        <f t="shared" si="103"/>
        <v>Bosnia</v>
      </c>
      <c r="AR361" s="69" t="str">
        <f t="shared" si="104"/>
        <v>Paraguay</v>
      </c>
      <c r="AS361" s="69" t="str">
        <f t="shared" si="105"/>
        <v>Korea</v>
      </c>
      <c r="AT361" s="69" t="str">
        <f t="shared" si="106"/>
        <v>Irán</v>
      </c>
      <c r="AU361" s="69" t="e">
        <f t="shared" si="107"/>
        <v>#N/A</v>
      </c>
      <c r="AV361" s="69" t="str">
        <f t="shared" si="108"/>
        <v>Senegal</v>
      </c>
    </row>
    <row r="362" spans="24:48" x14ac:dyDescent="0.2">
      <c r="X362" s="64" t="str">
        <f t="shared" si="109"/>
        <v/>
      </c>
      <c r="Y362" s="68" t="s">
        <v>15</v>
      </c>
      <c r="Z362" s="68" t="s">
        <v>13</v>
      </c>
      <c r="AA362" s="68" t="s">
        <v>26</v>
      </c>
      <c r="AB362" s="68" t="s">
        <v>28</v>
      </c>
      <c r="AC362" s="68" t="s">
        <v>25</v>
      </c>
      <c r="AD362" s="68" t="s">
        <v>14</v>
      </c>
      <c r="AE362" s="68" t="s">
        <v>184</v>
      </c>
      <c r="AF362" s="68" t="s">
        <v>185</v>
      </c>
      <c r="AG362">
        <f t="shared" si="110"/>
        <v>1</v>
      </c>
      <c r="AH362">
        <f t="shared" si="94"/>
        <v>0</v>
      </c>
      <c r="AI362">
        <f t="shared" si="95"/>
        <v>1</v>
      </c>
      <c r="AJ362">
        <f t="shared" si="96"/>
        <v>1</v>
      </c>
      <c r="AK362">
        <f t="shared" si="97"/>
        <v>1</v>
      </c>
      <c r="AL362">
        <f t="shared" si="98"/>
        <v>1</v>
      </c>
      <c r="AM362">
        <f t="shared" si="99"/>
        <v>1</v>
      </c>
      <c r="AN362">
        <f t="shared" si="100"/>
        <v>0</v>
      </c>
      <c r="AO362" s="69" t="str">
        <f t="shared" si="101"/>
        <v>Costa de Marfil</v>
      </c>
      <c r="AP362" s="69" t="e">
        <f t="shared" si="102"/>
        <v>#N/A</v>
      </c>
      <c r="AQ362" s="69" t="str">
        <f t="shared" si="103"/>
        <v>Bosnia</v>
      </c>
      <c r="AR362" s="69" t="str">
        <f t="shared" si="104"/>
        <v>Paraguay</v>
      </c>
      <c r="AS362" s="69" t="str">
        <f t="shared" si="105"/>
        <v>Korea</v>
      </c>
      <c r="AT362" s="69" t="str">
        <f t="shared" si="106"/>
        <v>Irán</v>
      </c>
      <c r="AU362" s="69" t="str">
        <f t="shared" si="107"/>
        <v>Senegal</v>
      </c>
      <c r="AV362" s="69" t="e">
        <f t="shared" si="108"/>
        <v>#N/A</v>
      </c>
    </row>
    <row r="363" spans="24:48" x14ac:dyDescent="0.2">
      <c r="X363" s="64" t="str">
        <f t="shared" si="109"/>
        <v/>
      </c>
      <c r="Y363" s="68" t="s">
        <v>15</v>
      </c>
      <c r="Z363" s="68" t="s">
        <v>14</v>
      </c>
      <c r="AA363" s="68" t="s">
        <v>26</v>
      </c>
      <c r="AB363" s="68" t="s">
        <v>28</v>
      </c>
      <c r="AC363" s="68" t="s">
        <v>25</v>
      </c>
      <c r="AD363" s="68" t="s">
        <v>32</v>
      </c>
      <c r="AE363" s="68" t="s">
        <v>186</v>
      </c>
      <c r="AF363" s="68" t="s">
        <v>185</v>
      </c>
      <c r="AG363">
        <f t="shared" si="110"/>
        <v>1</v>
      </c>
      <c r="AH363">
        <f t="shared" si="94"/>
        <v>1</v>
      </c>
      <c r="AI363">
        <f t="shared" si="95"/>
        <v>1</v>
      </c>
      <c r="AJ363">
        <f t="shared" si="96"/>
        <v>1</v>
      </c>
      <c r="AK363">
        <f t="shared" si="97"/>
        <v>1</v>
      </c>
      <c r="AL363">
        <f t="shared" si="98"/>
        <v>0</v>
      </c>
      <c r="AM363">
        <f t="shared" si="99"/>
        <v>0</v>
      </c>
      <c r="AN363">
        <f t="shared" si="100"/>
        <v>0</v>
      </c>
      <c r="AO363" s="69" t="str">
        <f t="shared" si="101"/>
        <v>Costa de Marfil</v>
      </c>
      <c r="AP363" s="69" t="str">
        <f t="shared" si="102"/>
        <v>Irán</v>
      </c>
      <c r="AQ363" s="69" t="str">
        <f t="shared" si="103"/>
        <v>Bosnia</v>
      </c>
      <c r="AR363" s="69" t="str">
        <f t="shared" si="104"/>
        <v>Paraguay</v>
      </c>
      <c r="AS363" s="69" t="str">
        <f t="shared" si="105"/>
        <v>Korea</v>
      </c>
      <c r="AT363" s="69" t="e">
        <f t="shared" si="106"/>
        <v>#N/A</v>
      </c>
      <c r="AU363" s="69" t="e">
        <f t="shared" si="107"/>
        <v>#N/A</v>
      </c>
      <c r="AV363" s="69" t="e">
        <f t="shared" si="108"/>
        <v>#N/A</v>
      </c>
    </row>
    <row r="364" spans="24:48" x14ac:dyDescent="0.2">
      <c r="X364" s="64" t="str">
        <f t="shared" si="109"/>
        <v/>
      </c>
      <c r="Y364" s="68" t="s">
        <v>32</v>
      </c>
      <c r="Z364" s="68" t="s">
        <v>13</v>
      </c>
      <c r="AA364" s="68" t="s">
        <v>26</v>
      </c>
      <c r="AB364" s="68" t="s">
        <v>28</v>
      </c>
      <c r="AC364" s="68" t="s">
        <v>25</v>
      </c>
      <c r="AD364" s="68" t="s">
        <v>14</v>
      </c>
      <c r="AE364" s="68" t="s">
        <v>186</v>
      </c>
      <c r="AF364" s="68" t="s">
        <v>15</v>
      </c>
      <c r="AG364">
        <f t="shared" si="110"/>
        <v>0</v>
      </c>
      <c r="AH364">
        <f t="shared" si="94"/>
        <v>0</v>
      </c>
      <c r="AI364">
        <f t="shared" si="95"/>
        <v>1</v>
      </c>
      <c r="AJ364">
        <f t="shared" si="96"/>
        <v>1</v>
      </c>
      <c r="AK364">
        <f t="shared" si="97"/>
        <v>1</v>
      </c>
      <c r="AL364">
        <f t="shared" si="98"/>
        <v>1</v>
      </c>
      <c r="AM364">
        <f t="shared" si="99"/>
        <v>0</v>
      </c>
      <c r="AN364">
        <f t="shared" si="100"/>
        <v>1</v>
      </c>
      <c r="AO364" s="69" t="e">
        <f t="shared" si="101"/>
        <v>#N/A</v>
      </c>
      <c r="AP364" s="69" t="e">
        <f t="shared" si="102"/>
        <v>#N/A</v>
      </c>
      <c r="AQ364" s="69" t="str">
        <f t="shared" si="103"/>
        <v>Bosnia</v>
      </c>
      <c r="AR364" s="69" t="str">
        <f t="shared" si="104"/>
        <v>Paraguay</v>
      </c>
      <c r="AS364" s="69" t="str">
        <f t="shared" si="105"/>
        <v>Korea</v>
      </c>
      <c r="AT364" s="69" t="str">
        <f t="shared" si="106"/>
        <v>Irán</v>
      </c>
      <c r="AU364" s="69" t="e">
        <f t="shared" si="107"/>
        <v>#N/A</v>
      </c>
      <c r="AV364" s="69" t="str">
        <f t="shared" si="108"/>
        <v>Costa de Marfil</v>
      </c>
    </row>
    <row r="365" spans="24:48" x14ac:dyDescent="0.2">
      <c r="X365" s="64" t="str">
        <f t="shared" si="109"/>
        <v/>
      </c>
      <c r="Y365" s="68" t="s">
        <v>32</v>
      </c>
      <c r="Z365" s="68" t="s">
        <v>13</v>
      </c>
      <c r="AA365" s="68" t="s">
        <v>26</v>
      </c>
      <c r="AB365" s="68" t="s">
        <v>28</v>
      </c>
      <c r="AC365" s="68" t="s">
        <v>25</v>
      </c>
      <c r="AD365" s="68" t="s">
        <v>14</v>
      </c>
      <c r="AE365" s="68" t="s">
        <v>15</v>
      </c>
      <c r="AF365" s="68" t="s">
        <v>185</v>
      </c>
      <c r="AG365">
        <f t="shared" si="110"/>
        <v>0</v>
      </c>
      <c r="AH365">
        <f t="shared" si="94"/>
        <v>0</v>
      </c>
      <c r="AI365">
        <f t="shared" si="95"/>
        <v>1</v>
      </c>
      <c r="AJ365">
        <f t="shared" si="96"/>
        <v>1</v>
      </c>
      <c r="AK365">
        <f t="shared" si="97"/>
        <v>1</v>
      </c>
      <c r="AL365">
        <f t="shared" si="98"/>
        <v>1</v>
      </c>
      <c r="AM365">
        <f t="shared" si="99"/>
        <v>1</v>
      </c>
      <c r="AN365">
        <f t="shared" si="100"/>
        <v>0</v>
      </c>
      <c r="AO365" s="69" t="e">
        <f t="shared" si="101"/>
        <v>#N/A</v>
      </c>
      <c r="AP365" s="69" t="e">
        <f t="shared" si="102"/>
        <v>#N/A</v>
      </c>
      <c r="AQ365" s="69" t="str">
        <f t="shared" si="103"/>
        <v>Bosnia</v>
      </c>
      <c r="AR365" s="69" t="str">
        <f t="shared" si="104"/>
        <v>Paraguay</v>
      </c>
      <c r="AS365" s="69" t="str">
        <f t="shared" si="105"/>
        <v>Korea</v>
      </c>
      <c r="AT365" s="69" t="str">
        <f t="shared" si="106"/>
        <v>Irán</v>
      </c>
      <c r="AU365" s="69" t="str">
        <f t="shared" si="107"/>
        <v>Costa de Marfil</v>
      </c>
      <c r="AV365" s="69" t="e">
        <f t="shared" si="108"/>
        <v>#N/A</v>
      </c>
    </row>
    <row r="366" spans="24:48" x14ac:dyDescent="0.2">
      <c r="X366" s="64" t="str">
        <f t="shared" si="109"/>
        <v/>
      </c>
      <c r="Y366" s="68" t="s">
        <v>15</v>
      </c>
      <c r="Z366" s="68" t="s">
        <v>14</v>
      </c>
      <c r="AA366" s="68" t="s">
        <v>26</v>
      </c>
      <c r="AB366" s="68" t="s">
        <v>28</v>
      </c>
      <c r="AC366" s="68" t="s">
        <v>25</v>
      </c>
      <c r="AD366" s="68" t="s">
        <v>32</v>
      </c>
      <c r="AE366" s="68" t="s">
        <v>186</v>
      </c>
      <c r="AF366" s="68" t="s">
        <v>184</v>
      </c>
      <c r="AG366">
        <f t="shared" si="110"/>
        <v>1</v>
      </c>
      <c r="AH366">
        <f t="shared" si="94"/>
        <v>1</v>
      </c>
      <c r="AI366">
        <f t="shared" si="95"/>
        <v>1</v>
      </c>
      <c r="AJ366">
        <f t="shared" si="96"/>
        <v>1</v>
      </c>
      <c r="AK366">
        <f t="shared" si="97"/>
        <v>1</v>
      </c>
      <c r="AL366">
        <f t="shared" si="98"/>
        <v>0</v>
      </c>
      <c r="AM366">
        <f t="shared" si="99"/>
        <v>0</v>
      </c>
      <c r="AN366">
        <f t="shared" si="100"/>
        <v>1</v>
      </c>
      <c r="AO366" s="69" t="str">
        <f t="shared" si="101"/>
        <v>Costa de Marfil</v>
      </c>
      <c r="AP366" s="69" t="str">
        <f t="shared" si="102"/>
        <v>Irán</v>
      </c>
      <c r="AQ366" s="69" t="str">
        <f t="shared" si="103"/>
        <v>Bosnia</v>
      </c>
      <c r="AR366" s="69" t="str">
        <f t="shared" si="104"/>
        <v>Paraguay</v>
      </c>
      <c r="AS366" s="69" t="str">
        <f t="shared" si="105"/>
        <v>Korea</v>
      </c>
      <c r="AT366" s="69" t="e">
        <f t="shared" si="106"/>
        <v>#N/A</v>
      </c>
      <c r="AU366" s="69" t="e">
        <f t="shared" si="107"/>
        <v>#N/A</v>
      </c>
      <c r="AV366" s="69" t="str">
        <f t="shared" si="108"/>
        <v>Senegal</v>
      </c>
    </row>
    <row r="367" spans="24:48" x14ac:dyDescent="0.2">
      <c r="X367" s="64" t="str">
        <f t="shared" si="109"/>
        <v/>
      </c>
      <c r="Y367" s="68" t="s">
        <v>15</v>
      </c>
      <c r="Z367" s="68" t="s">
        <v>14</v>
      </c>
      <c r="AA367" s="68" t="s">
        <v>26</v>
      </c>
      <c r="AB367" s="68" t="s">
        <v>28</v>
      </c>
      <c r="AC367" s="68" t="s">
        <v>25</v>
      </c>
      <c r="AD367" s="68" t="s">
        <v>32</v>
      </c>
      <c r="AE367" s="68" t="s">
        <v>184</v>
      </c>
      <c r="AF367" s="68" t="s">
        <v>185</v>
      </c>
      <c r="AG367">
        <f t="shared" si="110"/>
        <v>1</v>
      </c>
      <c r="AH367">
        <f t="shared" si="94"/>
        <v>1</v>
      </c>
      <c r="AI367">
        <f t="shared" si="95"/>
        <v>1</v>
      </c>
      <c r="AJ367">
        <f t="shared" si="96"/>
        <v>1</v>
      </c>
      <c r="AK367">
        <f t="shared" si="97"/>
        <v>1</v>
      </c>
      <c r="AL367">
        <f t="shared" si="98"/>
        <v>0</v>
      </c>
      <c r="AM367">
        <f t="shared" si="99"/>
        <v>1</v>
      </c>
      <c r="AN367">
        <f t="shared" si="100"/>
        <v>0</v>
      </c>
      <c r="AO367" s="69" t="str">
        <f t="shared" si="101"/>
        <v>Costa de Marfil</v>
      </c>
      <c r="AP367" s="69" t="str">
        <f t="shared" si="102"/>
        <v>Irán</v>
      </c>
      <c r="AQ367" s="69" t="str">
        <f t="shared" si="103"/>
        <v>Bosnia</v>
      </c>
      <c r="AR367" s="69" t="str">
        <f t="shared" si="104"/>
        <v>Paraguay</v>
      </c>
      <c r="AS367" s="69" t="str">
        <f t="shared" si="105"/>
        <v>Korea</v>
      </c>
      <c r="AT367" s="69" t="e">
        <f t="shared" si="106"/>
        <v>#N/A</v>
      </c>
      <c r="AU367" s="69" t="str">
        <f t="shared" si="107"/>
        <v>Senegal</v>
      </c>
      <c r="AV367" s="69" t="e">
        <f t="shared" si="108"/>
        <v>#N/A</v>
      </c>
    </row>
    <row r="368" spans="24:48" x14ac:dyDescent="0.2">
      <c r="X368" s="64" t="str">
        <f t="shared" si="109"/>
        <v/>
      </c>
      <c r="Y368" s="68" t="s">
        <v>32</v>
      </c>
      <c r="Z368" s="68" t="s">
        <v>13</v>
      </c>
      <c r="AA368" s="68" t="s">
        <v>26</v>
      </c>
      <c r="AB368" s="68" t="s">
        <v>28</v>
      </c>
      <c r="AC368" s="68" t="s">
        <v>25</v>
      </c>
      <c r="AD368" s="68" t="s">
        <v>14</v>
      </c>
      <c r="AE368" s="68" t="s">
        <v>15</v>
      </c>
      <c r="AF368" s="68" t="s">
        <v>184</v>
      </c>
      <c r="AG368">
        <f t="shared" si="110"/>
        <v>0</v>
      </c>
      <c r="AH368">
        <f t="shared" si="94"/>
        <v>0</v>
      </c>
      <c r="AI368">
        <f t="shared" si="95"/>
        <v>1</v>
      </c>
      <c r="AJ368">
        <f t="shared" si="96"/>
        <v>1</v>
      </c>
      <c r="AK368">
        <f t="shared" si="97"/>
        <v>1</v>
      </c>
      <c r="AL368">
        <f t="shared" si="98"/>
        <v>1</v>
      </c>
      <c r="AM368">
        <f t="shared" si="99"/>
        <v>1</v>
      </c>
      <c r="AN368">
        <f t="shared" si="100"/>
        <v>1</v>
      </c>
      <c r="AO368" s="69" t="e">
        <f t="shared" si="101"/>
        <v>#N/A</v>
      </c>
      <c r="AP368" s="69" t="e">
        <f t="shared" si="102"/>
        <v>#N/A</v>
      </c>
      <c r="AQ368" s="69" t="str">
        <f t="shared" si="103"/>
        <v>Bosnia</v>
      </c>
      <c r="AR368" s="69" t="str">
        <f t="shared" si="104"/>
        <v>Paraguay</v>
      </c>
      <c r="AS368" s="69" t="str">
        <f t="shared" si="105"/>
        <v>Korea</v>
      </c>
      <c r="AT368" s="69" t="str">
        <f t="shared" si="106"/>
        <v>Irán</v>
      </c>
      <c r="AU368" s="69" t="str">
        <f t="shared" si="107"/>
        <v>Costa de Marfil</v>
      </c>
      <c r="AV368" s="69" t="str">
        <f t="shared" si="108"/>
        <v>Senegal</v>
      </c>
    </row>
    <row r="369" spans="24:48" x14ac:dyDescent="0.2">
      <c r="X369" s="64" t="str">
        <f t="shared" si="109"/>
        <v/>
      </c>
      <c r="Y369" s="68" t="s">
        <v>15</v>
      </c>
      <c r="Z369" s="68" t="s">
        <v>13</v>
      </c>
      <c r="AA369" s="68" t="s">
        <v>26</v>
      </c>
      <c r="AB369" s="68" t="s">
        <v>28</v>
      </c>
      <c r="AC369" s="68" t="s">
        <v>25</v>
      </c>
      <c r="AD369" s="68" t="s">
        <v>31</v>
      </c>
      <c r="AE369" s="68" t="s">
        <v>186</v>
      </c>
      <c r="AF369" s="68" t="s">
        <v>185</v>
      </c>
      <c r="AG369">
        <f t="shared" si="110"/>
        <v>1</v>
      </c>
      <c r="AH369">
        <f t="shared" si="94"/>
        <v>0</v>
      </c>
      <c r="AI369">
        <f t="shared" si="95"/>
        <v>1</v>
      </c>
      <c r="AJ369">
        <f t="shared" si="96"/>
        <v>1</v>
      </c>
      <c r="AK369">
        <f t="shared" si="97"/>
        <v>1</v>
      </c>
      <c r="AL369">
        <f t="shared" si="98"/>
        <v>1</v>
      </c>
      <c r="AM369">
        <f t="shared" si="99"/>
        <v>0</v>
      </c>
      <c r="AN369">
        <f t="shared" si="100"/>
        <v>0</v>
      </c>
      <c r="AO369" s="69" t="str">
        <f t="shared" si="101"/>
        <v>Costa de Marfil</v>
      </c>
      <c r="AP369" s="69" t="e">
        <f t="shared" si="102"/>
        <v>#N/A</v>
      </c>
      <c r="AQ369" s="69" t="str">
        <f t="shared" si="103"/>
        <v>Bosnia</v>
      </c>
      <c r="AR369" s="69" t="str">
        <f t="shared" si="104"/>
        <v>Paraguay</v>
      </c>
      <c r="AS369" s="69" t="str">
        <f t="shared" si="105"/>
        <v>Korea</v>
      </c>
      <c r="AT369" s="69" t="str">
        <f t="shared" si="106"/>
        <v>Suecia</v>
      </c>
      <c r="AU369" s="69" t="e">
        <f t="shared" si="107"/>
        <v>#N/A</v>
      </c>
      <c r="AV369" s="69" t="e">
        <f t="shared" si="108"/>
        <v>#N/A</v>
      </c>
    </row>
    <row r="370" spans="24:48" x14ac:dyDescent="0.2">
      <c r="X370" s="64" t="str">
        <f t="shared" si="109"/>
        <v/>
      </c>
      <c r="Y370" s="68" t="s">
        <v>15</v>
      </c>
      <c r="Z370" s="68" t="s">
        <v>184</v>
      </c>
      <c r="AA370" s="68" t="s">
        <v>26</v>
      </c>
      <c r="AB370" s="68" t="s">
        <v>28</v>
      </c>
      <c r="AC370" s="68" t="s">
        <v>25</v>
      </c>
      <c r="AD370" s="68" t="s">
        <v>31</v>
      </c>
      <c r="AE370" s="68" t="s">
        <v>186</v>
      </c>
      <c r="AF370" s="68" t="s">
        <v>185</v>
      </c>
      <c r="AG370">
        <f t="shared" si="110"/>
        <v>1</v>
      </c>
      <c r="AH370">
        <f t="shared" si="94"/>
        <v>1</v>
      </c>
      <c r="AI370">
        <f t="shared" si="95"/>
        <v>1</v>
      </c>
      <c r="AJ370">
        <f t="shared" si="96"/>
        <v>1</v>
      </c>
      <c r="AK370">
        <f t="shared" si="97"/>
        <v>1</v>
      </c>
      <c r="AL370">
        <f t="shared" si="98"/>
        <v>1</v>
      </c>
      <c r="AM370">
        <f t="shared" si="99"/>
        <v>0</v>
      </c>
      <c r="AN370">
        <f t="shared" si="100"/>
        <v>0</v>
      </c>
      <c r="AO370" s="69" t="str">
        <f t="shared" si="101"/>
        <v>Costa de Marfil</v>
      </c>
      <c r="AP370" s="69" t="str">
        <f t="shared" si="102"/>
        <v>Senegal</v>
      </c>
      <c r="AQ370" s="69" t="str">
        <f t="shared" si="103"/>
        <v>Bosnia</v>
      </c>
      <c r="AR370" s="69" t="str">
        <f t="shared" si="104"/>
        <v>Paraguay</v>
      </c>
      <c r="AS370" s="69" t="str">
        <f t="shared" si="105"/>
        <v>Korea</v>
      </c>
      <c r="AT370" s="69" t="str">
        <f t="shared" si="106"/>
        <v>Suecia</v>
      </c>
      <c r="AU370" s="69" t="e">
        <f t="shared" si="107"/>
        <v>#N/A</v>
      </c>
      <c r="AV370" s="69" t="e">
        <f t="shared" si="108"/>
        <v>#N/A</v>
      </c>
    </row>
    <row r="371" spans="24:48" x14ac:dyDescent="0.2">
      <c r="X371" s="64" t="str">
        <f t="shared" si="109"/>
        <v/>
      </c>
      <c r="Y371" s="68" t="s">
        <v>15</v>
      </c>
      <c r="Z371" s="68" t="s">
        <v>13</v>
      </c>
      <c r="AA371" s="68" t="s">
        <v>26</v>
      </c>
      <c r="AB371" s="68" t="s">
        <v>28</v>
      </c>
      <c r="AC371" s="68" t="s">
        <v>25</v>
      </c>
      <c r="AD371" s="68" t="s">
        <v>31</v>
      </c>
      <c r="AE371" s="68" t="s">
        <v>186</v>
      </c>
      <c r="AF371" s="68" t="s">
        <v>184</v>
      </c>
      <c r="AG371">
        <f t="shared" si="110"/>
        <v>1</v>
      </c>
      <c r="AH371">
        <f t="shared" si="94"/>
        <v>0</v>
      </c>
      <c r="AI371">
        <f t="shared" si="95"/>
        <v>1</v>
      </c>
      <c r="AJ371">
        <f t="shared" si="96"/>
        <v>1</v>
      </c>
      <c r="AK371">
        <f t="shared" si="97"/>
        <v>1</v>
      </c>
      <c r="AL371">
        <f t="shared" si="98"/>
        <v>1</v>
      </c>
      <c r="AM371">
        <f t="shared" si="99"/>
        <v>0</v>
      </c>
      <c r="AN371">
        <f t="shared" si="100"/>
        <v>1</v>
      </c>
      <c r="AO371" s="69" t="str">
        <f t="shared" si="101"/>
        <v>Costa de Marfil</v>
      </c>
      <c r="AP371" s="69" t="e">
        <f t="shared" si="102"/>
        <v>#N/A</v>
      </c>
      <c r="AQ371" s="69" t="str">
        <f t="shared" si="103"/>
        <v>Bosnia</v>
      </c>
      <c r="AR371" s="69" t="str">
        <f t="shared" si="104"/>
        <v>Paraguay</v>
      </c>
      <c r="AS371" s="69" t="str">
        <f t="shared" si="105"/>
        <v>Korea</v>
      </c>
      <c r="AT371" s="69" t="str">
        <f t="shared" si="106"/>
        <v>Suecia</v>
      </c>
      <c r="AU371" s="69" t="e">
        <f t="shared" si="107"/>
        <v>#N/A</v>
      </c>
      <c r="AV371" s="69" t="str">
        <f t="shared" si="108"/>
        <v>Senegal</v>
      </c>
    </row>
    <row r="372" spans="24:48" x14ac:dyDescent="0.2">
      <c r="X372" s="64" t="str">
        <f t="shared" si="109"/>
        <v/>
      </c>
      <c r="Y372" s="68" t="s">
        <v>15</v>
      </c>
      <c r="Z372" s="68" t="s">
        <v>13</v>
      </c>
      <c r="AA372" s="68" t="s">
        <v>26</v>
      </c>
      <c r="AB372" s="68" t="s">
        <v>28</v>
      </c>
      <c r="AC372" s="68" t="s">
        <v>25</v>
      </c>
      <c r="AD372" s="68" t="s">
        <v>31</v>
      </c>
      <c r="AE372" s="68" t="s">
        <v>184</v>
      </c>
      <c r="AF372" s="68" t="s">
        <v>185</v>
      </c>
      <c r="AG372">
        <f t="shared" si="110"/>
        <v>1</v>
      </c>
      <c r="AH372">
        <f t="shared" si="94"/>
        <v>0</v>
      </c>
      <c r="AI372">
        <f t="shared" si="95"/>
        <v>1</v>
      </c>
      <c r="AJ372">
        <f t="shared" si="96"/>
        <v>1</v>
      </c>
      <c r="AK372">
        <f t="shared" si="97"/>
        <v>1</v>
      </c>
      <c r="AL372">
        <f t="shared" si="98"/>
        <v>1</v>
      </c>
      <c r="AM372">
        <f t="shared" si="99"/>
        <v>1</v>
      </c>
      <c r="AN372">
        <f t="shared" si="100"/>
        <v>0</v>
      </c>
      <c r="AO372" s="69" t="str">
        <f t="shared" si="101"/>
        <v>Costa de Marfil</v>
      </c>
      <c r="AP372" s="69" t="e">
        <f t="shared" si="102"/>
        <v>#N/A</v>
      </c>
      <c r="AQ372" s="69" t="str">
        <f t="shared" si="103"/>
        <v>Bosnia</v>
      </c>
      <c r="AR372" s="69" t="str">
        <f t="shared" si="104"/>
        <v>Paraguay</v>
      </c>
      <c r="AS372" s="69" t="str">
        <f t="shared" si="105"/>
        <v>Korea</v>
      </c>
      <c r="AT372" s="69" t="str">
        <f t="shared" si="106"/>
        <v>Suecia</v>
      </c>
      <c r="AU372" s="69" t="str">
        <f t="shared" si="107"/>
        <v>Senegal</v>
      </c>
      <c r="AV372" s="69" t="e">
        <f t="shared" si="108"/>
        <v>#N/A</v>
      </c>
    </row>
    <row r="373" spans="24:48" x14ac:dyDescent="0.2">
      <c r="X373" s="64" t="str">
        <f t="shared" si="109"/>
        <v/>
      </c>
      <c r="Y373" s="68" t="s">
        <v>32</v>
      </c>
      <c r="Z373" s="68" t="s">
        <v>15</v>
      </c>
      <c r="AA373" s="68" t="s">
        <v>26</v>
      </c>
      <c r="AB373" s="68" t="s">
        <v>28</v>
      </c>
      <c r="AC373" s="68" t="s">
        <v>25</v>
      </c>
      <c r="AD373" s="68" t="s">
        <v>31</v>
      </c>
      <c r="AE373" s="68" t="s">
        <v>186</v>
      </c>
      <c r="AF373" s="68" t="s">
        <v>185</v>
      </c>
      <c r="AG373">
        <f t="shared" si="110"/>
        <v>0</v>
      </c>
      <c r="AH373">
        <f t="shared" si="94"/>
        <v>1</v>
      </c>
      <c r="AI373">
        <f t="shared" si="95"/>
        <v>1</v>
      </c>
      <c r="AJ373">
        <f t="shared" si="96"/>
        <v>1</v>
      </c>
      <c r="AK373">
        <f t="shared" si="97"/>
        <v>1</v>
      </c>
      <c r="AL373">
        <f t="shared" si="98"/>
        <v>1</v>
      </c>
      <c r="AM373">
        <f t="shared" si="99"/>
        <v>0</v>
      </c>
      <c r="AN373">
        <f t="shared" si="100"/>
        <v>0</v>
      </c>
      <c r="AO373" s="69" t="e">
        <f t="shared" si="101"/>
        <v>#N/A</v>
      </c>
      <c r="AP373" s="69" t="str">
        <f t="shared" si="102"/>
        <v>Costa de Marfil</v>
      </c>
      <c r="AQ373" s="69" t="str">
        <f t="shared" si="103"/>
        <v>Bosnia</v>
      </c>
      <c r="AR373" s="69" t="str">
        <f t="shared" si="104"/>
        <v>Paraguay</v>
      </c>
      <c r="AS373" s="69" t="str">
        <f t="shared" si="105"/>
        <v>Korea</v>
      </c>
      <c r="AT373" s="69" t="str">
        <f t="shared" si="106"/>
        <v>Suecia</v>
      </c>
      <c r="AU373" s="69" t="e">
        <f t="shared" si="107"/>
        <v>#N/A</v>
      </c>
      <c r="AV373" s="69" t="e">
        <f t="shared" si="108"/>
        <v>#N/A</v>
      </c>
    </row>
    <row r="374" spans="24:48" x14ac:dyDescent="0.2">
      <c r="X374" s="64" t="str">
        <f t="shared" si="109"/>
        <v/>
      </c>
      <c r="Y374" s="68" t="s">
        <v>32</v>
      </c>
      <c r="Z374" s="68" t="s">
        <v>13</v>
      </c>
      <c r="AA374" s="68" t="s">
        <v>26</v>
      </c>
      <c r="AB374" s="68" t="s">
        <v>28</v>
      </c>
      <c r="AC374" s="68" t="s">
        <v>25</v>
      </c>
      <c r="AD374" s="68" t="s">
        <v>31</v>
      </c>
      <c r="AE374" s="68" t="s">
        <v>186</v>
      </c>
      <c r="AF374" s="68" t="s">
        <v>15</v>
      </c>
      <c r="AG374">
        <f t="shared" si="110"/>
        <v>0</v>
      </c>
      <c r="AH374">
        <f t="shared" si="94"/>
        <v>0</v>
      </c>
      <c r="AI374">
        <f t="shared" si="95"/>
        <v>1</v>
      </c>
      <c r="AJ374">
        <f t="shared" si="96"/>
        <v>1</v>
      </c>
      <c r="AK374">
        <f t="shared" si="97"/>
        <v>1</v>
      </c>
      <c r="AL374">
        <f t="shared" si="98"/>
        <v>1</v>
      </c>
      <c r="AM374">
        <f t="shared" si="99"/>
        <v>0</v>
      </c>
      <c r="AN374">
        <f t="shared" si="100"/>
        <v>1</v>
      </c>
      <c r="AO374" s="69" t="e">
        <f t="shared" si="101"/>
        <v>#N/A</v>
      </c>
      <c r="AP374" s="69" t="e">
        <f t="shared" si="102"/>
        <v>#N/A</v>
      </c>
      <c r="AQ374" s="69" t="str">
        <f t="shared" si="103"/>
        <v>Bosnia</v>
      </c>
      <c r="AR374" s="69" t="str">
        <f t="shared" si="104"/>
        <v>Paraguay</v>
      </c>
      <c r="AS374" s="69" t="str">
        <f t="shared" si="105"/>
        <v>Korea</v>
      </c>
      <c r="AT374" s="69" t="str">
        <f t="shared" si="106"/>
        <v>Suecia</v>
      </c>
      <c r="AU374" s="69" t="e">
        <f t="shared" si="107"/>
        <v>#N/A</v>
      </c>
      <c r="AV374" s="69" t="str">
        <f t="shared" si="108"/>
        <v>Costa de Marfil</v>
      </c>
    </row>
    <row r="375" spans="24:48" x14ac:dyDescent="0.2">
      <c r="X375" s="64" t="str">
        <f t="shared" si="109"/>
        <v/>
      </c>
      <c r="Y375" s="68" t="s">
        <v>32</v>
      </c>
      <c r="Z375" s="68" t="s">
        <v>13</v>
      </c>
      <c r="AA375" s="68" t="s">
        <v>26</v>
      </c>
      <c r="AB375" s="68" t="s">
        <v>28</v>
      </c>
      <c r="AC375" s="68" t="s">
        <v>25</v>
      </c>
      <c r="AD375" s="68" t="s">
        <v>31</v>
      </c>
      <c r="AE375" s="68" t="s">
        <v>15</v>
      </c>
      <c r="AF375" s="68" t="s">
        <v>185</v>
      </c>
      <c r="AG375">
        <f t="shared" si="110"/>
        <v>0</v>
      </c>
      <c r="AH375">
        <f t="shared" si="94"/>
        <v>0</v>
      </c>
      <c r="AI375">
        <f t="shared" si="95"/>
        <v>1</v>
      </c>
      <c r="AJ375">
        <f t="shared" si="96"/>
        <v>1</v>
      </c>
      <c r="AK375">
        <f t="shared" si="97"/>
        <v>1</v>
      </c>
      <c r="AL375">
        <f t="shared" si="98"/>
        <v>1</v>
      </c>
      <c r="AM375">
        <f t="shared" si="99"/>
        <v>1</v>
      </c>
      <c r="AN375">
        <f t="shared" si="100"/>
        <v>0</v>
      </c>
      <c r="AO375" s="69" t="e">
        <f t="shared" si="101"/>
        <v>#N/A</v>
      </c>
      <c r="AP375" s="69" t="e">
        <f t="shared" si="102"/>
        <v>#N/A</v>
      </c>
      <c r="AQ375" s="69" t="str">
        <f t="shared" si="103"/>
        <v>Bosnia</v>
      </c>
      <c r="AR375" s="69" t="str">
        <f t="shared" si="104"/>
        <v>Paraguay</v>
      </c>
      <c r="AS375" s="69" t="str">
        <f t="shared" si="105"/>
        <v>Korea</v>
      </c>
      <c r="AT375" s="69" t="str">
        <f t="shared" si="106"/>
        <v>Suecia</v>
      </c>
      <c r="AU375" s="69" t="str">
        <f t="shared" si="107"/>
        <v>Costa de Marfil</v>
      </c>
      <c r="AV375" s="69" t="e">
        <f t="shared" si="108"/>
        <v>#N/A</v>
      </c>
    </row>
    <row r="376" spans="24:48" x14ac:dyDescent="0.2">
      <c r="X376" s="64" t="str">
        <f t="shared" si="109"/>
        <v/>
      </c>
      <c r="Y376" s="68" t="s">
        <v>32</v>
      </c>
      <c r="Z376" s="68" t="s">
        <v>15</v>
      </c>
      <c r="AA376" s="68" t="s">
        <v>26</v>
      </c>
      <c r="AB376" s="68" t="s">
        <v>28</v>
      </c>
      <c r="AC376" s="68" t="s">
        <v>25</v>
      </c>
      <c r="AD376" s="68" t="s">
        <v>31</v>
      </c>
      <c r="AE376" s="68" t="s">
        <v>186</v>
      </c>
      <c r="AF376" s="68" t="s">
        <v>184</v>
      </c>
      <c r="AG376">
        <f t="shared" si="110"/>
        <v>0</v>
      </c>
      <c r="AH376">
        <f t="shared" si="94"/>
        <v>1</v>
      </c>
      <c r="AI376">
        <f t="shared" si="95"/>
        <v>1</v>
      </c>
      <c r="AJ376">
        <f t="shared" si="96"/>
        <v>1</v>
      </c>
      <c r="AK376">
        <f t="shared" si="97"/>
        <v>1</v>
      </c>
      <c r="AL376">
        <f t="shared" si="98"/>
        <v>1</v>
      </c>
      <c r="AM376">
        <f t="shared" si="99"/>
        <v>0</v>
      </c>
      <c r="AN376">
        <f t="shared" si="100"/>
        <v>1</v>
      </c>
      <c r="AO376" s="69" t="e">
        <f t="shared" si="101"/>
        <v>#N/A</v>
      </c>
      <c r="AP376" s="69" t="str">
        <f t="shared" si="102"/>
        <v>Costa de Marfil</v>
      </c>
      <c r="AQ376" s="69" t="str">
        <f t="shared" si="103"/>
        <v>Bosnia</v>
      </c>
      <c r="AR376" s="69" t="str">
        <f t="shared" si="104"/>
        <v>Paraguay</v>
      </c>
      <c r="AS376" s="69" t="str">
        <f t="shared" si="105"/>
        <v>Korea</v>
      </c>
      <c r="AT376" s="69" t="str">
        <f t="shared" si="106"/>
        <v>Suecia</v>
      </c>
      <c r="AU376" s="69" t="e">
        <f t="shared" si="107"/>
        <v>#N/A</v>
      </c>
      <c r="AV376" s="69" t="str">
        <f t="shared" si="108"/>
        <v>Senegal</v>
      </c>
    </row>
    <row r="377" spans="24:48" x14ac:dyDescent="0.2">
      <c r="X377" s="64" t="str">
        <f t="shared" si="109"/>
        <v/>
      </c>
      <c r="Y377" s="68" t="s">
        <v>32</v>
      </c>
      <c r="Z377" s="68" t="s">
        <v>15</v>
      </c>
      <c r="AA377" s="68" t="s">
        <v>26</v>
      </c>
      <c r="AB377" s="68" t="s">
        <v>28</v>
      </c>
      <c r="AC377" s="68" t="s">
        <v>25</v>
      </c>
      <c r="AD377" s="68" t="s">
        <v>31</v>
      </c>
      <c r="AE377" s="68" t="s">
        <v>184</v>
      </c>
      <c r="AF377" s="68" t="s">
        <v>185</v>
      </c>
      <c r="AG377">
        <f t="shared" si="110"/>
        <v>0</v>
      </c>
      <c r="AH377">
        <f t="shared" si="94"/>
        <v>1</v>
      </c>
      <c r="AI377">
        <f t="shared" si="95"/>
        <v>1</v>
      </c>
      <c r="AJ377">
        <f t="shared" si="96"/>
        <v>1</v>
      </c>
      <c r="AK377">
        <f t="shared" si="97"/>
        <v>1</v>
      </c>
      <c r="AL377">
        <f t="shared" si="98"/>
        <v>1</v>
      </c>
      <c r="AM377">
        <f t="shared" si="99"/>
        <v>1</v>
      </c>
      <c r="AN377">
        <f t="shared" si="100"/>
        <v>0</v>
      </c>
      <c r="AO377" s="69" t="e">
        <f t="shared" si="101"/>
        <v>#N/A</v>
      </c>
      <c r="AP377" s="69" t="str">
        <f t="shared" si="102"/>
        <v>Costa de Marfil</v>
      </c>
      <c r="AQ377" s="69" t="str">
        <f t="shared" si="103"/>
        <v>Bosnia</v>
      </c>
      <c r="AR377" s="69" t="str">
        <f t="shared" si="104"/>
        <v>Paraguay</v>
      </c>
      <c r="AS377" s="69" t="str">
        <f t="shared" si="105"/>
        <v>Korea</v>
      </c>
      <c r="AT377" s="69" t="str">
        <f t="shared" si="106"/>
        <v>Suecia</v>
      </c>
      <c r="AU377" s="69" t="str">
        <f t="shared" si="107"/>
        <v>Senegal</v>
      </c>
      <c r="AV377" s="69" t="e">
        <f t="shared" si="108"/>
        <v>#N/A</v>
      </c>
    </row>
    <row r="378" spans="24:48" x14ac:dyDescent="0.2">
      <c r="X378" s="64" t="str">
        <f t="shared" si="109"/>
        <v/>
      </c>
      <c r="Y378" s="68" t="s">
        <v>32</v>
      </c>
      <c r="Z378" s="68" t="s">
        <v>13</v>
      </c>
      <c r="AA378" s="68" t="s">
        <v>26</v>
      </c>
      <c r="AB378" s="68" t="s">
        <v>28</v>
      </c>
      <c r="AC378" s="68" t="s">
        <v>25</v>
      </c>
      <c r="AD378" s="68" t="s">
        <v>31</v>
      </c>
      <c r="AE378" s="68" t="s">
        <v>15</v>
      </c>
      <c r="AF378" s="68" t="s">
        <v>184</v>
      </c>
      <c r="AG378">
        <f t="shared" si="110"/>
        <v>0</v>
      </c>
      <c r="AH378">
        <f t="shared" si="94"/>
        <v>0</v>
      </c>
      <c r="AI378">
        <f t="shared" si="95"/>
        <v>1</v>
      </c>
      <c r="AJ378">
        <f t="shared" si="96"/>
        <v>1</v>
      </c>
      <c r="AK378">
        <f t="shared" si="97"/>
        <v>1</v>
      </c>
      <c r="AL378">
        <f t="shared" si="98"/>
        <v>1</v>
      </c>
      <c r="AM378">
        <f t="shared" si="99"/>
        <v>1</v>
      </c>
      <c r="AN378">
        <f t="shared" si="100"/>
        <v>1</v>
      </c>
      <c r="AO378" s="69" t="e">
        <f t="shared" si="101"/>
        <v>#N/A</v>
      </c>
      <c r="AP378" s="69" t="e">
        <f t="shared" si="102"/>
        <v>#N/A</v>
      </c>
      <c r="AQ378" s="69" t="str">
        <f t="shared" si="103"/>
        <v>Bosnia</v>
      </c>
      <c r="AR378" s="69" t="str">
        <f t="shared" si="104"/>
        <v>Paraguay</v>
      </c>
      <c r="AS378" s="69" t="str">
        <f t="shared" si="105"/>
        <v>Korea</v>
      </c>
      <c r="AT378" s="69" t="str">
        <f t="shared" si="106"/>
        <v>Suecia</v>
      </c>
      <c r="AU378" s="69" t="str">
        <f t="shared" si="107"/>
        <v>Costa de Marfil</v>
      </c>
      <c r="AV378" s="69" t="str">
        <f t="shared" si="108"/>
        <v>Senegal</v>
      </c>
    </row>
    <row r="379" spans="24:48" x14ac:dyDescent="0.2">
      <c r="X379" s="64" t="str">
        <f t="shared" si="109"/>
        <v/>
      </c>
      <c r="Y379" s="68" t="s">
        <v>15</v>
      </c>
      <c r="Z379" s="68" t="s">
        <v>14</v>
      </c>
      <c r="AA379" s="68" t="s">
        <v>26</v>
      </c>
      <c r="AB379" s="68" t="s">
        <v>28</v>
      </c>
      <c r="AC379" s="68" t="s">
        <v>25</v>
      </c>
      <c r="AD379" s="68" t="s">
        <v>31</v>
      </c>
      <c r="AE379" s="68" t="s">
        <v>186</v>
      </c>
      <c r="AF379" s="68" t="s">
        <v>185</v>
      </c>
      <c r="AG379">
        <f t="shared" si="110"/>
        <v>1</v>
      </c>
      <c r="AH379">
        <f t="shared" si="94"/>
        <v>1</v>
      </c>
      <c r="AI379">
        <f t="shared" si="95"/>
        <v>1</v>
      </c>
      <c r="AJ379">
        <f t="shared" si="96"/>
        <v>1</v>
      </c>
      <c r="AK379">
        <f t="shared" si="97"/>
        <v>1</v>
      </c>
      <c r="AL379">
        <f t="shared" si="98"/>
        <v>1</v>
      </c>
      <c r="AM379">
        <f t="shared" si="99"/>
        <v>0</v>
      </c>
      <c r="AN379">
        <f t="shared" si="100"/>
        <v>0</v>
      </c>
      <c r="AO379" s="69" t="str">
        <f t="shared" si="101"/>
        <v>Costa de Marfil</v>
      </c>
      <c r="AP379" s="69" t="str">
        <f t="shared" si="102"/>
        <v>Irán</v>
      </c>
      <c r="AQ379" s="69" t="str">
        <f t="shared" si="103"/>
        <v>Bosnia</v>
      </c>
      <c r="AR379" s="69" t="str">
        <f t="shared" si="104"/>
        <v>Paraguay</v>
      </c>
      <c r="AS379" s="69" t="str">
        <f t="shared" si="105"/>
        <v>Korea</v>
      </c>
      <c r="AT379" s="69" t="str">
        <f t="shared" si="106"/>
        <v>Suecia</v>
      </c>
      <c r="AU379" s="69" t="e">
        <f t="shared" si="107"/>
        <v>#N/A</v>
      </c>
      <c r="AV379" s="69" t="e">
        <f t="shared" si="108"/>
        <v>#N/A</v>
      </c>
    </row>
    <row r="380" spans="24:48" x14ac:dyDescent="0.2">
      <c r="X380" s="64" t="str">
        <f t="shared" si="109"/>
        <v/>
      </c>
      <c r="Y380" s="68" t="s">
        <v>15</v>
      </c>
      <c r="Z380" s="68" t="s">
        <v>14</v>
      </c>
      <c r="AA380" s="68" t="s">
        <v>26</v>
      </c>
      <c r="AB380" s="68" t="s">
        <v>28</v>
      </c>
      <c r="AC380" s="68" t="s">
        <v>25</v>
      </c>
      <c r="AD380" s="68" t="s">
        <v>31</v>
      </c>
      <c r="AE380" s="68" t="s">
        <v>186</v>
      </c>
      <c r="AF380" s="68" t="s">
        <v>13</v>
      </c>
      <c r="AG380">
        <f t="shared" si="110"/>
        <v>1</v>
      </c>
      <c r="AH380">
        <f t="shared" si="94"/>
        <v>1</v>
      </c>
      <c r="AI380">
        <f t="shared" si="95"/>
        <v>1</v>
      </c>
      <c r="AJ380">
        <f t="shared" si="96"/>
        <v>1</v>
      </c>
      <c r="AK380">
        <f t="shared" si="97"/>
        <v>1</v>
      </c>
      <c r="AL380">
        <f t="shared" si="98"/>
        <v>1</v>
      </c>
      <c r="AM380">
        <f t="shared" si="99"/>
        <v>0</v>
      </c>
      <c r="AN380">
        <f t="shared" si="100"/>
        <v>0</v>
      </c>
      <c r="AO380" s="69" t="str">
        <f t="shared" si="101"/>
        <v>Costa de Marfil</v>
      </c>
      <c r="AP380" s="69" t="str">
        <f t="shared" si="102"/>
        <v>Irán</v>
      </c>
      <c r="AQ380" s="69" t="str">
        <f t="shared" si="103"/>
        <v>Bosnia</v>
      </c>
      <c r="AR380" s="69" t="str">
        <f t="shared" si="104"/>
        <v>Paraguay</v>
      </c>
      <c r="AS380" s="69" t="str">
        <f t="shared" si="105"/>
        <v>Korea</v>
      </c>
      <c r="AT380" s="69" t="str">
        <f t="shared" si="106"/>
        <v>Suecia</v>
      </c>
      <c r="AU380" s="69" t="e">
        <f t="shared" si="107"/>
        <v>#N/A</v>
      </c>
      <c r="AV380" s="69" t="e">
        <f t="shared" si="108"/>
        <v>#N/A</v>
      </c>
    </row>
    <row r="381" spans="24:48" x14ac:dyDescent="0.2">
      <c r="X381" s="64" t="str">
        <f t="shared" si="109"/>
        <v/>
      </c>
      <c r="Y381" s="68" t="s">
        <v>15</v>
      </c>
      <c r="Z381" s="68" t="s">
        <v>14</v>
      </c>
      <c r="AA381" s="68" t="s">
        <v>26</v>
      </c>
      <c r="AB381" s="68" t="s">
        <v>28</v>
      </c>
      <c r="AC381" s="68" t="s">
        <v>25</v>
      </c>
      <c r="AD381" s="68" t="s">
        <v>31</v>
      </c>
      <c r="AE381" s="68" t="s">
        <v>13</v>
      </c>
      <c r="AF381" s="68" t="s">
        <v>185</v>
      </c>
      <c r="AG381">
        <f t="shared" si="110"/>
        <v>1</v>
      </c>
      <c r="AH381">
        <f t="shared" si="94"/>
        <v>1</v>
      </c>
      <c r="AI381">
        <f t="shared" si="95"/>
        <v>1</v>
      </c>
      <c r="AJ381">
        <f t="shared" si="96"/>
        <v>1</v>
      </c>
      <c r="AK381">
        <f t="shared" si="97"/>
        <v>1</v>
      </c>
      <c r="AL381">
        <f t="shared" si="98"/>
        <v>1</v>
      </c>
      <c r="AM381">
        <f t="shared" si="99"/>
        <v>0</v>
      </c>
      <c r="AN381">
        <f t="shared" si="100"/>
        <v>0</v>
      </c>
      <c r="AO381" s="69" t="str">
        <f t="shared" si="101"/>
        <v>Costa de Marfil</v>
      </c>
      <c r="AP381" s="69" t="str">
        <f t="shared" si="102"/>
        <v>Irán</v>
      </c>
      <c r="AQ381" s="69" t="str">
        <f t="shared" si="103"/>
        <v>Bosnia</v>
      </c>
      <c r="AR381" s="69" t="str">
        <f t="shared" si="104"/>
        <v>Paraguay</v>
      </c>
      <c r="AS381" s="69" t="str">
        <f t="shared" si="105"/>
        <v>Korea</v>
      </c>
      <c r="AT381" s="69" t="str">
        <f t="shared" si="106"/>
        <v>Suecia</v>
      </c>
      <c r="AU381" s="69" t="e">
        <f t="shared" si="107"/>
        <v>#N/A</v>
      </c>
      <c r="AV381" s="69" t="e">
        <f t="shared" si="108"/>
        <v>#N/A</v>
      </c>
    </row>
    <row r="382" spans="24:48" x14ac:dyDescent="0.2">
      <c r="X382" s="64" t="str">
        <f t="shared" si="109"/>
        <v/>
      </c>
      <c r="Y382" s="68" t="s">
        <v>15</v>
      </c>
      <c r="Z382" s="68" t="s">
        <v>14</v>
      </c>
      <c r="AA382" s="68" t="s">
        <v>26</v>
      </c>
      <c r="AB382" s="68" t="s">
        <v>28</v>
      </c>
      <c r="AC382" s="68" t="s">
        <v>25</v>
      </c>
      <c r="AD382" s="68" t="s">
        <v>31</v>
      </c>
      <c r="AE382" s="68" t="s">
        <v>186</v>
      </c>
      <c r="AF382" s="68" t="s">
        <v>184</v>
      </c>
      <c r="AG382">
        <f t="shared" si="110"/>
        <v>1</v>
      </c>
      <c r="AH382">
        <f t="shared" si="94"/>
        <v>1</v>
      </c>
      <c r="AI382">
        <f t="shared" si="95"/>
        <v>1</v>
      </c>
      <c r="AJ382">
        <f t="shared" si="96"/>
        <v>1</v>
      </c>
      <c r="AK382">
        <f t="shared" si="97"/>
        <v>1</v>
      </c>
      <c r="AL382">
        <f t="shared" si="98"/>
        <v>1</v>
      </c>
      <c r="AM382">
        <f t="shared" si="99"/>
        <v>0</v>
      </c>
      <c r="AN382">
        <f t="shared" si="100"/>
        <v>1</v>
      </c>
      <c r="AO382" s="69" t="str">
        <f t="shared" si="101"/>
        <v>Costa de Marfil</v>
      </c>
      <c r="AP382" s="69" t="str">
        <f t="shared" si="102"/>
        <v>Irán</v>
      </c>
      <c r="AQ382" s="69" t="str">
        <f t="shared" si="103"/>
        <v>Bosnia</v>
      </c>
      <c r="AR382" s="69" t="str">
        <f t="shared" si="104"/>
        <v>Paraguay</v>
      </c>
      <c r="AS382" s="69" t="str">
        <f t="shared" si="105"/>
        <v>Korea</v>
      </c>
      <c r="AT382" s="69" t="str">
        <f t="shared" si="106"/>
        <v>Suecia</v>
      </c>
      <c r="AU382" s="69" t="e">
        <f t="shared" si="107"/>
        <v>#N/A</v>
      </c>
      <c r="AV382" s="69" t="str">
        <f t="shared" si="108"/>
        <v>Senegal</v>
      </c>
    </row>
    <row r="383" spans="24:48" x14ac:dyDescent="0.2">
      <c r="X383" s="64" t="str">
        <f t="shared" si="109"/>
        <v/>
      </c>
      <c r="Y383" s="68" t="s">
        <v>15</v>
      </c>
      <c r="Z383" s="68" t="s">
        <v>14</v>
      </c>
      <c r="AA383" s="68" t="s">
        <v>26</v>
      </c>
      <c r="AB383" s="68" t="s">
        <v>28</v>
      </c>
      <c r="AC383" s="68" t="s">
        <v>25</v>
      </c>
      <c r="AD383" s="68" t="s">
        <v>31</v>
      </c>
      <c r="AE383" s="68" t="s">
        <v>184</v>
      </c>
      <c r="AF383" s="68" t="s">
        <v>185</v>
      </c>
      <c r="AG383">
        <f t="shared" si="110"/>
        <v>1</v>
      </c>
      <c r="AH383">
        <f t="shared" si="94"/>
        <v>1</v>
      </c>
      <c r="AI383">
        <f t="shared" si="95"/>
        <v>1</v>
      </c>
      <c r="AJ383">
        <f t="shared" si="96"/>
        <v>1</v>
      </c>
      <c r="AK383">
        <f t="shared" si="97"/>
        <v>1</v>
      </c>
      <c r="AL383">
        <f t="shared" si="98"/>
        <v>1</v>
      </c>
      <c r="AM383">
        <f t="shared" si="99"/>
        <v>1</v>
      </c>
      <c r="AN383">
        <f t="shared" si="100"/>
        <v>0</v>
      </c>
      <c r="AO383" s="69" t="str">
        <f t="shared" si="101"/>
        <v>Costa de Marfil</v>
      </c>
      <c r="AP383" s="69" t="str">
        <f t="shared" si="102"/>
        <v>Irán</v>
      </c>
      <c r="AQ383" s="69" t="str">
        <f t="shared" si="103"/>
        <v>Bosnia</v>
      </c>
      <c r="AR383" s="69" t="str">
        <f t="shared" si="104"/>
        <v>Paraguay</v>
      </c>
      <c r="AS383" s="69" t="str">
        <f t="shared" si="105"/>
        <v>Korea</v>
      </c>
      <c r="AT383" s="69" t="str">
        <f t="shared" si="106"/>
        <v>Suecia</v>
      </c>
      <c r="AU383" s="69" t="str">
        <f t="shared" si="107"/>
        <v>Senegal</v>
      </c>
      <c r="AV383" s="69" t="e">
        <f t="shared" si="108"/>
        <v>#N/A</v>
      </c>
    </row>
    <row r="384" spans="24:48" x14ac:dyDescent="0.2">
      <c r="X384" s="64" t="str">
        <f t="shared" si="109"/>
        <v/>
      </c>
      <c r="Y384" s="68" t="s">
        <v>15</v>
      </c>
      <c r="Z384" s="68" t="s">
        <v>14</v>
      </c>
      <c r="AA384" s="68" t="s">
        <v>26</v>
      </c>
      <c r="AB384" s="68" t="s">
        <v>28</v>
      </c>
      <c r="AC384" s="68" t="s">
        <v>25</v>
      </c>
      <c r="AD384" s="68" t="s">
        <v>31</v>
      </c>
      <c r="AE384" s="68" t="s">
        <v>184</v>
      </c>
      <c r="AF384" s="68" t="s">
        <v>13</v>
      </c>
      <c r="AG384">
        <f t="shared" si="110"/>
        <v>1</v>
      </c>
      <c r="AH384">
        <f t="shared" si="94"/>
        <v>1</v>
      </c>
      <c r="AI384">
        <f t="shared" si="95"/>
        <v>1</v>
      </c>
      <c r="AJ384">
        <f t="shared" si="96"/>
        <v>1</v>
      </c>
      <c r="AK384">
        <f t="shared" si="97"/>
        <v>1</v>
      </c>
      <c r="AL384">
        <f t="shared" si="98"/>
        <v>1</v>
      </c>
      <c r="AM384">
        <f t="shared" si="99"/>
        <v>1</v>
      </c>
      <c r="AN384">
        <f t="shared" si="100"/>
        <v>0</v>
      </c>
      <c r="AO384" s="69" t="str">
        <f t="shared" si="101"/>
        <v>Costa de Marfil</v>
      </c>
      <c r="AP384" s="69" t="str">
        <f t="shared" si="102"/>
        <v>Irán</v>
      </c>
      <c r="AQ384" s="69" t="str">
        <f t="shared" si="103"/>
        <v>Bosnia</v>
      </c>
      <c r="AR384" s="69" t="str">
        <f t="shared" si="104"/>
        <v>Paraguay</v>
      </c>
      <c r="AS384" s="69" t="str">
        <f t="shared" si="105"/>
        <v>Korea</v>
      </c>
      <c r="AT384" s="69" t="str">
        <f t="shared" si="106"/>
        <v>Suecia</v>
      </c>
      <c r="AU384" s="69" t="str">
        <f t="shared" si="107"/>
        <v>Senegal</v>
      </c>
      <c r="AV384" s="69" t="e">
        <f t="shared" si="108"/>
        <v>#N/A</v>
      </c>
    </row>
    <row r="385" spans="24:48" x14ac:dyDescent="0.2">
      <c r="X385" s="64" t="str">
        <f t="shared" si="109"/>
        <v/>
      </c>
      <c r="Y385" s="68" t="s">
        <v>32</v>
      </c>
      <c r="Z385" s="68" t="s">
        <v>14</v>
      </c>
      <c r="AA385" s="68" t="s">
        <v>26</v>
      </c>
      <c r="AB385" s="68" t="s">
        <v>28</v>
      </c>
      <c r="AC385" s="68" t="s">
        <v>25</v>
      </c>
      <c r="AD385" s="68" t="s">
        <v>31</v>
      </c>
      <c r="AE385" s="68" t="s">
        <v>186</v>
      </c>
      <c r="AF385" s="68" t="s">
        <v>15</v>
      </c>
      <c r="AG385">
        <f t="shared" si="110"/>
        <v>0</v>
      </c>
      <c r="AH385">
        <f t="shared" si="94"/>
        <v>1</v>
      </c>
      <c r="AI385">
        <f t="shared" si="95"/>
        <v>1</v>
      </c>
      <c r="AJ385">
        <f t="shared" si="96"/>
        <v>1</v>
      </c>
      <c r="AK385">
        <f t="shared" si="97"/>
        <v>1</v>
      </c>
      <c r="AL385">
        <f t="shared" si="98"/>
        <v>1</v>
      </c>
      <c r="AM385">
        <f t="shared" si="99"/>
        <v>0</v>
      </c>
      <c r="AN385">
        <f t="shared" si="100"/>
        <v>1</v>
      </c>
      <c r="AO385" s="69" t="e">
        <f t="shared" si="101"/>
        <v>#N/A</v>
      </c>
      <c r="AP385" s="69" t="str">
        <f t="shared" si="102"/>
        <v>Irán</v>
      </c>
      <c r="AQ385" s="69" t="str">
        <f t="shared" si="103"/>
        <v>Bosnia</v>
      </c>
      <c r="AR385" s="69" t="str">
        <f t="shared" si="104"/>
        <v>Paraguay</v>
      </c>
      <c r="AS385" s="69" t="str">
        <f t="shared" si="105"/>
        <v>Korea</v>
      </c>
      <c r="AT385" s="69" t="str">
        <f t="shared" si="106"/>
        <v>Suecia</v>
      </c>
      <c r="AU385" s="69" t="e">
        <f t="shared" si="107"/>
        <v>#N/A</v>
      </c>
      <c r="AV385" s="69" t="str">
        <f t="shared" si="108"/>
        <v>Costa de Marfil</v>
      </c>
    </row>
    <row r="386" spans="24:48" x14ac:dyDescent="0.2">
      <c r="X386" s="64" t="str">
        <f t="shared" si="109"/>
        <v/>
      </c>
      <c r="Y386" s="68" t="s">
        <v>32</v>
      </c>
      <c r="Z386" s="68" t="s">
        <v>14</v>
      </c>
      <c r="AA386" s="68" t="s">
        <v>26</v>
      </c>
      <c r="AB386" s="68" t="s">
        <v>28</v>
      </c>
      <c r="AC386" s="68" t="s">
        <v>25</v>
      </c>
      <c r="AD386" s="68" t="s">
        <v>31</v>
      </c>
      <c r="AE386" s="68" t="s">
        <v>15</v>
      </c>
      <c r="AF386" s="68" t="s">
        <v>185</v>
      </c>
      <c r="AG386">
        <f t="shared" si="110"/>
        <v>0</v>
      </c>
      <c r="AH386">
        <f t="shared" si="94"/>
        <v>1</v>
      </c>
      <c r="AI386">
        <f t="shared" si="95"/>
        <v>1</v>
      </c>
      <c r="AJ386">
        <f t="shared" si="96"/>
        <v>1</v>
      </c>
      <c r="AK386">
        <f t="shared" si="97"/>
        <v>1</v>
      </c>
      <c r="AL386">
        <f t="shared" si="98"/>
        <v>1</v>
      </c>
      <c r="AM386">
        <f t="shared" si="99"/>
        <v>1</v>
      </c>
      <c r="AN386">
        <f t="shared" si="100"/>
        <v>0</v>
      </c>
      <c r="AO386" s="69" t="e">
        <f t="shared" si="101"/>
        <v>#N/A</v>
      </c>
      <c r="AP386" s="69" t="str">
        <f t="shared" si="102"/>
        <v>Irán</v>
      </c>
      <c r="AQ386" s="69" t="str">
        <f t="shared" si="103"/>
        <v>Bosnia</v>
      </c>
      <c r="AR386" s="69" t="str">
        <f t="shared" si="104"/>
        <v>Paraguay</v>
      </c>
      <c r="AS386" s="69" t="str">
        <f t="shared" si="105"/>
        <v>Korea</v>
      </c>
      <c r="AT386" s="69" t="str">
        <f t="shared" si="106"/>
        <v>Suecia</v>
      </c>
      <c r="AU386" s="69" t="str">
        <f t="shared" si="107"/>
        <v>Costa de Marfil</v>
      </c>
      <c r="AV386" s="69" t="e">
        <f t="shared" si="108"/>
        <v>#N/A</v>
      </c>
    </row>
    <row r="387" spans="24:48" x14ac:dyDescent="0.2">
      <c r="X387" s="64" t="str">
        <f t="shared" si="109"/>
        <v/>
      </c>
      <c r="Y387" s="68" t="s">
        <v>32</v>
      </c>
      <c r="Z387" s="68" t="s">
        <v>14</v>
      </c>
      <c r="AA387" s="68" t="s">
        <v>26</v>
      </c>
      <c r="AB387" s="68" t="s">
        <v>28</v>
      </c>
      <c r="AC387" s="68" t="s">
        <v>25</v>
      </c>
      <c r="AD387" s="68" t="s">
        <v>31</v>
      </c>
      <c r="AE387" s="68" t="s">
        <v>15</v>
      </c>
      <c r="AF387" s="68" t="s">
        <v>13</v>
      </c>
      <c r="AG387">
        <f t="shared" si="110"/>
        <v>0</v>
      </c>
      <c r="AH387">
        <f t="shared" si="94"/>
        <v>1</v>
      </c>
      <c r="AI387">
        <f t="shared" si="95"/>
        <v>1</v>
      </c>
      <c r="AJ387">
        <f t="shared" si="96"/>
        <v>1</v>
      </c>
      <c r="AK387">
        <f t="shared" si="97"/>
        <v>1</v>
      </c>
      <c r="AL387">
        <f t="shared" si="98"/>
        <v>1</v>
      </c>
      <c r="AM387">
        <f t="shared" si="99"/>
        <v>1</v>
      </c>
      <c r="AN387">
        <f t="shared" si="100"/>
        <v>0</v>
      </c>
      <c r="AO387" s="69" t="e">
        <f t="shared" si="101"/>
        <v>#N/A</v>
      </c>
      <c r="AP387" s="69" t="str">
        <f t="shared" si="102"/>
        <v>Irán</v>
      </c>
      <c r="AQ387" s="69" t="str">
        <f t="shared" si="103"/>
        <v>Bosnia</v>
      </c>
      <c r="AR387" s="69" t="str">
        <f t="shared" si="104"/>
        <v>Paraguay</v>
      </c>
      <c r="AS387" s="69" t="str">
        <f t="shared" si="105"/>
        <v>Korea</v>
      </c>
      <c r="AT387" s="69" t="str">
        <f t="shared" si="106"/>
        <v>Suecia</v>
      </c>
      <c r="AU387" s="69" t="str">
        <f t="shared" si="107"/>
        <v>Costa de Marfil</v>
      </c>
      <c r="AV387" s="69" t="e">
        <f t="shared" si="108"/>
        <v>#N/A</v>
      </c>
    </row>
    <row r="388" spans="24:48" x14ac:dyDescent="0.2">
      <c r="X388" s="64" t="str">
        <f t="shared" si="109"/>
        <v/>
      </c>
      <c r="Y388" s="68" t="s">
        <v>32</v>
      </c>
      <c r="Z388" s="68" t="s">
        <v>14</v>
      </c>
      <c r="AA388" s="68" t="s">
        <v>26</v>
      </c>
      <c r="AB388" s="68" t="s">
        <v>28</v>
      </c>
      <c r="AC388" s="68" t="s">
        <v>25</v>
      </c>
      <c r="AD388" s="68" t="s">
        <v>31</v>
      </c>
      <c r="AE388" s="68" t="s">
        <v>15</v>
      </c>
      <c r="AF388" s="68" t="s">
        <v>184</v>
      </c>
      <c r="AG388">
        <f t="shared" si="110"/>
        <v>0</v>
      </c>
      <c r="AH388">
        <f t="shared" si="94"/>
        <v>1</v>
      </c>
      <c r="AI388">
        <f t="shared" si="95"/>
        <v>1</v>
      </c>
      <c r="AJ388">
        <f t="shared" si="96"/>
        <v>1</v>
      </c>
      <c r="AK388">
        <f t="shared" si="97"/>
        <v>1</v>
      </c>
      <c r="AL388">
        <f t="shared" si="98"/>
        <v>1</v>
      </c>
      <c r="AM388">
        <f t="shared" si="99"/>
        <v>1</v>
      </c>
      <c r="AN388">
        <f t="shared" si="100"/>
        <v>1</v>
      </c>
      <c r="AO388" s="69" t="e">
        <f t="shared" si="101"/>
        <v>#N/A</v>
      </c>
      <c r="AP388" s="69" t="str">
        <f t="shared" si="102"/>
        <v>Irán</v>
      </c>
      <c r="AQ388" s="69" t="str">
        <f t="shared" si="103"/>
        <v>Bosnia</v>
      </c>
      <c r="AR388" s="69" t="str">
        <f t="shared" si="104"/>
        <v>Paraguay</v>
      </c>
      <c r="AS388" s="69" t="str">
        <f t="shared" si="105"/>
        <v>Korea</v>
      </c>
      <c r="AT388" s="69" t="str">
        <f t="shared" si="106"/>
        <v>Suecia</v>
      </c>
      <c r="AU388" s="69" t="str">
        <f t="shared" si="107"/>
        <v>Costa de Marfil</v>
      </c>
      <c r="AV388" s="69" t="str">
        <f t="shared" si="108"/>
        <v>Senegal</v>
      </c>
    </row>
    <row r="389" spans="24:48" x14ac:dyDescent="0.2">
      <c r="X389" s="64" t="str">
        <f t="shared" si="109"/>
        <v/>
      </c>
      <c r="Y389" s="68" t="s">
        <v>184</v>
      </c>
      <c r="Z389" s="68" t="s">
        <v>13</v>
      </c>
      <c r="AA389" s="68" t="s">
        <v>26</v>
      </c>
      <c r="AB389" s="68" t="s">
        <v>27</v>
      </c>
      <c r="AC389" s="68" t="s">
        <v>25</v>
      </c>
      <c r="AD389" s="68" t="s">
        <v>32</v>
      </c>
      <c r="AE389" s="68" t="s">
        <v>186</v>
      </c>
      <c r="AF389" s="68" t="s">
        <v>185</v>
      </c>
      <c r="AG389">
        <f t="shared" si="110"/>
        <v>1</v>
      </c>
      <c r="AH389">
        <f t="shared" si="94"/>
        <v>0</v>
      </c>
      <c r="AI389">
        <f t="shared" si="95"/>
        <v>1</v>
      </c>
      <c r="AJ389">
        <f t="shared" si="96"/>
        <v>1</v>
      </c>
      <c r="AK389">
        <f t="shared" si="97"/>
        <v>1</v>
      </c>
      <c r="AL389">
        <f t="shared" si="98"/>
        <v>0</v>
      </c>
      <c r="AM389">
        <f t="shared" si="99"/>
        <v>0</v>
      </c>
      <c r="AN389">
        <f t="shared" si="100"/>
        <v>0</v>
      </c>
      <c r="AO389" s="69" t="str">
        <f t="shared" si="101"/>
        <v>Senegal</v>
      </c>
      <c r="AP389" s="69" t="e">
        <f t="shared" si="102"/>
        <v>#N/A</v>
      </c>
      <c r="AQ389" s="69" t="str">
        <f t="shared" si="103"/>
        <v>Bosnia</v>
      </c>
      <c r="AR389" s="69" t="str">
        <f t="shared" si="104"/>
        <v>Marruecos</v>
      </c>
      <c r="AS389" s="69" t="str">
        <f t="shared" si="105"/>
        <v>Korea</v>
      </c>
      <c r="AT389" s="69" t="e">
        <f t="shared" si="106"/>
        <v>#N/A</v>
      </c>
      <c r="AU389" s="69" t="e">
        <f t="shared" si="107"/>
        <v>#N/A</v>
      </c>
      <c r="AV389" s="69" t="e">
        <f t="shared" si="108"/>
        <v>#N/A</v>
      </c>
    </row>
    <row r="390" spans="24:48" x14ac:dyDescent="0.2">
      <c r="X390" s="64" t="str">
        <f t="shared" si="109"/>
        <v/>
      </c>
      <c r="Y390" s="68" t="s">
        <v>184</v>
      </c>
      <c r="Z390" s="68" t="s">
        <v>13</v>
      </c>
      <c r="AA390" s="68" t="s">
        <v>26</v>
      </c>
      <c r="AB390" s="68" t="s">
        <v>27</v>
      </c>
      <c r="AC390" s="68" t="s">
        <v>25</v>
      </c>
      <c r="AD390" s="68" t="s">
        <v>14</v>
      </c>
      <c r="AE390" s="68" t="s">
        <v>186</v>
      </c>
      <c r="AF390" s="68" t="s">
        <v>185</v>
      </c>
      <c r="AG390">
        <f t="shared" si="110"/>
        <v>1</v>
      </c>
      <c r="AH390">
        <f t="shared" si="94"/>
        <v>0</v>
      </c>
      <c r="AI390">
        <f t="shared" si="95"/>
        <v>1</v>
      </c>
      <c r="AJ390">
        <f t="shared" si="96"/>
        <v>1</v>
      </c>
      <c r="AK390">
        <f t="shared" si="97"/>
        <v>1</v>
      </c>
      <c r="AL390">
        <f t="shared" si="98"/>
        <v>1</v>
      </c>
      <c r="AM390">
        <f t="shared" si="99"/>
        <v>0</v>
      </c>
      <c r="AN390">
        <f t="shared" si="100"/>
        <v>0</v>
      </c>
      <c r="AO390" s="69" t="str">
        <f t="shared" si="101"/>
        <v>Senegal</v>
      </c>
      <c r="AP390" s="69" t="e">
        <f t="shared" si="102"/>
        <v>#N/A</v>
      </c>
      <c r="AQ390" s="69" t="str">
        <f t="shared" si="103"/>
        <v>Bosnia</v>
      </c>
      <c r="AR390" s="69" t="str">
        <f t="shared" si="104"/>
        <v>Marruecos</v>
      </c>
      <c r="AS390" s="69" t="str">
        <f t="shared" si="105"/>
        <v>Korea</v>
      </c>
      <c r="AT390" s="69" t="str">
        <f t="shared" si="106"/>
        <v>Irán</v>
      </c>
      <c r="AU390" s="69" t="e">
        <f t="shared" si="107"/>
        <v>#N/A</v>
      </c>
      <c r="AV390" s="69" t="e">
        <f t="shared" si="108"/>
        <v>#N/A</v>
      </c>
    </row>
    <row r="391" spans="24:48" x14ac:dyDescent="0.2">
      <c r="X391" s="64" t="str">
        <f t="shared" si="109"/>
        <v/>
      </c>
      <c r="Y391" s="68" t="s">
        <v>32</v>
      </c>
      <c r="Z391" s="68" t="s">
        <v>13</v>
      </c>
      <c r="AA391" s="68" t="s">
        <v>26</v>
      </c>
      <c r="AB391" s="68" t="s">
        <v>27</v>
      </c>
      <c r="AC391" s="68" t="s">
        <v>25</v>
      </c>
      <c r="AD391" s="68" t="s">
        <v>14</v>
      </c>
      <c r="AE391" s="68" t="s">
        <v>186</v>
      </c>
      <c r="AF391" s="68" t="s">
        <v>185</v>
      </c>
      <c r="AG391">
        <f t="shared" si="110"/>
        <v>0</v>
      </c>
      <c r="AH391">
        <f t="shared" si="94"/>
        <v>0</v>
      </c>
      <c r="AI391">
        <f t="shared" si="95"/>
        <v>1</v>
      </c>
      <c r="AJ391">
        <f t="shared" si="96"/>
        <v>1</v>
      </c>
      <c r="AK391">
        <f t="shared" si="97"/>
        <v>1</v>
      </c>
      <c r="AL391">
        <f t="shared" si="98"/>
        <v>1</v>
      </c>
      <c r="AM391">
        <f t="shared" si="99"/>
        <v>0</v>
      </c>
      <c r="AN391">
        <f t="shared" si="100"/>
        <v>0</v>
      </c>
      <c r="AO391" s="69" t="e">
        <f t="shared" si="101"/>
        <v>#N/A</v>
      </c>
      <c r="AP391" s="69" t="e">
        <f t="shared" si="102"/>
        <v>#N/A</v>
      </c>
      <c r="AQ391" s="69" t="str">
        <f t="shared" si="103"/>
        <v>Bosnia</v>
      </c>
      <c r="AR391" s="69" t="str">
        <f t="shared" si="104"/>
        <v>Marruecos</v>
      </c>
      <c r="AS391" s="69" t="str">
        <f t="shared" si="105"/>
        <v>Korea</v>
      </c>
      <c r="AT391" s="69" t="str">
        <f t="shared" si="106"/>
        <v>Irán</v>
      </c>
      <c r="AU391" s="69" t="e">
        <f t="shared" si="107"/>
        <v>#N/A</v>
      </c>
      <c r="AV391" s="69" t="e">
        <f t="shared" si="108"/>
        <v>#N/A</v>
      </c>
    </row>
    <row r="392" spans="24:48" x14ac:dyDescent="0.2">
      <c r="X392" s="64" t="str">
        <f t="shared" si="109"/>
        <v/>
      </c>
      <c r="Y392" s="68" t="s">
        <v>184</v>
      </c>
      <c r="Z392" s="68" t="s">
        <v>14</v>
      </c>
      <c r="AA392" s="68" t="s">
        <v>26</v>
      </c>
      <c r="AB392" s="68" t="s">
        <v>27</v>
      </c>
      <c r="AC392" s="68" t="s">
        <v>25</v>
      </c>
      <c r="AD392" s="68" t="s">
        <v>32</v>
      </c>
      <c r="AE392" s="68" t="s">
        <v>186</v>
      </c>
      <c r="AF392" s="68" t="s">
        <v>185</v>
      </c>
      <c r="AG392">
        <f t="shared" si="110"/>
        <v>1</v>
      </c>
      <c r="AH392">
        <f t="shared" si="94"/>
        <v>1</v>
      </c>
      <c r="AI392">
        <f t="shared" si="95"/>
        <v>1</v>
      </c>
      <c r="AJ392">
        <f t="shared" si="96"/>
        <v>1</v>
      </c>
      <c r="AK392">
        <f t="shared" si="97"/>
        <v>1</v>
      </c>
      <c r="AL392">
        <f t="shared" si="98"/>
        <v>0</v>
      </c>
      <c r="AM392">
        <f t="shared" si="99"/>
        <v>0</v>
      </c>
      <c r="AN392">
        <f t="shared" si="100"/>
        <v>0</v>
      </c>
      <c r="AO392" s="69" t="str">
        <f t="shared" si="101"/>
        <v>Senegal</v>
      </c>
      <c r="AP392" s="69" t="str">
        <f t="shared" si="102"/>
        <v>Irán</v>
      </c>
      <c r="AQ392" s="69" t="str">
        <f t="shared" si="103"/>
        <v>Bosnia</v>
      </c>
      <c r="AR392" s="69" t="str">
        <f t="shared" si="104"/>
        <v>Marruecos</v>
      </c>
      <c r="AS392" s="69" t="str">
        <f t="shared" si="105"/>
        <v>Korea</v>
      </c>
      <c r="AT392" s="69" t="e">
        <f t="shared" si="106"/>
        <v>#N/A</v>
      </c>
      <c r="AU392" s="69" t="e">
        <f t="shared" si="107"/>
        <v>#N/A</v>
      </c>
      <c r="AV392" s="69" t="e">
        <f t="shared" si="108"/>
        <v>#N/A</v>
      </c>
    </row>
    <row r="393" spans="24:48" x14ac:dyDescent="0.2">
      <c r="X393" s="64" t="str">
        <f t="shared" si="109"/>
        <v/>
      </c>
      <c r="Y393" s="68" t="s">
        <v>32</v>
      </c>
      <c r="Z393" s="68" t="s">
        <v>13</v>
      </c>
      <c r="AA393" s="68" t="s">
        <v>26</v>
      </c>
      <c r="AB393" s="68" t="s">
        <v>27</v>
      </c>
      <c r="AC393" s="68" t="s">
        <v>25</v>
      </c>
      <c r="AD393" s="68" t="s">
        <v>14</v>
      </c>
      <c r="AE393" s="68" t="s">
        <v>186</v>
      </c>
      <c r="AF393" s="68" t="s">
        <v>184</v>
      </c>
      <c r="AG393">
        <f t="shared" si="110"/>
        <v>0</v>
      </c>
      <c r="AH393">
        <f t="shared" si="94"/>
        <v>0</v>
      </c>
      <c r="AI393">
        <f t="shared" si="95"/>
        <v>1</v>
      </c>
      <c r="AJ393">
        <f t="shared" si="96"/>
        <v>1</v>
      </c>
      <c r="AK393">
        <f t="shared" si="97"/>
        <v>1</v>
      </c>
      <c r="AL393">
        <f t="shared" si="98"/>
        <v>1</v>
      </c>
      <c r="AM393">
        <f t="shared" si="99"/>
        <v>0</v>
      </c>
      <c r="AN393">
        <f t="shared" si="100"/>
        <v>1</v>
      </c>
      <c r="AO393" s="69" t="e">
        <f t="shared" si="101"/>
        <v>#N/A</v>
      </c>
      <c r="AP393" s="69" t="e">
        <f t="shared" si="102"/>
        <v>#N/A</v>
      </c>
      <c r="AQ393" s="69" t="str">
        <f t="shared" si="103"/>
        <v>Bosnia</v>
      </c>
      <c r="AR393" s="69" t="str">
        <f t="shared" si="104"/>
        <v>Marruecos</v>
      </c>
      <c r="AS393" s="69" t="str">
        <f t="shared" si="105"/>
        <v>Korea</v>
      </c>
      <c r="AT393" s="69" t="str">
        <f t="shared" si="106"/>
        <v>Irán</v>
      </c>
      <c r="AU393" s="69" t="e">
        <f t="shared" si="107"/>
        <v>#N/A</v>
      </c>
      <c r="AV393" s="69" t="str">
        <f t="shared" si="108"/>
        <v>Senegal</v>
      </c>
    </row>
    <row r="394" spans="24:48" x14ac:dyDescent="0.2">
      <c r="X394" s="64" t="str">
        <f t="shared" si="109"/>
        <v/>
      </c>
      <c r="Y394" s="68" t="s">
        <v>32</v>
      </c>
      <c r="Z394" s="68" t="s">
        <v>13</v>
      </c>
      <c r="AA394" s="68" t="s">
        <v>26</v>
      </c>
      <c r="AB394" s="68" t="s">
        <v>27</v>
      </c>
      <c r="AC394" s="68" t="s">
        <v>25</v>
      </c>
      <c r="AD394" s="68" t="s">
        <v>14</v>
      </c>
      <c r="AE394" s="68" t="s">
        <v>184</v>
      </c>
      <c r="AF394" s="68" t="s">
        <v>185</v>
      </c>
      <c r="AG394">
        <f t="shared" si="110"/>
        <v>0</v>
      </c>
      <c r="AH394">
        <f t="shared" si="94"/>
        <v>0</v>
      </c>
      <c r="AI394">
        <f t="shared" si="95"/>
        <v>1</v>
      </c>
      <c r="AJ394">
        <f t="shared" si="96"/>
        <v>1</v>
      </c>
      <c r="AK394">
        <f t="shared" si="97"/>
        <v>1</v>
      </c>
      <c r="AL394">
        <f t="shared" si="98"/>
        <v>1</v>
      </c>
      <c r="AM394">
        <f t="shared" si="99"/>
        <v>1</v>
      </c>
      <c r="AN394">
        <f t="shared" si="100"/>
        <v>0</v>
      </c>
      <c r="AO394" s="69" t="e">
        <f t="shared" si="101"/>
        <v>#N/A</v>
      </c>
      <c r="AP394" s="69" t="e">
        <f t="shared" si="102"/>
        <v>#N/A</v>
      </c>
      <c r="AQ394" s="69" t="str">
        <f t="shared" si="103"/>
        <v>Bosnia</v>
      </c>
      <c r="AR394" s="69" t="str">
        <f t="shared" si="104"/>
        <v>Marruecos</v>
      </c>
      <c r="AS394" s="69" t="str">
        <f t="shared" si="105"/>
        <v>Korea</v>
      </c>
      <c r="AT394" s="69" t="str">
        <f t="shared" si="106"/>
        <v>Irán</v>
      </c>
      <c r="AU394" s="69" t="str">
        <f t="shared" si="107"/>
        <v>Senegal</v>
      </c>
      <c r="AV394" s="69" t="e">
        <f t="shared" si="108"/>
        <v>#N/A</v>
      </c>
    </row>
    <row r="395" spans="24:48" x14ac:dyDescent="0.2">
      <c r="X395" s="64" t="str">
        <f t="shared" si="109"/>
        <v/>
      </c>
      <c r="Y395" s="68" t="s">
        <v>184</v>
      </c>
      <c r="Z395" s="68" t="s">
        <v>13</v>
      </c>
      <c r="AA395" s="68" t="s">
        <v>26</v>
      </c>
      <c r="AB395" s="68" t="s">
        <v>27</v>
      </c>
      <c r="AC395" s="68" t="s">
        <v>25</v>
      </c>
      <c r="AD395" s="68" t="s">
        <v>31</v>
      </c>
      <c r="AE395" s="68" t="s">
        <v>186</v>
      </c>
      <c r="AF395" s="68" t="s">
        <v>185</v>
      </c>
      <c r="AG395">
        <f t="shared" si="110"/>
        <v>1</v>
      </c>
      <c r="AH395">
        <f t="shared" si="94"/>
        <v>0</v>
      </c>
      <c r="AI395">
        <f t="shared" si="95"/>
        <v>1</v>
      </c>
      <c r="AJ395">
        <f t="shared" si="96"/>
        <v>1</v>
      </c>
      <c r="AK395">
        <f t="shared" si="97"/>
        <v>1</v>
      </c>
      <c r="AL395">
        <f t="shared" si="98"/>
        <v>1</v>
      </c>
      <c r="AM395">
        <f t="shared" si="99"/>
        <v>0</v>
      </c>
      <c r="AN395">
        <f t="shared" si="100"/>
        <v>0</v>
      </c>
      <c r="AO395" s="69" t="str">
        <f t="shared" si="101"/>
        <v>Senegal</v>
      </c>
      <c r="AP395" s="69" t="e">
        <f t="shared" si="102"/>
        <v>#N/A</v>
      </c>
      <c r="AQ395" s="69" t="str">
        <f t="shared" si="103"/>
        <v>Bosnia</v>
      </c>
      <c r="AR395" s="69" t="str">
        <f t="shared" si="104"/>
        <v>Marruecos</v>
      </c>
      <c r="AS395" s="69" t="str">
        <f t="shared" si="105"/>
        <v>Korea</v>
      </c>
      <c r="AT395" s="69" t="str">
        <f t="shared" si="106"/>
        <v>Suecia</v>
      </c>
      <c r="AU395" s="69" t="e">
        <f t="shared" si="107"/>
        <v>#N/A</v>
      </c>
      <c r="AV395" s="69" t="e">
        <f t="shared" si="108"/>
        <v>#N/A</v>
      </c>
    </row>
    <row r="396" spans="24:48" x14ac:dyDescent="0.2">
      <c r="X396" s="64" t="str">
        <f t="shared" si="109"/>
        <v/>
      </c>
      <c r="Y396" s="68" t="s">
        <v>32</v>
      </c>
      <c r="Z396" s="68" t="s">
        <v>13</v>
      </c>
      <c r="AA396" s="68" t="s">
        <v>26</v>
      </c>
      <c r="AB396" s="68" t="s">
        <v>27</v>
      </c>
      <c r="AC396" s="68" t="s">
        <v>25</v>
      </c>
      <c r="AD396" s="68" t="s">
        <v>31</v>
      </c>
      <c r="AE396" s="68" t="s">
        <v>186</v>
      </c>
      <c r="AF396" s="68" t="s">
        <v>185</v>
      </c>
      <c r="AG396">
        <f t="shared" si="110"/>
        <v>0</v>
      </c>
      <c r="AH396">
        <f t="shared" si="94"/>
        <v>0</v>
      </c>
      <c r="AI396">
        <f t="shared" si="95"/>
        <v>1</v>
      </c>
      <c r="AJ396">
        <f t="shared" si="96"/>
        <v>1</v>
      </c>
      <c r="AK396">
        <f t="shared" si="97"/>
        <v>1</v>
      </c>
      <c r="AL396">
        <f t="shared" si="98"/>
        <v>1</v>
      </c>
      <c r="AM396">
        <f t="shared" si="99"/>
        <v>0</v>
      </c>
      <c r="AN396">
        <f t="shared" si="100"/>
        <v>0</v>
      </c>
      <c r="AO396" s="69" t="e">
        <f t="shared" si="101"/>
        <v>#N/A</v>
      </c>
      <c r="AP396" s="69" t="e">
        <f t="shared" si="102"/>
        <v>#N/A</v>
      </c>
      <c r="AQ396" s="69" t="str">
        <f t="shared" si="103"/>
        <v>Bosnia</v>
      </c>
      <c r="AR396" s="69" t="str">
        <f t="shared" si="104"/>
        <v>Marruecos</v>
      </c>
      <c r="AS396" s="69" t="str">
        <f t="shared" si="105"/>
        <v>Korea</v>
      </c>
      <c r="AT396" s="69" t="str">
        <f t="shared" si="106"/>
        <v>Suecia</v>
      </c>
      <c r="AU396" s="69" t="e">
        <f t="shared" si="107"/>
        <v>#N/A</v>
      </c>
      <c r="AV396" s="69" t="e">
        <f t="shared" si="108"/>
        <v>#N/A</v>
      </c>
    </row>
    <row r="397" spans="24:48" x14ac:dyDescent="0.2">
      <c r="X397" s="64" t="str">
        <f t="shared" si="109"/>
        <v/>
      </c>
      <c r="Y397" s="68" t="s">
        <v>32</v>
      </c>
      <c r="Z397" s="68" t="s">
        <v>184</v>
      </c>
      <c r="AA397" s="68" t="s">
        <v>26</v>
      </c>
      <c r="AB397" s="68" t="s">
        <v>27</v>
      </c>
      <c r="AC397" s="68" t="s">
        <v>25</v>
      </c>
      <c r="AD397" s="68" t="s">
        <v>31</v>
      </c>
      <c r="AE397" s="68" t="s">
        <v>186</v>
      </c>
      <c r="AF397" s="68" t="s">
        <v>185</v>
      </c>
      <c r="AG397">
        <f t="shared" si="110"/>
        <v>0</v>
      </c>
      <c r="AH397">
        <f t="shared" si="94"/>
        <v>1</v>
      </c>
      <c r="AI397">
        <f t="shared" si="95"/>
        <v>1</v>
      </c>
      <c r="AJ397">
        <f t="shared" si="96"/>
        <v>1</v>
      </c>
      <c r="AK397">
        <f t="shared" si="97"/>
        <v>1</v>
      </c>
      <c r="AL397">
        <f t="shared" si="98"/>
        <v>1</v>
      </c>
      <c r="AM397">
        <f t="shared" si="99"/>
        <v>0</v>
      </c>
      <c r="AN397">
        <f t="shared" si="100"/>
        <v>0</v>
      </c>
      <c r="AO397" s="69" t="e">
        <f t="shared" si="101"/>
        <v>#N/A</v>
      </c>
      <c r="AP397" s="69" t="str">
        <f t="shared" si="102"/>
        <v>Senegal</v>
      </c>
      <c r="AQ397" s="69" t="str">
        <f t="shared" si="103"/>
        <v>Bosnia</v>
      </c>
      <c r="AR397" s="69" t="str">
        <f t="shared" si="104"/>
        <v>Marruecos</v>
      </c>
      <c r="AS397" s="69" t="str">
        <f t="shared" si="105"/>
        <v>Korea</v>
      </c>
      <c r="AT397" s="69" t="str">
        <f t="shared" si="106"/>
        <v>Suecia</v>
      </c>
      <c r="AU397" s="69" t="e">
        <f t="shared" si="107"/>
        <v>#N/A</v>
      </c>
      <c r="AV397" s="69" t="e">
        <f t="shared" si="108"/>
        <v>#N/A</v>
      </c>
    </row>
    <row r="398" spans="24:48" x14ac:dyDescent="0.2">
      <c r="X398" s="64" t="str">
        <f t="shared" si="109"/>
        <v/>
      </c>
      <c r="Y398" s="68" t="s">
        <v>32</v>
      </c>
      <c r="Z398" s="68" t="s">
        <v>13</v>
      </c>
      <c r="AA398" s="68" t="s">
        <v>26</v>
      </c>
      <c r="AB398" s="68" t="s">
        <v>27</v>
      </c>
      <c r="AC398" s="68" t="s">
        <v>25</v>
      </c>
      <c r="AD398" s="68" t="s">
        <v>31</v>
      </c>
      <c r="AE398" s="68" t="s">
        <v>186</v>
      </c>
      <c r="AF398" s="68" t="s">
        <v>184</v>
      </c>
      <c r="AG398">
        <f t="shared" si="110"/>
        <v>0</v>
      </c>
      <c r="AH398">
        <f t="shared" si="94"/>
        <v>0</v>
      </c>
      <c r="AI398">
        <f t="shared" si="95"/>
        <v>1</v>
      </c>
      <c r="AJ398">
        <f t="shared" si="96"/>
        <v>1</v>
      </c>
      <c r="AK398">
        <f t="shared" si="97"/>
        <v>1</v>
      </c>
      <c r="AL398">
        <f t="shared" si="98"/>
        <v>1</v>
      </c>
      <c r="AM398">
        <f t="shared" si="99"/>
        <v>0</v>
      </c>
      <c r="AN398">
        <f t="shared" si="100"/>
        <v>1</v>
      </c>
      <c r="AO398" s="69" t="e">
        <f t="shared" si="101"/>
        <v>#N/A</v>
      </c>
      <c r="AP398" s="69" t="e">
        <f t="shared" si="102"/>
        <v>#N/A</v>
      </c>
      <c r="AQ398" s="69" t="str">
        <f t="shared" si="103"/>
        <v>Bosnia</v>
      </c>
      <c r="AR398" s="69" t="str">
        <f t="shared" si="104"/>
        <v>Marruecos</v>
      </c>
      <c r="AS398" s="69" t="str">
        <f t="shared" si="105"/>
        <v>Korea</v>
      </c>
      <c r="AT398" s="69" t="str">
        <f t="shared" si="106"/>
        <v>Suecia</v>
      </c>
      <c r="AU398" s="69" t="e">
        <f t="shared" si="107"/>
        <v>#N/A</v>
      </c>
      <c r="AV398" s="69" t="str">
        <f t="shared" si="108"/>
        <v>Senegal</v>
      </c>
    </row>
    <row r="399" spans="24:48" x14ac:dyDescent="0.2">
      <c r="X399" s="64" t="str">
        <f t="shared" si="109"/>
        <v/>
      </c>
      <c r="Y399" s="68" t="s">
        <v>32</v>
      </c>
      <c r="Z399" s="68" t="s">
        <v>13</v>
      </c>
      <c r="AA399" s="68" t="s">
        <v>26</v>
      </c>
      <c r="AB399" s="68" t="s">
        <v>27</v>
      </c>
      <c r="AC399" s="68" t="s">
        <v>25</v>
      </c>
      <c r="AD399" s="68" t="s">
        <v>31</v>
      </c>
      <c r="AE399" s="68" t="s">
        <v>184</v>
      </c>
      <c r="AF399" s="68" t="s">
        <v>185</v>
      </c>
      <c r="AG399">
        <f t="shared" si="110"/>
        <v>0</v>
      </c>
      <c r="AH399">
        <f t="shared" si="94"/>
        <v>0</v>
      </c>
      <c r="AI399">
        <f t="shared" si="95"/>
        <v>1</v>
      </c>
      <c r="AJ399">
        <f t="shared" si="96"/>
        <v>1</v>
      </c>
      <c r="AK399">
        <f t="shared" si="97"/>
        <v>1</v>
      </c>
      <c r="AL399">
        <f t="shared" si="98"/>
        <v>1</v>
      </c>
      <c r="AM399">
        <f t="shared" si="99"/>
        <v>1</v>
      </c>
      <c r="AN399">
        <f t="shared" si="100"/>
        <v>0</v>
      </c>
      <c r="AO399" s="69" t="e">
        <f t="shared" si="101"/>
        <v>#N/A</v>
      </c>
      <c r="AP399" s="69" t="e">
        <f t="shared" si="102"/>
        <v>#N/A</v>
      </c>
      <c r="AQ399" s="69" t="str">
        <f t="shared" si="103"/>
        <v>Bosnia</v>
      </c>
      <c r="AR399" s="69" t="str">
        <f t="shared" si="104"/>
        <v>Marruecos</v>
      </c>
      <c r="AS399" s="69" t="str">
        <f t="shared" si="105"/>
        <v>Korea</v>
      </c>
      <c r="AT399" s="69" t="str">
        <f t="shared" si="106"/>
        <v>Suecia</v>
      </c>
      <c r="AU399" s="69" t="str">
        <f t="shared" si="107"/>
        <v>Senegal</v>
      </c>
      <c r="AV399" s="69" t="e">
        <f t="shared" si="108"/>
        <v>#N/A</v>
      </c>
    </row>
    <row r="400" spans="24:48" x14ac:dyDescent="0.2">
      <c r="X400" s="64" t="str">
        <f t="shared" si="109"/>
        <v/>
      </c>
      <c r="Y400" s="68" t="s">
        <v>27</v>
      </c>
      <c r="Z400" s="68" t="s">
        <v>13</v>
      </c>
      <c r="AA400" s="68" t="s">
        <v>26</v>
      </c>
      <c r="AB400" s="68" t="s">
        <v>31</v>
      </c>
      <c r="AC400" s="68" t="s">
        <v>25</v>
      </c>
      <c r="AD400" s="68" t="s">
        <v>14</v>
      </c>
      <c r="AE400" s="68" t="s">
        <v>186</v>
      </c>
      <c r="AF400" s="68" t="s">
        <v>185</v>
      </c>
      <c r="AG400">
        <f t="shared" si="110"/>
        <v>1</v>
      </c>
      <c r="AH400">
        <f t="shared" si="94"/>
        <v>0</v>
      </c>
      <c r="AI400">
        <f t="shared" si="95"/>
        <v>1</v>
      </c>
      <c r="AJ400">
        <f t="shared" si="96"/>
        <v>1</v>
      </c>
      <c r="AK400">
        <f t="shared" si="97"/>
        <v>1</v>
      </c>
      <c r="AL400">
        <f t="shared" si="98"/>
        <v>1</v>
      </c>
      <c r="AM400">
        <f t="shared" si="99"/>
        <v>0</v>
      </c>
      <c r="AN400">
        <f t="shared" si="100"/>
        <v>0</v>
      </c>
      <c r="AO400" s="69" t="str">
        <f t="shared" si="101"/>
        <v>Marruecos</v>
      </c>
      <c r="AP400" s="69" t="e">
        <f t="shared" si="102"/>
        <v>#N/A</v>
      </c>
      <c r="AQ400" s="69" t="str">
        <f t="shared" si="103"/>
        <v>Bosnia</v>
      </c>
      <c r="AR400" s="69" t="str">
        <f t="shared" si="104"/>
        <v>Suecia</v>
      </c>
      <c r="AS400" s="69" t="str">
        <f t="shared" si="105"/>
        <v>Korea</v>
      </c>
      <c r="AT400" s="69" t="str">
        <f t="shared" si="106"/>
        <v>Irán</v>
      </c>
      <c r="AU400" s="69" t="e">
        <f t="shared" si="107"/>
        <v>#N/A</v>
      </c>
      <c r="AV400" s="69" t="e">
        <f t="shared" si="108"/>
        <v>#N/A</v>
      </c>
    </row>
    <row r="401" spans="24:48" x14ac:dyDescent="0.2">
      <c r="X401" s="64" t="str">
        <f t="shared" si="109"/>
        <v/>
      </c>
      <c r="Y401" s="68" t="s">
        <v>184</v>
      </c>
      <c r="Z401" s="68" t="s">
        <v>14</v>
      </c>
      <c r="AA401" s="68" t="s">
        <v>26</v>
      </c>
      <c r="AB401" s="68" t="s">
        <v>27</v>
      </c>
      <c r="AC401" s="68" t="s">
        <v>25</v>
      </c>
      <c r="AD401" s="68" t="s">
        <v>31</v>
      </c>
      <c r="AE401" s="68" t="s">
        <v>186</v>
      </c>
      <c r="AF401" s="68" t="s">
        <v>185</v>
      </c>
      <c r="AG401">
        <f t="shared" si="110"/>
        <v>1</v>
      </c>
      <c r="AH401">
        <f t="shared" si="94"/>
        <v>1</v>
      </c>
      <c r="AI401">
        <f t="shared" si="95"/>
        <v>1</v>
      </c>
      <c r="AJ401">
        <f t="shared" si="96"/>
        <v>1</v>
      </c>
      <c r="AK401">
        <f t="shared" si="97"/>
        <v>1</v>
      </c>
      <c r="AL401">
        <f t="shared" si="98"/>
        <v>1</v>
      </c>
      <c r="AM401">
        <f t="shared" si="99"/>
        <v>0</v>
      </c>
      <c r="AN401">
        <f t="shared" si="100"/>
        <v>0</v>
      </c>
      <c r="AO401" s="69" t="str">
        <f t="shared" si="101"/>
        <v>Senegal</v>
      </c>
      <c r="AP401" s="69" t="str">
        <f t="shared" si="102"/>
        <v>Irán</v>
      </c>
      <c r="AQ401" s="69" t="str">
        <f t="shared" si="103"/>
        <v>Bosnia</v>
      </c>
      <c r="AR401" s="69" t="str">
        <f t="shared" si="104"/>
        <v>Marruecos</v>
      </c>
      <c r="AS401" s="69" t="str">
        <f t="shared" si="105"/>
        <v>Korea</v>
      </c>
      <c r="AT401" s="69" t="str">
        <f t="shared" si="106"/>
        <v>Suecia</v>
      </c>
      <c r="AU401" s="69" t="e">
        <f t="shared" si="107"/>
        <v>#N/A</v>
      </c>
      <c r="AV401" s="69" t="e">
        <f t="shared" si="108"/>
        <v>#N/A</v>
      </c>
    </row>
    <row r="402" spans="24:48" x14ac:dyDescent="0.2">
      <c r="X402" s="64" t="str">
        <f t="shared" si="109"/>
        <v/>
      </c>
      <c r="Y402" s="68" t="s">
        <v>27</v>
      </c>
      <c r="Z402" s="68" t="s">
        <v>13</v>
      </c>
      <c r="AA402" s="68" t="s">
        <v>26</v>
      </c>
      <c r="AB402" s="68" t="s">
        <v>31</v>
      </c>
      <c r="AC402" s="68" t="s">
        <v>25</v>
      </c>
      <c r="AD402" s="68" t="s">
        <v>14</v>
      </c>
      <c r="AE402" s="68" t="s">
        <v>186</v>
      </c>
      <c r="AF402" s="68" t="s">
        <v>184</v>
      </c>
      <c r="AG402">
        <f t="shared" si="110"/>
        <v>1</v>
      </c>
      <c r="AH402">
        <f t="shared" si="94"/>
        <v>0</v>
      </c>
      <c r="AI402">
        <f t="shared" si="95"/>
        <v>1</v>
      </c>
      <c r="AJ402">
        <f t="shared" si="96"/>
        <v>1</v>
      </c>
      <c r="AK402">
        <f t="shared" si="97"/>
        <v>1</v>
      </c>
      <c r="AL402">
        <f t="shared" si="98"/>
        <v>1</v>
      </c>
      <c r="AM402">
        <f t="shared" si="99"/>
        <v>0</v>
      </c>
      <c r="AN402">
        <f t="shared" si="100"/>
        <v>1</v>
      </c>
      <c r="AO402" s="69" t="str">
        <f t="shared" si="101"/>
        <v>Marruecos</v>
      </c>
      <c r="AP402" s="69" t="e">
        <f t="shared" si="102"/>
        <v>#N/A</v>
      </c>
      <c r="AQ402" s="69" t="str">
        <f t="shared" si="103"/>
        <v>Bosnia</v>
      </c>
      <c r="AR402" s="69" t="str">
        <f t="shared" si="104"/>
        <v>Suecia</v>
      </c>
      <c r="AS402" s="69" t="str">
        <f t="shared" si="105"/>
        <v>Korea</v>
      </c>
      <c r="AT402" s="69" t="str">
        <f t="shared" si="106"/>
        <v>Irán</v>
      </c>
      <c r="AU402" s="69" t="e">
        <f t="shared" si="107"/>
        <v>#N/A</v>
      </c>
      <c r="AV402" s="69" t="str">
        <f t="shared" si="108"/>
        <v>Senegal</v>
      </c>
    </row>
    <row r="403" spans="24:48" x14ac:dyDescent="0.2">
      <c r="X403" s="64" t="str">
        <f t="shared" si="109"/>
        <v/>
      </c>
      <c r="Y403" s="68" t="s">
        <v>27</v>
      </c>
      <c r="Z403" s="68" t="s">
        <v>13</v>
      </c>
      <c r="AA403" s="68" t="s">
        <v>26</v>
      </c>
      <c r="AB403" s="68" t="s">
        <v>31</v>
      </c>
      <c r="AC403" s="68" t="s">
        <v>25</v>
      </c>
      <c r="AD403" s="68" t="s">
        <v>14</v>
      </c>
      <c r="AE403" s="68" t="s">
        <v>184</v>
      </c>
      <c r="AF403" s="68" t="s">
        <v>185</v>
      </c>
      <c r="AG403">
        <f t="shared" si="110"/>
        <v>1</v>
      </c>
      <c r="AH403">
        <f t="shared" si="94"/>
        <v>0</v>
      </c>
      <c r="AI403">
        <f t="shared" si="95"/>
        <v>1</v>
      </c>
      <c r="AJ403">
        <f t="shared" si="96"/>
        <v>1</v>
      </c>
      <c r="AK403">
        <f t="shared" si="97"/>
        <v>1</v>
      </c>
      <c r="AL403">
        <f t="shared" si="98"/>
        <v>1</v>
      </c>
      <c r="AM403">
        <f t="shared" si="99"/>
        <v>1</v>
      </c>
      <c r="AN403">
        <f t="shared" si="100"/>
        <v>0</v>
      </c>
      <c r="AO403" s="69" t="str">
        <f t="shared" si="101"/>
        <v>Marruecos</v>
      </c>
      <c r="AP403" s="69" t="e">
        <f t="shared" si="102"/>
        <v>#N/A</v>
      </c>
      <c r="AQ403" s="69" t="str">
        <f t="shared" si="103"/>
        <v>Bosnia</v>
      </c>
      <c r="AR403" s="69" t="str">
        <f t="shared" si="104"/>
        <v>Suecia</v>
      </c>
      <c r="AS403" s="69" t="str">
        <f t="shared" si="105"/>
        <v>Korea</v>
      </c>
      <c r="AT403" s="69" t="str">
        <f t="shared" si="106"/>
        <v>Irán</v>
      </c>
      <c r="AU403" s="69" t="str">
        <f t="shared" si="107"/>
        <v>Senegal</v>
      </c>
      <c r="AV403" s="69" t="e">
        <f t="shared" si="108"/>
        <v>#N/A</v>
      </c>
    </row>
    <row r="404" spans="24:48" x14ac:dyDescent="0.2">
      <c r="X404" s="64" t="str">
        <f t="shared" si="109"/>
        <v/>
      </c>
      <c r="Y404" s="68" t="s">
        <v>32</v>
      </c>
      <c r="Z404" s="68" t="s">
        <v>14</v>
      </c>
      <c r="AA404" s="68" t="s">
        <v>26</v>
      </c>
      <c r="AB404" s="68" t="s">
        <v>27</v>
      </c>
      <c r="AC404" s="68" t="s">
        <v>25</v>
      </c>
      <c r="AD404" s="68" t="s">
        <v>31</v>
      </c>
      <c r="AE404" s="68" t="s">
        <v>186</v>
      </c>
      <c r="AF404" s="68" t="s">
        <v>185</v>
      </c>
      <c r="AG404">
        <f t="shared" si="110"/>
        <v>0</v>
      </c>
      <c r="AH404">
        <f t="shared" ref="AH404:AH467" si="111">IFERROR(VLOOKUP(Z404,$B$21:$T$28,19,0),0)</f>
        <v>1</v>
      </c>
      <c r="AI404">
        <f t="shared" ref="AI404:AI467" si="112">IFERROR(VLOOKUP(AA404,$B$21:$T$28,19,0),0)</f>
        <v>1</v>
      </c>
      <c r="AJ404">
        <f t="shared" ref="AJ404:AJ467" si="113">IFERROR(VLOOKUP(AB404,$B$21:$T$28,19,0),0)</f>
        <v>1</v>
      </c>
      <c r="AK404">
        <f t="shared" ref="AK404:AK467" si="114">IFERROR(VLOOKUP(AC404,$B$21:$T$28,19,0),0)</f>
        <v>1</v>
      </c>
      <c r="AL404">
        <f t="shared" ref="AL404:AL467" si="115">IFERROR(VLOOKUP(AD404,$B$21:$T$28,19,0),0)</f>
        <v>1</v>
      </c>
      <c r="AM404">
        <f t="shared" ref="AM404:AM467" si="116">IFERROR(VLOOKUP(AE404,$B$21:$T$28,19,0),0)</f>
        <v>0</v>
      </c>
      <c r="AN404">
        <f t="shared" ref="AN404:AN467" si="117">IFERROR(VLOOKUP(AF404,$B$21:$T$28,19,0),0)</f>
        <v>0</v>
      </c>
      <c r="AO404" s="69" t="e">
        <f t="shared" ref="AO404:AO467" si="118">VLOOKUP(Y404,$B$21:$C$28,2,0)</f>
        <v>#N/A</v>
      </c>
      <c r="AP404" s="69" t="str">
        <f t="shared" ref="AP404:AP467" si="119">VLOOKUP(Z404,$B$21:$C$28,2,0)</f>
        <v>Irán</v>
      </c>
      <c r="AQ404" s="69" t="str">
        <f t="shared" ref="AQ404:AQ467" si="120">VLOOKUP(AA404,$B$21:$C$28,2,0)</f>
        <v>Bosnia</v>
      </c>
      <c r="AR404" s="69" t="str">
        <f t="shared" ref="AR404:AR467" si="121">VLOOKUP(AB404,$B$21:$C$28,2,0)</f>
        <v>Marruecos</v>
      </c>
      <c r="AS404" s="69" t="str">
        <f t="shared" ref="AS404:AS467" si="122">VLOOKUP(AC404,$B$21:$C$28,2,0)</f>
        <v>Korea</v>
      </c>
      <c r="AT404" s="69" t="str">
        <f t="shared" ref="AT404:AT467" si="123">VLOOKUP(AD404,$B$21:$C$28,2,0)</f>
        <v>Suecia</v>
      </c>
      <c r="AU404" s="69" t="e">
        <f t="shared" ref="AU404:AU467" si="124">VLOOKUP(AE404,$B$21:$C$28,2,0)</f>
        <v>#N/A</v>
      </c>
      <c r="AV404" s="69" t="e">
        <f t="shared" ref="AV404:AV467" si="125">VLOOKUP(AF404,$B$21:$C$28,2,0)</f>
        <v>#N/A</v>
      </c>
    </row>
    <row r="405" spans="24:48" x14ac:dyDescent="0.2">
      <c r="X405" s="64" t="str">
        <f t="shared" ref="X405:X468" si="126">IF(SUM(AG405:AN405)=8,"X","")</f>
        <v/>
      </c>
      <c r="Y405" s="68" t="s">
        <v>32</v>
      </c>
      <c r="Z405" s="68" t="s">
        <v>14</v>
      </c>
      <c r="AA405" s="68" t="s">
        <v>26</v>
      </c>
      <c r="AB405" s="68" t="s">
        <v>27</v>
      </c>
      <c r="AC405" s="68" t="s">
        <v>25</v>
      </c>
      <c r="AD405" s="68" t="s">
        <v>31</v>
      </c>
      <c r="AE405" s="68" t="s">
        <v>186</v>
      </c>
      <c r="AF405" s="68" t="s">
        <v>13</v>
      </c>
      <c r="AG405">
        <f t="shared" ref="AG405:AG468" si="127">IFERROR(VLOOKUP(Y405,$B$21:$T$28,19,0),0)</f>
        <v>0</v>
      </c>
      <c r="AH405">
        <f t="shared" si="111"/>
        <v>1</v>
      </c>
      <c r="AI405">
        <f t="shared" si="112"/>
        <v>1</v>
      </c>
      <c r="AJ405">
        <f t="shared" si="113"/>
        <v>1</v>
      </c>
      <c r="AK405">
        <f t="shared" si="114"/>
        <v>1</v>
      </c>
      <c r="AL405">
        <f t="shared" si="115"/>
        <v>1</v>
      </c>
      <c r="AM405">
        <f t="shared" si="116"/>
        <v>0</v>
      </c>
      <c r="AN405">
        <f t="shared" si="117"/>
        <v>0</v>
      </c>
      <c r="AO405" s="69" t="e">
        <f t="shared" si="118"/>
        <v>#N/A</v>
      </c>
      <c r="AP405" s="69" t="str">
        <f t="shared" si="119"/>
        <v>Irán</v>
      </c>
      <c r="AQ405" s="69" t="str">
        <f t="shared" si="120"/>
        <v>Bosnia</v>
      </c>
      <c r="AR405" s="69" t="str">
        <f t="shared" si="121"/>
        <v>Marruecos</v>
      </c>
      <c r="AS405" s="69" t="str">
        <f t="shared" si="122"/>
        <v>Korea</v>
      </c>
      <c r="AT405" s="69" t="str">
        <f t="shared" si="123"/>
        <v>Suecia</v>
      </c>
      <c r="AU405" s="69" t="e">
        <f t="shared" si="124"/>
        <v>#N/A</v>
      </c>
      <c r="AV405" s="69" t="e">
        <f t="shared" si="125"/>
        <v>#N/A</v>
      </c>
    </row>
    <row r="406" spans="24:48" x14ac:dyDescent="0.2">
      <c r="X406" s="64" t="str">
        <f t="shared" si="126"/>
        <v/>
      </c>
      <c r="Y406" s="68" t="s">
        <v>32</v>
      </c>
      <c r="Z406" s="68" t="s">
        <v>14</v>
      </c>
      <c r="AA406" s="68" t="s">
        <v>26</v>
      </c>
      <c r="AB406" s="68" t="s">
        <v>27</v>
      </c>
      <c r="AC406" s="68" t="s">
        <v>25</v>
      </c>
      <c r="AD406" s="68" t="s">
        <v>31</v>
      </c>
      <c r="AE406" s="68" t="s">
        <v>13</v>
      </c>
      <c r="AF406" s="68" t="s">
        <v>185</v>
      </c>
      <c r="AG406">
        <f t="shared" si="127"/>
        <v>0</v>
      </c>
      <c r="AH406">
        <f t="shared" si="111"/>
        <v>1</v>
      </c>
      <c r="AI406">
        <f t="shared" si="112"/>
        <v>1</v>
      </c>
      <c r="AJ406">
        <f t="shared" si="113"/>
        <v>1</v>
      </c>
      <c r="AK406">
        <f t="shared" si="114"/>
        <v>1</v>
      </c>
      <c r="AL406">
        <f t="shared" si="115"/>
        <v>1</v>
      </c>
      <c r="AM406">
        <f t="shared" si="116"/>
        <v>0</v>
      </c>
      <c r="AN406">
        <f t="shared" si="117"/>
        <v>0</v>
      </c>
      <c r="AO406" s="69" t="e">
        <f t="shared" si="118"/>
        <v>#N/A</v>
      </c>
      <c r="AP406" s="69" t="str">
        <f t="shared" si="119"/>
        <v>Irán</v>
      </c>
      <c r="AQ406" s="69" t="str">
        <f t="shared" si="120"/>
        <v>Bosnia</v>
      </c>
      <c r="AR406" s="69" t="str">
        <f t="shared" si="121"/>
        <v>Marruecos</v>
      </c>
      <c r="AS406" s="69" t="str">
        <f t="shared" si="122"/>
        <v>Korea</v>
      </c>
      <c r="AT406" s="69" t="str">
        <f t="shared" si="123"/>
        <v>Suecia</v>
      </c>
      <c r="AU406" s="69" t="e">
        <f t="shared" si="124"/>
        <v>#N/A</v>
      </c>
      <c r="AV406" s="69" t="e">
        <f t="shared" si="125"/>
        <v>#N/A</v>
      </c>
    </row>
    <row r="407" spans="24:48" x14ac:dyDescent="0.2">
      <c r="X407" s="64" t="str">
        <f t="shared" si="126"/>
        <v/>
      </c>
      <c r="Y407" s="68" t="s">
        <v>32</v>
      </c>
      <c r="Z407" s="68" t="s">
        <v>14</v>
      </c>
      <c r="AA407" s="68" t="s">
        <v>26</v>
      </c>
      <c r="AB407" s="68" t="s">
        <v>27</v>
      </c>
      <c r="AC407" s="68" t="s">
        <v>25</v>
      </c>
      <c r="AD407" s="68" t="s">
        <v>31</v>
      </c>
      <c r="AE407" s="68" t="s">
        <v>186</v>
      </c>
      <c r="AF407" s="68" t="s">
        <v>184</v>
      </c>
      <c r="AG407">
        <f t="shared" si="127"/>
        <v>0</v>
      </c>
      <c r="AH407">
        <f t="shared" si="111"/>
        <v>1</v>
      </c>
      <c r="AI407">
        <f t="shared" si="112"/>
        <v>1</v>
      </c>
      <c r="AJ407">
        <f t="shared" si="113"/>
        <v>1</v>
      </c>
      <c r="AK407">
        <f t="shared" si="114"/>
        <v>1</v>
      </c>
      <c r="AL407">
        <f t="shared" si="115"/>
        <v>1</v>
      </c>
      <c r="AM407">
        <f t="shared" si="116"/>
        <v>0</v>
      </c>
      <c r="AN407">
        <f t="shared" si="117"/>
        <v>1</v>
      </c>
      <c r="AO407" s="69" t="e">
        <f t="shared" si="118"/>
        <v>#N/A</v>
      </c>
      <c r="AP407" s="69" t="str">
        <f t="shared" si="119"/>
        <v>Irán</v>
      </c>
      <c r="AQ407" s="69" t="str">
        <f t="shared" si="120"/>
        <v>Bosnia</v>
      </c>
      <c r="AR407" s="69" t="str">
        <f t="shared" si="121"/>
        <v>Marruecos</v>
      </c>
      <c r="AS407" s="69" t="str">
        <f t="shared" si="122"/>
        <v>Korea</v>
      </c>
      <c r="AT407" s="69" t="str">
        <f t="shared" si="123"/>
        <v>Suecia</v>
      </c>
      <c r="AU407" s="69" t="e">
        <f t="shared" si="124"/>
        <v>#N/A</v>
      </c>
      <c r="AV407" s="69" t="str">
        <f t="shared" si="125"/>
        <v>Senegal</v>
      </c>
    </row>
    <row r="408" spans="24:48" x14ac:dyDescent="0.2">
      <c r="X408" s="64" t="str">
        <f t="shared" si="126"/>
        <v/>
      </c>
      <c r="Y408" s="68" t="s">
        <v>32</v>
      </c>
      <c r="Z408" s="68" t="s">
        <v>14</v>
      </c>
      <c r="AA408" s="68" t="s">
        <v>26</v>
      </c>
      <c r="AB408" s="68" t="s">
        <v>27</v>
      </c>
      <c r="AC408" s="68" t="s">
        <v>25</v>
      </c>
      <c r="AD408" s="68" t="s">
        <v>31</v>
      </c>
      <c r="AE408" s="68" t="s">
        <v>184</v>
      </c>
      <c r="AF408" s="68" t="s">
        <v>185</v>
      </c>
      <c r="AG408">
        <f t="shared" si="127"/>
        <v>0</v>
      </c>
      <c r="AH408">
        <f t="shared" si="111"/>
        <v>1</v>
      </c>
      <c r="AI408">
        <f t="shared" si="112"/>
        <v>1</v>
      </c>
      <c r="AJ408">
        <f t="shared" si="113"/>
        <v>1</v>
      </c>
      <c r="AK408">
        <f t="shared" si="114"/>
        <v>1</v>
      </c>
      <c r="AL408">
        <f t="shared" si="115"/>
        <v>1</v>
      </c>
      <c r="AM408">
        <f t="shared" si="116"/>
        <v>1</v>
      </c>
      <c r="AN408">
        <f t="shared" si="117"/>
        <v>0</v>
      </c>
      <c r="AO408" s="69" t="e">
        <f t="shared" si="118"/>
        <v>#N/A</v>
      </c>
      <c r="AP408" s="69" t="str">
        <f t="shared" si="119"/>
        <v>Irán</v>
      </c>
      <c r="AQ408" s="69" t="str">
        <f t="shared" si="120"/>
        <v>Bosnia</v>
      </c>
      <c r="AR408" s="69" t="str">
        <f t="shared" si="121"/>
        <v>Marruecos</v>
      </c>
      <c r="AS408" s="69" t="str">
        <f t="shared" si="122"/>
        <v>Korea</v>
      </c>
      <c r="AT408" s="69" t="str">
        <f t="shared" si="123"/>
        <v>Suecia</v>
      </c>
      <c r="AU408" s="69" t="str">
        <f t="shared" si="124"/>
        <v>Senegal</v>
      </c>
      <c r="AV408" s="69" t="e">
        <f t="shared" si="125"/>
        <v>#N/A</v>
      </c>
    </row>
    <row r="409" spans="24:48" x14ac:dyDescent="0.2">
      <c r="X409" s="64" t="str">
        <f t="shared" si="126"/>
        <v/>
      </c>
      <c r="Y409" s="68" t="s">
        <v>32</v>
      </c>
      <c r="Z409" s="68" t="s">
        <v>14</v>
      </c>
      <c r="AA409" s="68" t="s">
        <v>26</v>
      </c>
      <c r="AB409" s="68" t="s">
        <v>27</v>
      </c>
      <c r="AC409" s="68" t="s">
        <v>25</v>
      </c>
      <c r="AD409" s="68" t="s">
        <v>31</v>
      </c>
      <c r="AE409" s="68" t="s">
        <v>184</v>
      </c>
      <c r="AF409" s="68" t="s">
        <v>13</v>
      </c>
      <c r="AG409">
        <f t="shared" si="127"/>
        <v>0</v>
      </c>
      <c r="AH409">
        <f t="shared" si="111"/>
        <v>1</v>
      </c>
      <c r="AI409">
        <f t="shared" si="112"/>
        <v>1</v>
      </c>
      <c r="AJ409">
        <f t="shared" si="113"/>
        <v>1</v>
      </c>
      <c r="AK409">
        <f t="shared" si="114"/>
        <v>1</v>
      </c>
      <c r="AL409">
        <f t="shared" si="115"/>
        <v>1</v>
      </c>
      <c r="AM409">
        <f t="shared" si="116"/>
        <v>1</v>
      </c>
      <c r="AN409">
        <f t="shared" si="117"/>
        <v>0</v>
      </c>
      <c r="AO409" s="69" t="e">
        <f t="shared" si="118"/>
        <v>#N/A</v>
      </c>
      <c r="AP409" s="69" t="str">
        <f t="shared" si="119"/>
        <v>Irán</v>
      </c>
      <c r="AQ409" s="69" t="str">
        <f t="shared" si="120"/>
        <v>Bosnia</v>
      </c>
      <c r="AR409" s="69" t="str">
        <f t="shared" si="121"/>
        <v>Marruecos</v>
      </c>
      <c r="AS409" s="69" t="str">
        <f t="shared" si="122"/>
        <v>Korea</v>
      </c>
      <c r="AT409" s="69" t="str">
        <f t="shared" si="123"/>
        <v>Suecia</v>
      </c>
      <c r="AU409" s="69" t="str">
        <f t="shared" si="124"/>
        <v>Senegal</v>
      </c>
      <c r="AV409" s="69" t="e">
        <f t="shared" si="125"/>
        <v>#N/A</v>
      </c>
    </row>
    <row r="410" spans="24:48" x14ac:dyDescent="0.2">
      <c r="X410" s="64" t="str">
        <f t="shared" si="126"/>
        <v/>
      </c>
      <c r="Y410" s="68" t="s">
        <v>15</v>
      </c>
      <c r="Z410" s="68" t="s">
        <v>13</v>
      </c>
      <c r="AA410" s="68" t="s">
        <v>26</v>
      </c>
      <c r="AB410" s="68" t="s">
        <v>25</v>
      </c>
      <c r="AC410" s="68" t="s">
        <v>184</v>
      </c>
      <c r="AD410" s="68" t="s">
        <v>27</v>
      </c>
      <c r="AE410" s="68" t="s">
        <v>186</v>
      </c>
      <c r="AF410" s="68" t="s">
        <v>185</v>
      </c>
      <c r="AG410">
        <f t="shared" si="127"/>
        <v>1</v>
      </c>
      <c r="AH410">
        <f t="shared" si="111"/>
        <v>0</v>
      </c>
      <c r="AI410">
        <f t="shared" si="112"/>
        <v>1</v>
      </c>
      <c r="AJ410">
        <f t="shared" si="113"/>
        <v>1</v>
      </c>
      <c r="AK410">
        <f t="shared" si="114"/>
        <v>1</v>
      </c>
      <c r="AL410">
        <f t="shared" si="115"/>
        <v>1</v>
      </c>
      <c r="AM410">
        <f t="shared" si="116"/>
        <v>0</v>
      </c>
      <c r="AN410">
        <f t="shared" si="117"/>
        <v>0</v>
      </c>
      <c r="AO410" s="69" t="str">
        <f t="shared" si="118"/>
        <v>Costa de Marfil</v>
      </c>
      <c r="AP410" s="69" t="e">
        <f t="shared" si="119"/>
        <v>#N/A</v>
      </c>
      <c r="AQ410" s="69" t="str">
        <f t="shared" si="120"/>
        <v>Bosnia</v>
      </c>
      <c r="AR410" s="69" t="str">
        <f t="shared" si="121"/>
        <v>Korea</v>
      </c>
      <c r="AS410" s="69" t="str">
        <f t="shared" si="122"/>
        <v>Senegal</v>
      </c>
      <c r="AT410" s="69" t="str">
        <f t="shared" si="123"/>
        <v>Marruecos</v>
      </c>
      <c r="AU410" s="69" t="e">
        <f t="shared" si="124"/>
        <v>#N/A</v>
      </c>
      <c r="AV410" s="69" t="e">
        <f t="shared" si="125"/>
        <v>#N/A</v>
      </c>
    </row>
    <row r="411" spans="24:48" x14ac:dyDescent="0.2">
      <c r="X411" s="64" t="str">
        <f t="shared" si="126"/>
        <v/>
      </c>
      <c r="Y411" s="68" t="s">
        <v>15</v>
      </c>
      <c r="Z411" s="68" t="s">
        <v>13</v>
      </c>
      <c r="AA411" s="68" t="s">
        <v>26</v>
      </c>
      <c r="AB411" s="68" t="s">
        <v>27</v>
      </c>
      <c r="AC411" s="68" t="s">
        <v>25</v>
      </c>
      <c r="AD411" s="68" t="s">
        <v>32</v>
      </c>
      <c r="AE411" s="68" t="s">
        <v>186</v>
      </c>
      <c r="AF411" s="68" t="s">
        <v>185</v>
      </c>
      <c r="AG411">
        <f t="shared" si="127"/>
        <v>1</v>
      </c>
      <c r="AH411">
        <f t="shared" si="111"/>
        <v>0</v>
      </c>
      <c r="AI411">
        <f t="shared" si="112"/>
        <v>1</v>
      </c>
      <c r="AJ411">
        <f t="shared" si="113"/>
        <v>1</v>
      </c>
      <c r="AK411">
        <f t="shared" si="114"/>
        <v>1</v>
      </c>
      <c r="AL411">
        <f t="shared" si="115"/>
        <v>0</v>
      </c>
      <c r="AM411">
        <f t="shared" si="116"/>
        <v>0</v>
      </c>
      <c r="AN411">
        <f t="shared" si="117"/>
        <v>0</v>
      </c>
      <c r="AO411" s="69" t="str">
        <f t="shared" si="118"/>
        <v>Costa de Marfil</v>
      </c>
      <c r="AP411" s="69" t="e">
        <f t="shared" si="119"/>
        <v>#N/A</v>
      </c>
      <c r="AQ411" s="69" t="str">
        <f t="shared" si="120"/>
        <v>Bosnia</v>
      </c>
      <c r="AR411" s="69" t="str">
        <f t="shared" si="121"/>
        <v>Marruecos</v>
      </c>
      <c r="AS411" s="69" t="str">
        <f t="shared" si="122"/>
        <v>Korea</v>
      </c>
      <c r="AT411" s="69" t="e">
        <f t="shared" si="123"/>
        <v>#N/A</v>
      </c>
      <c r="AU411" s="69" t="e">
        <f t="shared" si="124"/>
        <v>#N/A</v>
      </c>
      <c r="AV411" s="69" t="e">
        <f t="shared" si="125"/>
        <v>#N/A</v>
      </c>
    </row>
    <row r="412" spans="24:48" x14ac:dyDescent="0.2">
      <c r="X412" s="64" t="str">
        <f t="shared" si="126"/>
        <v/>
      </c>
      <c r="Y412" s="68" t="s">
        <v>15</v>
      </c>
      <c r="Z412" s="68" t="s">
        <v>184</v>
      </c>
      <c r="AA412" s="68" t="s">
        <v>26</v>
      </c>
      <c r="AB412" s="68" t="s">
        <v>27</v>
      </c>
      <c r="AC412" s="68" t="s">
        <v>25</v>
      </c>
      <c r="AD412" s="68" t="s">
        <v>32</v>
      </c>
      <c r="AE412" s="68" t="s">
        <v>186</v>
      </c>
      <c r="AF412" s="68" t="s">
        <v>185</v>
      </c>
      <c r="AG412">
        <f t="shared" si="127"/>
        <v>1</v>
      </c>
      <c r="AH412">
        <f t="shared" si="111"/>
        <v>1</v>
      </c>
      <c r="AI412">
        <f t="shared" si="112"/>
        <v>1</v>
      </c>
      <c r="AJ412">
        <f t="shared" si="113"/>
        <v>1</v>
      </c>
      <c r="AK412">
        <f t="shared" si="114"/>
        <v>1</v>
      </c>
      <c r="AL412">
        <f t="shared" si="115"/>
        <v>0</v>
      </c>
      <c r="AM412">
        <f t="shared" si="116"/>
        <v>0</v>
      </c>
      <c r="AN412">
        <f t="shared" si="117"/>
        <v>0</v>
      </c>
      <c r="AO412" s="69" t="str">
        <f t="shared" si="118"/>
        <v>Costa de Marfil</v>
      </c>
      <c r="AP412" s="69" t="str">
        <f t="shared" si="119"/>
        <v>Senegal</v>
      </c>
      <c r="AQ412" s="69" t="str">
        <f t="shared" si="120"/>
        <v>Bosnia</v>
      </c>
      <c r="AR412" s="69" t="str">
        <f t="shared" si="121"/>
        <v>Marruecos</v>
      </c>
      <c r="AS412" s="69" t="str">
        <f t="shared" si="122"/>
        <v>Korea</v>
      </c>
      <c r="AT412" s="69" t="e">
        <f t="shared" si="123"/>
        <v>#N/A</v>
      </c>
      <c r="AU412" s="69" t="e">
        <f t="shared" si="124"/>
        <v>#N/A</v>
      </c>
      <c r="AV412" s="69" t="e">
        <f t="shared" si="125"/>
        <v>#N/A</v>
      </c>
    </row>
    <row r="413" spans="24:48" x14ac:dyDescent="0.2">
      <c r="X413" s="64" t="str">
        <f t="shared" si="126"/>
        <v/>
      </c>
      <c r="Y413" s="68" t="s">
        <v>15</v>
      </c>
      <c r="Z413" s="68" t="s">
        <v>13</v>
      </c>
      <c r="AA413" s="68" t="s">
        <v>26</v>
      </c>
      <c r="AB413" s="68" t="s">
        <v>27</v>
      </c>
      <c r="AC413" s="68" t="s">
        <v>25</v>
      </c>
      <c r="AD413" s="68" t="s">
        <v>32</v>
      </c>
      <c r="AE413" s="68" t="s">
        <v>186</v>
      </c>
      <c r="AF413" s="68" t="s">
        <v>184</v>
      </c>
      <c r="AG413">
        <f t="shared" si="127"/>
        <v>1</v>
      </c>
      <c r="AH413">
        <f t="shared" si="111"/>
        <v>0</v>
      </c>
      <c r="AI413">
        <f t="shared" si="112"/>
        <v>1</v>
      </c>
      <c r="AJ413">
        <f t="shared" si="113"/>
        <v>1</v>
      </c>
      <c r="AK413">
        <f t="shared" si="114"/>
        <v>1</v>
      </c>
      <c r="AL413">
        <f t="shared" si="115"/>
        <v>0</v>
      </c>
      <c r="AM413">
        <f t="shared" si="116"/>
        <v>0</v>
      </c>
      <c r="AN413">
        <f t="shared" si="117"/>
        <v>1</v>
      </c>
      <c r="AO413" s="69" t="str">
        <f t="shared" si="118"/>
        <v>Costa de Marfil</v>
      </c>
      <c r="AP413" s="69" t="e">
        <f t="shared" si="119"/>
        <v>#N/A</v>
      </c>
      <c r="AQ413" s="69" t="str">
        <f t="shared" si="120"/>
        <v>Bosnia</v>
      </c>
      <c r="AR413" s="69" t="str">
        <f t="shared" si="121"/>
        <v>Marruecos</v>
      </c>
      <c r="AS413" s="69" t="str">
        <f t="shared" si="122"/>
        <v>Korea</v>
      </c>
      <c r="AT413" s="69" t="e">
        <f t="shared" si="123"/>
        <v>#N/A</v>
      </c>
      <c r="AU413" s="69" t="e">
        <f t="shared" si="124"/>
        <v>#N/A</v>
      </c>
      <c r="AV413" s="69" t="str">
        <f t="shared" si="125"/>
        <v>Senegal</v>
      </c>
    </row>
    <row r="414" spans="24:48" x14ac:dyDescent="0.2">
      <c r="X414" s="64" t="str">
        <f t="shared" si="126"/>
        <v/>
      </c>
      <c r="Y414" s="68" t="s">
        <v>15</v>
      </c>
      <c r="Z414" s="68" t="s">
        <v>13</v>
      </c>
      <c r="AA414" s="68" t="s">
        <v>26</v>
      </c>
      <c r="AB414" s="68" t="s">
        <v>27</v>
      </c>
      <c r="AC414" s="68" t="s">
        <v>25</v>
      </c>
      <c r="AD414" s="68" t="s">
        <v>32</v>
      </c>
      <c r="AE414" s="68" t="s">
        <v>184</v>
      </c>
      <c r="AF414" s="68" t="s">
        <v>185</v>
      </c>
      <c r="AG414">
        <f t="shared" si="127"/>
        <v>1</v>
      </c>
      <c r="AH414">
        <f t="shared" si="111"/>
        <v>0</v>
      </c>
      <c r="AI414">
        <f t="shared" si="112"/>
        <v>1</v>
      </c>
      <c r="AJ414">
        <f t="shared" si="113"/>
        <v>1</v>
      </c>
      <c r="AK414">
        <f t="shared" si="114"/>
        <v>1</v>
      </c>
      <c r="AL414">
        <f t="shared" si="115"/>
        <v>0</v>
      </c>
      <c r="AM414">
        <f t="shared" si="116"/>
        <v>1</v>
      </c>
      <c r="AN414">
        <f t="shared" si="117"/>
        <v>0</v>
      </c>
      <c r="AO414" s="69" t="str">
        <f t="shared" si="118"/>
        <v>Costa de Marfil</v>
      </c>
      <c r="AP414" s="69" t="e">
        <f t="shared" si="119"/>
        <v>#N/A</v>
      </c>
      <c r="AQ414" s="69" t="str">
        <f t="shared" si="120"/>
        <v>Bosnia</v>
      </c>
      <c r="AR414" s="69" t="str">
        <f t="shared" si="121"/>
        <v>Marruecos</v>
      </c>
      <c r="AS414" s="69" t="str">
        <f t="shared" si="122"/>
        <v>Korea</v>
      </c>
      <c r="AT414" s="69" t="e">
        <f t="shared" si="123"/>
        <v>#N/A</v>
      </c>
      <c r="AU414" s="69" t="str">
        <f t="shared" si="124"/>
        <v>Senegal</v>
      </c>
      <c r="AV414" s="69" t="e">
        <f t="shared" si="125"/>
        <v>#N/A</v>
      </c>
    </row>
    <row r="415" spans="24:48" x14ac:dyDescent="0.2">
      <c r="X415" s="64" t="str">
        <f t="shared" si="126"/>
        <v/>
      </c>
      <c r="Y415" s="68" t="s">
        <v>15</v>
      </c>
      <c r="Z415" s="68" t="s">
        <v>13</v>
      </c>
      <c r="AA415" s="68" t="s">
        <v>26</v>
      </c>
      <c r="AB415" s="68" t="s">
        <v>27</v>
      </c>
      <c r="AC415" s="68" t="s">
        <v>25</v>
      </c>
      <c r="AD415" s="68" t="s">
        <v>14</v>
      </c>
      <c r="AE415" s="68" t="s">
        <v>186</v>
      </c>
      <c r="AF415" s="68" t="s">
        <v>185</v>
      </c>
      <c r="AG415">
        <f t="shared" si="127"/>
        <v>1</v>
      </c>
      <c r="AH415">
        <f t="shared" si="111"/>
        <v>0</v>
      </c>
      <c r="AI415">
        <f t="shared" si="112"/>
        <v>1</v>
      </c>
      <c r="AJ415">
        <f t="shared" si="113"/>
        <v>1</v>
      </c>
      <c r="AK415">
        <f t="shared" si="114"/>
        <v>1</v>
      </c>
      <c r="AL415">
        <f t="shared" si="115"/>
        <v>1</v>
      </c>
      <c r="AM415">
        <f t="shared" si="116"/>
        <v>0</v>
      </c>
      <c r="AN415">
        <f t="shared" si="117"/>
        <v>0</v>
      </c>
      <c r="AO415" s="69" t="str">
        <f t="shared" si="118"/>
        <v>Costa de Marfil</v>
      </c>
      <c r="AP415" s="69" t="e">
        <f t="shared" si="119"/>
        <v>#N/A</v>
      </c>
      <c r="AQ415" s="69" t="str">
        <f t="shared" si="120"/>
        <v>Bosnia</v>
      </c>
      <c r="AR415" s="69" t="str">
        <f t="shared" si="121"/>
        <v>Marruecos</v>
      </c>
      <c r="AS415" s="69" t="str">
        <f t="shared" si="122"/>
        <v>Korea</v>
      </c>
      <c r="AT415" s="69" t="str">
        <f t="shared" si="123"/>
        <v>Irán</v>
      </c>
      <c r="AU415" s="69" t="e">
        <f t="shared" si="124"/>
        <v>#N/A</v>
      </c>
      <c r="AV415" s="69" t="e">
        <f t="shared" si="125"/>
        <v>#N/A</v>
      </c>
    </row>
    <row r="416" spans="24:48" x14ac:dyDescent="0.2">
      <c r="X416" s="64" t="str">
        <f t="shared" si="126"/>
        <v/>
      </c>
      <c r="Y416" s="68" t="s">
        <v>15</v>
      </c>
      <c r="Z416" s="68" t="s">
        <v>14</v>
      </c>
      <c r="AA416" s="68" t="s">
        <v>26</v>
      </c>
      <c r="AB416" s="68" t="s">
        <v>25</v>
      </c>
      <c r="AC416" s="68" t="s">
        <v>184</v>
      </c>
      <c r="AD416" s="68" t="s">
        <v>27</v>
      </c>
      <c r="AE416" s="68" t="s">
        <v>186</v>
      </c>
      <c r="AF416" s="68" t="s">
        <v>185</v>
      </c>
      <c r="AG416">
        <f t="shared" si="127"/>
        <v>1</v>
      </c>
      <c r="AH416">
        <f t="shared" si="111"/>
        <v>1</v>
      </c>
      <c r="AI416">
        <f t="shared" si="112"/>
        <v>1</v>
      </c>
      <c r="AJ416">
        <f t="shared" si="113"/>
        <v>1</v>
      </c>
      <c r="AK416">
        <f t="shared" si="114"/>
        <v>1</v>
      </c>
      <c r="AL416">
        <f t="shared" si="115"/>
        <v>1</v>
      </c>
      <c r="AM416">
        <f t="shared" si="116"/>
        <v>0</v>
      </c>
      <c r="AN416">
        <f t="shared" si="117"/>
        <v>0</v>
      </c>
      <c r="AO416" s="69" t="str">
        <f t="shared" si="118"/>
        <v>Costa de Marfil</v>
      </c>
      <c r="AP416" s="69" t="str">
        <f t="shared" si="119"/>
        <v>Irán</v>
      </c>
      <c r="AQ416" s="69" t="str">
        <f t="shared" si="120"/>
        <v>Bosnia</v>
      </c>
      <c r="AR416" s="69" t="str">
        <f t="shared" si="121"/>
        <v>Korea</v>
      </c>
      <c r="AS416" s="69" t="str">
        <f t="shared" si="122"/>
        <v>Senegal</v>
      </c>
      <c r="AT416" s="69" t="str">
        <f t="shared" si="123"/>
        <v>Marruecos</v>
      </c>
      <c r="AU416" s="69" t="e">
        <f t="shared" si="124"/>
        <v>#N/A</v>
      </c>
      <c r="AV416" s="69" t="e">
        <f t="shared" si="125"/>
        <v>#N/A</v>
      </c>
    </row>
    <row r="417" spans="24:48" x14ac:dyDescent="0.2">
      <c r="X417" s="64" t="str">
        <f t="shared" si="126"/>
        <v/>
      </c>
      <c r="Y417" s="68" t="s">
        <v>15</v>
      </c>
      <c r="Z417" s="68" t="s">
        <v>13</v>
      </c>
      <c r="AA417" s="68" t="s">
        <v>26</v>
      </c>
      <c r="AB417" s="68" t="s">
        <v>27</v>
      </c>
      <c r="AC417" s="68" t="s">
        <v>25</v>
      </c>
      <c r="AD417" s="68" t="s">
        <v>14</v>
      </c>
      <c r="AE417" s="68" t="s">
        <v>186</v>
      </c>
      <c r="AF417" s="68" t="s">
        <v>184</v>
      </c>
      <c r="AG417">
        <f t="shared" si="127"/>
        <v>1</v>
      </c>
      <c r="AH417">
        <f t="shared" si="111"/>
        <v>0</v>
      </c>
      <c r="AI417">
        <f t="shared" si="112"/>
        <v>1</v>
      </c>
      <c r="AJ417">
        <f t="shared" si="113"/>
        <v>1</v>
      </c>
      <c r="AK417">
        <f t="shared" si="114"/>
        <v>1</v>
      </c>
      <c r="AL417">
        <f t="shared" si="115"/>
        <v>1</v>
      </c>
      <c r="AM417">
        <f t="shared" si="116"/>
        <v>0</v>
      </c>
      <c r="AN417">
        <f t="shared" si="117"/>
        <v>1</v>
      </c>
      <c r="AO417" s="69" t="str">
        <f t="shared" si="118"/>
        <v>Costa de Marfil</v>
      </c>
      <c r="AP417" s="69" t="e">
        <f t="shared" si="119"/>
        <v>#N/A</v>
      </c>
      <c r="AQ417" s="69" t="str">
        <f t="shared" si="120"/>
        <v>Bosnia</v>
      </c>
      <c r="AR417" s="69" t="str">
        <f t="shared" si="121"/>
        <v>Marruecos</v>
      </c>
      <c r="AS417" s="69" t="str">
        <f t="shared" si="122"/>
        <v>Korea</v>
      </c>
      <c r="AT417" s="69" t="str">
        <f t="shared" si="123"/>
        <v>Irán</v>
      </c>
      <c r="AU417" s="69" t="e">
        <f t="shared" si="124"/>
        <v>#N/A</v>
      </c>
      <c r="AV417" s="69" t="str">
        <f t="shared" si="125"/>
        <v>Senegal</v>
      </c>
    </row>
    <row r="418" spans="24:48" x14ac:dyDescent="0.2">
      <c r="X418" s="64" t="str">
        <f t="shared" si="126"/>
        <v/>
      </c>
      <c r="Y418" s="68" t="s">
        <v>15</v>
      </c>
      <c r="Z418" s="68" t="s">
        <v>13</v>
      </c>
      <c r="AA418" s="68" t="s">
        <v>26</v>
      </c>
      <c r="AB418" s="68" t="s">
        <v>27</v>
      </c>
      <c r="AC418" s="68" t="s">
        <v>25</v>
      </c>
      <c r="AD418" s="68" t="s">
        <v>14</v>
      </c>
      <c r="AE418" s="68" t="s">
        <v>184</v>
      </c>
      <c r="AF418" s="68" t="s">
        <v>185</v>
      </c>
      <c r="AG418">
        <f t="shared" si="127"/>
        <v>1</v>
      </c>
      <c r="AH418">
        <f t="shared" si="111"/>
        <v>0</v>
      </c>
      <c r="AI418">
        <f t="shared" si="112"/>
        <v>1</v>
      </c>
      <c r="AJ418">
        <f t="shared" si="113"/>
        <v>1</v>
      </c>
      <c r="AK418">
        <f t="shared" si="114"/>
        <v>1</v>
      </c>
      <c r="AL418">
        <f t="shared" si="115"/>
        <v>1</v>
      </c>
      <c r="AM418">
        <f t="shared" si="116"/>
        <v>1</v>
      </c>
      <c r="AN418">
        <f t="shared" si="117"/>
        <v>0</v>
      </c>
      <c r="AO418" s="69" t="str">
        <f t="shared" si="118"/>
        <v>Costa de Marfil</v>
      </c>
      <c r="AP418" s="69" t="e">
        <f t="shared" si="119"/>
        <v>#N/A</v>
      </c>
      <c r="AQ418" s="69" t="str">
        <f t="shared" si="120"/>
        <v>Bosnia</v>
      </c>
      <c r="AR418" s="69" t="str">
        <f t="shared" si="121"/>
        <v>Marruecos</v>
      </c>
      <c r="AS418" s="69" t="str">
        <f t="shared" si="122"/>
        <v>Korea</v>
      </c>
      <c r="AT418" s="69" t="str">
        <f t="shared" si="123"/>
        <v>Irán</v>
      </c>
      <c r="AU418" s="69" t="str">
        <f t="shared" si="124"/>
        <v>Senegal</v>
      </c>
      <c r="AV418" s="69" t="e">
        <f t="shared" si="125"/>
        <v>#N/A</v>
      </c>
    </row>
    <row r="419" spans="24:48" x14ac:dyDescent="0.2">
      <c r="X419" s="64" t="str">
        <f t="shared" si="126"/>
        <v/>
      </c>
      <c r="Y419" s="68" t="s">
        <v>15</v>
      </c>
      <c r="Z419" s="68" t="s">
        <v>14</v>
      </c>
      <c r="AA419" s="68" t="s">
        <v>26</v>
      </c>
      <c r="AB419" s="68" t="s">
        <v>27</v>
      </c>
      <c r="AC419" s="68" t="s">
        <v>25</v>
      </c>
      <c r="AD419" s="68" t="s">
        <v>32</v>
      </c>
      <c r="AE419" s="68" t="s">
        <v>186</v>
      </c>
      <c r="AF419" s="68" t="s">
        <v>185</v>
      </c>
      <c r="AG419">
        <f t="shared" si="127"/>
        <v>1</v>
      </c>
      <c r="AH419">
        <f t="shared" si="111"/>
        <v>1</v>
      </c>
      <c r="AI419">
        <f t="shared" si="112"/>
        <v>1</v>
      </c>
      <c r="AJ419">
        <f t="shared" si="113"/>
        <v>1</v>
      </c>
      <c r="AK419">
        <f t="shared" si="114"/>
        <v>1</v>
      </c>
      <c r="AL419">
        <f t="shared" si="115"/>
        <v>0</v>
      </c>
      <c r="AM419">
        <f t="shared" si="116"/>
        <v>0</v>
      </c>
      <c r="AN419">
        <f t="shared" si="117"/>
        <v>0</v>
      </c>
      <c r="AO419" s="69" t="str">
        <f t="shared" si="118"/>
        <v>Costa de Marfil</v>
      </c>
      <c r="AP419" s="69" t="str">
        <f t="shared" si="119"/>
        <v>Irán</v>
      </c>
      <c r="AQ419" s="69" t="str">
        <f t="shared" si="120"/>
        <v>Bosnia</v>
      </c>
      <c r="AR419" s="69" t="str">
        <f t="shared" si="121"/>
        <v>Marruecos</v>
      </c>
      <c r="AS419" s="69" t="str">
        <f t="shared" si="122"/>
        <v>Korea</v>
      </c>
      <c r="AT419" s="69" t="e">
        <f t="shared" si="123"/>
        <v>#N/A</v>
      </c>
      <c r="AU419" s="69" t="e">
        <f t="shared" si="124"/>
        <v>#N/A</v>
      </c>
      <c r="AV419" s="69" t="e">
        <f t="shared" si="125"/>
        <v>#N/A</v>
      </c>
    </row>
    <row r="420" spans="24:48" x14ac:dyDescent="0.2">
      <c r="X420" s="64" t="str">
        <f t="shared" si="126"/>
        <v/>
      </c>
      <c r="Y420" s="68" t="s">
        <v>32</v>
      </c>
      <c r="Z420" s="68" t="s">
        <v>13</v>
      </c>
      <c r="AA420" s="68" t="s">
        <v>26</v>
      </c>
      <c r="AB420" s="68" t="s">
        <v>27</v>
      </c>
      <c r="AC420" s="68" t="s">
        <v>25</v>
      </c>
      <c r="AD420" s="68" t="s">
        <v>14</v>
      </c>
      <c r="AE420" s="68" t="s">
        <v>186</v>
      </c>
      <c r="AF420" s="68" t="s">
        <v>15</v>
      </c>
      <c r="AG420">
        <f t="shared" si="127"/>
        <v>0</v>
      </c>
      <c r="AH420">
        <f t="shared" si="111"/>
        <v>0</v>
      </c>
      <c r="AI420">
        <f t="shared" si="112"/>
        <v>1</v>
      </c>
      <c r="AJ420">
        <f t="shared" si="113"/>
        <v>1</v>
      </c>
      <c r="AK420">
        <f t="shared" si="114"/>
        <v>1</v>
      </c>
      <c r="AL420">
        <f t="shared" si="115"/>
        <v>1</v>
      </c>
      <c r="AM420">
        <f t="shared" si="116"/>
        <v>0</v>
      </c>
      <c r="AN420">
        <f t="shared" si="117"/>
        <v>1</v>
      </c>
      <c r="AO420" s="69" t="e">
        <f t="shared" si="118"/>
        <v>#N/A</v>
      </c>
      <c r="AP420" s="69" t="e">
        <f t="shared" si="119"/>
        <v>#N/A</v>
      </c>
      <c r="AQ420" s="69" t="str">
        <f t="shared" si="120"/>
        <v>Bosnia</v>
      </c>
      <c r="AR420" s="69" t="str">
        <f t="shared" si="121"/>
        <v>Marruecos</v>
      </c>
      <c r="AS420" s="69" t="str">
        <f t="shared" si="122"/>
        <v>Korea</v>
      </c>
      <c r="AT420" s="69" t="str">
        <f t="shared" si="123"/>
        <v>Irán</v>
      </c>
      <c r="AU420" s="69" t="e">
        <f t="shared" si="124"/>
        <v>#N/A</v>
      </c>
      <c r="AV420" s="69" t="str">
        <f t="shared" si="125"/>
        <v>Costa de Marfil</v>
      </c>
    </row>
    <row r="421" spans="24:48" x14ac:dyDescent="0.2">
      <c r="X421" s="64" t="str">
        <f t="shared" si="126"/>
        <v/>
      </c>
      <c r="Y421" s="68" t="s">
        <v>32</v>
      </c>
      <c r="Z421" s="68" t="s">
        <v>13</v>
      </c>
      <c r="AA421" s="68" t="s">
        <v>26</v>
      </c>
      <c r="AB421" s="68" t="s">
        <v>27</v>
      </c>
      <c r="AC421" s="68" t="s">
        <v>25</v>
      </c>
      <c r="AD421" s="68" t="s">
        <v>14</v>
      </c>
      <c r="AE421" s="68" t="s">
        <v>15</v>
      </c>
      <c r="AF421" s="68" t="s">
        <v>185</v>
      </c>
      <c r="AG421">
        <f t="shared" si="127"/>
        <v>0</v>
      </c>
      <c r="AH421">
        <f t="shared" si="111"/>
        <v>0</v>
      </c>
      <c r="AI421">
        <f t="shared" si="112"/>
        <v>1</v>
      </c>
      <c r="AJ421">
        <f t="shared" si="113"/>
        <v>1</v>
      </c>
      <c r="AK421">
        <f t="shared" si="114"/>
        <v>1</v>
      </c>
      <c r="AL421">
        <f t="shared" si="115"/>
        <v>1</v>
      </c>
      <c r="AM421">
        <f t="shared" si="116"/>
        <v>1</v>
      </c>
      <c r="AN421">
        <f t="shared" si="117"/>
        <v>0</v>
      </c>
      <c r="AO421" s="69" t="e">
        <f t="shared" si="118"/>
        <v>#N/A</v>
      </c>
      <c r="AP421" s="69" t="e">
        <f t="shared" si="119"/>
        <v>#N/A</v>
      </c>
      <c r="AQ421" s="69" t="str">
        <f t="shared" si="120"/>
        <v>Bosnia</v>
      </c>
      <c r="AR421" s="69" t="str">
        <f t="shared" si="121"/>
        <v>Marruecos</v>
      </c>
      <c r="AS421" s="69" t="str">
        <f t="shared" si="122"/>
        <v>Korea</v>
      </c>
      <c r="AT421" s="69" t="str">
        <f t="shared" si="123"/>
        <v>Irán</v>
      </c>
      <c r="AU421" s="69" t="str">
        <f t="shared" si="124"/>
        <v>Costa de Marfil</v>
      </c>
      <c r="AV421" s="69" t="e">
        <f t="shared" si="125"/>
        <v>#N/A</v>
      </c>
    </row>
    <row r="422" spans="24:48" x14ac:dyDescent="0.2">
      <c r="X422" s="64" t="str">
        <f t="shared" si="126"/>
        <v/>
      </c>
      <c r="Y422" s="68" t="s">
        <v>15</v>
      </c>
      <c r="Z422" s="68" t="s">
        <v>14</v>
      </c>
      <c r="AA422" s="68" t="s">
        <v>26</v>
      </c>
      <c r="AB422" s="68" t="s">
        <v>27</v>
      </c>
      <c r="AC422" s="68" t="s">
        <v>25</v>
      </c>
      <c r="AD422" s="68" t="s">
        <v>32</v>
      </c>
      <c r="AE422" s="68" t="s">
        <v>186</v>
      </c>
      <c r="AF422" s="68" t="s">
        <v>184</v>
      </c>
      <c r="AG422">
        <f t="shared" si="127"/>
        <v>1</v>
      </c>
      <c r="AH422">
        <f t="shared" si="111"/>
        <v>1</v>
      </c>
      <c r="AI422">
        <f t="shared" si="112"/>
        <v>1</v>
      </c>
      <c r="AJ422">
        <f t="shared" si="113"/>
        <v>1</v>
      </c>
      <c r="AK422">
        <f t="shared" si="114"/>
        <v>1</v>
      </c>
      <c r="AL422">
        <f t="shared" si="115"/>
        <v>0</v>
      </c>
      <c r="AM422">
        <f t="shared" si="116"/>
        <v>0</v>
      </c>
      <c r="AN422">
        <f t="shared" si="117"/>
        <v>1</v>
      </c>
      <c r="AO422" s="69" t="str">
        <f t="shared" si="118"/>
        <v>Costa de Marfil</v>
      </c>
      <c r="AP422" s="69" t="str">
        <f t="shared" si="119"/>
        <v>Irán</v>
      </c>
      <c r="AQ422" s="69" t="str">
        <f t="shared" si="120"/>
        <v>Bosnia</v>
      </c>
      <c r="AR422" s="69" t="str">
        <f t="shared" si="121"/>
        <v>Marruecos</v>
      </c>
      <c r="AS422" s="69" t="str">
        <f t="shared" si="122"/>
        <v>Korea</v>
      </c>
      <c r="AT422" s="69" t="e">
        <f t="shared" si="123"/>
        <v>#N/A</v>
      </c>
      <c r="AU422" s="69" t="e">
        <f t="shared" si="124"/>
        <v>#N/A</v>
      </c>
      <c r="AV422" s="69" t="str">
        <f t="shared" si="125"/>
        <v>Senegal</v>
      </c>
    </row>
    <row r="423" spans="24:48" x14ac:dyDescent="0.2">
      <c r="X423" s="64" t="str">
        <f t="shared" si="126"/>
        <v/>
      </c>
      <c r="Y423" s="68" t="s">
        <v>15</v>
      </c>
      <c r="Z423" s="68" t="s">
        <v>14</v>
      </c>
      <c r="AA423" s="68" t="s">
        <v>26</v>
      </c>
      <c r="AB423" s="68" t="s">
        <v>27</v>
      </c>
      <c r="AC423" s="68" t="s">
        <v>25</v>
      </c>
      <c r="AD423" s="68" t="s">
        <v>32</v>
      </c>
      <c r="AE423" s="68" t="s">
        <v>184</v>
      </c>
      <c r="AF423" s="68" t="s">
        <v>185</v>
      </c>
      <c r="AG423">
        <f t="shared" si="127"/>
        <v>1</v>
      </c>
      <c r="AH423">
        <f t="shared" si="111"/>
        <v>1</v>
      </c>
      <c r="AI423">
        <f t="shared" si="112"/>
        <v>1</v>
      </c>
      <c r="AJ423">
        <f t="shared" si="113"/>
        <v>1</v>
      </c>
      <c r="AK423">
        <f t="shared" si="114"/>
        <v>1</v>
      </c>
      <c r="AL423">
        <f t="shared" si="115"/>
        <v>0</v>
      </c>
      <c r="AM423">
        <f t="shared" si="116"/>
        <v>1</v>
      </c>
      <c r="AN423">
        <f t="shared" si="117"/>
        <v>0</v>
      </c>
      <c r="AO423" s="69" t="str">
        <f t="shared" si="118"/>
        <v>Costa de Marfil</v>
      </c>
      <c r="AP423" s="69" t="str">
        <f t="shared" si="119"/>
        <v>Irán</v>
      </c>
      <c r="AQ423" s="69" t="str">
        <f t="shared" si="120"/>
        <v>Bosnia</v>
      </c>
      <c r="AR423" s="69" t="str">
        <f t="shared" si="121"/>
        <v>Marruecos</v>
      </c>
      <c r="AS423" s="69" t="str">
        <f t="shared" si="122"/>
        <v>Korea</v>
      </c>
      <c r="AT423" s="69" t="e">
        <f t="shared" si="123"/>
        <v>#N/A</v>
      </c>
      <c r="AU423" s="69" t="str">
        <f t="shared" si="124"/>
        <v>Senegal</v>
      </c>
      <c r="AV423" s="69" t="e">
        <f t="shared" si="125"/>
        <v>#N/A</v>
      </c>
    </row>
    <row r="424" spans="24:48" x14ac:dyDescent="0.2">
      <c r="X424" s="64" t="str">
        <f t="shared" si="126"/>
        <v/>
      </c>
      <c r="Y424" s="68" t="s">
        <v>32</v>
      </c>
      <c r="Z424" s="68" t="s">
        <v>13</v>
      </c>
      <c r="AA424" s="68" t="s">
        <v>26</v>
      </c>
      <c r="AB424" s="68" t="s">
        <v>27</v>
      </c>
      <c r="AC424" s="68" t="s">
        <v>25</v>
      </c>
      <c r="AD424" s="68" t="s">
        <v>14</v>
      </c>
      <c r="AE424" s="68" t="s">
        <v>15</v>
      </c>
      <c r="AF424" s="68" t="s">
        <v>184</v>
      </c>
      <c r="AG424">
        <f t="shared" si="127"/>
        <v>0</v>
      </c>
      <c r="AH424">
        <f t="shared" si="111"/>
        <v>0</v>
      </c>
      <c r="AI424">
        <f t="shared" si="112"/>
        <v>1</v>
      </c>
      <c r="AJ424">
        <f t="shared" si="113"/>
        <v>1</v>
      </c>
      <c r="AK424">
        <f t="shared" si="114"/>
        <v>1</v>
      </c>
      <c r="AL424">
        <f t="shared" si="115"/>
        <v>1</v>
      </c>
      <c r="AM424">
        <f t="shared" si="116"/>
        <v>1</v>
      </c>
      <c r="AN424">
        <f t="shared" si="117"/>
        <v>1</v>
      </c>
      <c r="AO424" s="69" t="e">
        <f t="shared" si="118"/>
        <v>#N/A</v>
      </c>
      <c r="AP424" s="69" t="e">
        <f t="shared" si="119"/>
        <v>#N/A</v>
      </c>
      <c r="AQ424" s="69" t="str">
        <f t="shared" si="120"/>
        <v>Bosnia</v>
      </c>
      <c r="AR424" s="69" t="str">
        <f t="shared" si="121"/>
        <v>Marruecos</v>
      </c>
      <c r="AS424" s="69" t="str">
        <f t="shared" si="122"/>
        <v>Korea</v>
      </c>
      <c r="AT424" s="69" t="str">
        <f t="shared" si="123"/>
        <v>Irán</v>
      </c>
      <c r="AU424" s="69" t="str">
        <f t="shared" si="124"/>
        <v>Costa de Marfil</v>
      </c>
      <c r="AV424" s="69" t="str">
        <f t="shared" si="125"/>
        <v>Senegal</v>
      </c>
    </row>
    <row r="425" spans="24:48" x14ac:dyDescent="0.2">
      <c r="X425" s="64" t="str">
        <f t="shared" si="126"/>
        <v/>
      </c>
      <c r="Y425" s="68" t="s">
        <v>15</v>
      </c>
      <c r="Z425" s="68" t="s">
        <v>13</v>
      </c>
      <c r="AA425" s="68" t="s">
        <v>26</v>
      </c>
      <c r="AB425" s="68" t="s">
        <v>27</v>
      </c>
      <c r="AC425" s="68" t="s">
        <v>25</v>
      </c>
      <c r="AD425" s="68" t="s">
        <v>31</v>
      </c>
      <c r="AE425" s="68" t="s">
        <v>186</v>
      </c>
      <c r="AF425" s="68" t="s">
        <v>185</v>
      </c>
      <c r="AG425">
        <f t="shared" si="127"/>
        <v>1</v>
      </c>
      <c r="AH425">
        <f t="shared" si="111"/>
        <v>0</v>
      </c>
      <c r="AI425">
        <f t="shared" si="112"/>
        <v>1</v>
      </c>
      <c r="AJ425">
        <f t="shared" si="113"/>
        <v>1</v>
      </c>
      <c r="AK425">
        <f t="shared" si="114"/>
        <v>1</v>
      </c>
      <c r="AL425">
        <f t="shared" si="115"/>
        <v>1</v>
      </c>
      <c r="AM425">
        <f t="shared" si="116"/>
        <v>0</v>
      </c>
      <c r="AN425">
        <f t="shared" si="117"/>
        <v>0</v>
      </c>
      <c r="AO425" s="69" t="str">
        <f t="shared" si="118"/>
        <v>Costa de Marfil</v>
      </c>
      <c r="AP425" s="69" t="e">
        <f t="shared" si="119"/>
        <v>#N/A</v>
      </c>
      <c r="AQ425" s="69" t="str">
        <f t="shared" si="120"/>
        <v>Bosnia</v>
      </c>
      <c r="AR425" s="69" t="str">
        <f t="shared" si="121"/>
        <v>Marruecos</v>
      </c>
      <c r="AS425" s="69" t="str">
        <f t="shared" si="122"/>
        <v>Korea</v>
      </c>
      <c r="AT425" s="69" t="str">
        <f t="shared" si="123"/>
        <v>Suecia</v>
      </c>
      <c r="AU425" s="69" t="e">
        <f t="shared" si="124"/>
        <v>#N/A</v>
      </c>
      <c r="AV425" s="69" t="e">
        <f t="shared" si="125"/>
        <v>#N/A</v>
      </c>
    </row>
    <row r="426" spans="24:48" x14ac:dyDescent="0.2">
      <c r="X426" s="64" t="str">
        <f t="shared" si="126"/>
        <v/>
      </c>
      <c r="Y426" s="68" t="s">
        <v>15</v>
      </c>
      <c r="Z426" s="68" t="s">
        <v>184</v>
      </c>
      <c r="AA426" s="68" t="s">
        <v>26</v>
      </c>
      <c r="AB426" s="68" t="s">
        <v>27</v>
      </c>
      <c r="AC426" s="68" t="s">
        <v>25</v>
      </c>
      <c r="AD426" s="68" t="s">
        <v>31</v>
      </c>
      <c r="AE426" s="68" t="s">
        <v>186</v>
      </c>
      <c r="AF426" s="68" t="s">
        <v>185</v>
      </c>
      <c r="AG426">
        <f t="shared" si="127"/>
        <v>1</v>
      </c>
      <c r="AH426">
        <f t="shared" si="111"/>
        <v>1</v>
      </c>
      <c r="AI426">
        <f t="shared" si="112"/>
        <v>1</v>
      </c>
      <c r="AJ426">
        <f t="shared" si="113"/>
        <v>1</v>
      </c>
      <c r="AK426">
        <f t="shared" si="114"/>
        <v>1</v>
      </c>
      <c r="AL426">
        <f t="shared" si="115"/>
        <v>1</v>
      </c>
      <c r="AM426">
        <f t="shared" si="116"/>
        <v>0</v>
      </c>
      <c r="AN426">
        <f t="shared" si="117"/>
        <v>0</v>
      </c>
      <c r="AO426" s="69" t="str">
        <f t="shared" si="118"/>
        <v>Costa de Marfil</v>
      </c>
      <c r="AP426" s="69" t="str">
        <f t="shared" si="119"/>
        <v>Senegal</v>
      </c>
      <c r="AQ426" s="69" t="str">
        <f t="shared" si="120"/>
        <v>Bosnia</v>
      </c>
      <c r="AR426" s="69" t="str">
        <f t="shared" si="121"/>
        <v>Marruecos</v>
      </c>
      <c r="AS426" s="69" t="str">
        <f t="shared" si="122"/>
        <v>Korea</v>
      </c>
      <c r="AT426" s="69" t="str">
        <f t="shared" si="123"/>
        <v>Suecia</v>
      </c>
      <c r="AU426" s="69" t="e">
        <f t="shared" si="124"/>
        <v>#N/A</v>
      </c>
      <c r="AV426" s="69" t="e">
        <f t="shared" si="125"/>
        <v>#N/A</v>
      </c>
    </row>
    <row r="427" spans="24:48" x14ac:dyDescent="0.2">
      <c r="X427" s="64" t="str">
        <f t="shared" si="126"/>
        <v/>
      </c>
      <c r="Y427" s="68" t="s">
        <v>15</v>
      </c>
      <c r="Z427" s="68" t="s">
        <v>13</v>
      </c>
      <c r="AA427" s="68" t="s">
        <v>26</v>
      </c>
      <c r="AB427" s="68" t="s">
        <v>27</v>
      </c>
      <c r="AC427" s="68" t="s">
        <v>25</v>
      </c>
      <c r="AD427" s="68" t="s">
        <v>31</v>
      </c>
      <c r="AE427" s="68" t="s">
        <v>186</v>
      </c>
      <c r="AF427" s="68" t="s">
        <v>184</v>
      </c>
      <c r="AG427">
        <f t="shared" si="127"/>
        <v>1</v>
      </c>
      <c r="AH427">
        <f t="shared" si="111"/>
        <v>0</v>
      </c>
      <c r="AI427">
        <f t="shared" si="112"/>
        <v>1</v>
      </c>
      <c r="AJ427">
        <f t="shared" si="113"/>
        <v>1</v>
      </c>
      <c r="AK427">
        <f t="shared" si="114"/>
        <v>1</v>
      </c>
      <c r="AL427">
        <f t="shared" si="115"/>
        <v>1</v>
      </c>
      <c r="AM427">
        <f t="shared" si="116"/>
        <v>0</v>
      </c>
      <c r="AN427">
        <f t="shared" si="117"/>
        <v>1</v>
      </c>
      <c r="AO427" s="69" t="str">
        <f t="shared" si="118"/>
        <v>Costa de Marfil</v>
      </c>
      <c r="AP427" s="69" t="e">
        <f t="shared" si="119"/>
        <v>#N/A</v>
      </c>
      <c r="AQ427" s="69" t="str">
        <f t="shared" si="120"/>
        <v>Bosnia</v>
      </c>
      <c r="AR427" s="69" t="str">
        <f t="shared" si="121"/>
        <v>Marruecos</v>
      </c>
      <c r="AS427" s="69" t="str">
        <f t="shared" si="122"/>
        <v>Korea</v>
      </c>
      <c r="AT427" s="69" t="str">
        <f t="shared" si="123"/>
        <v>Suecia</v>
      </c>
      <c r="AU427" s="69" t="e">
        <f t="shared" si="124"/>
        <v>#N/A</v>
      </c>
      <c r="AV427" s="69" t="str">
        <f t="shared" si="125"/>
        <v>Senegal</v>
      </c>
    </row>
    <row r="428" spans="24:48" x14ac:dyDescent="0.2">
      <c r="X428" s="64" t="str">
        <f t="shared" si="126"/>
        <v/>
      </c>
      <c r="Y428" s="68" t="s">
        <v>15</v>
      </c>
      <c r="Z428" s="68" t="s">
        <v>13</v>
      </c>
      <c r="AA428" s="68" t="s">
        <v>26</v>
      </c>
      <c r="AB428" s="68" t="s">
        <v>27</v>
      </c>
      <c r="AC428" s="68" t="s">
        <v>25</v>
      </c>
      <c r="AD428" s="68" t="s">
        <v>31</v>
      </c>
      <c r="AE428" s="68" t="s">
        <v>184</v>
      </c>
      <c r="AF428" s="68" t="s">
        <v>185</v>
      </c>
      <c r="AG428">
        <f t="shared" si="127"/>
        <v>1</v>
      </c>
      <c r="AH428">
        <f t="shared" si="111"/>
        <v>0</v>
      </c>
      <c r="AI428">
        <f t="shared" si="112"/>
        <v>1</v>
      </c>
      <c r="AJ428">
        <f t="shared" si="113"/>
        <v>1</v>
      </c>
      <c r="AK428">
        <f t="shared" si="114"/>
        <v>1</v>
      </c>
      <c r="AL428">
        <f t="shared" si="115"/>
        <v>1</v>
      </c>
      <c r="AM428">
        <f t="shared" si="116"/>
        <v>1</v>
      </c>
      <c r="AN428">
        <f t="shared" si="117"/>
        <v>0</v>
      </c>
      <c r="AO428" s="69" t="str">
        <f t="shared" si="118"/>
        <v>Costa de Marfil</v>
      </c>
      <c r="AP428" s="69" t="e">
        <f t="shared" si="119"/>
        <v>#N/A</v>
      </c>
      <c r="AQ428" s="69" t="str">
        <f t="shared" si="120"/>
        <v>Bosnia</v>
      </c>
      <c r="AR428" s="69" t="str">
        <f t="shared" si="121"/>
        <v>Marruecos</v>
      </c>
      <c r="AS428" s="69" t="str">
        <f t="shared" si="122"/>
        <v>Korea</v>
      </c>
      <c r="AT428" s="69" t="str">
        <f t="shared" si="123"/>
        <v>Suecia</v>
      </c>
      <c r="AU428" s="69" t="str">
        <f t="shared" si="124"/>
        <v>Senegal</v>
      </c>
      <c r="AV428" s="69" t="e">
        <f t="shared" si="125"/>
        <v>#N/A</v>
      </c>
    </row>
    <row r="429" spans="24:48" x14ac:dyDescent="0.2">
      <c r="X429" s="64" t="str">
        <f t="shared" si="126"/>
        <v/>
      </c>
      <c r="Y429" s="68" t="s">
        <v>32</v>
      </c>
      <c r="Z429" s="68" t="s">
        <v>15</v>
      </c>
      <c r="AA429" s="68" t="s">
        <v>26</v>
      </c>
      <c r="AB429" s="68" t="s">
        <v>27</v>
      </c>
      <c r="AC429" s="68" t="s">
        <v>25</v>
      </c>
      <c r="AD429" s="68" t="s">
        <v>31</v>
      </c>
      <c r="AE429" s="68" t="s">
        <v>186</v>
      </c>
      <c r="AF429" s="68" t="s">
        <v>185</v>
      </c>
      <c r="AG429">
        <f t="shared" si="127"/>
        <v>0</v>
      </c>
      <c r="AH429">
        <f t="shared" si="111"/>
        <v>1</v>
      </c>
      <c r="AI429">
        <f t="shared" si="112"/>
        <v>1</v>
      </c>
      <c r="AJ429">
        <f t="shared" si="113"/>
        <v>1</v>
      </c>
      <c r="AK429">
        <f t="shared" si="114"/>
        <v>1</v>
      </c>
      <c r="AL429">
        <f t="shared" si="115"/>
        <v>1</v>
      </c>
      <c r="AM429">
        <f t="shared" si="116"/>
        <v>0</v>
      </c>
      <c r="AN429">
        <f t="shared" si="117"/>
        <v>0</v>
      </c>
      <c r="AO429" s="69" t="e">
        <f t="shared" si="118"/>
        <v>#N/A</v>
      </c>
      <c r="AP429" s="69" t="str">
        <f t="shared" si="119"/>
        <v>Costa de Marfil</v>
      </c>
      <c r="AQ429" s="69" t="str">
        <f t="shared" si="120"/>
        <v>Bosnia</v>
      </c>
      <c r="AR429" s="69" t="str">
        <f t="shared" si="121"/>
        <v>Marruecos</v>
      </c>
      <c r="AS429" s="69" t="str">
        <f t="shared" si="122"/>
        <v>Korea</v>
      </c>
      <c r="AT429" s="69" t="str">
        <f t="shared" si="123"/>
        <v>Suecia</v>
      </c>
      <c r="AU429" s="69" t="e">
        <f t="shared" si="124"/>
        <v>#N/A</v>
      </c>
      <c r="AV429" s="69" t="e">
        <f t="shared" si="125"/>
        <v>#N/A</v>
      </c>
    </row>
    <row r="430" spans="24:48" x14ac:dyDescent="0.2">
      <c r="X430" s="64" t="str">
        <f t="shared" si="126"/>
        <v/>
      </c>
      <c r="Y430" s="68" t="s">
        <v>32</v>
      </c>
      <c r="Z430" s="68" t="s">
        <v>13</v>
      </c>
      <c r="AA430" s="68" t="s">
        <v>26</v>
      </c>
      <c r="AB430" s="68" t="s">
        <v>27</v>
      </c>
      <c r="AC430" s="68" t="s">
        <v>25</v>
      </c>
      <c r="AD430" s="68" t="s">
        <v>31</v>
      </c>
      <c r="AE430" s="68" t="s">
        <v>186</v>
      </c>
      <c r="AF430" s="68" t="s">
        <v>15</v>
      </c>
      <c r="AG430">
        <f t="shared" si="127"/>
        <v>0</v>
      </c>
      <c r="AH430">
        <f t="shared" si="111"/>
        <v>0</v>
      </c>
      <c r="AI430">
        <f t="shared" si="112"/>
        <v>1</v>
      </c>
      <c r="AJ430">
        <f t="shared" si="113"/>
        <v>1</v>
      </c>
      <c r="AK430">
        <f t="shared" si="114"/>
        <v>1</v>
      </c>
      <c r="AL430">
        <f t="shared" si="115"/>
        <v>1</v>
      </c>
      <c r="AM430">
        <f t="shared" si="116"/>
        <v>0</v>
      </c>
      <c r="AN430">
        <f t="shared" si="117"/>
        <v>1</v>
      </c>
      <c r="AO430" s="69" t="e">
        <f t="shared" si="118"/>
        <v>#N/A</v>
      </c>
      <c r="AP430" s="69" t="e">
        <f t="shared" si="119"/>
        <v>#N/A</v>
      </c>
      <c r="AQ430" s="69" t="str">
        <f t="shared" si="120"/>
        <v>Bosnia</v>
      </c>
      <c r="AR430" s="69" t="str">
        <f t="shared" si="121"/>
        <v>Marruecos</v>
      </c>
      <c r="AS430" s="69" t="str">
        <f t="shared" si="122"/>
        <v>Korea</v>
      </c>
      <c r="AT430" s="69" t="str">
        <f t="shared" si="123"/>
        <v>Suecia</v>
      </c>
      <c r="AU430" s="69" t="e">
        <f t="shared" si="124"/>
        <v>#N/A</v>
      </c>
      <c r="AV430" s="69" t="str">
        <f t="shared" si="125"/>
        <v>Costa de Marfil</v>
      </c>
    </row>
    <row r="431" spans="24:48" x14ac:dyDescent="0.2">
      <c r="X431" s="64" t="str">
        <f t="shared" si="126"/>
        <v/>
      </c>
      <c r="Y431" s="68" t="s">
        <v>32</v>
      </c>
      <c r="Z431" s="68" t="s">
        <v>13</v>
      </c>
      <c r="AA431" s="68" t="s">
        <v>26</v>
      </c>
      <c r="AB431" s="68" t="s">
        <v>27</v>
      </c>
      <c r="AC431" s="68" t="s">
        <v>25</v>
      </c>
      <c r="AD431" s="68" t="s">
        <v>31</v>
      </c>
      <c r="AE431" s="68" t="s">
        <v>15</v>
      </c>
      <c r="AF431" s="68" t="s">
        <v>185</v>
      </c>
      <c r="AG431">
        <f t="shared" si="127"/>
        <v>0</v>
      </c>
      <c r="AH431">
        <f t="shared" si="111"/>
        <v>0</v>
      </c>
      <c r="AI431">
        <f t="shared" si="112"/>
        <v>1</v>
      </c>
      <c r="AJ431">
        <f t="shared" si="113"/>
        <v>1</v>
      </c>
      <c r="AK431">
        <f t="shared" si="114"/>
        <v>1</v>
      </c>
      <c r="AL431">
        <f t="shared" si="115"/>
        <v>1</v>
      </c>
      <c r="AM431">
        <f t="shared" si="116"/>
        <v>1</v>
      </c>
      <c r="AN431">
        <f t="shared" si="117"/>
        <v>0</v>
      </c>
      <c r="AO431" s="69" t="e">
        <f t="shared" si="118"/>
        <v>#N/A</v>
      </c>
      <c r="AP431" s="69" t="e">
        <f t="shared" si="119"/>
        <v>#N/A</v>
      </c>
      <c r="AQ431" s="69" t="str">
        <f t="shared" si="120"/>
        <v>Bosnia</v>
      </c>
      <c r="AR431" s="69" t="str">
        <f t="shared" si="121"/>
        <v>Marruecos</v>
      </c>
      <c r="AS431" s="69" t="str">
        <f t="shared" si="122"/>
        <v>Korea</v>
      </c>
      <c r="AT431" s="69" t="str">
        <f t="shared" si="123"/>
        <v>Suecia</v>
      </c>
      <c r="AU431" s="69" t="str">
        <f t="shared" si="124"/>
        <v>Costa de Marfil</v>
      </c>
      <c r="AV431" s="69" t="e">
        <f t="shared" si="125"/>
        <v>#N/A</v>
      </c>
    </row>
    <row r="432" spans="24:48" x14ac:dyDescent="0.2">
      <c r="X432" s="64" t="str">
        <f t="shared" si="126"/>
        <v/>
      </c>
      <c r="Y432" s="68" t="s">
        <v>32</v>
      </c>
      <c r="Z432" s="68" t="s">
        <v>15</v>
      </c>
      <c r="AA432" s="68" t="s">
        <v>26</v>
      </c>
      <c r="AB432" s="68" t="s">
        <v>27</v>
      </c>
      <c r="AC432" s="68" t="s">
        <v>25</v>
      </c>
      <c r="AD432" s="68" t="s">
        <v>31</v>
      </c>
      <c r="AE432" s="68" t="s">
        <v>186</v>
      </c>
      <c r="AF432" s="68" t="s">
        <v>184</v>
      </c>
      <c r="AG432">
        <f t="shared" si="127"/>
        <v>0</v>
      </c>
      <c r="AH432">
        <f t="shared" si="111"/>
        <v>1</v>
      </c>
      <c r="AI432">
        <f t="shared" si="112"/>
        <v>1</v>
      </c>
      <c r="AJ432">
        <f t="shared" si="113"/>
        <v>1</v>
      </c>
      <c r="AK432">
        <f t="shared" si="114"/>
        <v>1</v>
      </c>
      <c r="AL432">
        <f t="shared" si="115"/>
        <v>1</v>
      </c>
      <c r="AM432">
        <f t="shared" si="116"/>
        <v>0</v>
      </c>
      <c r="AN432">
        <f t="shared" si="117"/>
        <v>1</v>
      </c>
      <c r="AO432" s="69" t="e">
        <f t="shared" si="118"/>
        <v>#N/A</v>
      </c>
      <c r="AP432" s="69" t="str">
        <f t="shared" si="119"/>
        <v>Costa de Marfil</v>
      </c>
      <c r="AQ432" s="69" t="str">
        <f t="shared" si="120"/>
        <v>Bosnia</v>
      </c>
      <c r="AR432" s="69" t="str">
        <f t="shared" si="121"/>
        <v>Marruecos</v>
      </c>
      <c r="AS432" s="69" t="str">
        <f t="shared" si="122"/>
        <v>Korea</v>
      </c>
      <c r="AT432" s="69" t="str">
        <f t="shared" si="123"/>
        <v>Suecia</v>
      </c>
      <c r="AU432" s="69" t="e">
        <f t="shared" si="124"/>
        <v>#N/A</v>
      </c>
      <c r="AV432" s="69" t="str">
        <f t="shared" si="125"/>
        <v>Senegal</v>
      </c>
    </row>
    <row r="433" spans="24:48" x14ac:dyDescent="0.2">
      <c r="X433" s="64" t="str">
        <f t="shared" si="126"/>
        <v/>
      </c>
      <c r="Y433" s="68" t="s">
        <v>32</v>
      </c>
      <c r="Z433" s="68" t="s">
        <v>15</v>
      </c>
      <c r="AA433" s="68" t="s">
        <v>26</v>
      </c>
      <c r="AB433" s="68" t="s">
        <v>27</v>
      </c>
      <c r="AC433" s="68" t="s">
        <v>25</v>
      </c>
      <c r="AD433" s="68" t="s">
        <v>31</v>
      </c>
      <c r="AE433" s="68" t="s">
        <v>184</v>
      </c>
      <c r="AF433" s="68" t="s">
        <v>185</v>
      </c>
      <c r="AG433">
        <f t="shared" si="127"/>
        <v>0</v>
      </c>
      <c r="AH433">
        <f t="shared" si="111"/>
        <v>1</v>
      </c>
      <c r="AI433">
        <f t="shared" si="112"/>
        <v>1</v>
      </c>
      <c r="AJ433">
        <f t="shared" si="113"/>
        <v>1</v>
      </c>
      <c r="AK433">
        <f t="shared" si="114"/>
        <v>1</v>
      </c>
      <c r="AL433">
        <f t="shared" si="115"/>
        <v>1</v>
      </c>
      <c r="AM433">
        <f t="shared" si="116"/>
        <v>1</v>
      </c>
      <c r="AN433">
        <f t="shared" si="117"/>
        <v>0</v>
      </c>
      <c r="AO433" s="69" t="e">
        <f t="shared" si="118"/>
        <v>#N/A</v>
      </c>
      <c r="AP433" s="69" t="str">
        <f t="shared" si="119"/>
        <v>Costa de Marfil</v>
      </c>
      <c r="AQ433" s="69" t="str">
        <f t="shared" si="120"/>
        <v>Bosnia</v>
      </c>
      <c r="AR433" s="69" t="str">
        <f t="shared" si="121"/>
        <v>Marruecos</v>
      </c>
      <c r="AS433" s="69" t="str">
        <f t="shared" si="122"/>
        <v>Korea</v>
      </c>
      <c r="AT433" s="69" t="str">
        <f t="shared" si="123"/>
        <v>Suecia</v>
      </c>
      <c r="AU433" s="69" t="str">
        <f t="shared" si="124"/>
        <v>Senegal</v>
      </c>
      <c r="AV433" s="69" t="e">
        <f t="shared" si="125"/>
        <v>#N/A</v>
      </c>
    </row>
    <row r="434" spans="24:48" x14ac:dyDescent="0.2">
      <c r="X434" s="64" t="str">
        <f t="shared" si="126"/>
        <v/>
      </c>
      <c r="Y434" s="68" t="s">
        <v>32</v>
      </c>
      <c r="Z434" s="68" t="s">
        <v>13</v>
      </c>
      <c r="AA434" s="68" t="s">
        <v>26</v>
      </c>
      <c r="AB434" s="68" t="s">
        <v>27</v>
      </c>
      <c r="AC434" s="68" t="s">
        <v>25</v>
      </c>
      <c r="AD434" s="68" t="s">
        <v>31</v>
      </c>
      <c r="AE434" s="68" t="s">
        <v>15</v>
      </c>
      <c r="AF434" s="68" t="s">
        <v>184</v>
      </c>
      <c r="AG434">
        <f t="shared" si="127"/>
        <v>0</v>
      </c>
      <c r="AH434">
        <f t="shared" si="111"/>
        <v>0</v>
      </c>
      <c r="AI434">
        <f t="shared" si="112"/>
        <v>1</v>
      </c>
      <c r="AJ434">
        <f t="shared" si="113"/>
        <v>1</v>
      </c>
      <c r="AK434">
        <f t="shared" si="114"/>
        <v>1</v>
      </c>
      <c r="AL434">
        <f t="shared" si="115"/>
        <v>1</v>
      </c>
      <c r="AM434">
        <f t="shared" si="116"/>
        <v>1</v>
      </c>
      <c r="AN434">
        <f t="shared" si="117"/>
        <v>1</v>
      </c>
      <c r="AO434" s="69" t="e">
        <f t="shared" si="118"/>
        <v>#N/A</v>
      </c>
      <c r="AP434" s="69" t="e">
        <f t="shared" si="119"/>
        <v>#N/A</v>
      </c>
      <c r="AQ434" s="69" t="str">
        <f t="shared" si="120"/>
        <v>Bosnia</v>
      </c>
      <c r="AR434" s="69" t="str">
        <f t="shared" si="121"/>
        <v>Marruecos</v>
      </c>
      <c r="AS434" s="69" t="str">
        <f t="shared" si="122"/>
        <v>Korea</v>
      </c>
      <c r="AT434" s="69" t="str">
        <f t="shared" si="123"/>
        <v>Suecia</v>
      </c>
      <c r="AU434" s="69" t="str">
        <f t="shared" si="124"/>
        <v>Costa de Marfil</v>
      </c>
      <c r="AV434" s="69" t="str">
        <f t="shared" si="125"/>
        <v>Senegal</v>
      </c>
    </row>
    <row r="435" spans="24:48" x14ac:dyDescent="0.2">
      <c r="X435" s="64" t="str">
        <f t="shared" si="126"/>
        <v/>
      </c>
      <c r="Y435" s="68" t="s">
        <v>15</v>
      </c>
      <c r="Z435" s="68" t="s">
        <v>14</v>
      </c>
      <c r="AA435" s="68" t="s">
        <v>26</v>
      </c>
      <c r="AB435" s="68" t="s">
        <v>27</v>
      </c>
      <c r="AC435" s="68" t="s">
        <v>25</v>
      </c>
      <c r="AD435" s="68" t="s">
        <v>31</v>
      </c>
      <c r="AE435" s="68" t="s">
        <v>186</v>
      </c>
      <c r="AF435" s="68" t="s">
        <v>185</v>
      </c>
      <c r="AG435">
        <f t="shared" si="127"/>
        <v>1</v>
      </c>
      <c r="AH435">
        <f t="shared" si="111"/>
        <v>1</v>
      </c>
      <c r="AI435">
        <f t="shared" si="112"/>
        <v>1</v>
      </c>
      <c r="AJ435">
        <f t="shared" si="113"/>
        <v>1</v>
      </c>
      <c r="AK435">
        <f t="shared" si="114"/>
        <v>1</v>
      </c>
      <c r="AL435">
        <f t="shared" si="115"/>
        <v>1</v>
      </c>
      <c r="AM435">
        <f t="shared" si="116"/>
        <v>0</v>
      </c>
      <c r="AN435">
        <f t="shared" si="117"/>
        <v>0</v>
      </c>
      <c r="AO435" s="69" t="str">
        <f t="shared" si="118"/>
        <v>Costa de Marfil</v>
      </c>
      <c r="AP435" s="69" t="str">
        <f t="shared" si="119"/>
        <v>Irán</v>
      </c>
      <c r="AQ435" s="69" t="str">
        <f t="shared" si="120"/>
        <v>Bosnia</v>
      </c>
      <c r="AR435" s="69" t="str">
        <f t="shared" si="121"/>
        <v>Marruecos</v>
      </c>
      <c r="AS435" s="69" t="str">
        <f t="shared" si="122"/>
        <v>Korea</v>
      </c>
      <c r="AT435" s="69" t="str">
        <f t="shared" si="123"/>
        <v>Suecia</v>
      </c>
      <c r="AU435" s="69" t="e">
        <f t="shared" si="124"/>
        <v>#N/A</v>
      </c>
      <c r="AV435" s="69" t="e">
        <f t="shared" si="125"/>
        <v>#N/A</v>
      </c>
    </row>
    <row r="436" spans="24:48" x14ac:dyDescent="0.2">
      <c r="X436" s="64" t="str">
        <f t="shared" si="126"/>
        <v/>
      </c>
      <c r="Y436" s="68" t="s">
        <v>15</v>
      </c>
      <c r="Z436" s="68" t="s">
        <v>14</v>
      </c>
      <c r="AA436" s="68" t="s">
        <v>26</v>
      </c>
      <c r="AB436" s="68" t="s">
        <v>27</v>
      </c>
      <c r="AC436" s="68" t="s">
        <v>25</v>
      </c>
      <c r="AD436" s="68" t="s">
        <v>31</v>
      </c>
      <c r="AE436" s="68" t="s">
        <v>186</v>
      </c>
      <c r="AF436" s="68" t="s">
        <v>13</v>
      </c>
      <c r="AG436">
        <f t="shared" si="127"/>
        <v>1</v>
      </c>
      <c r="AH436">
        <f t="shared" si="111"/>
        <v>1</v>
      </c>
      <c r="AI436">
        <f t="shared" si="112"/>
        <v>1</v>
      </c>
      <c r="AJ436">
        <f t="shared" si="113"/>
        <v>1</v>
      </c>
      <c r="AK436">
        <f t="shared" si="114"/>
        <v>1</v>
      </c>
      <c r="AL436">
        <f t="shared" si="115"/>
        <v>1</v>
      </c>
      <c r="AM436">
        <f t="shared" si="116"/>
        <v>0</v>
      </c>
      <c r="AN436">
        <f t="shared" si="117"/>
        <v>0</v>
      </c>
      <c r="AO436" s="69" t="str">
        <f t="shared" si="118"/>
        <v>Costa de Marfil</v>
      </c>
      <c r="AP436" s="69" t="str">
        <f t="shared" si="119"/>
        <v>Irán</v>
      </c>
      <c r="AQ436" s="69" t="str">
        <f t="shared" si="120"/>
        <v>Bosnia</v>
      </c>
      <c r="AR436" s="69" t="str">
        <f t="shared" si="121"/>
        <v>Marruecos</v>
      </c>
      <c r="AS436" s="69" t="str">
        <f t="shared" si="122"/>
        <v>Korea</v>
      </c>
      <c r="AT436" s="69" t="str">
        <f t="shared" si="123"/>
        <v>Suecia</v>
      </c>
      <c r="AU436" s="69" t="e">
        <f t="shared" si="124"/>
        <v>#N/A</v>
      </c>
      <c r="AV436" s="69" t="e">
        <f t="shared" si="125"/>
        <v>#N/A</v>
      </c>
    </row>
    <row r="437" spans="24:48" x14ac:dyDescent="0.2">
      <c r="X437" s="64" t="str">
        <f t="shared" si="126"/>
        <v/>
      </c>
      <c r="Y437" s="68" t="s">
        <v>15</v>
      </c>
      <c r="Z437" s="68" t="s">
        <v>14</v>
      </c>
      <c r="AA437" s="68" t="s">
        <v>26</v>
      </c>
      <c r="AB437" s="68" t="s">
        <v>27</v>
      </c>
      <c r="AC437" s="68" t="s">
        <v>25</v>
      </c>
      <c r="AD437" s="68" t="s">
        <v>31</v>
      </c>
      <c r="AE437" s="68" t="s">
        <v>13</v>
      </c>
      <c r="AF437" s="68" t="s">
        <v>185</v>
      </c>
      <c r="AG437">
        <f t="shared" si="127"/>
        <v>1</v>
      </c>
      <c r="AH437">
        <f t="shared" si="111"/>
        <v>1</v>
      </c>
      <c r="AI437">
        <f t="shared" si="112"/>
        <v>1</v>
      </c>
      <c r="AJ437">
        <f t="shared" si="113"/>
        <v>1</v>
      </c>
      <c r="AK437">
        <f t="shared" si="114"/>
        <v>1</v>
      </c>
      <c r="AL437">
        <f t="shared" si="115"/>
        <v>1</v>
      </c>
      <c r="AM437">
        <f t="shared" si="116"/>
        <v>0</v>
      </c>
      <c r="AN437">
        <f t="shared" si="117"/>
        <v>0</v>
      </c>
      <c r="AO437" s="69" t="str">
        <f t="shared" si="118"/>
        <v>Costa de Marfil</v>
      </c>
      <c r="AP437" s="69" t="str">
        <f t="shared" si="119"/>
        <v>Irán</v>
      </c>
      <c r="AQ437" s="69" t="str">
        <f t="shared" si="120"/>
        <v>Bosnia</v>
      </c>
      <c r="AR437" s="69" t="str">
        <f t="shared" si="121"/>
        <v>Marruecos</v>
      </c>
      <c r="AS437" s="69" t="str">
        <f t="shared" si="122"/>
        <v>Korea</v>
      </c>
      <c r="AT437" s="69" t="str">
        <f t="shared" si="123"/>
        <v>Suecia</v>
      </c>
      <c r="AU437" s="69" t="e">
        <f t="shared" si="124"/>
        <v>#N/A</v>
      </c>
      <c r="AV437" s="69" t="e">
        <f t="shared" si="125"/>
        <v>#N/A</v>
      </c>
    </row>
    <row r="438" spans="24:48" x14ac:dyDescent="0.2">
      <c r="X438" s="64" t="str">
        <f t="shared" si="126"/>
        <v/>
      </c>
      <c r="Y438" s="68" t="s">
        <v>15</v>
      </c>
      <c r="Z438" s="68" t="s">
        <v>14</v>
      </c>
      <c r="AA438" s="68" t="s">
        <v>26</v>
      </c>
      <c r="AB438" s="68" t="s">
        <v>27</v>
      </c>
      <c r="AC438" s="68" t="s">
        <v>25</v>
      </c>
      <c r="AD438" s="68" t="s">
        <v>31</v>
      </c>
      <c r="AE438" s="68" t="s">
        <v>186</v>
      </c>
      <c r="AF438" s="68" t="s">
        <v>184</v>
      </c>
      <c r="AG438">
        <f t="shared" si="127"/>
        <v>1</v>
      </c>
      <c r="AH438">
        <f t="shared" si="111"/>
        <v>1</v>
      </c>
      <c r="AI438">
        <f t="shared" si="112"/>
        <v>1</v>
      </c>
      <c r="AJ438">
        <f t="shared" si="113"/>
        <v>1</v>
      </c>
      <c r="AK438">
        <f t="shared" si="114"/>
        <v>1</v>
      </c>
      <c r="AL438">
        <f t="shared" si="115"/>
        <v>1</v>
      </c>
      <c r="AM438">
        <f t="shared" si="116"/>
        <v>0</v>
      </c>
      <c r="AN438">
        <f t="shared" si="117"/>
        <v>1</v>
      </c>
      <c r="AO438" s="69" t="str">
        <f t="shared" si="118"/>
        <v>Costa de Marfil</v>
      </c>
      <c r="AP438" s="69" t="str">
        <f t="shared" si="119"/>
        <v>Irán</v>
      </c>
      <c r="AQ438" s="69" t="str">
        <f t="shared" si="120"/>
        <v>Bosnia</v>
      </c>
      <c r="AR438" s="69" t="str">
        <f t="shared" si="121"/>
        <v>Marruecos</v>
      </c>
      <c r="AS438" s="69" t="str">
        <f t="shared" si="122"/>
        <v>Korea</v>
      </c>
      <c r="AT438" s="69" t="str">
        <f t="shared" si="123"/>
        <v>Suecia</v>
      </c>
      <c r="AU438" s="69" t="e">
        <f t="shared" si="124"/>
        <v>#N/A</v>
      </c>
      <c r="AV438" s="69" t="str">
        <f t="shared" si="125"/>
        <v>Senegal</v>
      </c>
    </row>
    <row r="439" spans="24:48" x14ac:dyDescent="0.2">
      <c r="X439" s="64" t="str">
        <f t="shared" si="126"/>
        <v/>
      </c>
      <c r="Y439" s="68" t="s">
        <v>15</v>
      </c>
      <c r="Z439" s="68" t="s">
        <v>14</v>
      </c>
      <c r="AA439" s="68" t="s">
        <v>26</v>
      </c>
      <c r="AB439" s="68" t="s">
        <v>27</v>
      </c>
      <c r="AC439" s="68" t="s">
        <v>25</v>
      </c>
      <c r="AD439" s="68" t="s">
        <v>31</v>
      </c>
      <c r="AE439" s="68" t="s">
        <v>184</v>
      </c>
      <c r="AF439" s="68" t="s">
        <v>185</v>
      </c>
      <c r="AG439">
        <f t="shared" si="127"/>
        <v>1</v>
      </c>
      <c r="AH439">
        <f t="shared" si="111"/>
        <v>1</v>
      </c>
      <c r="AI439">
        <f t="shared" si="112"/>
        <v>1</v>
      </c>
      <c r="AJ439">
        <f t="shared" si="113"/>
        <v>1</v>
      </c>
      <c r="AK439">
        <f t="shared" si="114"/>
        <v>1</v>
      </c>
      <c r="AL439">
        <f t="shared" si="115"/>
        <v>1</v>
      </c>
      <c r="AM439">
        <f t="shared" si="116"/>
        <v>1</v>
      </c>
      <c r="AN439">
        <f t="shared" si="117"/>
        <v>0</v>
      </c>
      <c r="AO439" s="69" t="str">
        <f t="shared" si="118"/>
        <v>Costa de Marfil</v>
      </c>
      <c r="AP439" s="69" t="str">
        <f t="shared" si="119"/>
        <v>Irán</v>
      </c>
      <c r="AQ439" s="69" t="str">
        <f t="shared" si="120"/>
        <v>Bosnia</v>
      </c>
      <c r="AR439" s="69" t="str">
        <f t="shared" si="121"/>
        <v>Marruecos</v>
      </c>
      <c r="AS439" s="69" t="str">
        <f t="shared" si="122"/>
        <v>Korea</v>
      </c>
      <c r="AT439" s="69" t="str">
        <f t="shared" si="123"/>
        <v>Suecia</v>
      </c>
      <c r="AU439" s="69" t="str">
        <f t="shared" si="124"/>
        <v>Senegal</v>
      </c>
      <c r="AV439" s="69" t="e">
        <f t="shared" si="125"/>
        <v>#N/A</v>
      </c>
    </row>
    <row r="440" spans="24:48" x14ac:dyDescent="0.2">
      <c r="X440" s="64" t="str">
        <f t="shared" si="126"/>
        <v/>
      </c>
      <c r="Y440" s="68" t="s">
        <v>15</v>
      </c>
      <c r="Z440" s="68" t="s">
        <v>14</v>
      </c>
      <c r="AA440" s="68" t="s">
        <v>26</v>
      </c>
      <c r="AB440" s="68" t="s">
        <v>27</v>
      </c>
      <c r="AC440" s="68" t="s">
        <v>25</v>
      </c>
      <c r="AD440" s="68" t="s">
        <v>31</v>
      </c>
      <c r="AE440" s="68" t="s">
        <v>184</v>
      </c>
      <c r="AF440" s="68" t="s">
        <v>13</v>
      </c>
      <c r="AG440">
        <f t="shared" si="127"/>
        <v>1</v>
      </c>
      <c r="AH440">
        <f t="shared" si="111"/>
        <v>1</v>
      </c>
      <c r="AI440">
        <f t="shared" si="112"/>
        <v>1</v>
      </c>
      <c r="AJ440">
        <f t="shared" si="113"/>
        <v>1</v>
      </c>
      <c r="AK440">
        <f t="shared" si="114"/>
        <v>1</v>
      </c>
      <c r="AL440">
        <f t="shared" si="115"/>
        <v>1</v>
      </c>
      <c r="AM440">
        <f t="shared" si="116"/>
        <v>1</v>
      </c>
      <c r="AN440">
        <f t="shared" si="117"/>
        <v>0</v>
      </c>
      <c r="AO440" s="69" t="str">
        <f t="shared" si="118"/>
        <v>Costa de Marfil</v>
      </c>
      <c r="AP440" s="69" t="str">
        <f t="shared" si="119"/>
        <v>Irán</v>
      </c>
      <c r="AQ440" s="69" t="str">
        <f t="shared" si="120"/>
        <v>Bosnia</v>
      </c>
      <c r="AR440" s="69" t="str">
        <f t="shared" si="121"/>
        <v>Marruecos</v>
      </c>
      <c r="AS440" s="69" t="str">
        <f t="shared" si="122"/>
        <v>Korea</v>
      </c>
      <c r="AT440" s="69" t="str">
        <f t="shared" si="123"/>
        <v>Suecia</v>
      </c>
      <c r="AU440" s="69" t="str">
        <f t="shared" si="124"/>
        <v>Senegal</v>
      </c>
      <c r="AV440" s="69" t="e">
        <f t="shared" si="125"/>
        <v>#N/A</v>
      </c>
    </row>
    <row r="441" spans="24:48" x14ac:dyDescent="0.2">
      <c r="X441" s="64" t="str">
        <f t="shared" si="126"/>
        <v/>
      </c>
      <c r="Y441" s="68" t="s">
        <v>32</v>
      </c>
      <c r="Z441" s="68" t="s">
        <v>14</v>
      </c>
      <c r="AA441" s="68" t="s">
        <v>26</v>
      </c>
      <c r="AB441" s="68" t="s">
        <v>27</v>
      </c>
      <c r="AC441" s="68" t="s">
        <v>25</v>
      </c>
      <c r="AD441" s="68" t="s">
        <v>31</v>
      </c>
      <c r="AE441" s="68" t="s">
        <v>186</v>
      </c>
      <c r="AF441" s="68" t="s">
        <v>15</v>
      </c>
      <c r="AG441">
        <f t="shared" si="127"/>
        <v>0</v>
      </c>
      <c r="AH441">
        <f t="shared" si="111"/>
        <v>1</v>
      </c>
      <c r="AI441">
        <f t="shared" si="112"/>
        <v>1</v>
      </c>
      <c r="AJ441">
        <f t="shared" si="113"/>
        <v>1</v>
      </c>
      <c r="AK441">
        <f t="shared" si="114"/>
        <v>1</v>
      </c>
      <c r="AL441">
        <f t="shared" si="115"/>
        <v>1</v>
      </c>
      <c r="AM441">
        <f t="shared" si="116"/>
        <v>0</v>
      </c>
      <c r="AN441">
        <f t="shared" si="117"/>
        <v>1</v>
      </c>
      <c r="AO441" s="69" t="e">
        <f t="shared" si="118"/>
        <v>#N/A</v>
      </c>
      <c r="AP441" s="69" t="str">
        <f t="shared" si="119"/>
        <v>Irán</v>
      </c>
      <c r="AQ441" s="69" t="str">
        <f t="shared" si="120"/>
        <v>Bosnia</v>
      </c>
      <c r="AR441" s="69" t="str">
        <f t="shared" si="121"/>
        <v>Marruecos</v>
      </c>
      <c r="AS441" s="69" t="str">
        <f t="shared" si="122"/>
        <v>Korea</v>
      </c>
      <c r="AT441" s="69" t="str">
        <f t="shared" si="123"/>
        <v>Suecia</v>
      </c>
      <c r="AU441" s="69" t="e">
        <f t="shared" si="124"/>
        <v>#N/A</v>
      </c>
      <c r="AV441" s="69" t="str">
        <f t="shared" si="125"/>
        <v>Costa de Marfil</v>
      </c>
    </row>
    <row r="442" spans="24:48" x14ac:dyDescent="0.2">
      <c r="X442" s="64" t="str">
        <f t="shared" si="126"/>
        <v/>
      </c>
      <c r="Y442" s="68" t="s">
        <v>32</v>
      </c>
      <c r="Z442" s="68" t="s">
        <v>14</v>
      </c>
      <c r="AA442" s="68" t="s">
        <v>26</v>
      </c>
      <c r="AB442" s="68" t="s">
        <v>27</v>
      </c>
      <c r="AC442" s="68" t="s">
        <v>25</v>
      </c>
      <c r="AD442" s="68" t="s">
        <v>31</v>
      </c>
      <c r="AE442" s="68" t="s">
        <v>15</v>
      </c>
      <c r="AF442" s="68" t="s">
        <v>185</v>
      </c>
      <c r="AG442">
        <f t="shared" si="127"/>
        <v>0</v>
      </c>
      <c r="AH442">
        <f t="shared" si="111"/>
        <v>1</v>
      </c>
      <c r="AI442">
        <f t="shared" si="112"/>
        <v>1</v>
      </c>
      <c r="AJ442">
        <f t="shared" si="113"/>
        <v>1</v>
      </c>
      <c r="AK442">
        <f t="shared" si="114"/>
        <v>1</v>
      </c>
      <c r="AL442">
        <f t="shared" si="115"/>
        <v>1</v>
      </c>
      <c r="AM442">
        <f t="shared" si="116"/>
        <v>1</v>
      </c>
      <c r="AN442">
        <f t="shared" si="117"/>
        <v>0</v>
      </c>
      <c r="AO442" s="69" t="e">
        <f t="shared" si="118"/>
        <v>#N/A</v>
      </c>
      <c r="AP442" s="69" t="str">
        <f t="shared" si="119"/>
        <v>Irán</v>
      </c>
      <c r="AQ442" s="69" t="str">
        <f t="shared" si="120"/>
        <v>Bosnia</v>
      </c>
      <c r="AR442" s="69" t="str">
        <f t="shared" si="121"/>
        <v>Marruecos</v>
      </c>
      <c r="AS442" s="69" t="str">
        <f t="shared" si="122"/>
        <v>Korea</v>
      </c>
      <c r="AT442" s="69" t="str">
        <f t="shared" si="123"/>
        <v>Suecia</v>
      </c>
      <c r="AU442" s="69" t="str">
        <f t="shared" si="124"/>
        <v>Costa de Marfil</v>
      </c>
      <c r="AV442" s="69" t="e">
        <f t="shared" si="125"/>
        <v>#N/A</v>
      </c>
    </row>
    <row r="443" spans="24:48" x14ac:dyDescent="0.2">
      <c r="X443" s="64" t="str">
        <f t="shared" si="126"/>
        <v/>
      </c>
      <c r="Y443" s="68" t="s">
        <v>32</v>
      </c>
      <c r="Z443" s="68" t="s">
        <v>14</v>
      </c>
      <c r="AA443" s="68" t="s">
        <v>26</v>
      </c>
      <c r="AB443" s="68" t="s">
        <v>27</v>
      </c>
      <c r="AC443" s="68" t="s">
        <v>25</v>
      </c>
      <c r="AD443" s="68" t="s">
        <v>31</v>
      </c>
      <c r="AE443" s="68" t="s">
        <v>15</v>
      </c>
      <c r="AF443" s="68" t="s">
        <v>13</v>
      </c>
      <c r="AG443">
        <f t="shared" si="127"/>
        <v>0</v>
      </c>
      <c r="AH443">
        <f t="shared" si="111"/>
        <v>1</v>
      </c>
      <c r="AI443">
        <f t="shared" si="112"/>
        <v>1</v>
      </c>
      <c r="AJ443">
        <f t="shared" si="113"/>
        <v>1</v>
      </c>
      <c r="AK443">
        <f t="shared" si="114"/>
        <v>1</v>
      </c>
      <c r="AL443">
        <f t="shared" si="115"/>
        <v>1</v>
      </c>
      <c r="AM443">
        <f t="shared" si="116"/>
        <v>1</v>
      </c>
      <c r="AN443">
        <f t="shared" si="117"/>
        <v>0</v>
      </c>
      <c r="AO443" s="69" t="e">
        <f t="shared" si="118"/>
        <v>#N/A</v>
      </c>
      <c r="AP443" s="69" t="str">
        <f t="shared" si="119"/>
        <v>Irán</v>
      </c>
      <c r="AQ443" s="69" t="str">
        <f t="shared" si="120"/>
        <v>Bosnia</v>
      </c>
      <c r="AR443" s="69" t="str">
        <f t="shared" si="121"/>
        <v>Marruecos</v>
      </c>
      <c r="AS443" s="69" t="str">
        <f t="shared" si="122"/>
        <v>Korea</v>
      </c>
      <c r="AT443" s="69" t="str">
        <f t="shared" si="123"/>
        <v>Suecia</v>
      </c>
      <c r="AU443" s="69" t="str">
        <f t="shared" si="124"/>
        <v>Costa de Marfil</v>
      </c>
      <c r="AV443" s="69" t="e">
        <f t="shared" si="125"/>
        <v>#N/A</v>
      </c>
    </row>
    <row r="444" spans="24:48" x14ac:dyDescent="0.2">
      <c r="X444" s="64" t="str">
        <f t="shared" si="126"/>
        <v/>
      </c>
      <c r="Y444" s="68" t="s">
        <v>32</v>
      </c>
      <c r="Z444" s="68" t="s">
        <v>14</v>
      </c>
      <c r="AA444" s="68" t="s">
        <v>26</v>
      </c>
      <c r="AB444" s="68" t="s">
        <v>27</v>
      </c>
      <c r="AC444" s="68" t="s">
        <v>25</v>
      </c>
      <c r="AD444" s="68" t="s">
        <v>31</v>
      </c>
      <c r="AE444" s="68" t="s">
        <v>15</v>
      </c>
      <c r="AF444" s="68" t="s">
        <v>184</v>
      </c>
      <c r="AG444">
        <f t="shared" si="127"/>
        <v>0</v>
      </c>
      <c r="AH444">
        <f t="shared" si="111"/>
        <v>1</v>
      </c>
      <c r="AI444">
        <f t="shared" si="112"/>
        <v>1</v>
      </c>
      <c r="AJ444">
        <f t="shared" si="113"/>
        <v>1</v>
      </c>
      <c r="AK444">
        <f t="shared" si="114"/>
        <v>1</v>
      </c>
      <c r="AL444">
        <f t="shared" si="115"/>
        <v>1</v>
      </c>
      <c r="AM444">
        <f t="shared" si="116"/>
        <v>1</v>
      </c>
      <c r="AN444">
        <f t="shared" si="117"/>
        <v>1</v>
      </c>
      <c r="AO444" s="69" t="e">
        <f t="shared" si="118"/>
        <v>#N/A</v>
      </c>
      <c r="AP444" s="69" t="str">
        <f t="shared" si="119"/>
        <v>Irán</v>
      </c>
      <c r="AQ444" s="69" t="str">
        <f t="shared" si="120"/>
        <v>Bosnia</v>
      </c>
      <c r="AR444" s="69" t="str">
        <f t="shared" si="121"/>
        <v>Marruecos</v>
      </c>
      <c r="AS444" s="69" t="str">
        <f t="shared" si="122"/>
        <v>Korea</v>
      </c>
      <c r="AT444" s="69" t="str">
        <f t="shared" si="123"/>
        <v>Suecia</v>
      </c>
      <c r="AU444" s="69" t="str">
        <f t="shared" si="124"/>
        <v>Costa de Marfil</v>
      </c>
      <c r="AV444" s="69" t="str">
        <f t="shared" si="125"/>
        <v>Senegal</v>
      </c>
    </row>
    <row r="445" spans="24:48" x14ac:dyDescent="0.2">
      <c r="X445" s="64" t="str">
        <f t="shared" si="126"/>
        <v/>
      </c>
      <c r="Y445" s="68" t="s">
        <v>184</v>
      </c>
      <c r="Z445" s="68" t="s">
        <v>13</v>
      </c>
      <c r="AA445" s="68" t="s">
        <v>26</v>
      </c>
      <c r="AB445" s="68" t="s">
        <v>27</v>
      </c>
      <c r="AC445" s="68" t="s">
        <v>25</v>
      </c>
      <c r="AD445" s="68" t="s">
        <v>28</v>
      </c>
      <c r="AE445" s="68" t="s">
        <v>186</v>
      </c>
      <c r="AF445" s="68" t="s">
        <v>185</v>
      </c>
      <c r="AG445">
        <f t="shared" si="127"/>
        <v>1</v>
      </c>
      <c r="AH445">
        <f t="shared" si="111"/>
        <v>0</v>
      </c>
      <c r="AI445">
        <f t="shared" si="112"/>
        <v>1</v>
      </c>
      <c r="AJ445">
        <f t="shared" si="113"/>
        <v>1</v>
      </c>
      <c r="AK445">
        <f t="shared" si="114"/>
        <v>1</v>
      </c>
      <c r="AL445">
        <f t="shared" si="115"/>
        <v>1</v>
      </c>
      <c r="AM445">
        <f t="shared" si="116"/>
        <v>0</v>
      </c>
      <c r="AN445">
        <f t="shared" si="117"/>
        <v>0</v>
      </c>
      <c r="AO445" s="69" t="str">
        <f t="shared" si="118"/>
        <v>Senegal</v>
      </c>
      <c r="AP445" s="69" t="e">
        <f t="shared" si="119"/>
        <v>#N/A</v>
      </c>
      <c r="AQ445" s="69" t="str">
        <f t="shared" si="120"/>
        <v>Bosnia</v>
      </c>
      <c r="AR445" s="69" t="str">
        <f t="shared" si="121"/>
        <v>Marruecos</v>
      </c>
      <c r="AS445" s="69" t="str">
        <f t="shared" si="122"/>
        <v>Korea</v>
      </c>
      <c r="AT445" s="69" t="str">
        <f t="shared" si="123"/>
        <v>Paraguay</v>
      </c>
      <c r="AU445" s="69" t="e">
        <f t="shared" si="124"/>
        <v>#N/A</v>
      </c>
      <c r="AV445" s="69" t="e">
        <f t="shared" si="125"/>
        <v>#N/A</v>
      </c>
    </row>
    <row r="446" spans="24:48" x14ac:dyDescent="0.2">
      <c r="X446" s="64" t="str">
        <f t="shared" si="126"/>
        <v/>
      </c>
      <c r="Y446" s="68" t="s">
        <v>32</v>
      </c>
      <c r="Z446" s="68" t="s">
        <v>13</v>
      </c>
      <c r="AA446" s="68" t="s">
        <v>26</v>
      </c>
      <c r="AB446" s="68" t="s">
        <v>27</v>
      </c>
      <c r="AC446" s="68" t="s">
        <v>25</v>
      </c>
      <c r="AD446" s="68" t="s">
        <v>28</v>
      </c>
      <c r="AE446" s="68" t="s">
        <v>186</v>
      </c>
      <c r="AF446" s="68" t="s">
        <v>185</v>
      </c>
      <c r="AG446">
        <f t="shared" si="127"/>
        <v>0</v>
      </c>
      <c r="AH446">
        <f t="shared" si="111"/>
        <v>0</v>
      </c>
      <c r="AI446">
        <f t="shared" si="112"/>
        <v>1</v>
      </c>
      <c r="AJ446">
        <f t="shared" si="113"/>
        <v>1</v>
      </c>
      <c r="AK446">
        <f t="shared" si="114"/>
        <v>1</v>
      </c>
      <c r="AL446">
        <f t="shared" si="115"/>
        <v>1</v>
      </c>
      <c r="AM446">
        <f t="shared" si="116"/>
        <v>0</v>
      </c>
      <c r="AN446">
        <f t="shared" si="117"/>
        <v>0</v>
      </c>
      <c r="AO446" s="69" t="e">
        <f t="shared" si="118"/>
        <v>#N/A</v>
      </c>
      <c r="AP446" s="69" t="e">
        <f t="shared" si="119"/>
        <v>#N/A</v>
      </c>
      <c r="AQ446" s="69" t="str">
        <f t="shared" si="120"/>
        <v>Bosnia</v>
      </c>
      <c r="AR446" s="69" t="str">
        <f t="shared" si="121"/>
        <v>Marruecos</v>
      </c>
      <c r="AS446" s="69" t="str">
        <f t="shared" si="122"/>
        <v>Korea</v>
      </c>
      <c r="AT446" s="69" t="str">
        <f t="shared" si="123"/>
        <v>Paraguay</v>
      </c>
      <c r="AU446" s="69" t="e">
        <f t="shared" si="124"/>
        <v>#N/A</v>
      </c>
      <c r="AV446" s="69" t="e">
        <f t="shared" si="125"/>
        <v>#N/A</v>
      </c>
    </row>
    <row r="447" spans="24:48" x14ac:dyDescent="0.2">
      <c r="X447" s="64" t="str">
        <f t="shared" si="126"/>
        <v/>
      </c>
      <c r="Y447" s="68" t="s">
        <v>32</v>
      </c>
      <c r="Z447" s="68" t="s">
        <v>184</v>
      </c>
      <c r="AA447" s="68" t="s">
        <v>26</v>
      </c>
      <c r="AB447" s="68" t="s">
        <v>27</v>
      </c>
      <c r="AC447" s="68" t="s">
        <v>25</v>
      </c>
      <c r="AD447" s="68" t="s">
        <v>28</v>
      </c>
      <c r="AE447" s="68" t="s">
        <v>186</v>
      </c>
      <c r="AF447" s="68" t="s">
        <v>185</v>
      </c>
      <c r="AG447">
        <f t="shared" si="127"/>
        <v>0</v>
      </c>
      <c r="AH447">
        <f t="shared" si="111"/>
        <v>1</v>
      </c>
      <c r="AI447">
        <f t="shared" si="112"/>
        <v>1</v>
      </c>
      <c r="AJ447">
        <f t="shared" si="113"/>
        <v>1</v>
      </c>
      <c r="AK447">
        <f t="shared" si="114"/>
        <v>1</v>
      </c>
      <c r="AL447">
        <f t="shared" si="115"/>
        <v>1</v>
      </c>
      <c r="AM447">
        <f t="shared" si="116"/>
        <v>0</v>
      </c>
      <c r="AN447">
        <f t="shared" si="117"/>
        <v>0</v>
      </c>
      <c r="AO447" s="69" t="e">
        <f t="shared" si="118"/>
        <v>#N/A</v>
      </c>
      <c r="AP447" s="69" t="str">
        <f t="shared" si="119"/>
        <v>Senegal</v>
      </c>
      <c r="AQ447" s="69" t="str">
        <f t="shared" si="120"/>
        <v>Bosnia</v>
      </c>
      <c r="AR447" s="69" t="str">
        <f t="shared" si="121"/>
        <v>Marruecos</v>
      </c>
      <c r="AS447" s="69" t="str">
        <f t="shared" si="122"/>
        <v>Korea</v>
      </c>
      <c r="AT447" s="69" t="str">
        <f t="shared" si="123"/>
        <v>Paraguay</v>
      </c>
      <c r="AU447" s="69" t="e">
        <f t="shared" si="124"/>
        <v>#N/A</v>
      </c>
      <c r="AV447" s="69" t="e">
        <f t="shared" si="125"/>
        <v>#N/A</v>
      </c>
    </row>
    <row r="448" spans="24:48" x14ac:dyDescent="0.2">
      <c r="X448" s="64" t="str">
        <f t="shared" si="126"/>
        <v/>
      </c>
      <c r="Y448" s="68" t="s">
        <v>32</v>
      </c>
      <c r="Z448" s="68" t="s">
        <v>13</v>
      </c>
      <c r="AA448" s="68" t="s">
        <v>26</v>
      </c>
      <c r="AB448" s="68" t="s">
        <v>27</v>
      </c>
      <c r="AC448" s="68" t="s">
        <v>25</v>
      </c>
      <c r="AD448" s="68" t="s">
        <v>28</v>
      </c>
      <c r="AE448" s="68" t="s">
        <v>186</v>
      </c>
      <c r="AF448" s="68" t="s">
        <v>184</v>
      </c>
      <c r="AG448">
        <f t="shared" si="127"/>
        <v>0</v>
      </c>
      <c r="AH448">
        <f t="shared" si="111"/>
        <v>0</v>
      </c>
      <c r="AI448">
        <f t="shared" si="112"/>
        <v>1</v>
      </c>
      <c r="AJ448">
        <f t="shared" si="113"/>
        <v>1</v>
      </c>
      <c r="AK448">
        <f t="shared" si="114"/>
        <v>1</v>
      </c>
      <c r="AL448">
        <f t="shared" si="115"/>
        <v>1</v>
      </c>
      <c r="AM448">
        <f t="shared" si="116"/>
        <v>0</v>
      </c>
      <c r="AN448">
        <f t="shared" si="117"/>
        <v>1</v>
      </c>
      <c r="AO448" s="69" t="e">
        <f t="shared" si="118"/>
        <v>#N/A</v>
      </c>
      <c r="AP448" s="69" t="e">
        <f t="shared" si="119"/>
        <v>#N/A</v>
      </c>
      <c r="AQ448" s="69" t="str">
        <f t="shared" si="120"/>
        <v>Bosnia</v>
      </c>
      <c r="AR448" s="69" t="str">
        <f t="shared" si="121"/>
        <v>Marruecos</v>
      </c>
      <c r="AS448" s="69" t="str">
        <f t="shared" si="122"/>
        <v>Korea</v>
      </c>
      <c r="AT448" s="69" t="str">
        <f t="shared" si="123"/>
        <v>Paraguay</v>
      </c>
      <c r="AU448" s="69" t="e">
        <f t="shared" si="124"/>
        <v>#N/A</v>
      </c>
      <c r="AV448" s="69" t="str">
        <f t="shared" si="125"/>
        <v>Senegal</v>
      </c>
    </row>
    <row r="449" spans="24:48" x14ac:dyDescent="0.2">
      <c r="X449" s="64" t="str">
        <f t="shared" si="126"/>
        <v/>
      </c>
      <c r="Y449" s="68" t="s">
        <v>32</v>
      </c>
      <c r="Z449" s="68" t="s">
        <v>13</v>
      </c>
      <c r="AA449" s="68" t="s">
        <v>26</v>
      </c>
      <c r="AB449" s="68" t="s">
        <v>27</v>
      </c>
      <c r="AC449" s="68" t="s">
        <v>25</v>
      </c>
      <c r="AD449" s="68" t="s">
        <v>28</v>
      </c>
      <c r="AE449" s="68" t="s">
        <v>184</v>
      </c>
      <c r="AF449" s="68" t="s">
        <v>185</v>
      </c>
      <c r="AG449">
        <f t="shared" si="127"/>
        <v>0</v>
      </c>
      <c r="AH449">
        <f t="shared" si="111"/>
        <v>0</v>
      </c>
      <c r="AI449">
        <f t="shared" si="112"/>
        <v>1</v>
      </c>
      <c r="AJ449">
        <f t="shared" si="113"/>
        <v>1</v>
      </c>
      <c r="AK449">
        <f t="shared" si="114"/>
        <v>1</v>
      </c>
      <c r="AL449">
        <f t="shared" si="115"/>
        <v>1</v>
      </c>
      <c r="AM449">
        <f t="shared" si="116"/>
        <v>1</v>
      </c>
      <c r="AN449">
        <f t="shared" si="117"/>
        <v>0</v>
      </c>
      <c r="AO449" s="69" t="e">
        <f t="shared" si="118"/>
        <v>#N/A</v>
      </c>
      <c r="AP449" s="69" t="e">
        <f t="shared" si="119"/>
        <v>#N/A</v>
      </c>
      <c r="AQ449" s="69" t="str">
        <f t="shared" si="120"/>
        <v>Bosnia</v>
      </c>
      <c r="AR449" s="69" t="str">
        <f t="shared" si="121"/>
        <v>Marruecos</v>
      </c>
      <c r="AS449" s="69" t="str">
        <f t="shared" si="122"/>
        <v>Korea</v>
      </c>
      <c r="AT449" s="69" t="str">
        <f t="shared" si="123"/>
        <v>Paraguay</v>
      </c>
      <c r="AU449" s="69" t="str">
        <f t="shared" si="124"/>
        <v>Senegal</v>
      </c>
      <c r="AV449" s="69" t="e">
        <f t="shared" si="125"/>
        <v>#N/A</v>
      </c>
    </row>
    <row r="450" spans="24:48" x14ac:dyDescent="0.2">
      <c r="X450" s="64" t="str">
        <f t="shared" si="126"/>
        <v/>
      </c>
      <c r="Y450" s="68" t="s">
        <v>27</v>
      </c>
      <c r="Z450" s="68" t="s">
        <v>13</v>
      </c>
      <c r="AA450" s="68" t="s">
        <v>26</v>
      </c>
      <c r="AB450" s="68" t="s">
        <v>28</v>
      </c>
      <c r="AC450" s="68" t="s">
        <v>25</v>
      </c>
      <c r="AD450" s="68" t="s">
        <v>14</v>
      </c>
      <c r="AE450" s="68" t="s">
        <v>186</v>
      </c>
      <c r="AF450" s="68" t="s">
        <v>185</v>
      </c>
      <c r="AG450">
        <f t="shared" si="127"/>
        <v>1</v>
      </c>
      <c r="AH450">
        <f t="shared" si="111"/>
        <v>0</v>
      </c>
      <c r="AI450">
        <f t="shared" si="112"/>
        <v>1</v>
      </c>
      <c r="AJ450">
        <f t="shared" si="113"/>
        <v>1</v>
      </c>
      <c r="AK450">
        <f t="shared" si="114"/>
        <v>1</v>
      </c>
      <c r="AL450">
        <f t="shared" si="115"/>
        <v>1</v>
      </c>
      <c r="AM450">
        <f t="shared" si="116"/>
        <v>0</v>
      </c>
      <c r="AN450">
        <f t="shared" si="117"/>
        <v>0</v>
      </c>
      <c r="AO450" s="69" t="str">
        <f t="shared" si="118"/>
        <v>Marruecos</v>
      </c>
      <c r="AP450" s="69" t="e">
        <f t="shared" si="119"/>
        <v>#N/A</v>
      </c>
      <c r="AQ450" s="69" t="str">
        <f t="shared" si="120"/>
        <v>Bosnia</v>
      </c>
      <c r="AR450" s="69" t="str">
        <f t="shared" si="121"/>
        <v>Paraguay</v>
      </c>
      <c r="AS450" s="69" t="str">
        <f t="shared" si="122"/>
        <v>Korea</v>
      </c>
      <c r="AT450" s="69" t="str">
        <f t="shared" si="123"/>
        <v>Irán</v>
      </c>
      <c r="AU450" s="69" t="e">
        <f t="shared" si="124"/>
        <v>#N/A</v>
      </c>
      <c r="AV450" s="69" t="e">
        <f t="shared" si="125"/>
        <v>#N/A</v>
      </c>
    </row>
    <row r="451" spans="24:48" x14ac:dyDescent="0.2">
      <c r="X451" s="64" t="str">
        <f t="shared" si="126"/>
        <v/>
      </c>
      <c r="Y451" s="68" t="s">
        <v>184</v>
      </c>
      <c r="Z451" s="68" t="s">
        <v>14</v>
      </c>
      <c r="AA451" s="68" t="s">
        <v>26</v>
      </c>
      <c r="AB451" s="68" t="s">
        <v>27</v>
      </c>
      <c r="AC451" s="68" t="s">
        <v>25</v>
      </c>
      <c r="AD451" s="68" t="s">
        <v>28</v>
      </c>
      <c r="AE451" s="68" t="s">
        <v>186</v>
      </c>
      <c r="AF451" s="68" t="s">
        <v>185</v>
      </c>
      <c r="AG451">
        <f t="shared" si="127"/>
        <v>1</v>
      </c>
      <c r="AH451">
        <f t="shared" si="111"/>
        <v>1</v>
      </c>
      <c r="AI451">
        <f t="shared" si="112"/>
        <v>1</v>
      </c>
      <c r="AJ451">
        <f t="shared" si="113"/>
        <v>1</v>
      </c>
      <c r="AK451">
        <f t="shared" si="114"/>
        <v>1</v>
      </c>
      <c r="AL451">
        <f t="shared" si="115"/>
        <v>1</v>
      </c>
      <c r="AM451">
        <f t="shared" si="116"/>
        <v>0</v>
      </c>
      <c r="AN451">
        <f t="shared" si="117"/>
        <v>0</v>
      </c>
      <c r="AO451" s="69" t="str">
        <f t="shared" si="118"/>
        <v>Senegal</v>
      </c>
      <c r="AP451" s="69" t="str">
        <f t="shared" si="119"/>
        <v>Irán</v>
      </c>
      <c r="AQ451" s="69" t="str">
        <f t="shared" si="120"/>
        <v>Bosnia</v>
      </c>
      <c r="AR451" s="69" t="str">
        <f t="shared" si="121"/>
        <v>Marruecos</v>
      </c>
      <c r="AS451" s="69" t="str">
        <f t="shared" si="122"/>
        <v>Korea</v>
      </c>
      <c r="AT451" s="69" t="str">
        <f t="shared" si="123"/>
        <v>Paraguay</v>
      </c>
      <c r="AU451" s="69" t="e">
        <f t="shared" si="124"/>
        <v>#N/A</v>
      </c>
      <c r="AV451" s="69" t="e">
        <f t="shared" si="125"/>
        <v>#N/A</v>
      </c>
    </row>
    <row r="452" spans="24:48" x14ac:dyDescent="0.2">
      <c r="X452" s="64" t="str">
        <f t="shared" si="126"/>
        <v/>
      </c>
      <c r="Y452" s="68" t="s">
        <v>27</v>
      </c>
      <c r="Z452" s="68" t="s">
        <v>13</v>
      </c>
      <c r="AA452" s="68" t="s">
        <v>26</v>
      </c>
      <c r="AB452" s="68" t="s">
        <v>28</v>
      </c>
      <c r="AC452" s="68" t="s">
        <v>25</v>
      </c>
      <c r="AD452" s="68" t="s">
        <v>14</v>
      </c>
      <c r="AE452" s="68" t="s">
        <v>186</v>
      </c>
      <c r="AF452" s="68" t="s">
        <v>184</v>
      </c>
      <c r="AG452">
        <f t="shared" si="127"/>
        <v>1</v>
      </c>
      <c r="AH452">
        <f t="shared" si="111"/>
        <v>0</v>
      </c>
      <c r="AI452">
        <f t="shared" si="112"/>
        <v>1</v>
      </c>
      <c r="AJ452">
        <f t="shared" si="113"/>
        <v>1</v>
      </c>
      <c r="AK452">
        <f t="shared" si="114"/>
        <v>1</v>
      </c>
      <c r="AL452">
        <f t="shared" si="115"/>
        <v>1</v>
      </c>
      <c r="AM452">
        <f t="shared" si="116"/>
        <v>0</v>
      </c>
      <c r="AN452">
        <f t="shared" si="117"/>
        <v>1</v>
      </c>
      <c r="AO452" s="69" t="str">
        <f t="shared" si="118"/>
        <v>Marruecos</v>
      </c>
      <c r="AP452" s="69" t="e">
        <f t="shared" si="119"/>
        <v>#N/A</v>
      </c>
      <c r="AQ452" s="69" t="str">
        <f t="shared" si="120"/>
        <v>Bosnia</v>
      </c>
      <c r="AR452" s="69" t="str">
        <f t="shared" si="121"/>
        <v>Paraguay</v>
      </c>
      <c r="AS452" s="69" t="str">
        <f t="shared" si="122"/>
        <v>Korea</v>
      </c>
      <c r="AT452" s="69" t="str">
        <f t="shared" si="123"/>
        <v>Irán</v>
      </c>
      <c r="AU452" s="69" t="e">
        <f t="shared" si="124"/>
        <v>#N/A</v>
      </c>
      <c r="AV452" s="69" t="str">
        <f t="shared" si="125"/>
        <v>Senegal</v>
      </c>
    </row>
    <row r="453" spans="24:48" x14ac:dyDescent="0.2">
      <c r="X453" s="64" t="str">
        <f t="shared" si="126"/>
        <v/>
      </c>
      <c r="Y453" s="68" t="s">
        <v>27</v>
      </c>
      <c r="Z453" s="68" t="s">
        <v>13</v>
      </c>
      <c r="AA453" s="68" t="s">
        <v>26</v>
      </c>
      <c r="AB453" s="68" t="s">
        <v>28</v>
      </c>
      <c r="AC453" s="68" t="s">
        <v>25</v>
      </c>
      <c r="AD453" s="68" t="s">
        <v>14</v>
      </c>
      <c r="AE453" s="68" t="s">
        <v>184</v>
      </c>
      <c r="AF453" s="68" t="s">
        <v>185</v>
      </c>
      <c r="AG453">
        <f t="shared" si="127"/>
        <v>1</v>
      </c>
      <c r="AH453">
        <f t="shared" si="111"/>
        <v>0</v>
      </c>
      <c r="AI453">
        <f t="shared" si="112"/>
        <v>1</v>
      </c>
      <c r="AJ453">
        <f t="shared" si="113"/>
        <v>1</v>
      </c>
      <c r="AK453">
        <f t="shared" si="114"/>
        <v>1</v>
      </c>
      <c r="AL453">
        <f t="shared" si="115"/>
        <v>1</v>
      </c>
      <c r="AM453">
        <f t="shared" si="116"/>
        <v>1</v>
      </c>
      <c r="AN453">
        <f t="shared" si="117"/>
        <v>0</v>
      </c>
      <c r="AO453" s="69" t="str">
        <f t="shared" si="118"/>
        <v>Marruecos</v>
      </c>
      <c r="AP453" s="69" t="e">
        <f t="shared" si="119"/>
        <v>#N/A</v>
      </c>
      <c r="AQ453" s="69" t="str">
        <f t="shared" si="120"/>
        <v>Bosnia</v>
      </c>
      <c r="AR453" s="69" t="str">
        <f t="shared" si="121"/>
        <v>Paraguay</v>
      </c>
      <c r="AS453" s="69" t="str">
        <f t="shared" si="122"/>
        <v>Korea</v>
      </c>
      <c r="AT453" s="69" t="str">
        <f t="shared" si="123"/>
        <v>Irán</v>
      </c>
      <c r="AU453" s="69" t="str">
        <f t="shared" si="124"/>
        <v>Senegal</v>
      </c>
      <c r="AV453" s="69" t="e">
        <f t="shared" si="125"/>
        <v>#N/A</v>
      </c>
    </row>
    <row r="454" spans="24:48" x14ac:dyDescent="0.2">
      <c r="X454" s="64" t="str">
        <f t="shared" si="126"/>
        <v/>
      </c>
      <c r="Y454" s="68" t="s">
        <v>32</v>
      </c>
      <c r="Z454" s="68" t="s">
        <v>14</v>
      </c>
      <c r="AA454" s="68" t="s">
        <v>26</v>
      </c>
      <c r="AB454" s="68" t="s">
        <v>27</v>
      </c>
      <c r="AC454" s="68" t="s">
        <v>25</v>
      </c>
      <c r="AD454" s="68" t="s">
        <v>28</v>
      </c>
      <c r="AE454" s="68" t="s">
        <v>186</v>
      </c>
      <c r="AF454" s="68" t="s">
        <v>185</v>
      </c>
      <c r="AG454">
        <f t="shared" si="127"/>
        <v>0</v>
      </c>
      <c r="AH454">
        <f t="shared" si="111"/>
        <v>1</v>
      </c>
      <c r="AI454">
        <f t="shared" si="112"/>
        <v>1</v>
      </c>
      <c r="AJ454">
        <f t="shared" si="113"/>
        <v>1</v>
      </c>
      <c r="AK454">
        <f t="shared" si="114"/>
        <v>1</v>
      </c>
      <c r="AL454">
        <f t="shared" si="115"/>
        <v>1</v>
      </c>
      <c r="AM454">
        <f t="shared" si="116"/>
        <v>0</v>
      </c>
      <c r="AN454">
        <f t="shared" si="117"/>
        <v>0</v>
      </c>
      <c r="AO454" s="69" t="e">
        <f t="shared" si="118"/>
        <v>#N/A</v>
      </c>
      <c r="AP454" s="69" t="str">
        <f t="shared" si="119"/>
        <v>Irán</v>
      </c>
      <c r="AQ454" s="69" t="str">
        <f t="shared" si="120"/>
        <v>Bosnia</v>
      </c>
      <c r="AR454" s="69" t="str">
        <f t="shared" si="121"/>
        <v>Marruecos</v>
      </c>
      <c r="AS454" s="69" t="str">
        <f t="shared" si="122"/>
        <v>Korea</v>
      </c>
      <c r="AT454" s="69" t="str">
        <f t="shared" si="123"/>
        <v>Paraguay</v>
      </c>
      <c r="AU454" s="69" t="e">
        <f t="shared" si="124"/>
        <v>#N/A</v>
      </c>
      <c r="AV454" s="69" t="e">
        <f t="shared" si="125"/>
        <v>#N/A</v>
      </c>
    </row>
    <row r="455" spans="24:48" x14ac:dyDescent="0.2">
      <c r="X455" s="64" t="str">
        <f t="shared" si="126"/>
        <v/>
      </c>
      <c r="Y455" s="68" t="s">
        <v>32</v>
      </c>
      <c r="Z455" s="68" t="s">
        <v>14</v>
      </c>
      <c r="AA455" s="68" t="s">
        <v>26</v>
      </c>
      <c r="AB455" s="68" t="s">
        <v>27</v>
      </c>
      <c r="AC455" s="68" t="s">
        <v>25</v>
      </c>
      <c r="AD455" s="68" t="s">
        <v>28</v>
      </c>
      <c r="AE455" s="68" t="s">
        <v>186</v>
      </c>
      <c r="AF455" s="68" t="s">
        <v>13</v>
      </c>
      <c r="AG455">
        <f t="shared" si="127"/>
        <v>0</v>
      </c>
      <c r="AH455">
        <f t="shared" si="111"/>
        <v>1</v>
      </c>
      <c r="AI455">
        <f t="shared" si="112"/>
        <v>1</v>
      </c>
      <c r="AJ455">
        <f t="shared" si="113"/>
        <v>1</v>
      </c>
      <c r="AK455">
        <f t="shared" si="114"/>
        <v>1</v>
      </c>
      <c r="AL455">
        <f t="shared" si="115"/>
        <v>1</v>
      </c>
      <c r="AM455">
        <f t="shared" si="116"/>
        <v>0</v>
      </c>
      <c r="AN455">
        <f t="shared" si="117"/>
        <v>0</v>
      </c>
      <c r="AO455" s="69" t="e">
        <f t="shared" si="118"/>
        <v>#N/A</v>
      </c>
      <c r="AP455" s="69" t="str">
        <f t="shared" si="119"/>
        <v>Irán</v>
      </c>
      <c r="AQ455" s="69" t="str">
        <f t="shared" si="120"/>
        <v>Bosnia</v>
      </c>
      <c r="AR455" s="69" t="str">
        <f t="shared" si="121"/>
        <v>Marruecos</v>
      </c>
      <c r="AS455" s="69" t="str">
        <f t="shared" si="122"/>
        <v>Korea</v>
      </c>
      <c r="AT455" s="69" t="str">
        <f t="shared" si="123"/>
        <v>Paraguay</v>
      </c>
      <c r="AU455" s="69" t="e">
        <f t="shared" si="124"/>
        <v>#N/A</v>
      </c>
      <c r="AV455" s="69" t="e">
        <f t="shared" si="125"/>
        <v>#N/A</v>
      </c>
    </row>
    <row r="456" spans="24:48" x14ac:dyDescent="0.2">
      <c r="X456" s="64" t="str">
        <f t="shared" si="126"/>
        <v/>
      </c>
      <c r="Y456" s="68" t="s">
        <v>32</v>
      </c>
      <c r="Z456" s="68" t="s">
        <v>14</v>
      </c>
      <c r="AA456" s="68" t="s">
        <v>26</v>
      </c>
      <c r="AB456" s="68" t="s">
        <v>27</v>
      </c>
      <c r="AC456" s="68" t="s">
        <v>25</v>
      </c>
      <c r="AD456" s="68" t="s">
        <v>28</v>
      </c>
      <c r="AE456" s="68" t="s">
        <v>13</v>
      </c>
      <c r="AF456" s="68" t="s">
        <v>185</v>
      </c>
      <c r="AG456">
        <f t="shared" si="127"/>
        <v>0</v>
      </c>
      <c r="AH456">
        <f t="shared" si="111"/>
        <v>1</v>
      </c>
      <c r="AI456">
        <f t="shared" si="112"/>
        <v>1</v>
      </c>
      <c r="AJ456">
        <f t="shared" si="113"/>
        <v>1</v>
      </c>
      <c r="AK456">
        <f t="shared" si="114"/>
        <v>1</v>
      </c>
      <c r="AL456">
        <f t="shared" si="115"/>
        <v>1</v>
      </c>
      <c r="AM456">
        <f t="shared" si="116"/>
        <v>0</v>
      </c>
      <c r="AN456">
        <f t="shared" si="117"/>
        <v>0</v>
      </c>
      <c r="AO456" s="69" t="e">
        <f t="shared" si="118"/>
        <v>#N/A</v>
      </c>
      <c r="AP456" s="69" t="str">
        <f t="shared" si="119"/>
        <v>Irán</v>
      </c>
      <c r="AQ456" s="69" t="str">
        <f t="shared" si="120"/>
        <v>Bosnia</v>
      </c>
      <c r="AR456" s="69" t="str">
        <f t="shared" si="121"/>
        <v>Marruecos</v>
      </c>
      <c r="AS456" s="69" t="str">
        <f t="shared" si="122"/>
        <v>Korea</v>
      </c>
      <c r="AT456" s="69" t="str">
        <f t="shared" si="123"/>
        <v>Paraguay</v>
      </c>
      <c r="AU456" s="69" t="e">
        <f t="shared" si="124"/>
        <v>#N/A</v>
      </c>
      <c r="AV456" s="69" t="e">
        <f t="shared" si="125"/>
        <v>#N/A</v>
      </c>
    </row>
    <row r="457" spans="24:48" x14ac:dyDescent="0.2">
      <c r="X457" s="64" t="str">
        <f t="shared" si="126"/>
        <v/>
      </c>
      <c r="Y457" s="68" t="s">
        <v>32</v>
      </c>
      <c r="Z457" s="68" t="s">
        <v>14</v>
      </c>
      <c r="AA457" s="68" t="s">
        <v>26</v>
      </c>
      <c r="AB457" s="68" t="s">
        <v>27</v>
      </c>
      <c r="AC457" s="68" t="s">
        <v>25</v>
      </c>
      <c r="AD457" s="68" t="s">
        <v>28</v>
      </c>
      <c r="AE457" s="68" t="s">
        <v>186</v>
      </c>
      <c r="AF457" s="68" t="s">
        <v>184</v>
      </c>
      <c r="AG457">
        <f t="shared" si="127"/>
        <v>0</v>
      </c>
      <c r="AH457">
        <f t="shared" si="111"/>
        <v>1</v>
      </c>
      <c r="AI457">
        <f t="shared" si="112"/>
        <v>1</v>
      </c>
      <c r="AJ457">
        <f t="shared" si="113"/>
        <v>1</v>
      </c>
      <c r="AK457">
        <f t="shared" si="114"/>
        <v>1</v>
      </c>
      <c r="AL457">
        <f t="shared" si="115"/>
        <v>1</v>
      </c>
      <c r="AM457">
        <f t="shared" si="116"/>
        <v>0</v>
      </c>
      <c r="AN457">
        <f t="shared" si="117"/>
        <v>1</v>
      </c>
      <c r="AO457" s="69" t="e">
        <f t="shared" si="118"/>
        <v>#N/A</v>
      </c>
      <c r="AP457" s="69" t="str">
        <f t="shared" si="119"/>
        <v>Irán</v>
      </c>
      <c r="AQ457" s="69" t="str">
        <f t="shared" si="120"/>
        <v>Bosnia</v>
      </c>
      <c r="AR457" s="69" t="str">
        <f t="shared" si="121"/>
        <v>Marruecos</v>
      </c>
      <c r="AS457" s="69" t="str">
        <f t="shared" si="122"/>
        <v>Korea</v>
      </c>
      <c r="AT457" s="69" t="str">
        <f t="shared" si="123"/>
        <v>Paraguay</v>
      </c>
      <c r="AU457" s="69" t="e">
        <f t="shared" si="124"/>
        <v>#N/A</v>
      </c>
      <c r="AV457" s="69" t="str">
        <f t="shared" si="125"/>
        <v>Senegal</v>
      </c>
    </row>
    <row r="458" spans="24:48" x14ac:dyDescent="0.2">
      <c r="X458" s="64" t="str">
        <f t="shared" si="126"/>
        <v/>
      </c>
      <c r="Y458" s="68" t="s">
        <v>32</v>
      </c>
      <c r="Z458" s="68" t="s">
        <v>14</v>
      </c>
      <c r="AA458" s="68" t="s">
        <v>26</v>
      </c>
      <c r="AB458" s="68" t="s">
        <v>27</v>
      </c>
      <c r="AC458" s="68" t="s">
        <v>25</v>
      </c>
      <c r="AD458" s="68" t="s">
        <v>28</v>
      </c>
      <c r="AE458" s="68" t="s">
        <v>184</v>
      </c>
      <c r="AF458" s="68" t="s">
        <v>185</v>
      </c>
      <c r="AG458">
        <f t="shared" si="127"/>
        <v>0</v>
      </c>
      <c r="AH458">
        <f t="shared" si="111"/>
        <v>1</v>
      </c>
      <c r="AI458">
        <f t="shared" si="112"/>
        <v>1</v>
      </c>
      <c r="AJ458">
        <f t="shared" si="113"/>
        <v>1</v>
      </c>
      <c r="AK458">
        <f t="shared" si="114"/>
        <v>1</v>
      </c>
      <c r="AL458">
        <f t="shared" si="115"/>
        <v>1</v>
      </c>
      <c r="AM458">
        <f t="shared" si="116"/>
        <v>1</v>
      </c>
      <c r="AN458">
        <f t="shared" si="117"/>
        <v>0</v>
      </c>
      <c r="AO458" s="69" t="e">
        <f t="shared" si="118"/>
        <v>#N/A</v>
      </c>
      <c r="AP458" s="69" t="str">
        <f t="shared" si="119"/>
        <v>Irán</v>
      </c>
      <c r="AQ458" s="69" t="str">
        <f t="shared" si="120"/>
        <v>Bosnia</v>
      </c>
      <c r="AR458" s="69" t="str">
        <f t="shared" si="121"/>
        <v>Marruecos</v>
      </c>
      <c r="AS458" s="69" t="str">
        <f t="shared" si="122"/>
        <v>Korea</v>
      </c>
      <c r="AT458" s="69" t="str">
        <f t="shared" si="123"/>
        <v>Paraguay</v>
      </c>
      <c r="AU458" s="69" t="str">
        <f t="shared" si="124"/>
        <v>Senegal</v>
      </c>
      <c r="AV458" s="69" t="e">
        <f t="shared" si="125"/>
        <v>#N/A</v>
      </c>
    </row>
    <row r="459" spans="24:48" x14ac:dyDescent="0.2">
      <c r="X459" s="64" t="str">
        <f t="shared" si="126"/>
        <v/>
      </c>
      <c r="Y459" s="68" t="s">
        <v>32</v>
      </c>
      <c r="Z459" s="68" t="s">
        <v>14</v>
      </c>
      <c r="AA459" s="68" t="s">
        <v>26</v>
      </c>
      <c r="AB459" s="68" t="s">
        <v>27</v>
      </c>
      <c r="AC459" s="68" t="s">
        <v>25</v>
      </c>
      <c r="AD459" s="68" t="s">
        <v>28</v>
      </c>
      <c r="AE459" s="68" t="s">
        <v>184</v>
      </c>
      <c r="AF459" s="68" t="s">
        <v>13</v>
      </c>
      <c r="AG459">
        <f t="shared" si="127"/>
        <v>0</v>
      </c>
      <c r="AH459">
        <f t="shared" si="111"/>
        <v>1</v>
      </c>
      <c r="AI459">
        <f t="shared" si="112"/>
        <v>1</v>
      </c>
      <c r="AJ459">
        <f t="shared" si="113"/>
        <v>1</v>
      </c>
      <c r="AK459">
        <f t="shared" si="114"/>
        <v>1</v>
      </c>
      <c r="AL459">
        <f t="shared" si="115"/>
        <v>1</v>
      </c>
      <c r="AM459">
        <f t="shared" si="116"/>
        <v>1</v>
      </c>
      <c r="AN459">
        <f t="shared" si="117"/>
        <v>0</v>
      </c>
      <c r="AO459" s="69" t="e">
        <f t="shared" si="118"/>
        <v>#N/A</v>
      </c>
      <c r="AP459" s="69" t="str">
        <f t="shared" si="119"/>
        <v>Irán</v>
      </c>
      <c r="AQ459" s="69" t="str">
        <f t="shared" si="120"/>
        <v>Bosnia</v>
      </c>
      <c r="AR459" s="69" t="str">
        <f t="shared" si="121"/>
        <v>Marruecos</v>
      </c>
      <c r="AS459" s="69" t="str">
        <f t="shared" si="122"/>
        <v>Korea</v>
      </c>
      <c r="AT459" s="69" t="str">
        <f t="shared" si="123"/>
        <v>Paraguay</v>
      </c>
      <c r="AU459" s="69" t="str">
        <f t="shared" si="124"/>
        <v>Senegal</v>
      </c>
      <c r="AV459" s="69" t="e">
        <f t="shared" si="125"/>
        <v>#N/A</v>
      </c>
    </row>
    <row r="460" spans="24:48" x14ac:dyDescent="0.2">
      <c r="X460" s="64" t="str">
        <f t="shared" si="126"/>
        <v/>
      </c>
      <c r="Y460" s="68" t="s">
        <v>27</v>
      </c>
      <c r="Z460" s="68" t="s">
        <v>13</v>
      </c>
      <c r="AA460" s="68" t="s">
        <v>26</v>
      </c>
      <c r="AB460" s="68" t="s">
        <v>28</v>
      </c>
      <c r="AC460" s="68" t="s">
        <v>25</v>
      </c>
      <c r="AD460" s="68" t="s">
        <v>31</v>
      </c>
      <c r="AE460" s="68" t="s">
        <v>186</v>
      </c>
      <c r="AF460" s="68" t="s">
        <v>185</v>
      </c>
      <c r="AG460">
        <f t="shared" si="127"/>
        <v>1</v>
      </c>
      <c r="AH460">
        <f t="shared" si="111"/>
        <v>0</v>
      </c>
      <c r="AI460">
        <f t="shared" si="112"/>
        <v>1</v>
      </c>
      <c r="AJ460">
        <f t="shared" si="113"/>
        <v>1</v>
      </c>
      <c r="AK460">
        <f t="shared" si="114"/>
        <v>1</v>
      </c>
      <c r="AL460">
        <f t="shared" si="115"/>
        <v>1</v>
      </c>
      <c r="AM460">
        <f t="shared" si="116"/>
        <v>0</v>
      </c>
      <c r="AN460">
        <f t="shared" si="117"/>
        <v>0</v>
      </c>
      <c r="AO460" s="69" t="str">
        <f t="shared" si="118"/>
        <v>Marruecos</v>
      </c>
      <c r="AP460" s="69" t="e">
        <f t="shared" si="119"/>
        <v>#N/A</v>
      </c>
      <c r="AQ460" s="69" t="str">
        <f t="shared" si="120"/>
        <v>Bosnia</v>
      </c>
      <c r="AR460" s="69" t="str">
        <f t="shared" si="121"/>
        <v>Paraguay</v>
      </c>
      <c r="AS460" s="69" t="str">
        <f t="shared" si="122"/>
        <v>Korea</v>
      </c>
      <c r="AT460" s="69" t="str">
        <f t="shared" si="123"/>
        <v>Suecia</v>
      </c>
      <c r="AU460" s="69" t="e">
        <f t="shared" si="124"/>
        <v>#N/A</v>
      </c>
      <c r="AV460" s="69" t="e">
        <f t="shared" si="125"/>
        <v>#N/A</v>
      </c>
    </row>
    <row r="461" spans="24:48" x14ac:dyDescent="0.2">
      <c r="X461" s="64" t="str">
        <f t="shared" si="126"/>
        <v/>
      </c>
      <c r="Y461" s="68" t="s">
        <v>27</v>
      </c>
      <c r="Z461" s="68" t="s">
        <v>184</v>
      </c>
      <c r="AA461" s="68" t="s">
        <v>26</v>
      </c>
      <c r="AB461" s="68" t="s">
        <v>28</v>
      </c>
      <c r="AC461" s="68" t="s">
        <v>25</v>
      </c>
      <c r="AD461" s="68" t="s">
        <v>31</v>
      </c>
      <c r="AE461" s="68" t="s">
        <v>186</v>
      </c>
      <c r="AF461" s="68" t="s">
        <v>185</v>
      </c>
      <c r="AG461">
        <f t="shared" si="127"/>
        <v>1</v>
      </c>
      <c r="AH461">
        <f t="shared" si="111"/>
        <v>1</v>
      </c>
      <c r="AI461">
        <f t="shared" si="112"/>
        <v>1</v>
      </c>
      <c r="AJ461">
        <f t="shared" si="113"/>
        <v>1</v>
      </c>
      <c r="AK461">
        <f t="shared" si="114"/>
        <v>1</v>
      </c>
      <c r="AL461">
        <f t="shared" si="115"/>
        <v>1</v>
      </c>
      <c r="AM461">
        <f t="shared" si="116"/>
        <v>0</v>
      </c>
      <c r="AN461">
        <f t="shared" si="117"/>
        <v>0</v>
      </c>
      <c r="AO461" s="69" t="str">
        <f t="shared" si="118"/>
        <v>Marruecos</v>
      </c>
      <c r="AP461" s="69" t="str">
        <f t="shared" si="119"/>
        <v>Senegal</v>
      </c>
      <c r="AQ461" s="69" t="str">
        <f t="shared" si="120"/>
        <v>Bosnia</v>
      </c>
      <c r="AR461" s="69" t="str">
        <f t="shared" si="121"/>
        <v>Paraguay</v>
      </c>
      <c r="AS461" s="69" t="str">
        <f t="shared" si="122"/>
        <v>Korea</v>
      </c>
      <c r="AT461" s="69" t="str">
        <f t="shared" si="123"/>
        <v>Suecia</v>
      </c>
      <c r="AU461" s="69" t="e">
        <f t="shared" si="124"/>
        <v>#N/A</v>
      </c>
      <c r="AV461" s="69" t="e">
        <f t="shared" si="125"/>
        <v>#N/A</v>
      </c>
    </row>
    <row r="462" spans="24:48" x14ac:dyDescent="0.2">
      <c r="X462" s="64" t="str">
        <f t="shared" si="126"/>
        <v/>
      </c>
      <c r="Y462" s="68" t="s">
        <v>27</v>
      </c>
      <c r="Z462" s="68" t="s">
        <v>13</v>
      </c>
      <c r="AA462" s="68" t="s">
        <v>26</v>
      </c>
      <c r="AB462" s="68" t="s">
        <v>28</v>
      </c>
      <c r="AC462" s="68" t="s">
        <v>25</v>
      </c>
      <c r="AD462" s="68" t="s">
        <v>31</v>
      </c>
      <c r="AE462" s="68" t="s">
        <v>186</v>
      </c>
      <c r="AF462" s="68" t="s">
        <v>184</v>
      </c>
      <c r="AG462">
        <f t="shared" si="127"/>
        <v>1</v>
      </c>
      <c r="AH462">
        <f t="shared" si="111"/>
        <v>0</v>
      </c>
      <c r="AI462">
        <f t="shared" si="112"/>
        <v>1</v>
      </c>
      <c r="AJ462">
        <f t="shared" si="113"/>
        <v>1</v>
      </c>
      <c r="AK462">
        <f t="shared" si="114"/>
        <v>1</v>
      </c>
      <c r="AL462">
        <f t="shared" si="115"/>
        <v>1</v>
      </c>
      <c r="AM462">
        <f t="shared" si="116"/>
        <v>0</v>
      </c>
      <c r="AN462">
        <f t="shared" si="117"/>
        <v>1</v>
      </c>
      <c r="AO462" s="69" t="str">
        <f t="shared" si="118"/>
        <v>Marruecos</v>
      </c>
      <c r="AP462" s="69" t="e">
        <f t="shared" si="119"/>
        <v>#N/A</v>
      </c>
      <c r="AQ462" s="69" t="str">
        <f t="shared" si="120"/>
        <v>Bosnia</v>
      </c>
      <c r="AR462" s="69" t="str">
        <f t="shared" si="121"/>
        <v>Paraguay</v>
      </c>
      <c r="AS462" s="69" t="str">
        <f t="shared" si="122"/>
        <v>Korea</v>
      </c>
      <c r="AT462" s="69" t="str">
        <f t="shared" si="123"/>
        <v>Suecia</v>
      </c>
      <c r="AU462" s="69" t="e">
        <f t="shared" si="124"/>
        <v>#N/A</v>
      </c>
      <c r="AV462" s="69" t="str">
        <f t="shared" si="125"/>
        <v>Senegal</v>
      </c>
    </row>
    <row r="463" spans="24:48" x14ac:dyDescent="0.2">
      <c r="X463" s="64" t="str">
        <f t="shared" si="126"/>
        <v/>
      </c>
      <c r="Y463" s="68" t="s">
        <v>27</v>
      </c>
      <c r="Z463" s="68" t="s">
        <v>13</v>
      </c>
      <c r="AA463" s="68" t="s">
        <v>26</v>
      </c>
      <c r="AB463" s="68" t="s">
        <v>28</v>
      </c>
      <c r="AC463" s="68" t="s">
        <v>25</v>
      </c>
      <c r="AD463" s="68" t="s">
        <v>31</v>
      </c>
      <c r="AE463" s="68" t="s">
        <v>184</v>
      </c>
      <c r="AF463" s="68" t="s">
        <v>185</v>
      </c>
      <c r="AG463">
        <f t="shared" si="127"/>
        <v>1</v>
      </c>
      <c r="AH463">
        <f t="shared" si="111"/>
        <v>0</v>
      </c>
      <c r="AI463">
        <f t="shared" si="112"/>
        <v>1</v>
      </c>
      <c r="AJ463">
        <f t="shared" si="113"/>
        <v>1</v>
      </c>
      <c r="AK463">
        <f t="shared" si="114"/>
        <v>1</v>
      </c>
      <c r="AL463">
        <f t="shared" si="115"/>
        <v>1</v>
      </c>
      <c r="AM463">
        <f t="shared" si="116"/>
        <v>1</v>
      </c>
      <c r="AN463">
        <f t="shared" si="117"/>
        <v>0</v>
      </c>
      <c r="AO463" s="69" t="str">
        <f t="shared" si="118"/>
        <v>Marruecos</v>
      </c>
      <c r="AP463" s="69" t="e">
        <f t="shared" si="119"/>
        <v>#N/A</v>
      </c>
      <c r="AQ463" s="69" t="str">
        <f t="shared" si="120"/>
        <v>Bosnia</v>
      </c>
      <c r="AR463" s="69" t="str">
        <f t="shared" si="121"/>
        <v>Paraguay</v>
      </c>
      <c r="AS463" s="69" t="str">
        <f t="shared" si="122"/>
        <v>Korea</v>
      </c>
      <c r="AT463" s="69" t="str">
        <f t="shared" si="123"/>
        <v>Suecia</v>
      </c>
      <c r="AU463" s="69" t="str">
        <f t="shared" si="124"/>
        <v>Senegal</v>
      </c>
      <c r="AV463" s="69" t="e">
        <f t="shared" si="125"/>
        <v>#N/A</v>
      </c>
    </row>
    <row r="464" spans="24:48" x14ac:dyDescent="0.2">
      <c r="X464" s="64" t="str">
        <f t="shared" si="126"/>
        <v/>
      </c>
      <c r="Y464" s="68" t="s">
        <v>32</v>
      </c>
      <c r="Z464" s="68" t="s">
        <v>31</v>
      </c>
      <c r="AA464" s="68" t="s">
        <v>26</v>
      </c>
      <c r="AB464" s="68" t="s">
        <v>27</v>
      </c>
      <c r="AC464" s="68" t="s">
        <v>25</v>
      </c>
      <c r="AD464" s="68" t="s">
        <v>28</v>
      </c>
      <c r="AE464" s="68" t="s">
        <v>186</v>
      </c>
      <c r="AF464" s="68" t="s">
        <v>185</v>
      </c>
      <c r="AG464">
        <f t="shared" si="127"/>
        <v>0</v>
      </c>
      <c r="AH464">
        <f t="shared" si="111"/>
        <v>1</v>
      </c>
      <c r="AI464">
        <f t="shared" si="112"/>
        <v>1</v>
      </c>
      <c r="AJ464">
        <f t="shared" si="113"/>
        <v>1</v>
      </c>
      <c r="AK464">
        <f t="shared" si="114"/>
        <v>1</v>
      </c>
      <c r="AL464">
        <f t="shared" si="115"/>
        <v>1</v>
      </c>
      <c r="AM464">
        <f t="shared" si="116"/>
        <v>0</v>
      </c>
      <c r="AN464">
        <f t="shared" si="117"/>
        <v>0</v>
      </c>
      <c r="AO464" s="69" t="e">
        <f t="shared" si="118"/>
        <v>#N/A</v>
      </c>
      <c r="AP464" s="69" t="str">
        <f t="shared" si="119"/>
        <v>Suecia</v>
      </c>
      <c r="AQ464" s="69" t="str">
        <f t="shared" si="120"/>
        <v>Bosnia</v>
      </c>
      <c r="AR464" s="69" t="str">
        <f t="shared" si="121"/>
        <v>Marruecos</v>
      </c>
      <c r="AS464" s="69" t="str">
        <f t="shared" si="122"/>
        <v>Korea</v>
      </c>
      <c r="AT464" s="69" t="str">
        <f t="shared" si="123"/>
        <v>Paraguay</v>
      </c>
      <c r="AU464" s="69" t="e">
        <f t="shared" si="124"/>
        <v>#N/A</v>
      </c>
      <c r="AV464" s="69" t="e">
        <f t="shared" si="125"/>
        <v>#N/A</v>
      </c>
    </row>
    <row r="465" spans="24:48" x14ac:dyDescent="0.2">
      <c r="X465" s="64" t="str">
        <f t="shared" si="126"/>
        <v/>
      </c>
      <c r="Y465" s="68" t="s">
        <v>27</v>
      </c>
      <c r="Z465" s="68" t="s">
        <v>13</v>
      </c>
      <c r="AA465" s="68" t="s">
        <v>26</v>
      </c>
      <c r="AB465" s="68" t="s">
        <v>28</v>
      </c>
      <c r="AC465" s="68" t="s">
        <v>25</v>
      </c>
      <c r="AD465" s="68" t="s">
        <v>31</v>
      </c>
      <c r="AE465" s="68" t="s">
        <v>186</v>
      </c>
      <c r="AF465" s="68" t="s">
        <v>32</v>
      </c>
      <c r="AG465">
        <f t="shared" si="127"/>
        <v>1</v>
      </c>
      <c r="AH465">
        <f t="shared" si="111"/>
        <v>0</v>
      </c>
      <c r="AI465">
        <f t="shared" si="112"/>
        <v>1</v>
      </c>
      <c r="AJ465">
        <f t="shared" si="113"/>
        <v>1</v>
      </c>
      <c r="AK465">
        <f t="shared" si="114"/>
        <v>1</v>
      </c>
      <c r="AL465">
        <f t="shared" si="115"/>
        <v>1</v>
      </c>
      <c r="AM465">
        <f t="shared" si="116"/>
        <v>0</v>
      </c>
      <c r="AN465">
        <f t="shared" si="117"/>
        <v>0</v>
      </c>
      <c r="AO465" s="69" t="str">
        <f t="shared" si="118"/>
        <v>Marruecos</v>
      </c>
      <c r="AP465" s="69" t="e">
        <f t="shared" si="119"/>
        <v>#N/A</v>
      </c>
      <c r="AQ465" s="69" t="str">
        <f t="shared" si="120"/>
        <v>Bosnia</v>
      </c>
      <c r="AR465" s="69" t="str">
        <f t="shared" si="121"/>
        <v>Paraguay</v>
      </c>
      <c r="AS465" s="69" t="str">
        <f t="shared" si="122"/>
        <v>Korea</v>
      </c>
      <c r="AT465" s="69" t="str">
        <f t="shared" si="123"/>
        <v>Suecia</v>
      </c>
      <c r="AU465" s="69" t="e">
        <f t="shared" si="124"/>
        <v>#N/A</v>
      </c>
      <c r="AV465" s="69" t="e">
        <f t="shared" si="125"/>
        <v>#N/A</v>
      </c>
    </row>
    <row r="466" spans="24:48" x14ac:dyDescent="0.2">
      <c r="X466" s="64" t="str">
        <f t="shared" si="126"/>
        <v/>
      </c>
      <c r="Y466" s="68" t="s">
        <v>32</v>
      </c>
      <c r="Z466" s="68" t="s">
        <v>13</v>
      </c>
      <c r="AA466" s="68" t="s">
        <v>26</v>
      </c>
      <c r="AB466" s="68" t="s">
        <v>27</v>
      </c>
      <c r="AC466" s="68" t="s">
        <v>25</v>
      </c>
      <c r="AD466" s="68" t="s">
        <v>31</v>
      </c>
      <c r="AE466" s="68" t="s">
        <v>28</v>
      </c>
      <c r="AF466" s="68" t="s">
        <v>185</v>
      </c>
      <c r="AG466">
        <f t="shared" si="127"/>
        <v>0</v>
      </c>
      <c r="AH466">
        <f t="shared" si="111"/>
        <v>0</v>
      </c>
      <c r="AI466">
        <f t="shared" si="112"/>
        <v>1</v>
      </c>
      <c r="AJ466">
        <f t="shared" si="113"/>
        <v>1</v>
      </c>
      <c r="AK466">
        <f t="shared" si="114"/>
        <v>1</v>
      </c>
      <c r="AL466">
        <f t="shared" si="115"/>
        <v>1</v>
      </c>
      <c r="AM466">
        <f t="shared" si="116"/>
        <v>1</v>
      </c>
      <c r="AN466">
        <f t="shared" si="117"/>
        <v>0</v>
      </c>
      <c r="AO466" s="69" t="e">
        <f t="shared" si="118"/>
        <v>#N/A</v>
      </c>
      <c r="AP466" s="69" t="e">
        <f t="shared" si="119"/>
        <v>#N/A</v>
      </c>
      <c r="AQ466" s="69" t="str">
        <f t="shared" si="120"/>
        <v>Bosnia</v>
      </c>
      <c r="AR466" s="69" t="str">
        <f t="shared" si="121"/>
        <v>Marruecos</v>
      </c>
      <c r="AS466" s="69" t="str">
        <f t="shared" si="122"/>
        <v>Korea</v>
      </c>
      <c r="AT466" s="69" t="str">
        <f t="shared" si="123"/>
        <v>Suecia</v>
      </c>
      <c r="AU466" s="69" t="str">
        <f t="shared" si="124"/>
        <v>Paraguay</v>
      </c>
      <c r="AV466" s="69" t="e">
        <f t="shared" si="125"/>
        <v>#N/A</v>
      </c>
    </row>
    <row r="467" spans="24:48" x14ac:dyDescent="0.2">
      <c r="X467" s="64" t="str">
        <f t="shared" si="126"/>
        <v/>
      </c>
      <c r="Y467" s="68" t="s">
        <v>32</v>
      </c>
      <c r="Z467" s="68" t="s">
        <v>31</v>
      </c>
      <c r="AA467" s="68" t="s">
        <v>26</v>
      </c>
      <c r="AB467" s="68" t="s">
        <v>27</v>
      </c>
      <c r="AC467" s="68" t="s">
        <v>25</v>
      </c>
      <c r="AD467" s="68" t="s">
        <v>28</v>
      </c>
      <c r="AE467" s="68" t="s">
        <v>186</v>
      </c>
      <c r="AF467" s="68" t="s">
        <v>184</v>
      </c>
      <c r="AG467">
        <f t="shared" si="127"/>
        <v>0</v>
      </c>
      <c r="AH467">
        <f t="shared" si="111"/>
        <v>1</v>
      </c>
      <c r="AI467">
        <f t="shared" si="112"/>
        <v>1</v>
      </c>
      <c r="AJ467">
        <f t="shared" si="113"/>
        <v>1</v>
      </c>
      <c r="AK467">
        <f t="shared" si="114"/>
        <v>1</v>
      </c>
      <c r="AL467">
        <f t="shared" si="115"/>
        <v>1</v>
      </c>
      <c r="AM467">
        <f t="shared" si="116"/>
        <v>0</v>
      </c>
      <c r="AN467">
        <f t="shared" si="117"/>
        <v>1</v>
      </c>
      <c r="AO467" s="69" t="e">
        <f t="shared" si="118"/>
        <v>#N/A</v>
      </c>
      <c r="AP467" s="69" t="str">
        <f t="shared" si="119"/>
        <v>Suecia</v>
      </c>
      <c r="AQ467" s="69" t="str">
        <f t="shared" si="120"/>
        <v>Bosnia</v>
      </c>
      <c r="AR467" s="69" t="str">
        <f t="shared" si="121"/>
        <v>Marruecos</v>
      </c>
      <c r="AS467" s="69" t="str">
        <f t="shared" si="122"/>
        <v>Korea</v>
      </c>
      <c r="AT467" s="69" t="str">
        <f t="shared" si="123"/>
        <v>Paraguay</v>
      </c>
      <c r="AU467" s="69" t="e">
        <f t="shared" si="124"/>
        <v>#N/A</v>
      </c>
      <c r="AV467" s="69" t="str">
        <f t="shared" si="125"/>
        <v>Senegal</v>
      </c>
    </row>
    <row r="468" spans="24:48" x14ac:dyDescent="0.2">
      <c r="X468" s="64" t="str">
        <f t="shared" si="126"/>
        <v/>
      </c>
      <c r="Y468" s="68" t="s">
        <v>32</v>
      </c>
      <c r="Z468" s="68" t="s">
        <v>31</v>
      </c>
      <c r="AA468" s="68" t="s">
        <v>26</v>
      </c>
      <c r="AB468" s="68" t="s">
        <v>27</v>
      </c>
      <c r="AC468" s="68" t="s">
        <v>25</v>
      </c>
      <c r="AD468" s="68" t="s">
        <v>28</v>
      </c>
      <c r="AE468" s="68" t="s">
        <v>184</v>
      </c>
      <c r="AF468" s="68" t="s">
        <v>185</v>
      </c>
      <c r="AG468">
        <f t="shared" si="127"/>
        <v>0</v>
      </c>
      <c r="AH468">
        <f t="shared" ref="AH468:AH514" si="128">IFERROR(VLOOKUP(Z468,$B$21:$T$28,19,0),0)</f>
        <v>1</v>
      </c>
      <c r="AI468">
        <f t="shared" ref="AI468:AI514" si="129">IFERROR(VLOOKUP(AA468,$B$21:$T$28,19,0),0)</f>
        <v>1</v>
      </c>
      <c r="AJ468">
        <f t="shared" ref="AJ468:AJ514" si="130">IFERROR(VLOOKUP(AB468,$B$21:$T$28,19,0),0)</f>
        <v>1</v>
      </c>
      <c r="AK468">
        <f t="shared" ref="AK468:AK514" si="131">IFERROR(VLOOKUP(AC468,$B$21:$T$28,19,0),0)</f>
        <v>1</v>
      </c>
      <c r="AL468">
        <f t="shared" ref="AL468:AL514" si="132">IFERROR(VLOOKUP(AD468,$B$21:$T$28,19,0),0)</f>
        <v>1</v>
      </c>
      <c r="AM468">
        <f t="shared" ref="AM468:AM514" si="133">IFERROR(VLOOKUP(AE468,$B$21:$T$28,19,0),0)</f>
        <v>1</v>
      </c>
      <c r="AN468">
        <f t="shared" ref="AN468:AN514" si="134">IFERROR(VLOOKUP(AF468,$B$21:$T$28,19,0),0)</f>
        <v>0</v>
      </c>
      <c r="AO468" s="69" t="e">
        <f t="shared" ref="AO468:AO514" si="135">VLOOKUP(Y468,$B$21:$C$28,2,0)</f>
        <v>#N/A</v>
      </c>
      <c r="AP468" s="69" t="str">
        <f t="shared" ref="AP468:AP514" si="136">VLOOKUP(Z468,$B$21:$C$28,2,0)</f>
        <v>Suecia</v>
      </c>
      <c r="AQ468" s="69" t="str">
        <f t="shared" ref="AQ468:AQ514" si="137">VLOOKUP(AA468,$B$21:$C$28,2,0)</f>
        <v>Bosnia</v>
      </c>
      <c r="AR468" s="69" t="str">
        <f t="shared" ref="AR468:AR514" si="138">VLOOKUP(AB468,$B$21:$C$28,2,0)</f>
        <v>Marruecos</v>
      </c>
      <c r="AS468" s="69" t="str">
        <f t="shared" ref="AS468:AS514" si="139">VLOOKUP(AC468,$B$21:$C$28,2,0)</f>
        <v>Korea</v>
      </c>
      <c r="AT468" s="69" t="str">
        <f t="shared" ref="AT468:AT514" si="140">VLOOKUP(AD468,$B$21:$C$28,2,0)</f>
        <v>Paraguay</v>
      </c>
      <c r="AU468" s="69" t="str">
        <f t="shared" ref="AU468:AU514" si="141">VLOOKUP(AE468,$B$21:$C$28,2,0)</f>
        <v>Senegal</v>
      </c>
      <c r="AV468" s="69" t="e">
        <f t="shared" ref="AV468:AV514" si="142">VLOOKUP(AF468,$B$21:$C$28,2,0)</f>
        <v>#N/A</v>
      </c>
    </row>
    <row r="469" spans="24:48" x14ac:dyDescent="0.2">
      <c r="X469" s="64" t="str">
        <f t="shared" ref="X469:X514" si="143">IF(SUM(AG469:AN469)=8,"X","")</f>
        <v/>
      </c>
      <c r="Y469" s="68" t="s">
        <v>32</v>
      </c>
      <c r="Z469" s="68" t="s">
        <v>13</v>
      </c>
      <c r="AA469" s="68" t="s">
        <v>26</v>
      </c>
      <c r="AB469" s="68" t="s">
        <v>27</v>
      </c>
      <c r="AC469" s="68" t="s">
        <v>25</v>
      </c>
      <c r="AD469" s="68" t="s">
        <v>31</v>
      </c>
      <c r="AE469" s="68" t="s">
        <v>28</v>
      </c>
      <c r="AF469" s="68" t="s">
        <v>184</v>
      </c>
      <c r="AG469">
        <f t="shared" ref="AG469:AG514" si="144">IFERROR(VLOOKUP(Y469,$B$21:$T$28,19,0),0)</f>
        <v>0</v>
      </c>
      <c r="AH469">
        <f t="shared" si="128"/>
        <v>0</v>
      </c>
      <c r="AI469">
        <f t="shared" si="129"/>
        <v>1</v>
      </c>
      <c r="AJ469">
        <f t="shared" si="130"/>
        <v>1</v>
      </c>
      <c r="AK469">
        <f t="shared" si="131"/>
        <v>1</v>
      </c>
      <c r="AL469">
        <f t="shared" si="132"/>
        <v>1</v>
      </c>
      <c r="AM469">
        <f t="shared" si="133"/>
        <v>1</v>
      </c>
      <c r="AN469">
        <f t="shared" si="134"/>
        <v>1</v>
      </c>
      <c r="AO469" s="69" t="e">
        <f t="shared" si="135"/>
        <v>#N/A</v>
      </c>
      <c r="AP469" s="69" t="e">
        <f t="shared" si="136"/>
        <v>#N/A</v>
      </c>
      <c r="AQ469" s="69" t="str">
        <f t="shared" si="137"/>
        <v>Bosnia</v>
      </c>
      <c r="AR469" s="69" t="str">
        <f t="shared" si="138"/>
        <v>Marruecos</v>
      </c>
      <c r="AS469" s="69" t="str">
        <f t="shared" si="139"/>
        <v>Korea</v>
      </c>
      <c r="AT469" s="69" t="str">
        <f t="shared" si="140"/>
        <v>Suecia</v>
      </c>
      <c r="AU469" s="69" t="str">
        <f t="shared" si="141"/>
        <v>Paraguay</v>
      </c>
      <c r="AV469" s="69" t="str">
        <f t="shared" si="142"/>
        <v>Senegal</v>
      </c>
    </row>
    <row r="470" spans="24:48" x14ac:dyDescent="0.2">
      <c r="X470" s="64" t="str">
        <f t="shared" si="143"/>
        <v/>
      </c>
      <c r="Y470" s="68" t="s">
        <v>27</v>
      </c>
      <c r="Z470" s="68" t="s">
        <v>14</v>
      </c>
      <c r="AA470" s="68" t="s">
        <v>26</v>
      </c>
      <c r="AB470" s="68" t="s">
        <v>28</v>
      </c>
      <c r="AC470" s="68" t="s">
        <v>25</v>
      </c>
      <c r="AD470" s="68" t="s">
        <v>31</v>
      </c>
      <c r="AE470" s="68" t="s">
        <v>186</v>
      </c>
      <c r="AF470" s="68" t="s">
        <v>185</v>
      </c>
      <c r="AG470">
        <f t="shared" si="144"/>
        <v>1</v>
      </c>
      <c r="AH470">
        <f t="shared" si="128"/>
        <v>1</v>
      </c>
      <c r="AI470">
        <f t="shared" si="129"/>
        <v>1</v>
      </c>
      <c r="AJ470">
        <f t="shared" si="130"/>
        <v>1</v>
      </c>
      <c r="AK470">
        <f t="shared" si="131"/>
        <v>1</v>
      </c>
      <c r="AL470">
        <f t="shared" si="132"/>
        <v>1</v>
      </c>
      <c r="AM470">
        <f t="shared" si="133"/>
        <v>0</v>
      </c>
      <c r="AN470">
        <f t="shared" si="134"/>
        <v>0</v>
      </c>
      <c r="AO470" s="69" t="str">
        <f t="shared" si="135"/>
        <v>Marruecos</v>
      </c>
      <c r="AP470" s="69" t="str">
        <f t="shared" si="136"/>
        <v>Irán</v>
      </c>
      <c r="AQ470" s="69" t="str">
        <f t="shared" si="137"/>
        <v>Bosnia</v>
      </c>
      <c r="AR470" s="69" t="str">
        <f t="shared" si="138"/>
        <v>Paraguay</v>
      </c>
      <c r="AS470" s="69" t="str">
        <f t="shared" si="139"/>
        <v>Korea</v>
      </c>
      <c r="AT470" s="69" t="str">
        <f t="shared" si="140"/>
        <v>Suecia</v>
      </c>
      <c r="AU470" s="69" t="e">
        <f t="shared" si="141"/>
        <v>#N/A</v>
      </c>
      <c r="AV470" s="69" t="e">
        <f t="shared" si="142"/>
        <v>#N/A</v>
      </c>
    </row>
    <row r="471" spans="24:48" x14ac:dyDescent="0.2">
      <c r="X471" s="64" t="str">
        <f t="shared" si="143"/>
        <v/>
      </c>
      <c r="Y471" s="68" t="s">
        <v>27</v>
      </c>
      <c r="Z471" s="68" t="s">
        <v>14</v>
      </c>
      <c r="AA471" s="68" t="s">
        <v>26</v>
      </c>
      <c r="AB471" s="68" t="s">
        <v>28</v>
      </c>
      <c r="AC471" s="68" t="s">
        <v>25</v>
      </c>
      <c r="AD471" s="68" t="s">
        <v>31</v>
      </c>
      <c r="AE471" s="68" t="s">
        <v>186</v>
      </c>
      <c r="AF471" s="68" t="s">
        <v>13</v>
      </c>
      <c r="AG471">
        <f t="shared" si="144"/>
        <v>1</v>
      </c>
      <c r="AH471">
        <f t="shared" si="128"/>
        <v>1</v>
      </c>
      <c r="AI471">
        <f t="shared" si="129"/>
        <v>1</v>
      </c>
      <c r="AJ471">
        <f t="shared" si="130"/>
        <v>1</v>
      </c>
      <c r="AK471">
        <f t="shared" si="131"/>
        <v>1</v>
      </c>
      <c r="AL471">
        <f t="shared" si="132"/>
        <v>1</v>
      </c>
      <c r="AM471">
        <f t="shared" si="133"/>
        <v>0</v>
      </c>
      <c r="AN471">
        <f t="shared" si="134"/>
        <v>0</v>
      </c>
      <c r="AO471" s="69" t="str">
        <f t="shared" si="135"/>
        <v>Marruecos</v>
      </c>
      <c r="AP471" s="69" t="str">
        <f t="shared" si="136"/>
        <v>Irán</v>
      </c>
      <c r="AQ471" s="69" t="str">
        <f t="shared" si="137"/>
        <v>Bosnia</v>
      </c>
      <c r="AR471" s="69" t="str">
        <f t="shared" si="138"/>
        <v>Paraguay</v>
      </c>
      <c r="AS471" s="69" t="str">
        <f t="shared" si="139"/>
        <v>Korea</v>
      </c>
      <c r="AT471" s="69" t="str">
        <f t="shared" si="140"/>
        <v>Suecia</v>
      </c>
      <c r="AU471" s="69" t="e">
        <f t="shared" si="141"/>
        <v>#N/A</v>
      </c>
      <c r="AV471" s="69" t="e">
        <f t="shared" si="142"/>
        <v>#N/A</v>
      </c>
    </row>
    <row r="472" spans="24:48" x14ac:dyDescent="0.2">
      <c r="X472" s="64" t="str">
        <f t="shared" si="143"/>
        <v/>
      </c>
      <c r="Y472" s="68" t="s">
        <v>27</v>
      </c>
      <c r="Z472" s="68" t="s">
        <v>14</v>
      </c>
      <c r="AA472" s="68" t="s">
        <v>26</v>
      </c>
      <c r="AB472" s="68" t="s">
        <v>28</v>
      </c>
      <c r="AC472" s="68" t="s">
        <v>25</v>
      </c>
      <c r="AD472" s="68" t="s">
        <v>31</v>
      </c>
      <c r="AE472" s="68" t="s">
        <v>13</v>
      </c>
      <c r="AF472" s="68" t="s">
        <v>185</v>
      </c>
      <c r="AG472">
        <f t="shared" si="144"/>
        <v>1</v>
      </c>
      <c r="AH472">
        <f t="shared" si="128"/>
        <v>1</v>
      </c>
      <c r="AI472">
        <f t="shared" si="129"/>
        <v>1</v>
      </c>
      <c r="AJ472">
        <f t="shared" si="130"/>
        <v>1</v>
      </c>
      <c r="AK472">
        <f t="shared" si="131"/>
        <v>1</v>
      </c>
      <c r="AL472">
        <f t="shared" si="132"/>
        <v>1</v>
      </c>
      <c r="AM472">
        <f t="shared" si="133"/>
        <v>0</v>
      </c>
      <c r="AN472">
        <f t="shared" si="134"/>
        <v>0</v>
      </c>
      <c r="AO472" s="69" t="str">
        <f t="shared" si="135"/>
        <v>Marruecos</v>
      </c>
      <c r="AP472" s="69" t="str">
        <f t="shared" si="136"/>
        <v>Irán</v>
      </c>
      <c r="AQ472" s="69" t="str">
        <f t="shared" si="137"/>
        <v>Bosnia</v>
      </c>
      <c r="AR472" s="69" t="str">
        <f t="shared" si="138"/>
        <v>Paraguay</v>
      </c>
      <c r="AS472" s="69" t="str">
        <f t="shared" si="139"/>
        <v>Korea</v>
      </c>
      <c r="AT472" s="69" t="str">
        <f t="shared" si="140"/>
        <v>Suecia</v>
      </c>
      <c r="AU472" s="69" t="e">
        <f t="shared" si="141"/>
        <v>#N/A</v>
      </c>
      <c r="AV472" s="69" t="e">
        <f t="shared" si="142"/>
        <v>#N/A</v>
      </c>
    </row>
    <row r="473" spans="24:48" x14ac:dyDescent="0.2">
      <c r="X473" s="64" t="str">
        <f t="shared" si="143"/>
        <v/>
      </c>
      <c r="Y473" s="68" t="s">
        <v>27</v>
      </c>
      <c r="Z473" s="68" t="s">
        <v>14</v>
      </c>
      <c r="AA473" s="68" t="s">
        <v>26</v>
      </c>
      <c r="AB473" s="68" t="s">
        <v>28</v>
      </c>
      <c r="AC473" s="68" t="s">
        <v>25</v>
      </c>
      <c r="AD473" s="68" t="s">
        <v>31</v>
      </c>
      <c r="AE473" s="68" t="s">
        <v>186</v>
      </c>
      <c r="AF473" s="68" t="s">
        <v>184</v>
      </c>
      <c r="AG473">
        <f t="shared" si="144"/>
        <v>1</v>
      </c>
      <c r="AH473">
        <f t="shared" si="128"/>
        <v>1</v>
      </c>
      <c r="AI473">
        <f t="shared" si="129"/>
        <v>1</v>
      </c>
      <c r="AJ473">
        <f t="shared" si="130"/>
        <v>1</v>
      </c>
      <c r="AK473">
        <f t="shared" si="131"/>
        <v>1</v>
      </c>
      <c r="AL473">
        <f t="shared" si="132"/>
        <v>1</v>
      </c>
      <c r="AM473">
        <f t="shared" si="133"/>
        <v>0</v>
      </c>
      <c r="AN473">
        <f t="shared" si="134"/>
        <v>1</v>
      </c>
      <c r="AO473" s="69" t="str">
        <f t="shared" si="135"/>
        <v>Marruecos</v>
      </c>
      <c r="AP473" s="69" t="str">
        <f t="shared" si="136"/>
        <v>Irán</v>
      </c>
      <c r="AQ473" s="69" t="str">
        <f t="shared" si="137"/>
        <v>Bosnia</v>
      </c>
      <c r="AR473" s="69" t="str">
        <f t="shared" si="138"/>
        <v>Paraguay</v>
      </c>
      <c r="AS473" s="69" t="str">
        <f t="shared" si="139"/>
        <v>Korea</v>
      </c>
      <c r="AT473" s="69" t="str">
        <f t="shared" si="140"/>
        <v>Suecia</v>
      </c>
      <c r="AU473" s="69" t="e">
        <f t="shared" si="141"/>
        <v>#N/A</v>
      </c>
      <c r="AV473" s="69" t="str">
        <f t="shared" si="142"/>
        <v>Senegal</v>
      </c>
    </row>
    <row r="474" spans="24:48" x14ac:dyDescent="0.2">
      <c r="X474" s="64" t="str">
        <f t="shared" si="143"/>
        <v/>
      </c>
      <c r="Y474" s="68" t="s">
        <v>27</v>
      </c>
      <c r="Z474" s="68" t="s">
        <v>14</v>
      </c>
      <c r="AA474" s="68" t="s">
        <v>26</v>
      </c>
      <c r="AB474" s="68" t="s">
        <v>28</v>
      </c>
      <c r="AC474" s="68" t="s">
        <v>25</v>
      </c>
      <c r="AD474" s="68" t="s">
        <v>31</v>
      </c>
      <c r="AE474" s="68" t="s">
        <v>184</v>
      </c>
      <c r="AF474" s="68" t="s">
        <v>185</v>
      </c>
      <c r="AG474">
        <f t="shared" si="144"/>
        <v>1</v>
      </c>
      <c r="AH474">
        <f t="shared" si="128"/>
        <v>1</v>
      </c>
      <c r="AI474">
        <f t="shared" si="129"/>
        <v>1</v>
      </c>
      <c r="AJ474">
        <f t="shared" si="130"/>
        <v>1</v>
      </c>
      <c r="AK474">
        <f t="shared" si="131"/>
        <v>1</v>
      </c>
      <c r="AL474">
        <f t="shared" si="132"/>
        <v>1</v>
      </c>
      <c r="AM474">
        <f t="shared" si="133"/>
        <v>1</v>
      </c>
      <c r="AN474">
        <f t="shared" si="134"/>
        <v>0</v>
      </c>
      <c r="AO474" s="69" t="str">
        <f t="shared" si="135"/>
        <v>Marruecos</v>
      </c>
      <c r="AP474" s="69" t="str">
        <f t="shared" si="136"/>
        <v>Irán</v>
      </c>
      <c r="AQ474" s="69" t="str">
        <f t="shared" si="137"/>
        <v>Bosnia</v>
      </c>
      <c r="AR474" s="69" t="str">
        <f t="shared" si="138"/>
        <v>Paraguay</v>
      </c>
      <c r="AS474" s="69" t="str">
        <f t="shared" si="139"/>
        <v>Korea</v>
      </c>
      <c r="AT474" s="69" t="str">
        <f t="shared" si="140"/>
        <v>Suecia</v>
      </c>
      <c r="AU474" s="69" t="str">
        <f t="shared" si="141"/>
        <v>Senegal</v>
      </c>
      <c r="AV474" s="69" t="e">
        <f t="shared" si="142"/>
        <v>#N/A</v>
      </c>
    </row>
    <row r="475" spans="24:48" x14ac:dyDescent="0.2">
      <c r="X475" s="64" t="str">
        <f t="shared" si="143"/>
        <v/>
      </c>
      <c r="Y475" s="68" t="s">
        <v>27</v>
      </c>
      <c r="Z475" s="68" t="s">
        <v>14</v>
      </c>
      <c r="AA475" s="68" t="s">
        <v>26</v>
      </c>
      <c r="AB475" s="68" t="s">
        <v>28</v>
      </c>
      <c r="AC475" s="68" t="s">
        <v>25</v>
      </c>
      <c r="AD475" s="68" t="s">
        <v>31</v>
      </c>
      <c r="AE475" s="68" t="s">
        <v>184</v>
      </c>
      <c r="AF475" s="68" t="s">
        <v>13</v>
      </c>
      <c r="AG475">
        <f t="shared" si="144"/>
        <v>1</v>
      </c>
      <c r="AH475">
        <f t="shared" si="128"/>
        <v>1</v>
      </c>
      <c r="AI475">
        <f t="shared" si="129"/>
        <v>1</v>
      </c>
      <c r="AJ475">
        <f t="shared" si="130"/>
        <v>1</v>
      </c>
      <c r="AK475">
        <f t="shared" si="131"/>
        <v>1</v>
      </c>
      <c r="AL475">
        <f t="shared" si="132"/>
        <v>1</v>
      </c>
      <c r="AM475">
        <f t="shared" si="133"/>
        <v>1</v>
      </c>
      <c r="AN475">
        <f t="shared" si="134"/>
        <v>0</v>
      </c>
      <c r="AO475" s="69" t="str">
        <f t="shared" si="135"/>
        <v>Marruecos</v>
      </c>
      <c r="AP475" s="69" t="str">
        <f t="shared" si="136"/>
        <v>Irán</v>
      </c>
      <c r="AQ475" s="69" t="str">
        <f t="shared" si="137"/>
        <v>Bosnia</v>
      </c>
      <c r="AR475" s="69" t="str">
        <f t="shared" si="138"/>
        <v>Paraguay</v>
      </c>
      <c r="AS475" s="69" t="str">
        <f t="shared" si="139"/>
        <v>Korea</v>
      </c>
      <c r="AT475" s="69" t="str">
        <f t="shared" si="140"/>
        <v>Suecia</v>
      </c>
      <c r="AU475" s="69" t="str">
        <f t="shared" si="141"/>
        <v>Senegal</v>
      </c>
      <c r="AV475" s="69" t="e">
        <f t="shared" si="142"/>
        <v>#N/A</v>
      </c>
    </row>
    <row r="476" spans="24:48" x14ac:dyDescent="0.2">
      <c r="X476" s="64" t="str">
        <f t="shared" si="143"/>
        <v/>
      </c>
      <c r="Y476" s="68" t="s">
        <v>27</v>
      </c>
      <c r="Z476" s="68" t="s">
        <v>14</v>
      </c>
      <c r="AA476" s="68" t="s">
        <v>26</v>
      </c>
      <c r="AB476" s="68" t="s">
        <v>28</v>
      </c>
      <c r="AC476" s="68" t="s">
        <v>25</v>
      </c>
      <c r="AD476" s="68" t="s">
        <v>31</v>
      </c>
      <c r="AE476" s="68" t="s">
        <v>186</v>
      </c>
      <c r="AF476" s="68" t="s">
        <v>32</v>
      </c>
      <c r="AG476">
        <f t="shared" si="144"/>
        <v>1</v>
      </c>
      <c r="AH476">
        <f t="shared" si="128"/>
        <v>1</v>
      </c>
      <c r="AI476">
        <f t="shared" si="129"/>
        <v>1</v>
      </c>
      <c r="AJ476">
        <f t="shared" si="130"/>
        <v>1</v>
      </c>
      <c r="AK476">
        <f t="shared" si="131"/>
        <v>1</v>
      </c>
      <c r="AL476">
        <f t="shared" si="132"/>
        <v>1</v>
      </c>
      <c r="AM476">
        <f t="shared" si="133"/>
        <v>0</v>
      </c>
      <c r="AN476">
        <f t="shared" si="134"/>
        <v>0</v>
      </c>
      <c r="AO476" s="69" t="str">
        <f t="shared" si="135"/>
        <v>Marruecos</v>
      </c>
      <c r="AP476" s="69" t="str">
        <f t="shared" si="136"/>
        <v>Irán</v>
      </c>
      <c r="AQ476" s="69" t="str">
        <f t="shared" si="137"/>
        <v>Bosnia</v>
      </c>
      <c r="AR476" s="69" t="str">
        <f t="shared" si="138"/>
        <v>Paraguay</v>
      </c>
      <c r="AS476" s="69" t="str">
        <f t="shared" si="139"/>
        <v>Korea</v>
      </c>
      <c r="AT476" s="69" t="str">
        <f t="shared" si="140"/>
        <v>Suecia</v>
      </c>
      <c r="AU476" s="69" t="e">
        <f t="shared" si="141"/>
        <v>#N/A</v>
      </c>
      <c r="AV476" s="69" t="e">
        <f t="shared" si="142"/>
        <v>#N/A</v>
      </c>
    </row>
    <row r="477" spans="24:48" x14ac:dyDescent="0.2">
      <c r="X477" s="64" t="str">
        <f t="shared" si="143"/>
        <v/>
      </c>
      <c r="Y477" s="68" t="s">
        <v>32</v>
      </c>
      <c r="Z477" s="68" t="s">
        <v>14</v>
      </c>
      <c r="AA477" s="68" t="s">
        <v>26</v>
      </c>
      <c r="AB477" s="68" t="s">
        <v>27</v>
      </c>
      <c r="AC477" s="68" t="s">
        <v>25</v>
      </c>
      <c r="AD477" s="68" t="s">
        <v>31</v>
      </c>
      <c r="AE477" s="68" t="s">
        <v>28</v>
      </c>
      <c r="AF477" s="68" t="s">
        <v>185</v>
      </c>
      <c r="AG477">
        <f t="shared" si="144"/>
        <v>0</v>
      </c>
      <c r="AH477">
        <f t="shared" si="128"/>
        <v>1</v>
      </c>
      <c r="AI477">
        <f t="shared" si="129"/>
        <v>1</v>
      </c>
      <c r="AJ477">
        <f t="shared" si="130"/>
        <v>1</v>
      </c>
      <c r="AK477">
        <f t="shared" si="131"/>
        <v>1</v>
      </c>
      <c r="AL477">
        <f t="shared" si="132"/>
        <v>1</v>
      </c>
      <c r="AM477">
        <f t="shared" si="133"/>
        <v>1</v>
      </c>
      <c r="AN477">
        <f t="shared" si="134"/>
        <v>0</v>
      </c>
      <c r="AO477" s="69" t="e">
        <f t="shared" si="135"/>
        <v>#N/A</v>
      </c>
      <c r="AP477" s="69" t="str">
        <f t="shared" si="136"/>
        <v>Irán</v>
      </c>
      <c r="AQ477" s="69" t="str">
        <f t="shared" si="137"/>
        <v>Bosnia</v>
      </c>
      <c r="AR477" s="69" t="str">
        <f t="shared" si="138"/>
        <v>Marruecos</v>
      </c>
      <c r="AS477" s="69" t="str">
        <f t="shared" si="139"/>
        <v>Korea</v>
      </c>
      <c r="AT477" s="69" t="str">
        <f t="shared" si="140"/>
        <v>Suecia</v>
      </c>
      <c r="AU477" s="69" t="str">
        <f t="shared" si="141"/>
        <v>Paraguay</v>
      </c>
      <c r="AV477" s="69" t="e">
        <f t="shared" si="142"/>
        <v>#N/A</v>
      </c>
    </row>
    <row r="478" spans="24:48" x14ac:dyDescent="0.2">
      <c r="X478" s="64" t="str">
        <f t="shared" si="143"/>
        <v/>
      </c>
      <c r="Y478" s="68" t="s">
        <v>32</v>
      </c>
      <c r="Z478" s="68" t="s">
        <v>14</v>
      </c>
      <c r="AA478" s="68" t="s">
        <v>26</v>
      </c>
      <c r="AB478" s="68" t="s">
        <v>27</v>
      </c>
      <c r="AC478" s="68" t="s">
        <v>25</v>
      </c>
      <c r="AD478" s="68" t="s">
        <v>31</v>
      </c>
      <c r="AE478" s="68" t="s">
        <v>28</v>
      </c>
      <c r="AF478" s="68" t="s">
        <v>13</v>
      </c>
      <c r="AG478">
        <f t="shared" si="144"/>
        <v>0</v>
      </c>
      <c r="AH478">
        <f t="shared" si="128"/>
        <v>1</v>
      </c>
      <c r="AI478">
        <f t="shared" si="129"/>
        <v>1</v>
      </c>
      <c r="AJ478">
        <f t="shared" si="130"/>
        <v>1</v>
      </c>
      <c r="AK478">
        <f t="shared" si="131"/>
        <v>1</v>
      </c>
      <c r="AL478">
        <f t="shared" si="132"/>
        <v>1</v>
      </c>
      <c r="AM478">
        <f t="shared" si="133"/>
        <v>1</v>
      </c>
      <c r="AN478">
        <f t="shared" si="134"/>
        <v>0</v>
      </c>
      <c r="AO478" s="69" t="e">
        <f t="shared" si="135"/>
        <v>#N/A</v>
      </c>
      <c r="AP478" s="69" t="str">
        <f t="shared" si="136"/>
        <v>Irán</v>
      </c>
      <c r="AQ478" s="69" t="str">
        <f t="shared" si="137"/>
        <v>Bosnia</v>
      </c>
      <c r="AR478" s="69" t="str">
        <f t="shared" si="138"/>
        <v>Marruecos</v>
      </c>
      <c r="AS478" s="69" t="str">
        <f t="shared" si="139"/>
        <v>Korea</v>
      </c>
      <c r="AT478" s="69" t="str">
        <f t="shared" si="140"/>
        <v>Suecia</v>
      </c>
      <c r="AU478" s="69" t="str">
        <f t="shared" si="141"/>
        <v>Paraguay</v>
      </c>
      <c r="AV478" s="69" t="e">
        <f t="shared" si="142"/>
        <v>#N/A</v>
      </c>
    </row>
    <row r="479" spans="24:48" x14ac:dyDescent="0.2">
      <c r="X479" s="64" t="str">
        <f t="shared" si="143"/>
        <v/>
      </c>
      <c r="Y479" s="68" t="s">
        <v>32</v>
      </c>
      <c r="Z479" s="68" t="s">
        <v>14</v>
      </c>
      <c r="AA479" s="68" t="s">
        <v>26</v>
      </c>
      <c r="AB479" s="68" t="s">
        <v>27</v>
      </c>
      <c r="AC479" s="68" t="s">
        <v>25</v>
      </c>
      <c r="AD479" s="68" t="s">
        <v>31</v>
      </c>
      <c r="AE479" s="68" t="s">
        <v>28</v>
      </c>
      <c r="AF479" s="68" t="s">
        <v>184</v>
      </c>
      <c r="AG479">
        <f t="shared" si="144"/>
        <v>0</v>
      </c>
      <c r="AH479">
        <f t="shared" si="128"/>
        <v>1</v>
      </c>
      <c r="AI479">
        <f t="shared" si="129"/>
        <v>1</v>
      </c>
      <c r="AJ479">
        <f t="shared" si="130"/>
        <v>1</v>
      </c>
      <c r="AK479">
        <f t="shared" si="131"/>
        <v>1</v>
      </c>
      <c r="AL479">
        <f t="shared" si="132"/>
        <v>1</v>
      </c>
      <c r="AM479">
        <f t="shared" si="133"/>
        <v>1</v>
      </c>
      <c r="AN479">
        <f t="shared" si="134"/>
        <v>1</v>
      </c>
      <c r="AO479" s="69" t="e">
        <f t="shared" si="135"/>
        <v>#N/A</v>
      </c>
      <c r="AP479" s="69" t="str">
        <f t="shared" si="136"/>
        <v>Irán</v>
      </c>
      <c r="AQ479" s="69" t="str">
        <f t="shared" si="137"/>
        <v>Bosnia</v>
      </c>
      <c r="AR479" s="69" t="str">
        <f t="shared" si="138"/>
        <v>Marruecos</v>
      </c>
      <c r="AS479" s="69" t="str">
        <f t="shared" si="139"/>
        <v>Korea</v>
      </c>
      <c r="AT479" s="69" t="str">
        <f t="shared" si="140"/>
        <v>Suecia</v>
      </c>
      <c r="AU479" s="69" t="str">
        <f t="shared" si="141"/>
        <v>Paraguay</v>
      </c>
      <c r="AV479" s="69" t="str">
        <f t="shared" si="142"/>
        <v>Senegal</v>
      </c>
    </row>
    <row r="480" spans="24:48" x14ac:dyDescent="0.2">
      <c r="X480" s="64" t="str">
        <f t="shared" si="143"/>
        <v/>
      </c>
      <c r="Y480" s="68" t="s">
        <v>15</v>
      </c>
      <c r="Z480" s="68" t="s">
        <v>13</v>
      </c>
      <c r="AA480" s="68" t="s">
        <v>26</v>
      </c>
      <c r="AB480" s="68" t="s">
        <v>27</v>
      </c>
      <c r="AC480" s="68" t="s">
        <v>25</v>
      </c>
      <c r="AD480" s="68" t="s">
        <v>28</v>
      </c>
      <c r="AE480" s="68" t="s">
        <v>186</v>
      </c>
      <c r="AF480" s="68" t="s">
        <v>185</v>
      </c>
      <c r="AG480">
        <f t="shared" si="144"/>
        <v>1</v>
      </c>
      <c r="AH480">
        <f t="shared" si="128"/>
        <v>0</v>
      </c>
      <c r="AI480">
        <f t="shared" si="129"/>
        <v>1</v>
      </c>
      <c r="AJ480">
        <f t="shared" si="130"/>
        <v>1</v>
      </c>
      <c r="AK480">
        <f t="shared" si="131"/>
        <v>1</v>
      </c>
      <c r="AL480">
        <f t="shared" si="132"/>
        <v>1</v>
      </c>
      <c r="AM480">
        <f t="shared" si="133"/>
        <v>0</v>
      </c>
      <c r="AN480">
        <f t="shared" si="134"/>
        <v>0</v>
      </c>
      <c r="AO480" s="69" t="str">
        <f t="shared" si="135"/>
        <v>Costa de Marfil</v>
      </c>
      <c r="AP480" s="69" t="e">
        <f t="shared" si="136"/>
        <v>#N/A</v>
      </c>
      <c r="AQ480" s="69" t="str">
        <f t="shared" si="137"/>
        <v>Bosnia</v>
      </c>
      <c r="AR480" s="69" t="str">
        <f t="shared" si="138"/>
        <v>Marruecos</v>
      </c>
      <c r="AS480" s="69" t="str">
        <f t="shared" si="139"/>
        <v>Korea</v>
      </c>
      <c r="AT480" s="69" t="str">
        <f t="shared" si="140"/>
        <v>Paraguay</v>
      </c>
      <c r="AU480" s="69" t="e">
        <f t="shared" si="141"/>
        <v>#N/A</v>
      </c>
      <c r="AV480" s="69" t="e">
        <f t="shared" si="142"/>
        <v>#N/A</v>
      </c>
    </row>
    <row r="481" spans="24:48" x14ac:dyDescent="0.2">
      <c r="X481" s="64" t="str">
        <f t="shared" si="143"/>
        <v/>
      </c>
      <c r="Y481" s="68" t="s">
        <v>15</v>
      </c>
      <c r="Z481" s="68" t="s">
        <v>184</v>
      </c>
      <c r="AA481" s="68" t="s">
        <v>26</v>
      </c>
      <c r="AB481" s="68" t="s">
        <v>27</v>
      </c>
      <c r="AC481" s="68" t="s">
        <v>25</v>
      </c>
      <c r="AD481" s="68" t="s">
        <v>28</v>
      </c>
      <c r="AE481" s="68" t="s">
        <v>186</v>
      </c>
      <c r="AF481" s="68" t="s">
        <v>185</v>
      </c>
      <c r="AG481">
        <f t="shared" si="144"/>
        <v>1</v>
      </c>
      <c r="AH481">
        <f t="shared" si="128"/>
        <v>1</v>
      </c>
      <c r="AI481">
        <f t="shared" si="129"/>
        <v>1</v>
      </c>
      <c r="AJ481">
        <f t="shared" si="130"/>
        <v>1</v>
      </c>
      <c r="AK481">
        <f t="shared" si="131"/>
        <v>1</v>
      </c>
      <c r="AL481">
        <f t="shared" si="132"/>
        <v>1</v>
      </c>
      <c r="AM481">
        <f t="shared" si="133"/>
        <v>0</v>
      </c>
      <c r="AN481">
        <f t="shared" si="134"/>
        <v>0</v>
      </c>
      <c r="AO481" s="69" t="str">
        <f t="shared" si="135"/>
        <v>Costa de Marfil</v>
      </c>
      <c r="AP481" s="69" t="str">
        <f t="shared" si="136"/>
        <v>Senegal</v>
      </c>
      <c r="AQ481" s="69" t="str">
        <f t="shared" si="137"/>
        <v>Bosnia</v>
      </c>
      <c r="AR481" s="69" t="str">
        <f t="shared" si="138"/>
        <v>Marruecos</v>
      </c>
      <c r="AS481" s="69" t="str">
        <f t="shared" si="139"/>
        <v>Korea</v>
      </c>
      <c r="AT481" s="69" t="str">
        <f t="shared" si="140"/>
        <v>Paraguay</v>
      </c>
      <c r="AU481" s="69" t="e">
        <f t="shared" si="141"/>
        <v>#N/A</v>
      </c>
      <c r="AV481" s="69" t="e">
        <f t="shared" si="142"/>
        <v>#N/A</v>
      </c>
    </row>
    <row r="482" spans="24:48" x14ac:dyDescent="0.2">
      <c r="X482" s="64" t="str">
        <f t="shared" si="143"/>
        <v/>
      </c>
      <c r="Y482" s="68" t="s">
        <v>15</v>
      </c>
      <c r="Z482" s="68" t="s">
        <v>13</v>
      </c>
      <c r="AA482" s="68" t="s">
        <v>26</v>
      </c>
      <c r="AB482" s="68" t="s">
        <v>27</v>
      </c>
      <c r="AC482" s="68" t="s">
        <v>25</v>
      </c>
      <c r="AD482" s="68" t="s">
        <v>28</v>
      </c>
      <c r="AE482" s="68" t="s">
        <v>186</v>
      </c>
      <c r="AF482" s="68" t="s">
        <v>184</v>
      </c>
      <c r="AG482">
        <f t="shared" si="144"/>
        <v>1</v>
      </c>
      <c r="AH482">
        <f t="shared" si="128"/>
        <v>0</v>
      </c>
      <c r="AI482">
        <f t="shared" si="129"/>
        <v>1</v>
      </c>
      <c r="AJ482">
        <f t="shared" si="130"/>
        <v>1</v>
      </c>
      <c r="AK482">
        <f t="shared" si="131"/>
        <v>1</v>
      </c>
      <c r="AL482">
        <f t="shared" si="132"/>
        <v>1</v>
      </c>
      <c r="AM482">
        <f t="shared" si="133"/>
        <v>0</v>
      </c>
      <c r="AN482">
        <f t="shared" si="134"/>
        <v>1</v>
      </c>
      <c r="AO482" s="69" t="str">
        <f t="shared" si="135"/>
        <v>Costa de Marfil</v>
      </c>
      <c r="AP482" s="69" t="e">
        <f t="shared" si="136"/>
        <v>#N/A</v>
      </c>
      <c r="AQ482" s="69" t="str">
        <f t="shared" si="137"/>
        <v>Bosnia</v>
      </c>
      <c r="AR482" s="69" t="str">
        <f t="shared" si="138"/>
        <v>Marruecos</v>
      </c>
      <c r="AS482" s="69" t="str">
        <f t="shared" si="139"/>
        <v>Korea</v>
      </c>
      <c r="AT482" s="69" t="str">
        <f t="shared" si="140"/>
        <v>Paraguay</v>
      </c>
      <c r="AU482" s="69" t="e">
        <f t="shared" si="141"/>
        <v>#N/A</v>
      </c>
      <c r="AV482" s="69" t="str">
        <f t="shared" si="142"/>
        <v>Senegal</v>
      </c>
    </row>
    <row r="483" spans="24:48" x14ac:dyDescent="0.2">
      <c r="X483" s="64" t="str">
        <f t="shared" si="143"/>
        <v/>
      </c>
      <c r="Y483" s="68" t="s">
        <v>15</v>
      </c>
      <c r="Z483" s="68" t="s">
        <v>13</v>
      </c>
      <c r="AA483" s="68" t="s">
        <v>26</v>
      </c>
      <c r="AB483" s="68" t="s">
        <v>27</v>
      </c>
      <c r="AC483" s="68" t="s">
        <v>25</v>
      </c>
      <c r="AD483" s="68" t="s">
        <v>28</v>
      </c>
      <c r="AE483" s="68" t="s">
        <v>184</v>
      </c>
      <c r="AF483" s="68" t="s">
        <v>185</v>
      </c>
      <c r="AG483">
        <f t="shared" si="144"/>
        <v>1</v>
      </c>
      <c r="AH483">
        <f t="shared" si="128"/>
        <v>0</v>
      </c>
      <c r="AI483">
        <f t="shared" si="129"/>
        <v>1</v>
      </c>
      <c r="AJ483">
        <f t="shared" si="130"/>
        <v>1</v>
      </c>
      <c r="AK483">
        <f t="shared" si="131"/>
        <v>1</v>
      </c>
      <c r="AL483">
        <f t="shared" si="132"/>
        <v>1</v>
      </c>
      <c r="AM483">
        <f t="shared" si="133"/>
        <v>1</v>
      </c>
      <c r="AN483">
        <f t="shared" si="134"/>
        <v>0</v>
      </c>
      <c r="AO483" s="69" t="str">
        <f t="shared" si="135"/>
        <v>Costa de Marfil</v>
      </c>
      <c r="AP483" s="69" t="e">
        <f t="shared" si="136"/>
        <v>#N/A</v>
      </c>
      <c r="AQ483" s="69" t="str">
        <f t="shared" si="137"/>
        <v>Bosnia</v>
      </c>
      <c r="AR483" s="69" t="str">
        <f t="shared" si="138"/>
        <v>Marruecos</v>
      </c>
      <c r="AS483" s="69" t="str">
        <f t="shared" si="139"/>
        <v>Korea</v>
      </c>
      <c r="AT483" s="69" t="str">
        <f t="shared" si="140"/>
        <v>Paraguay</v>
      </c>
      <c r="AU483" s="69" t="str">
        <f t="shared" si="141"/>
        <v>Senegal</v>
      </c>
      <c r="AV483" s="69" t="e">
        <f t="shared" si="142"/>
        <v>#N/A</v>
      </c>
    </row>
    <row r="484" spans="24:48" x14ac:dyDescent="0.2">
      <c r="X484" s="64" t="str">
        <f t="shared" si="143"/>
        <v/>
      </c>
      <c r="Y484" s="68" t="s">
        <v>32</v>
      </c>
      <c r="Z484" s="68" t="s">
        <v>15</v>
      </c>
      <c r="AA484" s="68" t="s">
        <v>26</v>
      </c>
      <c r="AB484" s="68" t="s">
        <v>27</v>
      </c>
      <c r="AC484" s="68" t="s">
        <v>25</v>
      </c>
      <c r="AD484" s="68" t="s">
        <v>28</v>
      </c>
      <c r="AE484" s="68" t="s">
        <v>186</v>
      </c>
      <c r="AF484" s="68" t="s">
        <v>185</v>
      </c>
      <c r="AG484">
        <f t="shared" si="144"/>
        <v>0</v>
      </c>
      <c r="AH484">
        <f t="shared" si="128"/>
        <v>1</v>
      </c>
      <c r="AI484">
        <f t="shared" si="129"/>
        <v>1</v>
      </c>
      <c r="AJ484">
        <f t="shared" si="130"/>
        <v>1</v>
      </c>
      <c r="AK484">
        <f t="shared" si="131"/>
        <v>1</v>
      </c>
      <c r="AL484">
        <f t="shared" si="132"/>
        <v>1</v>
      </c>
      <c r="AM484">
        <f t="shared" si="133"/>
        <v>0</v>
      </c>
      <c r="AN484">
        <f t="shared" si="134"/>
        <v>0</v>
      </c>
      <c r="AO484" s="69" t="e">
        <f t="shared" si="135"/>
        <v>#N/A</v>
      </c>
      <c r="AP484" s="69" t="str">
        <f t="shared" si="136"/>
        <v>Costa de Marfil</v>
      </c>
      <c r="AQ484" s="69" t="str">
        <f t="shared" si="137"/>
        <v>Bosnia</v>
      </c>
      <c r="AR484" s="69" t="str">
        <f t="shared" si="138"/>
        <v>Marruecos</v>
      </c>
      <c r="AS484" s="69" t="str">
        <f t="shared" si="139"/>
        <v>Korea</v>
      </c>
      <c r="AT484" s="69" t="str">
        <f t="shared" si="140"/>
        <v>Paraguay</v>
      </c>
      <c r="AU484" s="69" t="e">
        <f t="shared" si="141"/>
        <v>#N/A</v>
      </c>
      <c r="AV484" s="69" t="e">
        <f t="shared" si="142"/>
        <v>#N/A</v>
      </c>
    </row>
    <row r="485" spans="24:48" x14ac:dyDescent="0.2">
      <c r="X485" s="64" t="str">
        <f t="shared" si="143"/>
        <v/>
      </c>
      <c r="Y485" s="68" t="s">
        <v>32</v>
      </c>
      <c r="Z485" s="68" t="s">
        <v>13</v>
      </c>
      <c r="AA485" s="68" t="s">
        <v>26</v>
      </c>
      <c r="AB485" s="68" t="s">
        <v>27</v>
      </c>
      <c r="AC485" s="68" t="s">
        <v>25</v>
      </c>
      <c r="AD485" s="68" t="s">
        <v>28</v>
      </c>
      <c r="AE485" s="68" t="s">
        <v>186</v>
      </c>
      <c r="AF485" s="68" t="s">
        <v>15</v>
      </c>
      <c r="AG485">
        <f t="shared" si="144"/>
        <v>0</v>
      </c>
      <c r="AH485">
        <f t="shared" si="128"/>
        <v>0</v>
      </c>
      <c r="AI485">
        <f t="shared" si="129"/>
        <v>1</v>
      </c>
      <c r="AJ485">
        <f t="shared" si="130"/>
        <v>1</v>
      </c>
      <c r="AK485">
        <f t="shared" si="131"/>
        <v>1</v>
      </c>
      <c r="AL485">
        <f t="shared" si="132"/>
        <v>1</v>
      </c>
      <c r="AM485">
        <f t="shared" si="133"/>
        <v>0</v>
      </c>
      <c r="AN485">
        <f t="shared" si="134"/>
        <v>1</v>
      </c>
      <c r="AO485" s="69" t="e">
        <f t="shared" si="135"/>
        <v>#N/A</v>
      </c>
      <c r="AP485" s="69" t="e">
        <f t="shared" si="136"/>
        <v>#N/A</v>
      </c>
      <c r="AQ485" s="69" t="str">
        <f t="shared" si="137"/>
        <v>Bosnia</v>
      </c>
      <c r="AR485" s="69" t="str">
        <f t="shared" si="138"/>
        <v>Marruecos</v>
      </c>
      <c r="AS485" s="69" t="str">
        <f t="shared" si="139"/>
        <v>Korea</v>
      </c>
      <c r="AT485" s="69" t="str">
        <f t="shared" si="140"/>
        <v>Paraguay</v>
      </c>
      <c r="AU485" s="69" t="e">
        <f t="shared" si="141"/>
        <v>#N/A</v>
      </c>
      <c r="AV485" s="69" t="str">
        <f t="shared" si="142"/>
        <v>Costa de Marfil</v>
      </c>
    </row>
    <row r="486" spans="24:48" x14ac:dyDescent="0.2">
      <c r="X486" s="64" t="str">
        <f t="shared" si="143"/>
        <v/>
      </c>
      <c r="Y486" s="68" t="s">
        <v>32</v>
      </c>
      <c r="Z486" s="68" t="s">
        <v>13</v>
      </c>
      <c r="AA486" s="68" t="s">
        <v>26</v>
      </c>
      <c r="AB486" s="68" t="s">
        <v>27</v>
      </c>
      <c r="AC486" s="68" t="s">
        <v>25</v>
      </c>
      <c r="AD486" s="68" t="s">
        <v>28</v>
      </c>
      <c r="AE486" s="68" t="s">
        <v>15</v>
      </c>
      <c r="AF486" s="68" t="s">
        <v>185</v>
      </c>
      <c r="AG486">
        <f t="shared" si="144"/>
        <v>0</v>
      </c>
      <c r="AH486">
        <f t="shared" si="128"/>
        <v>0</v>
      </c>
      <c r="AI486">
        <f t="shared" si="129"/>
        <v>1</v>
      </c>
      <c r="AJ486">
        <f t="shared" si="130"/>
        <v>1</v>
      </c>
      <c r="AK486">
        <f t="shared" si="131"/>
        <v>1</v>
      </c>
      <c r="AL486">
        <f t="shared" si="132"/>
        <v>1</v>
      </c>
      <c r="AM486">
        <f t="shared" si="133"/>
        <v>1</v>
      </c>
      <c r="AN486">
        <f t="shared" si="134"/>
        <v>0</v>
      </c>
      <c r="AO486" s="69" t="e">
        <f t="shared" si="135"/>
        <v>#N/A</v>
      </c>
      <c r="AP486" s="69" t="e">
        <f t="shared" si="136"/>
        <v>#N/A</v>
      </c>
      <c r="AQ486" s="69" t="str">
        <f t="shared" si="137"/>
        <v>Bosnia</v>
      </c>
      <c r="AR486" s="69" t="str">
        <f t="shared" si="138"/>
        <v>Marruecos</v>
      </c>
      <c r="AS486" s="69" t="str">
        <f t="shared" si="139"/>
        <v>Korea</v>
      </c>
      <c r="AT486" s="69" t="str">
        <f t="shared" si="140"/>
        <v>Paraguay</v>
      </c>
      <c r="AU486" s="69" t="str">
        <f t="shared" si="141"/>
        <v>Costa de Marfil</v>
      </c>
      <c r="AV486" s="69" t="e">
        <f t="shared" si="142"/>
        <v>#N/A</v>
      </c>
    </row>
    <row r="487" spans="24:48" x14ac:dyDescent="0.2">
      <c r="X487" s="64" t="str">
        <f t="shared" si="143"/>
        <v/>
      </c>
      <c r="Y487" s="68" t="s">
        <v>32</v>
      </c>
      <c r="Z487" s="68" t="s">
        <v>15</v>
      </c>
      <c r="AA487" s="68" t="s">
        <v>26</v>
      </c>
      <c r="AB487" s="68" t="s">
        <v>27</v>
      </c>
      <c r="AC487" s="68" t="s">
        <v>25</v>
      </c>
      <c r="AD487" s="68" t="s">
        <v>28</v>
      </c>
      <c r="AE487" s="68" t="s">
        <v>186</v>
      </c>
      <c r="AF487" s="68" t="s">
        <v>184</v>
      </c>
      <c r="AG487">
        <f t="shared" si="144"/>
        <v>0</v>
      </c>
      <c r="AH487">
        <f t="shared" si="128"/>
        <v>1</v>
      </c>
      <c r="AI487">
        <f t="shared" si="129"/>
        <v>1</v>
      </c>
      <c r="AJ487">
        <f t="shared" si="130"/>
        <v>1</v>
      </c>
      <c r="AK487">
        <f t="shared" si="131"/>
        <v>1</v>
      </c>
      <c r="AL487">
        <f t="shared" si="132"/>
        <v>1</v>
      </c>
      <c r="AM487">
        <f t="shared" si="133"/>
        <v>0</v>
      </c>
      <c r="AN487">
        <f t="shared" si="134"/>
        <v>1</v>
      </c>
      <c r="AO487" s="69" t="e">
        <f t="shared" si="135"/>
        <v>#N/A</v>
      </c>
      <c r="AP487" s="69" t="str">
        <f t="shared" si="136"/>
        <v>Costa de Marfil</v>
      </c>
      <c r="AQ487" s="69" t="str">
        <f t="shared" si="137"/>
        <v>Bosnia</v>
      </c>
      <c r="AR487" s="69" t="str">
        <f t="shared" si="138"/>
        <v>Marruecos</v>
      </c>
      <c r="AS487" s="69" t="str">
        <f t="shared" si="139"/>
        <v>Korea</v>
      </c>
      <c r="AT487" s="69" t="str">
        <f t="shared" si="140"/>
        <v>Paraguay</v>
      </c>
      <c r="AU487" s="69" t="e">
        <f t="shared" si="141"/>
        <v>#N/A</v>
      </c>
      <c r="AV487" s="69" t="str">
        <f t="shared" si="142"/>
        <v>Senegal</v>
      </c>
    </row>
    <row r="488" spans="24:48" x14ac:dyDescent="0.2">
      <c r="X488" s="64" t="str">
        <f t="shared" si="143"/>
        <v/>
      </c>
      <c r="Y488" s="68" t="s">
        <v>32</v>
      </c>
      <c r="Z488" s="68" t="s">
        <v>15</v>
      </c>
      <c r="AA488" s="68" t="s">
        <v>26</v>
      </c>
      <c r="AB488" s="68" t="s">
        <v>27</v>
      </c>
      <c r="AC488" s="68" t="s">
        <v>25</v>
      </c>
      <c r="AD488" s="68" t="s">
        <v>28</v>
      </c>
      <c r="AE488" s="68" t="s">
        <v>184</v>
      </c>
      <c r="AF488" s="68" t="s">
        <v>185</v>
      </c>
      <c r="AG488">
        <f t="shared" si="144"/>
        <v>0</v>
      </c>
      <c r="AH488">
        <f t="shared" si="128"/>
        <v>1</v>
      </c>
      <c r="AI488">
        <f t="shared" si="129"/>
        <v>1</v>
      </c>
      <c r="AJ488">
        <f t="shared" si="130"/>
        <v>1</v>
      </c>
      <c r="AK488">
        <f t="shared" si="131"/>
        <v>1</v>
      </c>
      <c r="AL488">
        <f t="shared" si="132"/>
        <v>1</v>
      </c>
      <c r="AM488">
        <f t="shared" si="133"/>
        <v>1</v>
      </c>
      <c r="AN488">
        <f t="shared" si="134"/>
        <v>0</v>
      </c>
      <c r="AO488" s="69" t="e">
        <f t="shared" si="135"/>
        <v>#N/A</v>
      </c>
      <c r="AP488" s="69" t="str">
        <f t="shared" si="136"/>
        <v>Costa de Marfil</v>
      </c>
      <c r="AQ488" s="69" t="str">
        <f t="shared" si="137"/>
        <v>Bosnia</v>
      </c>
      <c r="AR488" s="69" t="str">
        <f t="shared" si="138"/>
        <v>Marruecos</v>
      </c>
      <c r="AS488" s="69" t="str">
        <f t="shared" si="139"/>
        <v>Korea</v>
      </c>
      <c r="AT488" s="69" t="str">
        <f t="shared" si="140"/>
        <v>Paraguay</v>
      </c>
      <c r="AU488" s="69" t="str">
        <f t="shared" si="141"/>
        <v>Senegal</v>
      </c>
      <c r="AV488" s="69" t="e">
        <f t="shared" si="142"/>
        <v>#N/A</v>
      </c>
    </row>
    <row r="489" spans="24:48" x14ac:dyDescent="0.2">
      <c r="X489" s="64" t="str">
        <f t="shared" si="143"/>
        <v/>
      </c>
      <c r="Y489" s="68" t="s">
        <v>32</v>
      </c>
      <c r="Z489" s="68" t="s">
        <v>13</v>
      </c>
      <c r="AA489" s="68" t="s">
        <v>26</v>
      </c>
      <c r="AB489" s="68" t="s">
        <v>27</v>
      </c>
      <c r="AC489" s="68" t="s">
        <v>25</v>
      </c>
      <c r="AD489" s="68" t="s">
        <v>28</v>
      </c>
      <c r="AE489" s="68" t="s">
        <v>15</v>
      </c>
      <c r="AF489" s="68" t="s">
        <v>184</v>
      </c>
      <c r="AG489">
        <f t="shared" si="144"/>
        <v>0</v>
      </c>
      <c r="AH489">
        <f t="shared" si="128"/>
        <v>0</v>
      </c>
      <c r="AI489">
        <f t="shared" si="129"/>
        <v>1</v>
      </c>
      <c r="AJ489">
        <f t="shared" si="130"/>
        <v>1</v>
      </c>
      <c r="AK489">
        <f t="shared" si="131"/>
        <v>1</v>
      </c>
      <c r="AL489">
        <f t="shared" si="132"/>
        <v>1</v>
      </c>
      <c r="AM489">
        <f t="shared" si="133"/>
        <v>1</v>
      </c>
      <c r="AN489">
        <f t="shared" si="134"/>
        <v>1</v>
      </c>
      <c r="AO489" s="69" t="e">
        <f t="shared" si="135"/>
        <v>#N/A</v>
      </c>
      <c r="AP489" s="69" t="e">
        <f t="shared" si="136"/>
        <v>#N/A</v>
      </c>
      <c r="AQ489" s="69" t="str">
        <f t="shared" si="137"/>
        <v>Bosnia</v>
      </c>
      <c r="AR489" s="69" t="str">
        <f t="shared" si="138"/>
        <v>Marruecos</v>
      </c>
      <c r="AS489" s="69" t="str">
        <f t="shared" si="139"/>
        <v>Korea</v>
      </c>
      <c r="AT489" s="69" t="str">
        <f t="shared" si="140"/>
        <v>Paraguay</v>
      </c>
      <c r="AU489" s="69" t="str">
        <f t="shared" si="141"/>
        <v>Costa de Marfil</v>
      </c>
      <c r="AV489" s="69" t="str">
        <f t="shared" si="142"/>
        <v>Senegal</v>
      </c>
    </row>
    <row r="490" spans="24:48" x14ac:dyDescent="0.2">
      <c r="X490" s="64" t="str">
        <f t="shared" si="143"/>
        <v/>
      </c>
      <c r="Y490" s="68" t="s">
        <v>15</v>
      </c>
      <c r="Z490" s="68" t="s">
        <v>14</v>
      </c>
      <c r="AA490" s="68" t="s">
        <v>26</v>
      </c>
      <c r="AB490" s="68" t="s">
        <v>27</v>
      </c>
      <c r="AC490" s="68" t="s">
        <v>25</v>
      </c>
      <c r="AD490" s="68" t="s">
        <v>28</v>
      </c>
      <c r="AE490" s="68" t="s">
        <v>186</v>
      </c>
      <c r="AF490" s="68" t="s">
        <v>185</v>
      </c>
      <c r="AG490">
        <f t="shared" si="144"/>
        <v>1</v>
      </c>
      <c r="AH490">
        <f t="shared" si="128"/>
        <v>1</v>
      </c>
      <c r="AI490">
        <f t="shared" si="129"/>
        <v>1</v>
      </c>
      <c r="AJ490">
        <f t="shared" si="130"/>
        <v>1</v>
      </c>
      <c r="AK490">
        <f t="shared" si="131"/>
        <v>1</v>
      </c>
      <c r="AL490">
        <f t="shared" si="132"/>
        <v>1</v>
      </c>
      <c r="AM490">
        <f t="shared" si="133"/>
        <v>0</v>
      </c>
      <c r="AN490">
        <f t="shared" si="134"/>
        <v>0</v>
      </c>
      <c r="AO490" s="69" t="str">
        <f t="shared" si="135"/>
        <v>Costa de Marfil</v>
      </c>
      <c r="AP490" s="69" t="str">
        <f t="shared" si="136"/>
        <v>Irán</v>
      </c>
      <c r="AQ490" s="69" t="str">
        <f t="shared" si="137"/>
        <v>Bosnia</v>
      </c>
      <c r="AR490" s="69" t="str">
        <f t="shared" si="138"/>
        <v>Marruecos</v>
      </c>
      <c r="AS490" s="69" t="str">
        <f t="shared" si="139"/>
        <v>Korea</v>
      </c>
      <c r="AT490" s="69" t="str">
        <f t="shared" si="140"/>
        <v>Paraguay</v>
      </c>
      <c r="AU490" s="69" t="e">
        <f t="shared" si="141"/>
        <v>#N/A</v>
      </c>
      <c r="AV490" s="69" t="e">
        <f t="shared" si="142"/>
        <v>#N/A</v>
      </c>
    </row>
    <row r="491" spans="24:48" x14ac:dyDescent="0.2">
      <c r="X491" s="64" t="str">
        <f t="shared" si="143"/>
        <v/>
      </c>
      <c r="Y491" s="68" t="s">
        <v>15</v>
      </c>
      <c r="Z491" s="68" t="s">
        <v>14</v>
      </c>
      <c r="AA491" s="68" t="s">
        <v>26</v>
      </c>
      <c r="AB491" s="68" t="s">
        <v>27</v>
      </c>
      <c r="AC491" s="68" t="s">
        <v>25</v>
      </c>
      <c r="AD491" s="68" t="s">
        <v>28</v>
      </c>
      <c r="AE491" s="68" t="s">
        <v>186</v>
      </c>
      <c r="AF491" s="68" t="s">
        <v>13</v>
      </c>
      <c r="AG491">
        <f t="shared" si="144"/>
        <v>1</v>
      </c>
      <c r="AH491">
        <f t="shared" si="128"/>
        <v>1</v>
      </c>
      <c r="AI491">
        <f t="shared" si="129"/>
        <v>1</v>
      </c>
      <c r="AJ491">
        <f t="shared" si="130"/>
        <v>1</v>
      </c>
      <c r="AK491">
        <f t="shared" si="131"/>
        <v>1</v>
      </c>
      <c r="AL491">
        <f t="shared" si="132"/>
        <v>1</v>
      </c>
      <c r="AM491">
        <f t="shared" si="133"/>
        <v>0</v>
      </c>
      <c r="AN491">
        <f t="shared" si="134"/>
        <v>0</v>
      </c>
      <c r="AO491" s="69" t="str">
        <f t="shared" si="135"/>
        <v>Costa de Marfil</v>
      </c>
      <c r="AP491" s="69" t="str">
        <f t="shared" si="136"/>
        <v>Irán</v>
      </c>
      <c r="AQ491" s="69" t="str">
        <f t="shared" si="137"/>
        <v>Bosnia</v>
      </c>
      <c r="AR491" s="69" t="str">
        <f t="shared" si="138"/>
        <v>Marruecos</v>
      </c>
      <c r="AS491" s="69" t="str">
        <f t="shared" si="139"/>
        <v>Korea</v>
      </c>
      <c r="AT491" s="69" t="str">
        <f t="shared" si="140"/>
        <v>Paraguay</v>
      </c>
      <c r="AU491" s="69" t="e">
        <f t="shared" si="141"/>
        <v>#N/A</v>
      </c>
      <c r="AV491" s="69" t="e">
        <f t="shared" si="142"/>
        <v>#N/A</v>
      </c>
    </row>
    <row r="492" spans="24:48" x14ac:dyDescent="0.2">
      <c r="X492" s="64" t="str">
        <f t="shared" si="143"/>
        <v/>
      </c>
      <c r="Y492" s="68" t="s">
        <v>15</v>
      </c>
      <c r="Z492" s="68" t="s">
        <v>14</v>
      </c>
      <c r="AA492" s="68" t="s">
        <v>26</v>
      </c>
      <c r="AB492" s="68" t="s">
        <v>27</v>
      </c>
      <c r="AC492" s="68" t="s">
        <v>25</v>
      </c>
      <c r="AD492" s="68" t="s">
        <v>28</v>
      </c>
      <c r="AE492" s="68" t="s">
        <v>13</v>
      </c>
      <c r="AF492" s="68" t="s">
        <v>185</v>
      </c>
      <c r="AG492">
        <f t="shared" si="144"/>
        <v>1</v>
      </c>
      <c r="AH492">
        <f t="shared" si="128"/>
        <v>1</v>
      </c>
      <c r="AI492">
        <f t="shared" si="129"/>
        <v>1</v>
      </c>
      <c r="AJ492">
        <f t="shared" si="130"/>
        <v>1</v>
      </c>
      <c r="AK492">
        <f t="shared" si="131"/>
        <v>1</v>
      </c>
      <c r="AL492">
        <f t="shared" si="132"/>
        <v>1</v>
      </c>
      <c r="AM492">
        <f t="shared" si="133"/>
        <v>0</v>
      </c>
      <c r="AN492">
        <f t="shared" si="134"/>
        <v>0</v>
      </c>
      <c r="AO492" s="69" t="str">
        <f t="shared" si="135"/>
        <v>Costa de Marfil</v>
      </c>
      <c r="AP492" s="69" t="str">
        <f t="shared" si="136"/>
        <v>Irán</v>
      </c>
      <c r="AQ492" s="69" t="str">
        <f t="shared" si="137"/>
        <v>Bosnia</v>
      </c>
      <c r="AR492" s="69" t="str">
        <f t="shared" si="138"/>
        <v>Marruecos</v>
      </c>
      <c r="AS492" s="69" t="str">
        <f t="shared" si="139"/>
        <v>Korea</v>
      </c>
      <c r="AT492" s="69" t="str">
        <f t="shared" si="140"/>
        <v>Paraguay</v>
      </c>
      <c r="AU492" s="69" t="e">
        <f t="shared" si="141"/>
        <v>#N/A</v>
      </c>
      <c r="AV492" s="69" t="e">
        <f t="shared" si="142"/>
        <v>#N/A</v>
      </c>
    </row>
    <row r="493" spans="24:48" x14ac:dyDescent="0.2">
      <c r="X493" s="64" t="str">
        <f t="shared" si="143"/>
        <v/>
      </c>
      <c r="Y493" s="68" t="s">
        <v>15</v>
      </c>
      <c r="Z493" s="68" t="s">
        <v>14</v>
      </c>
      <c r="AA493" s="68" t="s">
        <v>26</v>
      </c>
      <c r="AB493" s="68" t="s">
        <v>27</v>
      </c>
      <c r="AC493" s="68" t="s">
        <v>25</v>
      </c>
      <c r="AD493" s="68" t="s">
        <v>28</v>
      </c>
      <c r="AE493" s="68" t="s">
        <v>186</v>
      </c>
      <c r="AF493" s="68" t="s">
        <v>184</v>
      </c>
      <c r="AG493">
        <f t="shared" si="144"/>
        <v>1</v>
      </c>
      <c r="AH493">
        <f t="shared" si="128"/>
        <v>1</v>
      </c>
      <c r="AI493">
        <f t="shared" si="129"/>
        <v>1</v>
      </c>
      <c r="AJ493">
        <f t="shared" si="130"/>
        <v>1</v>
      </c>
      <c r="AK493">
        <f t="shared" si="131"/>
        <v>1</v>
      </c>
      <c r="AL493">
        <f t="shared" si="132"/>
        <v>1</v>
      </c>
      <c r="AM493">
        <f t="shared" si="133"/>
        <v>0</v>
      </c>
      <c r="AN493">
        <f t="shared" si="134"/>
        <v>1</v>
      </c>
      <c r="AO493" s="69" t="str">
        <f t="shared" si="135"/>
        <v>Costa de Marfil</v>
      </c>
      <c r="AP493" s="69" t="str">
        <f t="shared" si="136"/>
        <v>Irán</v>
      </c>
      <c r="AQ493" s="69" t="str">
        <f t="shared" si="137"/>
        <v>Bosnia</v>
      </c>
      <c r="AR493" s="69" t="str">
        <f t="shared" si="138"/>
        <v>Marruecos</v>
      </c>
      <c r="AS493" s="69" t="str">
        <f t="shared" si="139"/>
        <v>Korea</v>
      </c>
      <c r="AT493" s="69" t="str">
        <f t="shared" si="140"/>
        <v>Paraguay</v>
      </c>
      <c r="AU493" s="69" t="e">
        <f t="shared" si="141"/>
        <v>#N/A</v>
      </c>
      <c r="AV493" s="69" t="str">
        <f t="shared" si="142"/>
        <v>Senegal</v>
      </c>
    </row>
    <row r="494" spans="24:48" x14ac:dyDescent="0.2">
      <c r="X494" s="64" t="str">
        <f t="shared" si="143"/>
        <v/>
      </c>
      <c r="Y494" s="68" t="s">
        <v>15</v>
      </c>
      <c r="Z494" s="68" t="s">
        <v>14</v>
      </c>
      <c r="AA494" s="68" t="s">
        <v>26</v>
      </c>
      <c r="AB494" s="68" t="s">
        <v>27</v>
      </c>
      <c r="AC494" s="68" t="s">
        <v>25</v>
      </c>
      <c r="AD494" s="68" t="s">
        <v>28</v>
      </c>
      <c r="AE494" s="68" t="s">
        <v>184</v>
      </c>
      <c r="AF494" s="68" t="s">
        <v>185</v>
      </c>
      <c r="AG494">
        <f t="shared" si="144"/>
        <v>1</v>
      </c>
      <c r="AH494">
        <f t="shared" si="128"/>
        <v>1</v>
      </c>
      <c r="AI494">
        <f t="shared" si="129"/>
        <v>1</v>
      </c>
      <c r="AJ494">
        <f t="shared" si="130"/>
        <v>1</v>
      </c>
      <c r="AK494">
        <f t="shared" si="131"/>
        <v>1</v>
      </c>
      <c r="AL494">
        <f t="shared" si="132"/>
        <v>1</v>
      </c>
      <c r="AM494">
        <f t="shared" si="133"/>
        <v>1</v>
      </c>
      <c r="AN494">
        <f t="shared" si="134"/>
        <v>0</v>
      </c>
      <c r="AO494" s="69" t="str">
        <f t="shared" si="135"/>
        <v>Costa de Marfil</v>
      </c>
      <c r="AP494" s="69" t="str">
        <f t="shared" si="136"/>
        <v>Irán</v>
      </c>
      <c r="AQ494" s="69" t="str">
        <f t="shared" si="137"/>
        <v>Bosnia</v>
      </c>
      <c r="AR494" s="69" t="str">
        <f t="shared" si="138"/>
        <v>Marruecos</v>
      </c>
      <c r="AS494" s="69" t="str">
        <f t="shared" si="139"/>
        <v>Korea</v>
      </c>
      <c r="AT494" s="69" t="str">
        <f t="shared" si="140"/>
        <v>Paraguay</v>
      </c>
      <c r="AU494" s="69" t="str">
        <f t="shared" si="141"/>
        <v>Senegal</v>
      </c>
      <c r="AV494" s="69" t="e">
        <f t="shared" si="142"/>
        <v>#N/A</v>
      </c>
    </row>
    <row r="495" spans="24:48" x14ac:dyDescent="0.2">
      <c r="X495" s="64" t="str">
        <f t="shared" si="143"/>
        <v/>
      </c>
      <c r="Y495" s="68" t="s">
        <v>15</v>
      </c>
      <c r="Z495" s="68" t="s">
        <v>14</v>
      </c>
      <c r="AA495" s="68" t="s">
        <v>26</v>
      </c>
      <c r="AB495" s="68" t="s">
        <v>27</v>
      </c>
      <c r="AC495" s="68" t="s">
        <v>25</v>
      </c>
      <c r="AD495" s="68" t="s">
        <v>28</v>
      </c>
      <c r="AE495" s="68" t="s">
        <v>184</v>
      </c>
      <c r="AF495" s="68" t="s">
        <v>13</v>
      </c>
      <c r="AG495">
        <f t="shared" si="144"/>
        <v>1</v>
      </c>
      <c r="AH495">
        <f t="shared" si="128"/>
        <v>1</v>
      </c>
      <c r="AI495">
        <f t="shared" si="129"/>
        <v>1</v>
      </c>
      <c r="AJ495">
        <f t="shared" si="130"/>
        <v>1</v>
      </c>
      <c r="AK495">
        <f t="shared" si="131"/>
        <v>1</v>
      </c>
      <c r="AL495">
        <f t="shared" si="132"/>
        <v>1</v>
      </c>
      <c r="AM495">
        <f t="shared" si="133"/>
        <v>1</v>
      </c>
      <c r="AN495">
        <f t="shared" si="134"/>
        <v>0</v>
      </c>
      <c r="AO495" s="69" t="str">
        <f t="shared" si="135"/>
        <v>Costa de Marfil</v>
      </c>
      <c r="AP495" s="69" t="str">
        <f t="shared" si="136"/>
        <v>Irán</v>
      </c>
      <c r="AQ495" s="69" t="str">
        <f t="shared" si="137"/>
        <v>Bosnia</v>
      </c>
      <c r="AR495" s="69" t="str">
        <f t="shared" si="138"/>
        <v>Marruecos</v>
      </c>
      <c r="AS495" s="69" t="str">
        <f t="shared" si="139"/>
        <v>Korea</v>
      </c>
      <c r="AT495" s="69" t="str">
        <f t="shared" si="140"/>
        <v>Paraguay</v>
      </c>
      <c r="AU495" s="69" t="str">
        <f t="shared" si="141"/>
        <v>Senegal</v>
      </c>
      <c r="AV495" s="69" t="e">
        <f t="shared" si="142"/>
        <v>#N/A</v>
      </c>
    </row>
    <row r="496" spans="24:48" x14ac:dyDescent="0.2">
      <c r="X496" s="64" t="str">
        <f t="shared" si="143"/>
        <v/>
      </c>
      <c r="Y496" s="68" t="s">
        <v>32</v>
      </c>
      <c r="Z496" s="68" t="s">
        <v>14</v>
      </c>
      <c r="AA496" s="68" t="s">
        <v>26</v>
      </c>
      <c r="AB496" s="68" t="s">
        <v>27</v>
      </c>
      <c r="AC496" s="68" t="s">
        <v>25</v>
      </c>
      <c r="AD496" s="68" t="s">
        <v>28</v>
      </c>
      <c r="AE496" s="68" t="s">
        <v>186</v>
      </c>
      <c r="AF496" s="68" t="s">
        <v>15</v>
      </c>
      <c r="AG496">
        <f t="shared" si="144"/>
        <v>0</v>
      </c>
      <c r="AH496">
        <f t="shared" si="128"/>
        <v>1</v>
      </c>
      <c r="AI496">
        <f t="shared" si="129"/>
        <v>1</v>
      </c>
      <c r="AJ496">
        <f t="shared" si="130"/>
        <v>1</v>
      </c>
      <c r="AK496">
        <f t="shared" si="131"/>
        <v>1</v>
      </c>
      <c r="AL496">
        <f t="shared" si="132"/>
        <v>1</v>
      </c>
      <c r="AM496">
        <f t="shared" si="133"/>
        <v>0</v>
      </c>
      <c r="AN496">
        <f t="shared" si="134"/>
        <v>1</v>
      </c>
      <c r="AO496" s="69" t="e">
        <f t="shared" si="135"/>
        <v>#N/A</v>
      </c>
      <c r="AP496" s="69" t="str">
        <f t="shared" si="136"/>
        <v>Irán</v>
      </c>
      <c r="AQ496" s="69" t="str">
        <f t="shared" si="137"/>
        <v>Bosnia</v>
      </c>
      <c r="AR496" s="69" t="str">
        <f t="shared" si="138"/>
        <v>Marruecos</v>
      </c>
      <c r="AS496" s="69" t="str">
        <f t="shared" si="139"/>
        <v>Korea</v>
      </c>
      <c r="AT496" s="69" t="str">
        <f t="shared" si="140"/>
        <v>Paraguay</v>
      </c>
      <c r="AU496" s="69" t="e">
        <f t="shared" si="141"/>
        <v>#N/A</v>
      </c>
      <c r="AV496" s="69" t="str">
        <f t="shared" si="142"/>
        <v>Costa de Marfil</v>
      </c>
    </row>
    <row r="497" spans="24:48" x14ac:dyDescent="0.2">
      <c r="X497" s="64" t="str">
        <f t="shared" si="143"/>
        <v/>
      </c>
      <c r="Y497" s="68" t="s">
        <v>32</v>
      </c>
      <c r="Z497" s="68" t="s">
        <v>14</v>
      </c>
      <c r="AA497" s="68" t="s">
        <v>26</v>
      </c>
      <c r="AB497" s="68" t="s">
        <v>27</v>
      </c>
      <c r="AC497" s="68" t="s">
        <v>25</v>
      </c>
      <c r="AD497" s="68" t="s">
        <v>28</v>
      </c>
      <c r="AE497" s="68" t="s">
        <v>15</v>
      </c>
      <c r="AF497" s="68" t="s">
        <v>185</v>
      </c>
      <c r="AG497">
        <f t="shared" si="144"/>
        <v>0</v>
      </c>
      <c r="AH497">
        <f t="shared" si="128"/>
        <v>1</v>
      </c>
      <c r="AI497">
        <f t="shared" si="129"/>
        <v>1</v>
      </c>
      <c r="AJ497">
        <f t="shared" si="130"/>
        <v>1</v>
      </c>
      <c r="AK497">
        <f t="shared" si="131"/>
        <v>1</v>
      </c>
      <c r="AL497">
        <f t="shared" si="132"/>
        <v>1</v>
      </c>
      <c r="AM497">
        <f t="shared" si="133"/>
        <v>1</v>
      </c>
      <c r="AN497">
        <f t="shared" si="134"/>
        <v>0</v>
      </c>
      <c r="AO497" s="69" t="e">
        <f t="shared" si="135"/>
        <v>#N/A</v>
      </c>
      <c r="AP497" s="69" t="str">
        <f t="shared" si="136"/>
        <v>Irán</v>
      </c>
      <c r="AQ497" s="69" t="str">
        <f t="shared" si="137"/>
        <v>Bosnia</v>
      </c>
      <c r="AR497" s="69" t="str">
        <f t="shared" si="138"/>
        <v>Marruecos</v>
      </c>
      <c r="AS497" s="69" t="str">
        <f t="shared" si="139"/>
        <v>Korea</v>
      </c>
      <c r="AT497" s="69" t="str">
        <f t="shared" si="140"/>
        <v>Paraguay</v>
      </c>
      <c r="AU497" s="69" t="str">
        <f t="shared" si="141"/>
        <v>Costa de Marfil</v>
      </c>
      <c r="AV497" s="69" t="e">
        <f t="shared" si="142"/>
        <v>#N/A</v>
      </c>
    </row>
    <row r="498" spans="24:48" x14ac:dyDescent="0.2">
      <c r="X498" s="64" t="str">
        <f t="shared" si="143"/>
        <v/>
      </c>
      <c r="Y498" s="68" t="s">
        <v>32</v>
      </c>
      <c r="Z498" s="68" t="s">
        <v>14</v>
      </c>
      <c r="AA498" s="68" t="s">
        <v>26</v>
      </c>
      <c r="AB498" s="68" t="s">
        <v>27</v>
      </c>
      <c r="AC498" s="68" t="s">
        <v>25</v>
      </c>
      <c r="AD498" s="68" t="s">
        <v>28</v>
      </c>
      <c r="AE498" s="68" t="s">
        <v>15</v>
      </c>
      <c r="AF498" s="68" t="s">
        <v>13</v>
      </c>
      <c r="AG498">
        <f t="shared" si="144"/>
        <v>0</v>
      </c>
      <c r="AH498">
        <f t="shared" si="128"/>
        <v>1</v>
      </c>
      <c r="AI498">
        <f t="shared" si="129"/>
        <v>1</v>
      </c>
      <c r="AJ498">
        <f t="shared" si="130"/>
        <v>1</v>
      </c>
      <c r="AK498">
        <f t="shared" si="131"/>
        <v>1</v>
      </c>
      <c r="AL498">
        <f t="shared" si="132"/>
        <v>1</v>
      </c>
      <c r="AM498">
        <f t="shared" si="133"/>
        <v>1</v>
      </c>
      <c r="AN498">
        <f t="shared" si="134"/>
        <v>0</v>
      </c>
      <c r="AO498" s="69" t="e">
        <f t="shared" si="135"/>
        <v>#N/A</v>
      </c>
      <c r="AP498" s="69" t="str">
        <f t="shared" si="136"/>
        <v>Irán</v>
      </c>
      <c r="AQ498" s="69" t="str">
        <f t="shared" si="137"/>
        <v>Bosnia</v>
      </c>
      <c r="AR498" s="69" t="str">
        <f t="shared" si="138"/>
        <v>Marruecos</v>
      </c>
      <c r="AS498" s="69" t="str">
        <f t="shared" si="139"/>
        <v>Korea</v>
      </c>
      <c r="AT498" s="69" t="str">
        <f t="shared" si="140"/>
        <v>Paraguay</v>
      </c>
      <c r="AU498" s="69" t="str">
        <f t="shared" si="141"/>
        <v>Costa de Marfil</v>
      </c>
      <c r="AV498" s="69" t="e">
        <f t="shared" si="142"/>
        <v>#N/A</v>
      </c>
    </row>
    <row r="499" spans="24:48" x14ac:dyDescent="0.2">
      <c r="X499" s="64" t="str">
        <f t="shared" si="143"/>
        <v/>
      </c>
      <c r="Y499" s="68" t="s">
        <v>32</v>
      </c>
      <c r="Z499" s="68" t="s">
        <v>14</v>
      </c>
      <c r="AA499" s="68" t="s">
        <v>26</v>
      </c>
      <c r="AB499" s="68" t="s">
        <v>27</v>
      </c>
      <c r="AC499" s="68" t="s">
        <v>25</v>
      </c>
      <c r="AD499" s="68" t="s">
        <v>28</v>
      </c>
      <c r="AE499" s="68" t="s">
        <v>15</v>
      </c>
      <c r="AF499" s="68" t="s">
        <v>184</v>
      </c>
      <c r="AG499">
        <f t="shared" si="144"/>
        <v>0</v>
      </c>
      <c r="AH499">
        <f t="shared" si="128"/>
        <v>1</v>
      </c>
      <c r="AI499">
        <f t="shared" si="129"/>
        <v>1</v>
      </c>
      <c r="AJ499">
        <f t="shared" si="130"/>
        <v>1</v>
      </c>
      <c r="AK499">
        <f t="shared" si="131"/>
        <v>1</v>
      </c>
      <c r="AL499">
        <f t="shared" si="132"/>
        <v>1</v>
      </c>
      <c r="AM499">
        <f t="shared" si="133"/>
        <v>1</v>
      </c>
      <c r="AN499">
        <f t="shared" si="134"/>
        <v>1</v>
      </c>
      <c r="AO499" s="69" t="e">
        <f t="shared" si="135"/>
        <v>#N/A</v>
      </c>
      <c r="AP499" s="69" t="str">
        <f t="shared" si="136"/>
        <v>Irán</v>
      </c>
      <c r="AQ499" s="69" t="str">
        <f t="shared" si="137"/>
        <v>Bosnia</v>
      </c>
      <c r="AR499" s="69" t="str">
        <f t="shared" si="138"/>
        <v>Marruecos</v>
      </c>
      <c r="AS499" s="69" t="str">
        <f t="shared" si="139"/>
        <v>Korea</v>
      </c>
      <c r="AT499" s="69" t="str">
        <f t="shared" si="140"/>
        <v>Paraguay</v>
      </c>
      <c r="AU499" s="69" t="str">
        <f t="shared" si="141"/>
        <v>Costa de Marfil</v>
      </c>
      <c r="AV499" s="69" t="str">
        <f t="shared" si="142"/>
        <v>Senegal</v>
      </c>
    </row>
    <row r="500" spans="24:48" x14ac:dyDescent="0.2">
      <c r="X500" s="64" t="str">
        <f t="shared" si="143"/>
        <v/>
      </c>
      <c r="Y500" s="68" t="s">
        <v>27</v>
      </c>
      <c r="Z500" s="68" t="s">
        <v>15</v>
      </c>
      <c r="AA500" s="68" t="s">
        <v>26</v>
      </c>
      <c r="AB500" s="68" t="s">
        <v>28</v>
      </c>
      <c r="AC500" s="68" t="s">
        <v>25</v>
      </c>
      <c r="AD500" s="68" t="s">
        <v>31</v>
      </c>
      <c r="AE500" s="68" t="s">
        <v>186</v>
      </c>
      <c r="AF500" s="68" t="s">
        <v>185</v>
      </c>
      <c r="AG500">
        <f t="shared" si="144"/>
        <v>1</v>
      </c>
      <c r="AH500">
        <f t="shared" si="128"/>
        <v>1</v>
      </c>
      <c r="AI500">
        <f t="shared" si="129"/>
        <v>1</v>
      </c>
      <c r="AJ500">
        <f t="shared" si="130"/>
        <v>1</v>
      </c>
      <c r="AK500">
        <f t="shared" si="131"/>
        <v>1</v>
      </c>
      <c r="AL500">
        <f t="shared" si="132"/>
        <v>1</v>
      </c>
      <c r="AM500">
        <f t="shared" si="133"/>
        <v>0</v>
      </c>
      <c r="AN500">
        <f t="shared" si="134"/>
        <v>0</v>
      </c>
      <c r="AO500" s="69" t="str">
        <f t="shared" si="135"/>
        <v>Marruecos</v>
      </c>
      <c r="AP500" s="69" t="str">
        <f t="shared" si="136"/>
        <v>Costa de Marfil</v>
      </c>
      <c r="AQ500" s="69" t="str">
        <f t="shared" si="137"/>
        <v>Bosnia</v>
      </c>
      <c r="AR500" s="69" t="str">
        <f t="shared" si="138"/>
        <v>Paraguay</v>
      </c>
      <c r="AS500" s="69" t="str">
        <f t="shared" si="139"/>
        <v>Korea</v>
      </c>
      <c r="AT500" s="69" t="str">
        <f t="shared" si="140"/>
        <v>Suecia</v>
      </c>
      <c r="AU500" s="69" t="e">
        <f t="shared" si="141"/>
        <v>#N/A</v>
      </c>
      <c r="AV500" s="69" t="e">
        <f t="shared" si="142"/>
        <v>#N/A</v>
      </c>
    </row>
    <row r="501" spans="24:48" x14ac:dyDescent="0.2">
      <c r="X501" s="64" t="str">
        <f t="shared" si="143"/>
        <v/>
      </c>
      <c r="Y501" s="68" t="s">
        <v>27</v>
      </c>
      <c r="Z501" s="68" t="s">
        <v>13</v>
      </c>
      <c r="AA501" s="68" t="s">
        <v>26</v>
      </c>
      <c r="AB501" s="68" t="s">
        <v>28</v>
      </c>
      <c r="AC501" s="68" t="s">
        <v>25</v>
      </c>
      <c r="AD501" s="68" t="s">
        <v>31</v>
      </c>
      <c r="AE501" s="68" t="s">
        <v>186</v>
      </c>
      <c r="AF501" s="68" t="s">
        <v>15</v>
      </c>
      <c r="AG501">
        <f t="shared" si="144"/>
        <v>1</v>
      </c>
      <c r="AH501">
        <f t="shared" si="128"/>
        <v>0</v>
      </c>
      <c r="AI501">
        <f t="shared" si="129"/>
        <v>1</v>
      </c>
      <c r="AJ501">
        <f t="shared" si="130"/>
        <v>1</v>
      </c>
      <c r="AK501">
        <f t="shared" si="131"/>
        <v>1</v>
      </c>
      <c r="AL501">
        <f t="shared" si="132"/>
        <v>1</v>
      </c>
      <c r="AM501">
        <f t="shared" si="133"/>
        <v>0</v>
      </c>
      <c r="AN501">
        <f t="shared" si="134"/>
        <v>1</v>
      </c>
      <c r="AO501" s="69" t="str">
        <f t="shared" si="135"/>
        <v>Marruecos</v>
      </c>
      <c r="AP501" s="69" t="e">
        <f t="shared" si="136"/>
        <v>#N/A</v>
      </c>
      <c r="AQ501" s="69" t="str">
        <f t="shared" si="137"/>
        <v>Bosnia</v>
      </c>
      <c r="AR501" s="69" t="str">
        <f t="shared" si="138"/>
        <v>Paraguay</v>
      </c>
      <c r="AS501" s="69" t="str">
        <f t="shared" si="139"/>
        <v>Korea</v>
      </c>
      <c r="AT501" s="69" t="str">
        <f t="shared" si="140"/>
        <v>Suecia</v>
      </c>
      <c r="AU501" s="69" t="e">
        <f t="shared" si="141"/>
        <v>#N/A</v>
      </c>
      <c r="AV501" s="69" t="str">
        <f t="shared" si="142"/>
        <v>Costa de Marfil</v>
      </c>
    </row>
    <row r="502" spans="24:48" x14ac:dyDescent="0.2">
      <c r="X502" s="64" t="str">
        <f t="shared" si="143"/>
        <v/>
      </c>
      <c r="Y502" s="68" t="s">
        <v>27</v>
      </c>
      <c r="Z502" s="68" t="s">
        <v>13</v>
      </c>
      <c r="AA502" s="68" t="s">
        <v>26</v>
      </c>
      <c r="AB502" s="68" t="s">
        <v>28</v>
      </c>
      <c r="AC502" s="68" t="s">
        <v>25</v>
      </c>
      <c r="AD502" s="68" t="s">
        <v>31</v>
      </c>
      <c r="AE502" s="68" t="s">
        <v>15</v>
      </c>
      <c r="AF502" s="68" t="s">
        <v>185</v>
      </c>
      <c r="AG502">
        <f t="shared" si="144"/>
        <v>1</v>
      </c>
      <c r="AH502">
        <f t="shared" si="128"/>
        <v>0</v>
      </c>
      <c r="AI502">
        <f t="shared" si="129"/>
        <v>1</v>
      </c>
      <c r="AJ502">
        <f t="shared" si="130"/>
        <v>1</v>
      </c>
      <c r="AK502">
        <f t="shared" si="131"/>
        <v>1</v>
      </c>
      <c r="AL502">
        <f t="shared" si="132"/>
        <v>1</v>
      </c>
      <c r="AM502">
        <f t="shared" si="133"/>
        <v>1</v>
      </c>
      <c r="AN502">
        <f t="shared" si="134"/>
        <v>0</v>
      </c>
      <c r="AO502" s="69" t="str">
        <f t="shared" si="135"/>
        <v>Marruecos</v>
      </c>
      <c r="AP502" s="69" t="e">
        <f t="shared" si="136"/>
        <v>#N/A</v>
      </c>
      <c r="AQ502" s="69" t="str">
        <f t="shared" si="137"/>
        <v>Bosnia</v>
      </c>
      <c r="AR502" s="69" t="str">
        <f t="shared" si="138"/>
        <v>Paraguay</v>
      </c>
      <c r="AS502" s="69" t="str">
        <f t="shared" si="139"/>
        <v>Korea</v>
      </c>
      <c r="AT502" s="69" t="str">
        <f t="shared" si="140"/>
        <v>Suecia</v>
      </c>
      <c r="AU502" s="69" t="str">
        <f t="shared" si="141"/>
        <v>Costa de Marfil</v>
      </c>
      <c r="AV502" s="69" t="e">
        <f t="shared" si="142"/>
        <v>#N/A</v>
      </c>
    </row>
    <row r="503" spans="24:48" x14ac:dyDescent="0.2">
      <c r="X503" s="64" t="str">
        <f t="shared" si="143"/>
        <v/>
      </c>
      <c r="Y503" s="68" t="s">
        <v>27</v>
      </c>
      <c r="Z503" s="68" t="s">
        <v>15</v>
      </c>
      <c r="AA503" s="68" t="s">
        <v>26</v>
      </c>
      <c r="AB503" s="68" t="s">
        <v>28</v>
      </c>
      <c r="AC503" s="68" t="s">
        <v>25</v>
      </c>
      <c r="AD503" s="68" t="s">
        <v>31</v>
      </c>
      <c r="AE503" s="68" t="s">
        <v>186</v>
      </c>
      <c r="AF503" s="68" t="s">
        <v>184</v>
      </c>
      <c r="AG503">
        <f t="shared" si="144"/>
        <v>1</v>
      </c>
      <c r="AH503">
        <f t="shared" si="128"/>
        <v>1</v>
      </c>
      <c r="AI503">
        <f t="shared" si="129"/>
        <v>1</v>
      </c>
      <c r="AJ503">
        <f t="shared" si="130"/>
        <v>1</v>
      </c>
      <c r="AK503">
        <f t="shared" si="131"/>
        <v>1</v>
      </c>
      <c r="AL503">
        <f t="shared" si="132"/>
        <v>1</v>
      </c>
      <c r="AM503">
        <f t="shared" si="133"/>
        <v>0</v>
      </c>
      <c r="AN503">
        <f t="shared" si="134"/>
        <v>1</v>
      </c>
      <c r="AO503" s="69" t="str">
        <f t="shared" si="135"/>
        <v>Marruecos</v>
      </c>
      <c r="AP503" s="69" t="str">
        <f t="shared" si="136"/>
        <v>Costa de Marfil</v>
      </c>
      <c r="AQ503" s="69" t="str">
        <f t="shared" si="137"/>
        <v>Bosnia</v>
      </c>
      <c r="AR503" s="69" t="str">
        <f t="shared" si="138"/>
        <v>Paraguay</v>
      </c>
      <c r="AS503" s="69" t="str">
        <f t="shared" si="139"/>
        <v>Korea</v>
      </c>
      <c r="AT503" s="69" t="str">
        <f t="shared" si="140"/>
        <v>Suecia</v>
      </c>
      <c r="AU503" s="69" t="e">
        <f t="shared" si="141"/>
        <v>#N/A</v>
      </c>
      <c r="AV503" s="69" t="str">
        <f t="shared" si="142"/>
        <v>Senegal</v>
      </c>
    </row>
    <row r="504" spans="24:48" x14ac:dyDescent="0.2">
      <c r="X504" s="64" t="str">
        <f t="shared" si="143"/>
        <v/>
      </c>
      <c r="Y504" s="68" t="s">
        <v>27</v>
      </c>
      <c r="Z504" s="68" t="s">
        <v>15</v>
      </c>
      <c r="AA504" s="68" t="s">
        <v>26</v>
      </c>
      <c r="AB504" s="68" t="s">
        <v>28</v>
      </c>
      <c r="AC504" s="68" t="s">
        <v>25</v>
      </c>
      <c r="AD504" s="68" t="s">
        <v>31</v>
      </c>
      <c r="AE504" s="68" t="s">
        <v>184</v>
      </c>
      <c r="AF504" s="68" t="s">
        <v>185</v>
      </c>
      <c r="AG504">
        <f t="shared" si="144"/>
        <v>1</v>
      </c>
      <c r="AH504">
        <f t="shared" si="128"/>
        <v>1</v>
      </c>
      <c r="AI504">
        <f t="shared" si="129"/>
        <v>1</v>
      </c>
      <c r="AJ504">
        <f t="shared" si="130"/>
        <v>1</v>
      </c>
      <c r="AK504">
        <f t="shared" si="131"/>
        <v>1</v>
      </c>
      <c r="AL504">
        <f t="shared" si="132"/>
        <v>1</v>
      </c>
      <c r="AM504">
        <f t="shared" si="133"/>
        <v>1</v>
      </c>
      <c r="AN504">
        <f t="shared" si="134"/>
        <v>0</v>
      </c>
      <c r="AO504" s="69" t="str">
        <f t="shared" si="135"/>
        <v>Marruecos</v>
      </c>
      <c r="AP504" s="69" t="str">
        <f t="shared" si="136"/>
        <v>Costa de Marfil</v>
      </c>
      <c r="AQ504" s="69" t="str">
        <f t="shared" si="137"/>
        <v>Bosnia</v>
      </c>
      <c r="AR504" s="69" t="str">
        <f t="shared" si="138"/>
        <v>Paraguay</v>
      </c>
      <c r="AS504" s="69" t="str">
        <f t="shared" si="139"/>
        <v>Korea</v>
      </c>
      <c r="AT504" s="69" t="str">
        <f t="shared" si="140"/>
        <v>Suecia</v>
      </c>
      <c r="AU504" s="69" t="str">
        <f t="shared" si="141"/>
        <v>Senegal</v>
      </c>
      <c r="AV504" s="69" t="e">
        <f t="shared" si="142"/>
        <v>#N/A</v>
      </c>
    </row>
    <row r="505" spans="24:48" x14ac:dyDescent="0.2">
      <c r="X505" s="64" t="str">
        <f t="shared" si="143"/>
        <v/>
      </c>
      <c r="Y505" s="68" t="s">
        <v>27</v>
      </c>
      <c r="Z505" s="68" t="s">
        <v>13</v>
      </c>
      <c r="AA505" s="68" t="s">
        <v>26</v>
      </c>
      <c r="AB505" s="68" t="s">
        <v>28</v>
      </c>
      <c r="AC505" s="68" t="s">
        <v>25</v>
      </c>
      <c r="AD505" s="68" t="s">
        <v>31</v>
      </c>
      <c r="AE505" s="68" t="s">
        <v>15</v>
      </c>
      <c r="AF505" s="68" t="s">
        <v>184</v>
      </c>
      <c r="AG505">
        <f t="shared" si="144"/>
        <v>1</v>
      </c>
      <c r="AH505">
        <f t="shared" si="128"/>
        <v>0</v>
      </c>
      <c r="AI505">
        <f t="shared" si="129"/>
        <v>1</v>
      </c>
      <c r="AJ505">
        <f t="shared" si="130"/>
        <v>1</v>
      </c>
      <c r="AK505">
        <f t="shared" si="131"/>
        <v>1</v>
      </c>
      <c r="AL505">
        <f t="shared" si="132"/>
        <v>1</v>
      </c>
      <c r="AM505">
        <f t="shared" si="133"/>
        <v>1</v>
      </c>
      <c r="AN505">
        <f t="shared" si="134"/>
        <v>1</v>
      </c>
      <c r="AO505" s="69" t="str">
        <f t="shared" si="135"/>
        <v>Marruecos</v>
      </c>
      <c r="AP505" s="69" t="e">
        <f t="shared" si="136"/>
        <v>#N/A</v>
      </c>
      <c r="AQ505" s="69" t="str">
        <f t="shared" si="137"/>
        <v>Bosnia</v>
      </c>
      <c r="AR505" s="69" t="str">
        <f t="shared" si="138"/>
        <v>Paraguay</v>
      </c>
      <c r="AS505" s="69" t="str">
        <f t="shared" si="139"/>
        <v>Korea</v>
      </c>
      <c r="AT505" s="69" t="str">
        <f t="shared" si="140"/>
        <v>Suecia</v>
      </c>
      <c r="AU505" s="69" t="str">
        <f t="shared" si="141"/>
        <v>Costa de Marfil</v>
      </c>
      <c r="AV505" s="69" t="str">
        <f t="shared" si="142"/>
        <v>Senegal</v>
      </c>
    </row>
    <row r="506" spans="24:48" x14ac:dyDescent="0.2">
      <c r="X506" s="64" t="str">
        <f t="shared" si="143"/>
        <v/>
      </c>
      <c r="Y506" s="68" t="s">
        <v>32</v>
      </c>
      <c r="Z506" s="68" t="s">
        <v>31</v>
      </c>
      <c r="AA506" s="68" t="s">
        <v>26</v>
      </c>
      <c r="AB506" s="68" t="s">
        <v>27</v>
      </c>
      <c r="AC506" s="68" t="s">
        <v>25</v>
      </c>
      <c r="AD506" s="68" t="s">
        <v>28</v>
      </c>
      <c r="AE506" s="68" t="s">
        <v>186</v>
      </c>
      <c r="AF506" s="68" t="s">
        <v>15</v>
      </c>
      <c r="AG506">
        <f t="shared" si="144"/>
        <v>0</v>
      </c>
      <c r="AH506">
        <f t="shared" si="128"/>
        <v>1</v>
      </c>
      <c r="AI506">
        <f t="shared" si="129"/>
        <v>1</v>
      </c>
      <c r="AJ506">
        <f t="shared" si="130"/>
        <v>1</v>
      </c>
      <c r="AK506">
        <f t="shared" si="131"/>
        <v>1</v>
      </c>
      <c r="AL506">
        <f t="shared" si="132"/>
        <v>1</v>
      </c>
      <c r="AM506">
        <f t="shared" si="133"/>
        <v>0</v>
      </c>
      <c r="AN506">
        <f t="shared" si="134"/>
        <v>1</v>
      </c>
      <c r="AO506" s="69" t="e">
        <f t="shared" si="135"/>
        <v>#N/A</v>
      </c>
      <c r="AP506" s="69" t="str">
        <f t="shared" si="136"/>
        <v>Suecia</v>
      </c>
      <c r="AQ506" s="69" t="str">
        <f t="shared" si="137"/>
        <v>Bosnia</v>
      </c>
      <c r="AR506" s="69" t="str">
        <f t="shared" si="138"/>
        <v>Marruecos</v>
      </c>
      <c r="AS506" s="69" t="str">
        <f t="shared" si="139"/>
        <v>Korea</v>
      </c>
      <c r="AT506" s="69" t="str">
        <f t="shared" si="140"/>
        <v>Paraguay</v>
      </c>
      <c r="AU506" s="69" t="e">
        <f t="shared" si="141"/>
        <v>#N/A</v>
      </c>
      <c r="AV506" s="69" t="str">
        <f t="shared" si="142"/>
        <v>Costa de Marfil</v>
      </c>
    </row>
    <row r="507" spans="24:48" x14ac:dyDescent="0.2">
      <c r="X507" s="64" t="str">
        <f t="shared" si="143"/>
        <v/>
      </c>
      <c r="Y507" s="68" t="s">
        <v>32</v>
      </c>
      <c r="Z507" s="68" t="s">
        <v>15</v>
      </c>
      <c r="AA507" s="68" t="s">
        <v>26</v>
      </c>
      <c r="AB507" s="68" t="s">
        <v>27</v>
      </c>
      <c r="AC507" s="68" t="s">
        <v>25</v>
      </c>
      <c r="AD507" s="68" t="s">
        <v>31</v>
      </c>
      <c r="AE507" s="68" t="s">
        <v>28</v>
      </c>
      <c r="AF507" s="68" t="s">
        <v>185</v>
      </c>
      <c r="AG507">
        <f t="shared" si="144"/>
        <v>0</v>
      </c>
      <c r="AH507">
        <f t="shared" si="128"/>
        <v>1</v>
      </c>
      <c r="AI507">
        <f t="shared" si="129"/>
        <v>1</v>
      </c>
      <c r="AJ507">
        <f t="shared" si="130"/>
        <v>1</v>
      </c>
      <c r="AK507">
        <f t="shared" si="131"/>
        <v>1</v>
      </c>
      <c r="AL507">
        <f t="shared" si="132"/>
        <v>1</v>
      </c>
      <c r="AM507">
        <f t="shared" si="133"/>
        <v>1</v>
      </c>
      <c r="AN507">
        <f t="shared" si="134"/>
        <v>0</v>
      </c>
      <c r="AO507" s="69" t="e">
        <f t="shared" si="135"/>
        <v>#N/A</v>
      </c>
      <c r="AP507" s="69" t="str">
        <f t="shared" si="136"/>
        <v>Costa de Marfil</v>
      </c>
      <c r="AQ507" s="69" t="str">
        <f t="shared" si="137"/>
        <v>Bosnia</v>
      </c>
      <c r="AR507" s="69" t="str">
        <f t="shared" si="138"/>
        <v>Marruecos</v>
      </c>
      <c r="AS507" s="69" t="str">
        <f t="shared" si="139"/>
        <v>Korea</v>
      </c>
      <c r="AT507" s="69" t="str">
        <f t="shared" si="140"/>
        <v>Suecia</v>
      </c>
      <c r="AU507" s="69" t="str">
        <f t="shared" si="141"/>
        <v>Paraguay</v>
      </c>
      <c r="AV507" s="69" t="e">
        <f t="shared" si="142"/>
        <v>#N/A</v>
      </c>
    </row>
    <row r="508" spans="24:48" x14ac:dyDescent="0.2">
      <c r="X508" s="64" t="str">
        <f t="shared" si="143"/>
        <v/>
      </c>
      <c r="Y508" s="68" t="s">
        <v>32</v>
      </c>
      <c r="Z508" s="68" t="s">
        <v>13</v>
      </c>
      <c r="AA508" s="68" t="s">
        <v>26</v>
      </c>
      <c r="AB508" s="68" t="s">
        <v>27</v>
      </c>
      <c r="AC508" s="68" t="s">
        <v>25</v>
      </c>
      <c r="AD508" s="68" t="s">
        <v>31</v>
      </c>
      <c r="AE508" s="68" t="s">
        <v>28</v>
      </c>
      <c r="AF508" s="68" t="s">
        <v>15</v>
      </c>
      <c r="AG508">
        <f t="shared" si="144"/>
        <v>0</v>
      </c>
      <c r="AH508">
        <f t="shared" si="128"/>
        <v>0</v>
      </c>
      <c r="AI508">
        <f t="shared" si="129"/>
        <v>1</v>
      </c>
      <c r="AJ508">
        <f t="shared" si="130"/>
        <v>1</v>
      </c>
      <c r="AK508">
        <f t="shared" si="131"/>
        <v>1</v>
      </c>
      <c r="AL508">
        <f t="shared" si="132"/>
        <v>1</v>
      </c>
      <c r="AM508">
        <f t="shared" si="133"/>
        <v>1</v>
      </c>
      <c r="AN508">
        <f t="shared" si="134"/>
        <v>1</v>
      </c>
      <c r="AO508" s="69" t="e">
        <f t="shared" si="135"/>
        <v>#N/A</v>
      </c>
      <c r="AP508" s="69" t="e">
        <f t="shared" si="136"/>
        <v>#N/A</v>
      </c>
      <c r="AQ508" s="69" t="str">
        <f t="shared" si="137"/>
        <v>Bosnia</v>
      </c>
      <c r="AR508" s="69" t="str">
        <f t="shared" si="138"/>
        <v>Marruecos</v>
      </c>
      <c r="AS508" s="69" t="str">
        <f t="shared" si="139"/>
        <v>Korea</v>
      </c>
      <c r="AT508" s="69" t="str">
        <f t="shared" si="140"/>
        <v>Suecia</v>
      </c>
      <c r="AU508" s="69" t="str">
        <f t="shared" si="141"/>
        <v>Paraguay</v>
      </c>
      <c r="AV508" s="69" t="str">
        <f t="shared" si="142"/>
        <v>Costa de Marfil</v>
      </c>
    </row>
    <row r="509" spans="24:48" x14ac:dyDescent="0.2">
      <c r="X509" s="64" t="str">
        <f t="shared" si="143"/>
        <v/>
      </c>
      <c r="Y509" s="68" t="s">
        <v>32</v>
      </c>
      <c r="Z509" s="68" t="s">
        <v>15</v>
      </c>
      <c r="AA509" s="68" t="s">
        <v>26</v>
      </c>
      <c r="AB509" s="68" t="s">
        <v>27</v>
      </c>
      <c r="AC509" s="68" t="s">
        <v>25</v>
      </c>
      <c r="AD509" s="68" t="s">
        <v>31</v>
      </c>
      <c r="AE509" s="68" t="s">
        <v>28</v>
      </c>
      <c r="AF509" s="68" t="s">
        <v>184</v>
      </c>
      <c r="AG509">
        <f t="shared" si="144"/>
        <v>0</v>
      </c>
      <c r="AH509">
        <f t="shared" si="128"/>
        <v>1</v>
      </c>
      <c r="AI509">
        <f t="shared" si="129"/>
        <v>1</v>
      </c>
      <c r="AJ509">
        <f t="shared" si="130"/>
        <v>1</v>
      </c>
      <c r="AK509">
        <f t="shared" si="131"/>
        <v>1</v>
      </c>
      <c r="AL509">
        <f t="shared" si="132"/>
        <v>1</v>
      </c>
      <c r="AM509">
        <f t="shared" si="133"/>
        <v>1</v>
      </c>
      <c r="AN509">
        <f t="shared" si="134"/>
        <v>1</v>
      </c>
      <c r="AO509" s="69" t="e">
        <f t="shared" si="135"/>
        <v>#N/A</v>
      </c>
      <c r="AP509" s="69" t="str">
        <f t="shared" si="136"/>
        <v>Costa de Marfil</v>
      </c>
      <c r="AQ509" s="69" t="str">
        <f t="shared" si="137"/>
        <v>Bosnia</v>
      </c>
      <c r="AR509" s="69" t="str">
        <f t="shared" si="138"/>
        <v>Marruecos</v>
      </c>
      <c r="AS509" s="69" t="str">
        <f t="shared" si="139"/>
        <v>Korea</v>
      </c>
      <c r="AT509" s="69" t="str">
        <f t="shared" si="140"/>
        <v>Suecia</v>
      </c>
      <c r="AU509" s="69" t="str">
        <f t="shared" si="141"/>
        <v>Paraguay</v>
      </c>
      <c r="AV509" s="69" t="str">
        <f t="shared" si="142"/>
        <v>Senegal</v>
      </c>
    </row>
    <row r="510" spans="24:48" x14ac:dyDescent="0.2">
      <c r="X510" s="64" t="str">
        <f t="shared" si="143"/>
        <v/>
      </c>
      <c r="Y510" s="68" t="s">
        <v>27</v>
      </c>
      <c r="Z510" s="68" t="s">
        <v>14</v>
      </c>
      <c r="AA510" s="68" t="s">
        <v>26</v>
      </c>
      <c r="AB510" s="68" t="s">
        <v>28</v>
      </c>
      <c r="AC510" s="68" t="s">
        <v>25</v>
      </c>
      <c r="AD510" s="68" t="s">
        <v>31</v>
      </c>
      <c r="AE510" s="68" t="s">
        <v>186</v>
      </c>
      <c r="AF510" s="68" t="s">
        <v>15</v>
      </c>
      <c r="AG510">
        <f t="shared" si="144"/>
        <v>1</v>
      </c>
      <c r="AH510">
        <f t="shared" si="128"/>
        <v>1</v>
      </c>
      <c r="AI510">
        <f t="shared" si="129"/>
        <v>1</v>
      </c>
      <c r="AJ510">
        <f t="shared" si="130"/>
        <v>1</v>
      </c>
      <c r="AK510">
        <f t="shared" si="131"/>
        <v>1</v>
      </c>
      <c r="AL510">
        <f t="shared" si="132"/>
        <v>1</v>
      </c>
      <c r="AM510">
        <f t="shared" si="133"/>
        <v>0</v>
      </c>
      <c r="AN510">
        <f t="shared" si="134"/>
        <v>1</v>
      </c>
      <c r="AO510" s="69" t="str">
        <f t="shared" si="135"/>
        <v>Marruecos</v>
      </c>
      <c r="AP510" s="69" t="str">
        <f t="shared" si="136"/>
        <v>Irán</v>
      </c>
      <c r="AQ510" s="69" t="str">
        <f t="shared" si="137"/>
        <v>Bosnia</v>
      </c>
      <c r="AR510" s="69" t="str">
        <f t="shared" si="138"/>
        <v>Paraguay</v>
      </c>
      <c r="AS510" s="69" t="str">
        <f t="shared" si="139"/>
        <v>Korea</v>
      </c>
      <c r="AT510" s="69" t="str">
        <f t="shared" si="140"/>
        <v>Suecia</v>
      </c>
      <c r="AU510" s="69" t="e">
        <f t="shared" si="141"/>
        <v>#N/A</v>
      </c>
      <c r="AV510" s="69" t="str">
        <f t="shared" si="142"/>
        <v>Costa de Marfil</v>
      </c>
    </row>
    <row r="511" spans="24:48" x14ac:dyDescent="0.2">
      <c r="X511" s="64" t="str">
        <f t="shared" si="143"/>
        <v/>
      </c>
      <c r="Y511" s="68" t="s">
        <v>27</v>
      </c>
      <c r="Z511" s="68" t="s">
        <v>14</v>
      </c>
      <c r="AA511" s="68" t="s">
        <v>26</v>
      </c>
      <c r="AB511" s="68" t="s">
        <v>28</v>
      </c>
      <c r="AC511" s="68" t="s">
        <v>25</v>
      </c>
      <c r="AD511" s="68" t="s">
        <v>31</v>
      </c>
      <c r="AE511" s="68" t="s">
        <v>15</v>
      </c>
      <c r="AF511" s="68" t="s">
        <v>185</v>
      </c>
      <c r="AG511">
        <f t="shared" si="144"/>
        <v>1</v>
      </c>
      <c r="AH511">
        <f t="shared" si="128"/>
        <v>1</v>
      </c>
      <c r="AI511">
        <f t="shared" si="129"/>
        <v>1</v>
      </c>
      <c r="AJ511">
        <f t="shared" si="130"/>
        <v>1</v>
      </c>
      <c r="AK511">
        <f t="shared" si="131"/>
        <v>1</v>
      </c>
      <c r="AL511">
        <f t="shared" si="132"/>
        <v>1</v>
      </c>
      <c r="AM511">
        <f t="shared" si="133"/>
        <v>1</v>
      </c>
      <c r="AN511">
        <f t="shared" si="134"/>
        <v>0</v>
      </c>
      <c r="AO511" s="69" t="str">
        <f t="shared" si="135"/>
        <v>Marruecos</v>
      </c>
      <c r="AP511" s="69" t="str">
        <f t="shared" si="136"/>
        <v>Irán</v>
      </c>
      <c r="AQ511" s="69" t="str">
        <f t="shared" si="137"/>
        <v>Bosnia</v>
      </c>
      <c r="AR511" s="69" t="str">
        <f t="shared" si="138"/>
        <v>Paraguay</v>
      </c>
      <c r="AS511" s="69" t="str">
        <f t="shared" si="139"/>
        <v>Korea</v>
      </c>
      <c r="AT511" s="69" t="str">
        <f t="shared" si="140"/>
        <v>Suecia</v>
      </c>
      <c r="AU511" s="69" t="str">
        <f t="shared" si="141"/>
        <v>Costa de Marfil</v>
      </c>
      <c r="AV511" s="69" t="e">
        <f t="shared" si="142"/>
        <v>#N/A</v>
      </c>
    </row>
    <row r="512" spans="24:48" x14ac:dyDescent="0.2">
      <c r="X512" s="64" t="str">
        <f t="shared" si="143"/>
        <v/>
      </c>
      <c r="Y512" s="68" t="s">
        <v>27</v>
      </c>
      <c r="Z512" s="68" t="s">
        <v>14</v>
      </c>
      <c r="AA512" s="68" t="s">
        <v>26</v>
      </c>
      <c r="AB512" s="68" t="s">
        <v>28</v>
      </c>
      <c r="AC512" s="68" t="s">
        <v>25</v>
      </c>
      <c r="AD512" s="68" t="s">
        <v>31</v>
      </c>
      <c r="AE512" s="68" t="s">
        <v>15</v>
      </c>
      <c r="AF512" s="68" t="s">
        <v>13</v>
      </c>
      <c r="AG512">
        <f t="shared" si="144"/>
        <v>1</v>
      </c>
      <c r="AH512">
        <f t="shared" si="128"/>
        <v>1</v>
      </c>
      <c r="AI512">
        <f t="shared" si="129"/>
        <v>1</v>
      </c>
      <c r="AJ512">
        <f t="shared" si="130"/>
        <v>1</v>
      </c>
      <c r="AK512">
        <f t="shared" si="131"/>
        <v>1</v>
      </c>
      <c r="AL512">
        <f t="shared" si="132"/>
        <v>1</v>
      </c>
      <c r="AM512">
        <f t="shared" si="133"/>
        <v>1</v>
      </c>
      <c r="AN512">
        <f t="shared" si="134"/>
        <v>0</v>
      </c>
      <c r="AO512" s="69" t="str">
        <f t="shared" si="135"/>
        <v>Marruecos</v>
      </c>
      <c r="AP512" s="69" t="str">
        <f t="shared" si="136"/>
        <v>Irán</v>
      </c>
      <c r="AQ512" s="69" t="str">
        <f t="shared" si="137"/>
        <v>Bosnia</v>
      </c>
      <c r="AR512" s="69" t="str">
        <f t="shared" si="138"/>
        <v>Paraguay</v>
      </c>
      <c r="AS512" s="69" t="str">
        <f t="shared" si="139"/>
        <v>Korea</v>
      </c>
      <c r="AT512" s="69" t="str">
        <f t="shared" si="140"/>
        <v>Suecia</v>
      </c>
      <c r="AU512" s="69" t="str">
        <f t="shared" si="141"/>
        <v>Costa de Marfil</v>
      </c>
      <c r="AV512" s="69" t="e">
        <f t="shared" si="142"/>
        <v>#N/A</v>
      </c>
    </row>
    <row r="513" spans="24:48" x14ac:dyDescent="0.2">
      <c r="X513" s="64" t="str">
        <f t="shared" si="143"/>
        <v>X</v>
      </c>
      <c r="Y513" s="68" t="s">
        <v>27</v>
      </c>
      <c r="Z513" s="68" t="s">
        <v>14</v>
      </c>
      <c r="AA513" s="68" t="s">
        <v>26</v>
      </c>
      <c r="AB513" s="68" t="s">
        <v>28</v>
      </c>
      <c r="AC513" s="68" t="s">
        <v>25</v>
      </c>
      <c r="AD513" s="68" t="s">
        <v>31</v>
      </c>
      <c r="AE513" s="68" t="s">
        <v>15</v>
      </c>
      <c r="AF513" s="68" t="s">
        <v>184</v>
      </c>
      <c r="AG513">
        <f t="shared" si="144"/>
        <v>1</v>
      </c>
      <c r="AH513">
        <f t="shared" si="128"/>
        <v>1</v>
      </c>
      <c r="AI513">
        <f t="shared" si="129"/>
        <v>1</v>
      </c>
      <c r="AJ513">
        <f t="shared" si="130"/>
        <v>1</v>
      </c>
      <c r="AK513">
        <f t="shared" si="131"/>
        <v>1</v>
      </c>
      <c r="AL513">
        <f t="shared" si="132"/>
        <v>1</v>
      </c>
      <c r="AM513">
        <f t="shared" si="133"/>
        <v>1</v>
      </c>
      <c r="AN513">
        <f t="shared" si="134"/>
        <v>1</v>
      </c>
      <c r="AO513" s="69" t="str">
        <f t="shared" si="135"/>
        <v>Marruecos</v>
      </c>
      <c r="AP513" s="69" t="str">
        <f t="shared" si="136"/>
        <v>Irán</v>
      </c>
      <c r="AQ513" s="69" t="str">
        <f t="shared" si="137"/>
        <v>Bosnia</v>
      </c>
      <c r="AR513" s="69" t="str">
        <f t="shared" si="138"/>
        <v>Paraguay</v>
      </c>
      <c r="AS513" s="69" t="str">
        <f t="shared" si="139"/>
        <v>Korea</v>
      </c>
      <c r="AT513" s="69" t="str">
        <f t="shared" si="140"/>
        <v>Suecia</v>
      </c>
      <c r="AU513" s="69" t="str">
        <f t="shared" si="141"/>
        <v>Costa de Marfil</v>
      </c>
      <c r="AV513" s="69" t="str">
        <f t="shared" si="142"/>
        <v>Senegal</v>
      </c>
    </row>
    <row r="514" spans="24:48" x14ac:dyDescent="0.2">
      <c r="X514" s="64" t="str">
        <f t="shared" si="143"/>
        <v/>
      </c>
      <c r="Y514" s="68" t="s">
        <v>32</v>
      </c>
      <c r="Z514" s="68" t="s">
        <v>14</v>
      </c>
      <c r="AA514" s="68" t="s">
        <v>26</v>
      </c>
      <c r="AB514" s="68" t="s">
        <v>27</v>
      </c>
      <c r="AC514" s="68" t="s">
        <v>25</v>
      </c>
      <c r="AD514" s="68" t="s">
        <v>31</v>
      </c>
      <c r="AE514" s="68" t="s">
        <v>28</v>
      </c>
      <c r="AF514" s="68" t="s">
        <v>15</v>
      </c>
      <c r="AG514">
        <f t="shared" si="144"/>
        <v>0</v>
      </c>
      <c r="AH514">
        <f t="shared" si="128"/>
        <v>1</v>
      </c>
      <c r="AI514">
        <f t="shared" si="129"/>
        <v>1</v>
      </c>
      <c r="AJ514">
        <f t="shared" si="130"/>
        <v>1</v>
      </c>
      <c r="AK514">
        <f t="shared" si="131"/>
        <v>1</v>
      </c>
      <c r="AL514">
        <f t="shared" si="132"/>
        <v>1</v>
      </c>
      <c r="AM514">
        <f t="shared" si="133"/>
        <v>1</v>
      </c>
      <c r="AN514">
        <f t="shared" si="134"/>
        <v>1</v>
      </c>
      <c r="AO514" s="69" t="e">
        <f t="shared" si="135"/>
        <v>#N/A</v>
      </c>
      <c r="AP514" s="69" t="str">
        <f t="shared" si="136"/>
        <v>Irán</v>
      </c>
      <c r="AQ514" s="69" t="str">
        <f t="shared" si="137"/>
        <v>Bosnia</v>
      </c>
      <c r="AR514" s="69" t="str">
        <f t="shared" si="138"/>
        <v>Marruecos</v>
      </c>
      <c r="AS514" s="69" t="str">
        <f t="shared" si="139"/>
        <v>Korea</v>
      </c>
      <c r="AT514" s="69" t="str">
        <f t="shared" si="140"/>
        <v>Suecia</v>
      </c>
      <c r="AU514" s="69" t="str">
        <f t="shared" si="141"/>
        <v>Paraguay</v>
      </c>
      <c r="AV514" s="69" t="str">
        <f t="shared" si="142"/>
        <v>Costa de Marfil</v>
      </c>
    </row>
  </sheetData>
  <sheetProtection sheet="1" objects="1" scenarios="1" selectLockedCells="1"/>
  <autoFilter ref="X19:X514" xr:uid="{473BA9B7-6B4A-4109-BAAE-2500443928B5}"/>
  <sortState xmlns:xlrd2="http://schemas.microsoft.com/office/spreadsheetml/2017/richdata2" ref="B39:C46">
    <sortCondition ref="B39:B46"/>
  </sortState>
  <conditionalFormatting sqref="S5:S16">
    <cfRule type="duplicateValues" dxfId="2" priority="4"/>
  </conditionalFormatting>
  <conditionalFormatting sqref="S21:S32">
    <cfRule type="duplicateValues" dxfId="1" priority="1"/>
  </conditionalFormatting>
  <conditionalFormatting sqref="S35:S46">
    <cfRule type="duplicateValues" dxfId="0" priority="2"/>
  </conditionalFormatting>
  <pageMargins left="0.7" right="0.7" top="0.75" bottom="0.75" header="0.3" footer="0.3"/>
  <pageSetup paperSize="124" orientation="portrait" verticalDpi="597"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5"/>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A -'!R7&lt;&gt;"",'- A -'!R7,"")</f>
        <v>México</v>
      </c>
      <c r="H2" s="370"/>
      <c r="I2" s="370"/>
      <c r="J2" s="370"/>
      <c r="K2" s="370"/>
      <c r="L2" s="370"/>
      <c r="M2" s="370"/>
      <c r="N2" s="370" t="str">
        <f>IF('- A -'!R9&lt;&gt;"",'- A -'!R9,"")</f>
        <v>Sudáfrica</v>
      </c>
      <c r="O2" s="370"/>
      <c r="P2" s="370"/>
      <c r="Q2" s="370"/>
      <c r="R2" s="370"/>
      <c r="S2" s="370"/>
      <c r="T2" s="370"/>
      <c r="U2" s="370" t="str">
        <f>IF('- A -'!R11&lt;&gt;"",'- A -'!R11,"")</f>
        <v>Korea</v>
      </c>
      <c r="V2" s="370"/>
      <c r="W2" s="370"/>
      <c r="X2" s="370"/>
      <c r="Y2" s="370"/>
      <c r="Z2" s="370"/>
      <c r="AA2" s="370"/>
      <c r="AB2" s="370" t="str">
        <f>IF('- A -'!R13&lt;&gt;"",'- A -'!R13,"")</f>
        <v>República Checa</v>
      </c>
      <c r="AC2" s="370"/>
      <c r="AD2" s="370"/>
      <c r="AE2" s="370"/>
      <c r="AF2" s="370"/>
      <c r="AG2" s="370"/>
      <c r="AH2" s="370"/>
      <c r="AI2" s="370"/>
      <c r="AJ2" s="370"/>
      <c r="AK2" s="370"/>
      <c r="AL2" s="370"/>
      <c r="AM2" s="370"/>
      <c r="AN2" s="374" t="str">
        <f t="shared" ref="AN2:AN7" si="0">A4&amp;E4</f>
        <v>MéxicoSudáfrica</v>
      </c>
      <c r="AO2" s="371" t="str">
        <f t="shared" ref="AO2:AO7" si="1">IF(B4=D4,0,IF(B4&gt;D4,A4,E4))</f>
        <v>México</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KoreaRepública Checa</v>
      </c>
      <c r="AO3" s="371" t="str">
        <f t="shared" si="1"/>
        <v>República Checa</v>
      </c>
      <c r="AP3" s="370"/>
      <c r="AQ3" s="370"/>
      <c r="AR3" s="370"/>
      <c r="AS3" s="370"/>
      <c r="AT3" s="370"/>
      <c r="AU3" s="370"/>
      <c r="AV3" s="370"/>
      <c r="AW3" s="370"/>
      <c r="AX3" s="370"/>
      <c r="AY3" s="336"/>
      <c r="AZ3" s="336"/>
      <c r="BA3" s="336"/>
      <c r="BB3" s="336"/>
      <c r="BC3" s="336"/>
    </row>
    <row r="4" spans="1:55" x14ac:dyDescent="0.2">
      <c r="A4" s="375" t="str">
        <f>'- A -'!C6</f>
        <v>México</v>
      </c>
      <c r="B4" s="373">
        <f>IF('- A -'!D6&lt;&gt;"",'- A -'!D6,"")</f>
        <v>3</v>
      </c>
      <c r="C4" s="373" t="str">
        <f>'- A -'!E6</f>
        <v>-</v>
      </c>
      <c r="D4" s="373">
        <f>IF('- A -'!F6&lt;&gt;"",'- A -'!F6,"")</f>
        <v>0</v>
      </c>
      <c r="E4" s="376" t="str">
        <f>'- A -'!G6</f>
        <v>Sudáfrica</v>
      </c>
      <c r="F4" s="373">
        <f>COUNTBLANK('- A -'!D6:'- A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3</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3</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República ChecaSudáfrica</v>
      </c>
      <c r="AO4" s="371" t="str">
        <f t="shared" si="1"/>
        <v>República Checa</v>
      </c>
      <c r="AP4" s="370"/>
      <c r="AQ4" s="370"/>
      <c r="AR4" s="370"/>
      <c r="AS4" s="370"/>
      <c r="AT4" s="370"/>
      <c r="AU4" s="370"/>
      <c r="AV4" s="370"/>
      <c r="AW4" s="370"/>
      <c r="AX4" s="370"/>
      <c r="AY4" s="336"/>
      <c r="AZ4" s="336"/>
      <c r="BA4" s="336"/>
      <c r="BB4" s="336"/>
      <c r="BC4" s="336"/>
    </row>
    <row r="5" spans="1:55" x14ac:dyDescent="0.2">
      <c r="A5" s="375" t="str">
        <f>'- A -'!C7</f>
        <v>Korea</v>
      </c>
      <c r="B5" s="373">
        <f>IF('- A -'!D7&lt;&gt;"",'- A -'!D7,"")</f>
        <v>0</v>
      </c>
      <c r="C5" s="373" t="str">
        <f>'- A -'!E7</f>
        <v>-</v>
      </c>
      <c r="D5" s="373">
        <f>IF('- A -'!F7&lt;&gt;"",'- A -'!F7,"")</f>
        <v>2</v>
      </c>
      <c r="E5" s="376" t="str">
        <f>'- A -'!G7</f>
        <v>República Checa</v>
      </c>
      <c r="F5" s="373">
        <f>COUNTBLANK('- A -'!D7:'- A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0</v>
      </c>
      <c r="W5" s="373">
        <f t="shared" si="16"/>
        <v>0</v>
      </c>
      <c r="X5" s="373">
        <f t="shared" si="17"/>
        <v>1</v>
      </c>
      <c r="Y5" s="373">
        <f t="shared" si="18"/>
        <v>0</v>
      </c>
      <c r="Z5" s="373">
        <f t="shared" si="19"/>
        <v>2</v>
      </c>
      <c r="AA5" s="373"/>
      <c r="AB5" s="373">
        <f t="shared" si="20"/>
        <v>1</v>
      </c>
      <c r="AC5" s="373">
        <f t="shared" si="21"/>
        <v>1</v>
      </c>
      <c r="AD5" s="373">
        <f t="shared" si="22"/>
        <v>0</v>
      </c>
      <c r="AE5" s="373">
        <f t="shared" si="23"/>
        <v>0</v>
      </c>
      <c r="AF5" s="373">
        <f t="shared" si="24"/>
        <v>2</v>
      </c>
      <c r="AG5" s="373">
        <f t="shared" si="25"/>
        <v>0</v>
      </c>
      <c r="AH5" s="373"/>
      <c r="AI5" s="370"/>
      <c r="AJ5" s="370"/>
      <c r="AK5" s="370"/>
      <c r="AL5" s="370"/>
      <c r="AM5" s="370"/>
      <c r="AN5" s="374" t="str">
        <f t="shared" si="0"/>
        <v>MéxicoKorea</v>
      </c>
      <c r="AO5" s="371">
        <f t="shared" si="1"/>
        <v>0</v>
      </c>
      <c r="AP5" s="370"/>
      <c r="AQ5" s="370"/>
      <c r="AR5" s="370"/>
      <c r="AS5" s="370"/>
      <c r="AT5" s="370"/>
      <c r="AU5" s="370"/>
      <c r="AV5" s="370"/>
      <c r="AW5" s="370"/>
      <c r="AX5" s="370"/>
      <c r="AY5" s="336"/>
      <c r="AZ5" s="336"/>
      <c r="BA5" s="336"/>
      <c r="BB5" s="336"/>
      <c r="BC5" s="336"/>
    </row>
    <row r="6" spans="1:55" x14ac:dyDescent="0.2">
      <c r="A6" s="375" t="str">
        <f>'- A -'!C8</f>
        <v>República Checa</v>
      </c>
      <c r="B6" s="373">
        <f>IF('- A -'!D8&lt;&gt;"",'- A -'!D8,"")</f>
        <v>2</v>
      </c>
      <c r="C6" s="373" t="str">
        <f>'- A -'!E8</f>
        <v>-</v>
      </c>
      <c r="D6" s="373">
        <f>IF('- A -'!F8&lt;&gt;"",'- A -'!F8,"")</f>
        <v>1</v>
      </c>
      <c r="E6" s="376" t="str">
        <f>'- A -'!G8</f>
        <v>Sudáfrica</v>
      </c>
      <c r="F6" s="373">
        <f>COUNTBLANK('- A -'!D8:'- A -'!F8)</f>
        <v>0</v>
      </c>
      <c r="G6" s="373">
        <f t="shared" si="2"/>
        <v>0</v>
      </c>
      <c r="H6" s="373">
        <f t="shared" si="3"/>
        <v>0</v>
      </c>
      <c r="I6" s="373">
        <f t="shared" si="4"/>
        <v>0</v>
      </c>
      <c r="J6" s="373">
        <f t="shared" si="5"/>
        <v>0</v>
      </c>
      <c r="K6" s="373">
        <f t="shared" si="6"/>
        <v>0</v>
      </c>
      <c r="L6" s="373">
        <f t="shared" si="7"/>
        <v>0</v>
      </c>
      <c r="M6" s="373"/>
      <c r="N6" s="373">
        <f t="shared" si="8"/>
        <v>1</v>
      </c>
      <c r="O6" s="373">
        <f t="shared" si="9"/>
        <v>0</v>
      </c>
      <c r="P6" s="373">
        <f t="shared" si="10"/>
        <v>0</v>
      </c>
      <c r="Q6" s="373">
        <f t="shared" si="11"/>
        <v>1</v>
      </c>
      <c r="R6" s="373">
        <f t="shared" si="12"/>
        <v>1</v>
      </c>
      <c r="S6" s="373">
        <f t="shared" si="13"/>
        <v>2</v>
      </c>
      <c r="T6" s="373"/>
      <c r="U6" s="373">
        <f t="shared" si="14"/>
        <v>0</v>
      </c>
      <c r="V6" s="373">
        <f t="shared" si="15"/>
        <v>0</v>
      </c>
      <c r="W6" s="373">
        <f t="shared" si="16"/>
        <v>0</v>
      </c>
      <c r="X6" s="373">
        <f t="shared" si="17"/>
        <v>0</v>
      </c>
      <c r="Y6" s="373">
        <f t="shared" si="18"/>
        <v>0</v>
      </c>
      <c r="Z6" s="373">
        <f t="shared" si="19"/>
        <v>0</v>
      </c>
      <c r="AA6" s="373"/>
      <c r="AB6" s="373">
        <f t="shared" si="20"/>
        <v>1</v>
      </c>
      <c r="AC6" s="373">
        <f t="shared" si="21"/>
        <v>1</v>
      </c>
      <c r="AD6" s="373">
        <f t="shared" si="22"/>
        <v>0</v>
      </c>
      <c r="AE6" s="373">
        <f t="shared" si="23"/>
        <v>0</v>
      </c>
      <c r="AF6" s="373">
        <f t="shared" si="24"/>
        <v>2</v>
      </c>
      <c r="AG6" s="373">
        <f t="shared" si="25"/>
        <v>1</v>
      </c>
      <c r="AH6" s="373"/>
      <c r="AI6" s="370"/>
      <c r="AJ6" s="370"/>
      <c r="AK6" s="370"/>
      <c r="AL6" s="370"/>
      <c r="AM6" s="370"/>
      <c r="AN6" s="374" t="str">
        <f t="shared" si="0"/>
        <v>República ChecaMéxico</v>
      </c>
      <c r="AO6" s="371" t="str">
        <f t="shared" si="1"/>
        <v>México</v>
      </c>
      <c r="AP6" s="370"/>
      <c r="AQ6" s="370"/>
      <c r="AR6" s="370"/>
      <c r="AS6" s="370"/>
      <c r="AT6" s="370"/>
      <c r="AU6" s="370"/>
      <c r="AV6" s="370"/>
      <c r="AW6" s="370"/>
      <c r="AX6" s="370"/>
      <c r="AY6" s="336"/>
      <c r="AZ6" s="336"/>
      <c r="BA6" s="336"/>
      <c r="BB6" s="336"/>
      <c r="BC6" s="336"/>
    </row>
    <row r="7" spans="1:55" x14ac:dyDescent="0.2">
      <c r="A7" s="375" t="str">
        <f>'- A -'!C9</f>
        <v>México</v>
      </c>
      <c r="B7" s="373">
        <f>IF('- A -'!D9&lt;&gt;"",'- A -'!D9,"")</f>
        <v>1</v>
      </c>
      <c r="C7" s="373" t="str">
        <f>'- A -'!E9</f>
        <v>-</v>
      </c>
      <c r="D7" s="373">
        <f>IF('- A -'!F9&lt;&gt;"",'- A -'!F9,"")</f>
        <v>1</v>
      </c>
      <c r="E7" s="376" t="str">
        <f>'- A -'!G9</f>
        <v>Korea</v>
      </c>
      <c r="F7" s="373">
        <f>COUNTBLANK('- A -'!D9:'- A -'!F9)</f>
        <v>0</v>
      </c>
      <c r="G7" s="373">
        <f t="shared" si="2"/>
        <v>1</v>
      </c>
      <c r="H7" s="373">
        <f t="shared" si="3"/>
        <v>0</v>
      </c>
      <c r="I7" s="373">
        <f t="shared" si="4"/>
        <v>1</v>
      </c>
      <c r="J7" s="373">
        <f t="shared" si="5"/>
        <v>0</v>
      </c>
      <c r="K7" s="373">
        <f t="shared" si="6"/>
        <v>1</v>
      </c>
      <c r="L7" s="373">
        <f t="shared" si="7"/>
        <v>1</v>
      </c>
      <c r="M7" s="373"/>
      <c r="N7" s="373">
        <f t="shared" si="8"/>
        <v>0</v>
      </c>
      <c r="O7" s="373">
        <f t="shared" si="9"/>
        <v>0</v>
      </c>
      <c r="P7" s="373">
        <f t="shared" si="10"/>
        <v>0</v>
      </c>
      <c r="Q7" s="373">
        <f t="shared" si="11"/>
        <v>0</v>
      </c>
      <c r="R7" s="373">
        <f t="shared" si="12"/>
        <v>0</v>
      </c>
      <c r="S7" s="373">
        <f t="shared" si="13"/>
        <v>0</v>
      </c>
      <c r="T7" s="373"/>
      <c r="U7" s="373">
        <f t="shared" si="14"/>
        <v>1</v>
      </c>
      <c r="V7" s="373">
        <f t="shared" si="15"/>
        <v>0</v>
      </c>
      <c r="W7" s="373">
        <f t="shared" si="16"/>
        <v>1</v>
      </c>
      <c r="X7" s="373">
        <f t="shared" si="17"/>
        <v>0</v>
      </c>
      <c r="Y7" s="373">
        <f t="shared" si="18"/>
        <v>1</v>
      </c>
      <c r="Z7" s="373">
        <f t="shared" si="19"/>
        <v>1</v>
      </c>
      <c r="AA7" s="373"/>
      <c r="AB7" s="373">
        <f t="shared" si="20"/>
        <v>0</v>
      </c>
      <c r="AC7" s="373">
        <f t="shared" si="21"/>
        <v>0</v>
      </c>
      <c r="AD7" s="373">
        <f t="shared" si="22"/>
        <v>0</v>
      </c>
      <c r="AE7" s="373">
        <f t="shared" si="23"/>
        <v>0</v>
      </c>
      <c r="AF7" s="373">
        <f t="shared" si="24"/>
        <v>0</v>
      </c>
      <c r="AG7" s="373">
        <f t="shared" si="25"/>
        <v>0</v>
      </c>
      <c r="AH7" s="373"/>
      <c r="AI7" s="370"/>
      <c r="AJ7" s="370"/>
      <c r="AK7" s="370"/>
      <c r="AL7" s="370"/>
      <c r="AM7" s="370"/>
      <c r="AN7" s="374" t="str">
        <f t="shared" si="0"/>
        <v>SudáfricaKorea</v>
      </c>
      <c r="AO7" s="371" t="str">
        <f t="shared" si="1"/>
        <v>Korea</v>
      </c>
      <c r="AP7" s="370"/>
      <c r="AQ7" s="370"/>
      <c r="AR7" s="370"/>
      <c r="AS7" s="370"/>
      <c r="AT7" s="370"/>
      <c r="AU7" s="370"/>
      <c r="AV7" s="370"/>
      <c r="AW7" s="370"/>
      <c r="AX7" s="370"/>
      <c r="AY7" s="336"/>
      <c r="AZ7" s="336"/>
      <c r="BA7" s="336"/>
      <c r="BB7" s="336"/>
      <c r="BC7" s="336"/>
    </row>
    <row r="8" spans="1:55" x14ac:dyDescent="0.2">
      <c r="A8" s="375" t="str">
        <f>'- A -'!C10</f>
        <v>República Checa</v>
      </c>
      <c r="B8" s="373">
        <f>IF('- A -'!D10&lt;&gt;"",'- A -'!D10,"")</f>
        <v>1</v>
      </c>
      <c r="C8" s="373" t="str">
        <f>'- A -'!E10</f>
        <v>-</v>
      </c>
      <c r="D8" s="373">
        <f>IF('- A -'!F10&lt;&gt;"",'- A -'!F10,"")</f>
        <v>2</v>
      </c>
      <c r="E8" s="376" t="str">
        <f>'- A -'!G10</f>
        <v>México</v>
      </c>
      <c r="F8" s="373">
        <f>COUNTBLANK('- A -'!D10:'- A -'!F10)</f>
        <v>0</v>
      </c>
      <c r="G8" s="373">
        <f t="shared" si="2"/>
        <v>1</v>
      </c>
      <c r="H8" s="373">
        <f t="shared" si="3"/>
        <v>1</v>
      </c>
      <c r="I8" s="373">
        <f t="shared" si="4"/>
        <v>0</v>
      </c>
      <c r="J8" s="373">
        <f t="shared" si="5"/>
        <v>0</v>
      </c>
      <c r="K8" s="373">
        <f t="shared" si="6"/>
        <v>2</v>
      </c>
      <c r="L8" s="373">
        <f t="shared" si="7"/>
        <v>1</v>
      </c>
      <c r="M8" s="373"/>
      <c r="N8" s="373">
        <f t="shared" si="8"/>
        <v>0</v>
      </c>
      <c r="O8" s="373">
        <f t="shared" si="9"/>
        <v>0</v>
      </c>
      <c r="P8" s="373">
        <f t="shared" si="10"/>
        <v>0</v>
      </c>
      <c r="Q8" s="373">
        <f t="shared" si="11"/>
        <v>0</v>
      </c>
      <c r="R8" s="373">
        <f t="shared" si="12"/>
        <v>0</v>
      </c>
      <c r="S8" s="373">
        <f t="shared" si="13"/>
        <v>0</v>
      </c>
      <c r="T8" s="373"/>
      <c r="U8" s="373">
        <f t="shared" si="14"/>
        <v>0</v>
      </c>
      <c r="V8" s="373">
        <f t="shared" si="15"/>
        <v>0</v>
      </c>
      <c r="W8" s="373">
        <f t="shared" si="16"/>
        <v>0</v>
      </c>
      <c r="X8" s="373">
        <f t="shared" si="17"/>
        <v>0</v>
      </c>
      <c r="Y8" s="373">
        <f t="shared" si="18"/>
        <v>0</v>
      </c>
      <c r="Z8" s="373">
        <f t="shared" si="19"/>
        <v>0</v>
      </c>
      <c r="AA8" s="373"/>
      <c r="AB8" s="373">
        <f t="shared" si="20"/>
        <v>1</v>
      </c>
      <c r="AC8" s="373">
        <f t="shared" si="21"/>
        <v>0</v>
      </c>
      <c r="AD8" s="373">
        <f t="shared" si="22"/>
        <v>0</v>
      </c>
      <c r="AE8" s="373">
        <f t="shared" si="23"/>
        <v>1</v>
      </c>
      <c r="AF8" s="373">
        <f t="shared" si="24"/>
        <v>1</v>
      </c>
      <c r="AG8" s="373">
        <f t="shared" si="25"/>
        <v>2</v>
      </c>
      <c r="AH8" s="373"/>
      <c r="AI8" s="370"/>
      <c r="AJ8" s="370"/>
      <c r="AK8" s="370"/>
      <c r="AL8" s="370"/>
      <c r="AM8" s="370"/>
      <c r="AN8" s="374" t="str">
        <f>E4&amp;A4</f>
        <v>SudáfricaMéxico</v>
      </c>
      <c r="AO8" s="371" t="str">
        <f>IF(B4=D4,0,IF(B4&gt;D4,A4,E4))</f>
        <v>México</v>
      </c>
      <c r="AP8" s="370"/>
      <c r="AQ8" s="370"/>
      <c r="AR8" s="370"/>
      <c r="AS8" s="370"/>
      <c r="AT8" s="370"/>
      <c r="AU8" s="370"/>
      <c r="AV8" s="370"/>
      <c r="AW8" s="370"/>
      <c r="AX8" s="370"/>
      <c r="AY8" s="336"/>
      <c r="AZ8" s="336"/>
      <c r="BA8" s="336"/>
      <c r="BB8" s="336"/>
      <c r="BC8" s="336"/>
    </row>
    <row r="9" spans="1:55" x14ac:dyDescent="0.2">
      <c r="A9" s="375" t="str">
        <f>'- A -'!C11</f>
        <v>Sudáfrica</v>
      </c>
      <c r="B9" s="373">
        <f>IF('- A -'!D11&lt;&gt;"",'- A -'!D11,"")</f>
        <v>0</v>
      </c>
      <c r="C9" s="373" t="str">
        <f>'- A -'!E11</f>
        <v>-</v>
      </c>
      <c r="D9" s="373">
        <f>IF('- A -'!F11&lt;&gt;"",'- A -'!F11,"")</f>
        <v>2</v>
      </c>
      <c r="E9" s="376" t="str">
        <f>'- A -'!G11</f>
        <v>Korea</v>
      </c>
      <c r="F9" s="373">
        <f>COUNTBLANK('- A -'!D11:'- A -'!F11)</f>
        <v>0</v>
      </c>
      <c r="G9" s="373">
        <f t="shared" si="2"/>
        <v>0</v>
      </c>
      <c r="H9" s="373">
        <f t="shared" si="3"/>
        <v>0</v>
      </c>
      <c r="I9" s="373">
        <f t="shared" si="4"/>
        <v>0</v>
      </c>
      <c r="J9" s="373">
        <f t="shared" si="5"/>
        <v>0</v>
      </c>
      <c r="K9" s="373">
        <f t="shared" si="6"/>
        <v>0</v>
      </c>
      <c r="L9" s="373">
        <f t="shared" si="7"/>
        <v>0</v>
      </c>
      <c r="M9" s="373"/>
      <c r="N9" s="373">
        <f t="shared" si="8"/>
        <v>1</v>
      </c>
      <c r="O9" s="373">
        <f t="shared" si="9"/>
        <v>0</v>
      </c>
      <c r="P9" s="373">
        <f t="shared" si="10"/>
        <v>0</v>
      </c>
      <c r="Q9" s="373">
        <f t="shared" si="11"/>
        <v>1</v>
      </c>
      <c r="R9" s="373">
        <f t="shared" si="12"/>
        <v>0</v>
      </c>
      <c r="S9" s="373">
        <f t="shared" si="13"/>
        <v>2</v>
      </c>
      <c r="T9" s="373"/>
      <c r="U9" s="373">
        <f t="shared" si="14"/>
        <v>1</v>
      </c>
      <c r="V9" s="373">
        <f t="shared" si="15"/>
        <v>1</v>
      </c>
      <c r="W9" s="373">
        <f t="shared" si="16"/>
        <v>0</v>
      </c>
      <c r="X9" s="373">
        <f t="shared" si="17"/>
        <v>0</v>
      </c>
      <c r="Y9" s="373">
        <f t="shared" si="18"/>
        <v>2</v>
      </c>
      <c r="Z9" s="373">
        <f t="shared" si="19"/>
        <v>0</v>
      </c>
      <c r="AA9" s="373"/>
      <c r="AB9" s="373">
        <f t="shared" si="20"/>
        <v>0</v>
      </c>
      <c r="AC9" s="373">
        <f t="shared" si="21"/>
        <v>0</v>
      </c>
      <c r="AD9" s="373">
        <f t="shared" si="22"/>
        <v>0</v>
      </c>
      <c r="AE9" s="373">
        <f t="shared" si="23"/>
        <v>0</v>
      </c>
      <c r="AF9" s="373">
        <f t="shared" si="24"/>
        <v>0</v>
      </c>
      <c r="AG9" s="373">
        <f t="shared" si="25"/>
        <v>0</v>
      </c>
      <c r="AH9" s="373"/>
      <c r="AI9" s="370"/>
      <c r="AJ9" s="370"/>
      <c r="AK9" s="370"/>
      <c r="AL9" s="370"/>
      <c r="AM9" s="370"/>
      <c r="AN9" s="374" t="str">
        <f t="shared" ref="AN9:AN13" si="26">E5&amp;A5</f>
        <v>República ChecaKorea</v>
      </c>
      <c r="AO9" s="371" t="str">
        <f t="shared" ref="AO9:AO13" si="27">IF(B5=D5,0,IF(B5&gt;D5,A5,E5))</f>
        <v>República Checa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2</v>
      </c>
      <c r="I10" s="373">
        <f t="shared" si="28"/>
        <v>1</v>
      </c>
      <c r="J10" s="373">
        <f t="shared" si="28"/>
        <v>0</v>
      </c>
      <c r="K10" s="373">
        <f t="shared" si="28"/>
        <v>6</v>
      </c>
      <c r="L10" s="373">
        <f t="shared" si="28"/>
        <v>2</v>
      </c>
      <c r="M10" s="373">
        <f>H10*3+I10</f>
        <v>7</v>
      </c>
      <c r="N10" s="373">
        <f t="shared" ref="N10:S10" si="29">SUM(N4:N9)</f>
        <v>3</v>
      </c>
      <c r="O10" s="373">
        <f t="shared" si="29"/>
        <v>0</v>
      </c>
      <c r="P10" s="373">
        <f t="shared" si="29"/>
        <v>0</v>
      </c>
      <c r="Q10" s="373">
        <f t="shared" si="29"/>
        <v>3</v>
      </c>
      <c r="R10" s="373">
        <f t="shared" si="29"/>
        <v>1</v>
      </c>
      <c r="S10" s="373">
        <f t="shared" si="29"/>
        <v>7</v>
      </c>
      <c r="T10" s="373">
        <f>O10*3+P10</f>
        <v>0</v>
      </c>
      <c r="U10" s="373">
        <f t="shared" ref="U10:Z10" si="30">SUM(U4:U9)</f>
        <v>3</v>
      </c>
      <c r="V10" s="373">
        <f t="shared" si="30"/>
        <v>1</v>
      </c>
      <c r="W10" s="373">
        <f t="shared" si="30"/>
        <v>1</v>
      </c>
      <c r="X10" s="373">
        <f t="shared" si="30"/>
        <v>1</v>
      </c>
      <c r="Y10" s="373">
        <f t="shared" si="30"/>
        <v>3</v>
      </c>
      <c r="Z10" s="373">
        <f t="shared" si="30"/>
        <v>3</v>
      </c>
      <c r="AA10" s="373">
        <f>V10*3+W10</f>
        <v>4</v>
      </c>
      <c r="AB10" s="373">
        <f t="shared" ref="AB10:AG10" si="31">SUM(AB4:AB9)</f>
        <v>3</v>
      </c>
      <c r="AC10" s="373">
        <f t="shared" si="31"/>
        <v>2</v>
      </c>
      <c r="AD10" s="373">
        <f t="shared" si="31"/>
        <v>0</v>
      </c>
      <c r="AE10" s="373">
        <f t="shared" si="31"/>
        <v>1</v>
      </c>
      <c r="AF10" s="373">
        <f t="shared" si="31"/>
        <v>5</v>
      </c>
      <c r="AG10" s="373">
        <f t="shared" si="31"/>
        <v>3</v>
      </c>
      <c r="AH10" s="373">
        <f>AC10*3+AD10</f>
        <v>6</v>
      </c>
      <c r="AI10" s="370"/>
      <c r="AJ10" s="370"/>
      <c r="AK10" s="370"/>
      <c r="AL10" s="370"/>
      <c r="AM10" s="370"/>
      <c r="AN10" s="374" t="str">
        <f t="shared" si="26"/>
        <v>SudáfricaRepública Checa</v>
      </c>
      <c r="AO10" s="371" t="str">
        <f t="shared" si="27"/>
        <v>República Checa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KoreaMéxico</v>
      </c>
      <c r="AO11" s="371">
        <f t="shared" si="27"/>
        <v>0</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MéxicoRepública Checa</v>
      </c>
      <c r="AO12" s="371" t="str">
        <f t="shared" si="27"/>
        <v>México</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KoreaSudáfrica</v>
      </c>
      <c r="AO13" s="371" t="str">
        <f t="shared" si="27"/>
        <v>Korea</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México</v>
      </c>
      <c r="G16" s="373">
        <f t="shared" ref="G16:M16" si="32">G10</f>
        <v>3</v>
      </c>
      <c r="H16" s="373">
        <f t="shared" si="32"/>
        <v>2</v>
      </c>
      <c r="I16" s="373">
        <f t="shared" si="32"/>
        <v>1</v>
      </c>
      <c r="J16" s="373">
        <f t="shared" si="32"/>
        <v>0</v>
      </c>
      <c r="K16" s="373">
        <f t="shared" si="32"/>
        <v>6</v>
      </c>
      <c r="L16" s="373">
        <f t="shared" si="32"/>
        <v>2</v>
      </c>
      <c r="M16" s="373">
        <f t="shared" si="32"/>
        <v>7</v>
      </c>
      <c r="N16" s="370"/>
      <c r="O16" s="370" t="str">
        <f>IF($M16&gt;=$M17,$F16,$F17)</f>
        <v>México</v>
      </c>
      <c r="P16" s="370">
        <f>VLOOKUP(O16,$F$16:$M$20,8,FALSE)</f>
        <v>7</v>
      </c>
      <c r="Q16" s="370"/>
      <c r="R16" s="370"/>
      <c r="S16" s="370" t="str">
        <f>IF($P16&gt;=$P18,$O16,$O18)</f>
        <v>México</v>
      </c>
      <c r="T16" s="370">
        <f>VLOOKUP(S16,$O$16:$P$20,2,FALSE)</f>
        <v>7</v>
      </c>
      <c r="U16" s="370"/>
      <c r="V16" s="370"/>
      <c r="W16" s="370" t="str">
        <f>IF($T16&gt;=$T19,$S16,$S19)</f>
        <v>México</v>
      </c>
      <c r="X16" s="370">
        <f>VLOOKUP(W16,$S$16:$T$20,2,FALSE)</f>
        <v>7</v>
      </c>
      <c r="Y16" s="370"/>
      <c r="Z16" s="370"/>
      <c r="AA16" s="370" t="str">
        <f>W16</f>
        <v>México</v>
      </c>
      <c r="AB16" s="370">
        <f>VLOOKUP(AA16,W16:X20,2,FALSE)</f>
        <v>7</v>
      </c>
      <c r="AC16" s="370"/>
      <c r="AD16" s="370"/>
      <c r="AE16" s="370" t="str">
        <f>AA16</f>
        <v>México</v>
      </c>
      <c r="AF16" s="370">
        <f>VLOOKUP(AE16,AA16:AB20,2,FALSE)</f>
        <v>7</v>
      </c>
      <c r="AG16" s="370"/>
      <c r="AH16" s="370"/>
      <c r="AI16" s="370" t="str">
        <f>AE16</f>
        <v>México</v>
      </c>
      <c r="AJ16" s="370">
        <f>VLOOKUP(AI16,AE16:AF20,2,FALSE)</f>
        <v>7</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Sudáfrica</v>
      </c>
      <c r="G17" s="373">
        <f t="shared" ref="G17:L17" si="33">N10</f>
        <v>3</v>
      </c>
      <c r="H17" s="373">
        <f t="shared" si="33"/>
        <v>0</v>
      </c>
      <c r="I17" s="373">
        <f t="shared" si="33"/>
        <v>0</v>
      </c>
      <c r="J17" s="373">
        <f t="shared" si="33"/>
        <v>3</v>
      </c>
      <c r="K17" s="373">
        <f t="shared" si="33"/>
        <v>1</v>
      </c>
      <c r="L17" s="373">
        <f t="shared" si="33"/>
        <v>7</v>
      </c>
      <c r="M17" s="373">
        <f>T10</f>
        <v>0</v>
      </c>
      <c r="N17" s="370"/>
      <c r="O17" s="370" t="str">
        <f>IF($M17&lt;=$M16,$F17,$F16)</f>
        <v>Sudáfrica</v>
      </c>
      <c r="P17" s="370">
        <f>VLOOKUP(O17,$F$16:$M$20,8,FALSE)</f>
        <v>0</v>
      </c>
      <c r="Q17" s="370"/>
      <c r="R17" s="370"/>
      <c r="S17" s="370" t="str">
        <f>O17</f>
        <v>Sudáfrica</v>
      </c>
      <c r="T17" s="370">
        <f>VLOOKUP(S17,$O$16:$P$20,2,FALSE)</f>
        <v>0</v>
      </c>
      <c r="U17" s="370"/>
      <c r="V17" s="370"/>
      <c r="W17" s="370" t="str">
        <f>S17</f>
        <v>Sudáfrica</v>
      </c>
      <c r="X17" s="370">
        <f>VLOOKUP(W17,$S$16:$T$20,2,FALSE)</f>
        <v>0</v>
      </c>
      <c r="Y17" s="370"/>
      <c r="Z17" s="370"/>
      <c r="AA17" s="370" t="str">
        <f>IF(X17&gt;=X18,W17,W18)</f>
        <v>Korea</v>
      </c>
      <c r="AB17" s="370">
        <f>VLOOKUP(AA17,W16:X20,2,FALSE)</f>
        <v>4</v>
      </c>
      <c r="AC17" s="370"/>
      <c r="AD17" s="370"/>
      <c r="AE17" s="370" t="str">
        <f>IF(AB17&gt;=AB19,AA17,AA19)</f>
        <v>República Checa</v>
      </c>
      <c r="AF17" s="370">
        <f>VLOOKUP(AE17,AA16:AB20,2,FALSE)</f>
        <v>6</v>
      </c>
      <c r="AG17" s="370"/>
      <c r="AH17" s="370"/>
      <c r="AI17" s="370" t="str">
        <f>AE17</f>
        <v>República Checa</v>
      </c>
      <c r="AJ17" s="370">
        <f>VLOOKUP(AI17,AE16:AF20,2,FALSE)</f>
        <v>6</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Korea</v>
      </c>
      <c r="G18" s="373">
        <f t="shared" ref="G18:M18" si="34">U10</f>
        <v>3</v>
      </c>
      <c r="H18" s="373">
        <f t="shared" si="34"/>
        <v>1</v>
      </c>
      <c r="I18" s="373">
        <f t="shared" si="34"/>
        <v>1</v>
      </c>
      <c r="J18" s="373">
        <f t="shared" si="34"/>
        <v>1</v>
      </c>
      <c r="K18" s="373">
        <f t="shared" si="34"/>
        <v>3</v>
      </c>
      <c r="L18" s="373">
        <f t="shared" si="34"/>
        <v>3</v>
      </c>
      <c r="M18" s="373">
        <f t="shared" si="34"/>
        <v>4</v>
      </c>
      <c r="N18" s="370"/>
      <c r="O18" s="370" t="str">
        <f>F18</f>
        <v>Korea</v>
      </c>
      <c r="P18" s="370">
        <f>VLOOKUP(O18,$F$16:$M$20,8,FALSE)</f>
        <v>4</v>
      </c>
      <c r="Q18" s="370"/>
      <c r="R18" s="370"/>
      <c r="S18" s="370" t="str">
        <f>IF($P18&lt;=$P16,$O18,$O16)</f>
        <v>Korea</v>
      </c>
      <c r="T18" s="370">
        <f>VLOOKUP(S18,$O$16:$P$20,2,FALSE)</f>
        <v>4</v>
      </c>
      <c r="U18" s="370"/>
      <c r="V18" s="370"/>
      <c r="W18" s="370" t="str">
        <f>S18</f>
        <v>Korea</v>
      </c>
      <c r="X18" s="370">
        <f>VLOOKUP(W18,$S$16:$T$20,2,FALSE)</f>
        <v>4</v>
      </c>
      <c r="Y18" s="370"/>
      <c r="Z18" s="370"/>
      <c r="AA18" s="370" t="str">
        <f>IF(X18&lt;=X17,W18,W17)</f>
        <v>Sudáfrica</v>
      </c>
      <c r="AB18" s="370">
        <f>VLOOKUP(AA18,W16:X20,2,FALSE)</f>
        <v>0</v>
      </c>
      <c r="AC18" s="370"/>
      <c r="AD18" s="370"/>
      <c r="AE18" s="370" t="str">
        <f>AA18</f>
        <v>Sudáfrica</v>
      </c>
      <c r="AF18" s="370">
        <f>VLOOKUP(AE18,AA16:AB20,2,FALSE)</f>
        <v>0</v>
      </c>
      <c r="AG18" s="370"/>
      <c r="AH18" s="370"/>
      <c r="AI18" s="370" t="str">
        <f>IF(AF18&gt;=AF19,AE18,AE19)</f>
        <v>Korea</v>
      </c>
      <c r="AJ18" s="370">
        <f>VLOOKUP(AI18,AE16:AF20,2,FALSE)</f>
        <v>4</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República Checa</v>
      </c>
      <c r="G19" s="373">
        <f t="shared" ref="G19:M19" si="35">AB10</f>
        <v>3</v>
      </c>
      <c r="H19" s="373">
        <f t="shared" si="35"/>
        <v>2</v>
      </c>
      <c r="I19" s="373">
        <f t="shared" si="35"/>
        <v>0</v>
      </c>
      <c r="J19" s="373">
        <f t="shared" si="35"/>
        <v>1</v>
      </c>
      <c r="K19" s="373">
        <f t="shared" si="35"/>
        <v>5</v>
      </c>
      <c r="L19" s="373">
        <f t="shared" si="35"/>
        <v>3</v>
      </c>
      <c r="M19" s="373">
        <f t="shared" si="35"/>
        <v>6</v>
      </c>
      <c r="N19" s="370"/>
      <c r="O19" s="370" t="str">
        <f>F19</f>
        <v>República Checa</v>
      </c>
      <c r="P19" s="370">
        <f>VLOOKUP(O19,$F$16:$M$20,8,FALSE)</f>
        <v>6</v>
      </c>
      <c r="Q19" s="370"/>
      <c r="R19" s="370"/>
      <c r="S19" s="370" t="str">
        <f>O19</f>
        <v>República Checa</v>
      </c>
      <c r="T19" s="370">
        <f>VLOOKUP(S19,$O$16:$P$20,2,FALSE)</f>
        <v>6</v>
      </c>
      <c r="U19" s="370"/>
      <c r="V19" s="370"/>
      <c r="W19" s="370" t="str">
        <f>IF($T19&lt;=$T16,$S19,$S16)</f>
        <v>República Checa</v>
      </c>
      <c r="X19" s="370">
        <f>VLOOKUP(W19,$S$16:$T$20,2,FALSE)</f>
        <v>6</v>
      </c>
      <c r="Y19" s="370"/>
      <c r="Z19" s="370"/>
      <c r="AA19" s="370" t="str">
        <f>W19</f>
        <v>República Checa</v>
      </c>
      <c r="AB19" s="370">
        <f>VLOOKUP(AA19,W16:X20,2,FALSE)</f>
        <v>6</v>
      </c>
      <c r="AC19" s="370"/>
      <c r="AD19" s="370"/>
      <c r="AE19" s="370" t="str">
        <f>IF(AB19&lt;=AB17,AA19,AA17)</f>
        <v>Korea</v>
      </c>
      <c r="AF19" s="370">
        <f>VLOOKUP(AE19,AA16:AB20,2,FALSE)</f>
        <v>4</v>
      </c>
      <c r="AG19" s="370"/>
      <c r="AH19" s="370"/>
      <c r="AI19" s="370" t="str">
        <f>IF(AF19&lt;=AF18,AE19,AE18)</f>
        <v>Sudáfrica</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México</v>
      </c>
      <c r="G23" s="370"/>
      <c r="H23" s="370"/>
      <c r="I23" s="370"/>
      <c r="J23" s="373">
        <f>AJ16</f>
        <v>7</v>
      </c>
      <c r="K23" s="373">
        <f>VLOOKUP(AI16,$F$16:$M$20,6,FALSE)</f>
        <v>6</v>
      </c>
      <c r="L23" s="373">
        <f>VLOOKUP(AI16,$F$16:$M$20,7,FALSE)</f>
        <v>2</v>
      </c>
      <c r="M23" s="373">
        <f>K23-L23</f>
        <v>4</v>
      </c>
      <c r="N23" s="370"/>
      <c r="O23" s="370" t="str">
        <f>IF(AND($J23=$J24,$M24&gt;$M23),$F24,$F23)</f>
        <v>México</v>
      </c>
      <c r="P23" s="373">
        <f>VLOOKUP(O23,$F$23:$M$27,5,FALSE)</f>
        <v>7</v>
      </c>
      <c r="Q23" s="373">
        <f>VLOOKUP(O23,$F$23:$M$27,8,FALSE)</f>
        <v>4</v>
      </c>
      <c r="R23" s="370"/>
      <c r="S23" s="370" t="str">
        <f>IF(AND(P23=P25,Q25&gt;Q23),O25,O23)</f>
        <v>México</v>
      </c>
      <c r="T23" s="373">
        <f>VLOOKUP(S23,$O$23:$Q$27,2,FALSE)</f>
        <v>7</v>
      </c>
      <c r="U23" s="373">
        <f>VLOOKUP(S23,$O$23:$Q$27,3,FALSE)</f>
        <v>4</v>
      </c>
      <c r="V23" s="370"/>
      <c r="W23" s="370" t="str">
        <f>IF(AND(T23=T26,U26&gt;U23),S26,S23)</f>
        <v>México</v>
      </c>
      <c r="X23" s="373">
        <f>VLOOKUP(W23,$S$23:$U$27,2,FALSE)</f>
        <v>7</v>
      </c>
      <c r="Y23" s="373">
        <f>VLOOKUP(W23,$S$23:$U$27,3,FALSE)</f>
        <v>4</v>
      </c>
      <c r="Z23" s="370"/>
      <c r="AA23" s="370" t="str">
        <f>W23</f>
        <v>México</v>
      </c>
      <c r="AB23" s="373">
        <f>VLOOKUP(AA23,W23:Y27,2,FALSE)</f>
        <v>7</v>
      </c>
      <c r="AC23" s="373">
        <f>VLOOKUP(AA23,W23:Y27,3,FALSE)</f>
        <v>4</v>
      </c>
      <c r="AD23" s="370"/>
      <c r="AE23" s="370" t="str">
        <f>AA23</f>
        <v>México</v>
      </c>
      <c r="AF23" s="373">
        <f>VLOOKUP(AE23,AA23:AC27,2,FALSE)</f>
        <v>7</v>
      </c>
      <c r="AG23" s="373">
        <f>VLOOKUP(AE23,AA23:AC27,3,FALSE)</f>
        <v>4</v>
      </c>
      <c r="AH23" s="370"/>
      <c r="AI23" s="370" t="str">
        <f>AE23</f>
        <v>México</v>
      </c>
      <c r="AJ23" s="373">
        <f>VLOOKUP(AI23,AE23:AG27,2,FALSE)</f>
        <v>7</v>
      </c>
      <c r="AK23" s="373">
        <f>VLOOKUP(AI23,AE23:AG27,3,FALSE)</f>
        <v>4</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República Checa</v>
      </c>
      <c r="G24" s="370"/>
      <c r="H24" s="370"/>
      <c r="I24" s="370"/>
      <c r="J24" s="373">
        <f>AJ17</f>
        <v>6</v>
      </c>
      <c r="K24" s="373">
        <f>VLOOKUP(AI17,$F$16:$M$20,6,FALSE)</f>
        <v>5</v>
      </c>
      <c r="L24" s="373">
        <f>VLOOKUP(AI17,$F$16:$M$20,7,FALSE)</f>
        <v>3</v>
      </c>
      <c r="M24" s="373">
        <f>K24-L24</f>
        <v>2</v>
      </c>
      <c r="N24" s="370"/>
      <c r="O24" s="370" t="str">
        <f>IF(AND($J23=$J24,$M24&gt;$M23),$F23,$F24)</f>
        <v>República Checa</v>
      </c>
      <c r="P24" s="373">
        <f>VLOOKUP(O24,$F$23:$M$27,5,FALSE)</f>
        <v>6</v>
      </c>
      <c r="Q24" s="373">
        <f>VLOOKUP(O24,$F$23:$M$27,8,FALSE)</f>
        <v>2</v>
      </c>
      <c r="R24" s="370"/>
      <c r="S24" s="370" t="str">
        <f>O24</f>
        <v>República Checa</v>
      </c>
      <c r="T24" s="373">
        <f>VLOOKUP(S24,$O$23:$Q$27,2,FALSE)</f>
        <v>6</v>
      </c>
      <c r="U24" s="373">
        <f>VLOOKUP(S24,$O$23:$Q$27,3,FALSE)</f>
        <v>2</v>
      </c>
      <c r="V24" s="370"/>
      <c r="W24" s="370" t="str">
        <f>S24</f>
        <v>República Checa</v>
      </c>
      <c r="X24" s="373">
        <f>VLOOKUP(W24,$S$23:$U$27,2,FALSE)</f>
        <v>6</v>
      </c>
      <c r="Y24" s="373">
        <f>VLOOKUP(W24,$S$23:$U$27,3,FALSE)</f>
        <v>2</v>
      </c>
      <c r="Z24" s="370"/>
      <c r="AA24" s="370" t="str">
        <f>IF(AND(X24=X25,Y25&gt;Y24),W25,W24)</f>
        <v>República Checa</v>
      </c>
      <c r="AB24" s="373">
        <f>VLOOKUP(AA24,W23:Y27,2,FALSE)</f>
        <v>6</v>
      </c>
      <c r="AC24" s="373">
        <f>VLOOKUP(AA24,W23:Y27,3,FALSE)</f>
        <v>2</v>
      </c>
      <c r="AD24" s="370"/>
      <c r="AE24" s="370" t="str">
        <f>IF(AND(AB24=AB26,AC26&gt;AC24),AA26,AA24)</f>
        <v>República Checa</v>
      </c>
      <c r="AF24" s="373">
        <f>VLOOKUP(AE24,AA23:AC27,2,FALSE)</f>
        <v>6</v>
      </c>
      <c r="AG24" s="373">
        <f>VLOOKUP(AE24,AA23:AC27,3,FALSE)</f>
        <v>2</v>
      </c>
      <c r="AH24" s="370"/>
      <c r="AI24" s="370" t="str">
        <f>AE24</f>
        <v>República Checa</v>
      </c>
      <c r="AJ24" s="373">
        <f>VLOOKUP(AI24,AE23:AG27,2,FALSE)</f>
        <v>6</v>
      </c>
      <c r="AK24" s="373">
        <f>VLOOKUP(AI24,AE23:AG27,3,FALSE)</f>
        <v>2</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Korea</v>
      </c>
      <c r="G25" s="370"/>
      <c r="H25" s="370"/>
      <c r="I25" s="370"/>
      <c r="J25" s="373">
        <f>AJ18</f>
        <v>4</v>
      </c>
      <c r="K25" s="373">
        <f>VLOOKUP(AI18,$F$16:$M$20,6,FALSE)</f>
        <v>3</v>
      </c>
      <c r="L25" s="373">
        <f>VLOOKUP(AI18,$F$16:$M$20,7,FALSE)</f>
        <v>3</v>
      </c>
      <c r="M25" s="373">
        <f>K25-L25</f>
        <v>0</v>
      </c>
      <c r="N25" s="370"/>
      <c r="O25" s="370" t="str">
        <f>F25</f>
        <v>Korea</v>
      </c>
      <c r="P25" s="373">
        <f>VLOOKUP(O25,$F$23:$M$27,5,FALSE)</f>
        <v>4</v>
      </c>
      <c r="Q25" s="373">
        <f>VLOOKUP(O25,$F$23:$M$27,8,FALSE)</f>
        <v>0</v>
      </c>
      <c r="R25" s="370"/>
      <c r="S25" s="370" t="str">
        <f>IF(AND($P23=P25,Q25&gt;Q23),O23,O25)</f>
        <v>Korea</v>
      </c>
      <c r="T25" s="373">
        <f>VLOOKUP(S25,$O$23:$Q$27,2,FALSE)</f>
        <v>4</v>
      </c>
      <c r="U25" s="373">
        <f>VLOOKUP(S25,$O$23:$Q$27,3,FALSE)</f>
        <v>0</v>
      </c>
      <c r="V25" s="370"/>
      <c r="W25" s="370" t="str">
        <f>S25</f>
        <v>Korea</v>
      </c>
      <c r="X25" s="373">
        <f>VLOOKUP(W25,$S$23:$U$27,2,FALSE)</f>
        <v>4</v>
      </c>
      <c r="Y25" s="373">
        <f>VLOOKUP(W25,$S$23:$U$27,3,FALSE)</f>
        <v>0</v>
      </c>
      <c r="Z25" s="370"/>
      <c r="AA25" s="370" t="str">
        <f>IF(AND(X24=X25,Y25&gt;Y24),W24,W25)</f>
        <v>Korea</v>
      </c>
      <c r="AB25" s="373">
        <f>VLOOKUP(AA25,W23:Y27,2,FALSE)</f>
        <v>4</v>
      </c>
      <c r="AC25" s="373">
        <f>VLOOKUP(AA25,W23:Y27,3,FALSE)</f>
        <v>0</v>
      </c>
      <c r="AD25" s="370"/>
      <c r="AE25" s="370" t="str">
        <f>AA25</f>
        <v>Korea</v>
      </c>
      <c r="AF25" s="373">
        <f>VLOOKUP(AE25,AA23:AC27,2,FALSE)</f>
        <v>4</v>
      </c>
      <c r="AG25" s="373">
        <f>VLOOKUP(AE25,AA23:AC27,3,FALSE)</f>
        <v>0</v>
      </c>
      <c r="AH25" s="370"/>
      <c r="AI25" s="370" t="str">
        <f>IF(AND(AF25=AF26,AG26&gt;AG25),AE26,AE25)</f>
        <v>Korea</v>
      </c>
      <c r="AJ25" s="373">
        <f>VLOOKUP(AI25,AE23:AG27,2,FALSE)</f>
        <v>4</v>
      </c>
      <c r="AK25" s="373">
        <f>VLOOKUP(AI25,AE23:AG27,3,FALSE)</f>
        <v>0</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Sudáfrica</v>
      </c>
      <c r="G26" s="370"/>
      <c r="H26" s="370"/>
      <c r="I26" s="370"/>
      <c r="J26" s="373">
        <f>AJ19</f>
        <v>0</v>
      </c>
      <c r="K26" s="373">
        <f>VLOOKUP(AI19,$F$16:$M$20,6,FALSE)</f>
        <v>1</v>
      </c>
      <c r="L26" s="373">
        <f>VLOOKUP(AI19,$F$16:$M$20,7,FALSE)</f>
        <v>7</v>
      </c>
      <c r="M26" s="373">
        <f>K26-L26</f>
        <v>-6</v>
      </c>
      <c r="N26" s="370"/>
      <c r="O26" s="370" t="str">
        <f>F26</f>
        <v>Sudáfrica</v>
      </c>
      <c r="P26" s="373">
        <f>VLOOKUP(O26,$F$23:$M$27,5,FALSE)</f>
        <v>0</v>
      </c>
      <c r="Q26" s="373">
        <f>VLOOKUP(O26,$F$23:$M$27,8,FALSE)</f>
        <v>-6</v>
      </c>
      <c r="R26" s="370"/>
      <c r="S26" s="370" t="str">
        <f>O26</f>
        <v>Sudáfrica</v>
      </c>
      <c r="T26" s="373">
        <f>VLOOKUP(S26,$O$23:$Q$27,2,FALSE)</f>
        <v>0</v>
      </c>
      <c r="U26" s="373">
        <f>VLOOKUP(S26,$O$23:$Q$27,3,FALSE)</f>
        <v>-6</v>
      </c>
      <c r="V26" s="370"/>
      <c r="W26" s="370" t="str">
        <f>IF(AND(T23=T26,U26&gt;U23),S23,S26)</f>
        <v>Sudáfrica</v>
      </c>
      <c r="X26" s="373">
        <f>VLOOKUP(W26,$S$23:$U$27,2,FALSE)</f>
        <v>0</v>
      </c>
      <c r="Y26" s="373">
        <f>VLOOKUP(W26,$S$23:$U$27,3,FALSE)</f>
        <v>-6</v>
      </c>
      <c r="Z26" s="370"/>
      <c r="AA26" s="370" t="str">
        <f>W26</f>
        <v>Sudáfrica</v>
      </c>
      <c r="AB26" s="373">
        <f>VLOOKUP(AA26,W23:Y27,2,FALSE)</f>
        <v>0</v>
      </c>
      <c r="AC26" s="373">
        <f>VLOOKUP(AA26,W23:Y27,3,FALSE)</f>
        <v>-6</v>
      </c>
      <c r="AD26" s="370"/>
      <c r="AE26" s="370" t="str">
        <f>IF(AND(AB24=AB26,AC26&gt;AC24),AA24,AA26)</f>
        <v>Sudáfrica</v>
      </c>
      <c r="AF26" s="373">
        <f>VLOOKUP(AE26,AA23:AC27,2,FALSE)</f>
        <v>0</v>
      </c>
      <c r="AG26" s="373">
        <f>VLOOKUP(AE26,AA23:AC27,3,FALSE)</f>
        <v>-6</v>
      </c>
      <c r="AH26" s="370"/>
      <c r="AI26" s="370" t="str">
        <f>IF(AND(AF25=AF26,AG26&gt;AG25),AE25,AE26)</f>
        <v>Sudáfrica</v>
      </c>
      <c r="AJ26" s="373">
        <f>VLOOKUP(AI26,AE23:AG27,2,FALSE)</f>
        <v>0</v>
      </c>
      <c r="AK26" s="373">
        <f>VLOOKUP(AI26,AE23:AG27,3,FALSE)</f>
        <v>-6</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México</v>
      </c>
      <c r="G30" s="370"/>
      <c r="H30" s="370"/>
      <c r="I30" s="370"/>
      <c r="J30" s="373">
        <f>VLOOKUP(F30,$F$16:$M$20,8,FALSE)</f>
        <v>7</v>
      </c>
      <c r="K30" s="373">
        <f>VLOOKUP(F30,$F$16:$M$20,6,FALSE)</f>
        <v>6</v>
      </c>
      <c r="L30" s="373">
        <f>VLOOKUP(F30,$F$16:$M$20,7,FALSE)</f>
        <v>2</v>
      </c>
      <c r="M30" s="373">
        <f>K30-L30</f>
        <v>4</v>
      </c>
      <c r="N30" s="370"/>
      <c r="O30" s="370" t="str">
        <f>IF(AND(J30=J31,M30=M31,K31&gt;K30),F31,F30)</f>
        <v>México</v>
      </c>
      <c r="P30" s="373">
        <f>VLOOKUP(O30,$F$30:$M$34,5,FALSE)</f>
        <v>7</v>
      </c>
      <c r="Q30" s="373">
        <f>VLOOKUP(O30,$F$30:$M$34,8,FALSE)</f>
        <v>4</v>
      </c>
      <c r="R30" s="373">
        <f>VLOOKUP(O30,$F$30:$M$34,6,FALSE)</f>
        <v>6</v>
      </c>
      <c r="S30" s="370" t="str">
        <f>IF(AND(P30=P32,Q30=Q32,R32&gt;R30),O32,O30)</f>
        <v>México</v>
      </c>
      <c r="T30" s="373">
        <f>VLOOKUP(S30,$O$30:$R$34,2,FALSE)</f>
        <v>7</v>
      </c>
      <c r="U30" s="373">
        <f>VLOOKUP(S30,$O$30:$R$34,3,FALSE)</f>
        <v>4</v>
      </c>
      <c r="V30" s="373">
        <f>VLOOKUP(S30,$O$30:$R$34,4,FALSE)</f>
        <v>6</v>
      </c>
      <c r="W30" s="370" t="str">
        <f>IF(AND(T30=T33,U30=U33,V33&gt;V30),S33,S30)</f>
        <v>México</v>
      </c>
      <c r="X30" s="373">
        <f>VLOOKUP(W30,$S$30:$V$34,2,FALSE)</f>
        <v>7</v>
      </c>
      <c r="Y30" s="373">
        <f>VLOOKUP(W30,$S$30:$V$34,3,FALSE)</f>
        <v>4</v>
      </c>
      <c r="Z30" s="373">
        <f>VLOOKUP(W30,$S$30:$V$34,4,FALSE)</f>
        <v>6</v>
      </c>
      <c r="AA30" s="370" t="str">
        <f>W30</f>
        <v>México</v>
      </c>
      <c r="AB30" s="373">
        <f>VLOOKUP(AA30,W30:Z34,2,FALSE)</f>
        <v>7</v>
      </c>
      <c r="AC30" s="373">
        <f>VLOOKUP(AA30,W30:Z34,3,FALSE)</f>
        <v>4</v>
      </c>
      <c r="AD30" s="373">
        <f>VLOOKUP(AA30,W30:Z34,4,FALSE)</f>
        <v>6</v>
      </c>
      <c r="AE30" s="370" t="str">
        <f>AA30</f>
        <v>México</v>
      </c>
      <c r="AF30" s="373">
        <f>VLOOKUP(AE30,AA30:AD34,2,FALSE)</f>
        <v>7</v>
      </c>
      <c r="AG30" s="373">
        <f>VLOOKUP(AE30,AA30:AD34,3,FALSE)</f>
        <v>4</v>
      </c>
      <c r="AH30" s="373">
        <f>VLOOKUP(AE30,AA30:AD34,4,FALSE)</f>
        <v>6</v>
      </c>
      <c r="AI30" s="370" t="str">
        <f>AE30</f>
        <v>México</v>
      </c>
      <c r="AJ30" s="373">
        <f>VLOOKUP(AI30,AE30:AH34,2,FALSE)</f>
        <v>7</v>
      </c>
      <c r="AK30" s="373">
        <f>VLOOKUP(AI30,AE30:AH34,3,FALSE)</f>
        <v>4</v>
      </c>
      <c r="AL30" s="373">
        <f>VLOOKUP(AI30,AE30:AH34,4,FALSE)</f>
        <v>6</v>
      </c>
      <c r="AM30" s="370"/>
      <c r="AN30" s="373">
        <f>(AJ30*1000)+(AK30*100)+AL30</f>
        <v>7406</v>
      </c>
      <c r="AO30" s="375">
        <f>IF($AN30=$AN31,VLOOKUP($AI30&amp;$AI31,$AN$2:$AO$13,2,0),0)</f>
        <v>0</v>
      </c>
      <c r="AP30" s="370">
        <f>IF(AO30=$AI30,1,0)</f>
        <v>0</v>
      </c>
      <c r="AQ30" s="375"/>
      <c r="AR30" s="370"/>
      <c r="AS30" s="375">
        <f>IF($AN30=$AN32,VLOOKUP($AI30&amp;$AI32,$AN$2:$AO$13,2,0),0)</f>
        <v>0</v>
      </c>
      <c r="AT30" s="370">
        <f>IF(AS30=$AI30,1,0)</f>
        <v>0</v>
      </c>
      <c r="AU30" s="370"/>
      <c r="AV30" s="370">
        <f>SUM(AN30,AP30,AR30,AT30)</f>
        <v>7406</v>
      </c>
      <c r="AW30" s="373">
        <f>RANK(AV30,$AV$30:$AV$33,0)</f>
        <v>1</v>
      </c>
      <c r="AX30" s="370" t="str">
        <f>AI30</f>
        <v>México</v>
      </c>
      <c r="AY30" s="336"/>
      <c r="AZ30" s="336"/>
      <c r="BA30" s="336"/>
      <c r="BB30" s="336"/>
      <c r="BC30" s="336"/>
    </row>
    <row r="31" spans="1:55" x14ac:dyDescent="0.2">
      <c r="A31" s="370"/>
      <c r="B31" s="370"/>
      <c r="C31" s="370"/>
      <c r="D31" s="370"/>
      <c r="E31" s="370"/>
      <c r="F31" s="370" t="str">
        <f>AI24</f>
        <v>República Checa</v>
      </c>
      <c r="G31" s="370"/>
      <c r="H31" s="370"/>
      <c r="I31" s="370"/>
      <c r="J31" s="373">
        <f>VLOOKUP(F31,$F$16:$M$20,8,FALSE)</f>
        <v>6</v>
      </c>
      <c r="K31" s="373">
        <f>VLOOKUP(F31,$F$16:$M$20,6,FALSE)</f>
        <v>5</v>
      </c>
      <c r="L31" s="373">
        <f>VLOOKUP(F31,$F$16:$M$20,7,FALSE)</f>
        <v>3</v>
      </c>
      <c r="M31" s="373">
        <f>K31-L31</f>
        <v>2</v>
      </c>
      <c r="N31" s="370"/>
      <c r="O31" s="370" t="str">
        <f>IF(AND(J30=J31,M30=M31,K31&gt;K30),F30,F31)</f>
        <v>República Checa</v>
      </c>
      <c r="P31" s="373">
        <f>VLOOKUP(O31,$F$30:$M$34,5,FALSE)</f>
        <v>6</v>
      </c>
      <c r="Q31" s="373">
        <f>VLOOKUP(O31,$F$30:$M$34,8,FALSE)</f>
        <v>2</v>
      </c>
      <c r="R31" s="373">
        <f>VLOOKUP(O31,$F$30:$M$34,6,FALSE)</f>
        <v>5</v>
      </c>
      <c r="S31" s="370" t="str">
        <f>O31</f>
        <v>República Checa</v>
      </c>
      <c r="T31" s="373">
        <f>VLOOKUP(S31,$O$30:$R$34,2,FALSE)</f>
        <v>6</v>
      </c>
      <c r="U31" s="373">
        <f>VLOOKUP(S31,$O$30:$R$34,3,FALSE)</f>
        <v>2</v>
      </c>
      <c r="V31" s="373">
        <f>VLOOKUP(S31,$O$30:$R$34,4,FALSE)</f>
        <v>5</v>
      </c>
      <c r="W31" s="370" t="str">
        <f>S31</f>
        <v>República Checa</v>
      </c>
      <c r="X31" s="373">
        <f>VLOOKUP(W31,$S$30:$V$34,2,FALSE)</f>
        <v>6</v>
      </c>
      <c r="Y31" s="373">
        <f>VLOOKUP(W31,$S$30:$V$34,3,FALSE)</f>
        <v>2</v>
      </c>
      <c r="Z31" s="373">
        <f>VLOOKUP(W31,$S$30:$V$34,4,FALSE)</f>
        <v>5</v>
      </c>
      <c r="AA31" s="370" t="str">
        <f>IF(AND(X31=X32,Y31=Y32,Z32&gt;Z31),W32,W31)</f>
        <v>República Checa</v>
      </c>
      <c r="AB31" s="373">
        <f>VLOOKUP(AA31,W30:Z34,2,FALSE)</f>
        <v>6</v>
      </c>
      <c r="AC31" s="373">
        <f>VLOOKUP(AA31,W30:Z34,3,FALSE)</f>
        <v>2</v>
      </c>
      <c r="AD31" s="373">
        <f>VLOOKUP(AA31,W30:Z34,4,FALSE)</f>
        <v>5</v>
      </c>
      <c r="AE31" s="370" t="str">
        <f>IF(AND(AB31=AB33,AC31=AC33,AD33&gt;AD31),AA33,AA31)</f>
        <v>República Checa</v>
      </c>
      <c r="AF31" s="373">
        <f>VLOOKUP(AE31,AA30:AD34,2,FALSE)</f>
        <v>6</v>
      </c>
      <c r="AG31" s="373">
        <f>VLOOKUP(AE31,AA30:AD34,3,FALSE)</f>
        <v>2</v>
      </c>
      <c r="AH31" s="373">
        <f>VLOOKUP(AE31,AA30:AD34,4,FALSE)</f>
        <v>5</v>
      </c>
      <c r="AI31" s="370" t="str">
        <f>AE31</f>
        <v>República Checa</v>
      </c>
      <c r="AJ31" s="373">
        <f>VLOOKUP(AI31,AE30:AH34,2,FALSE)</f>
        <v>6</v>
      </c>
      <c r="AK31" s="373">
        <f>VLOOKUP(AI31,AE30:AH34,3,FALSE)</f>
        <v>2</v>
      </c>
      <c r="AL31" s="373">
        <f>VLOOKUP(AI31,AE30:AH34,4,FALSE)</f>
        <v>5</v>
      </c>
      <c r="AM31" s="370"/>
      <c r="AN31" s="373">
        <f t="shared" ref="AN31:AN33" si="36">(AJ31*1000)+(AK31*100)+AL31</f>
        <v>6205</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6205</v>
      </c>
      <c r="AW31" s="373">
        <f t="shared" ref="AW31:AW33" si="38">RANK(AV31,$AV$30:$AV$33,0)</f>
        <v>2</v>
      </c>
      <c r="AX31" s="370" t="str">
        <f t="shared" ref="AX31:AX33" si="39">AI31</f>
        <v>República Checa</v>
      </c>
      <c r="AY31" s="336"/>
      <c r="AZ31" s="336"/>
      <c r="BA31" s="336"/>
      <c r="BB31" s="336"/>
      <c r="BC31" s="336"/>
    </row>
    <row r="32" spans="1:55" x14ac:dyDescent="0.2">
      <c r="A32" s="370"/>
      <c r="B32" s="370"/>
      <c r="C32" s="370"/>
      <c r="D32" s="370"/>
      <c r="E32" s="370"/>
      <c r="F32" s="370" t="str">
        <f>AI25</f>
        <v>Korea</v>
      </c>
      <c r="G32" s="370"/>
      <c r="H32" s="370"/>
      <c r="I32" s="370"/>
      <c r="J32" s="373">
        <f>VLOOKUP(F32,$F$16:$M$20,8,FALSE)</f>
        <v>4</v>
      </c>
      <c r="K32" s="373">
        <f>VLOOKUP(F32,$F$16:$M$20,6,FALSE)</f>
        <v>3</v>
      </c>
      <c r="L32" s="373">
        <f>VLOOKUP(F32,$F$16:$M$20,7,FALSE)</f>
        <v>3</v>
      </c>
      <c r="M32" s="373">
        <f>K32-L32</f>
        <v>0</v>
      </c>
      <c r="N32" s="370"/>
      <c r="O32" s="370" t="str">
        <f>F32</f>
        <v>Korea</v>
      </c>
      <c r="P32" s="373">
        <f>VLOOKUP(O32,$F$30:$M$34,5,FALSE)</f>
        <v>4</v>
      </c>
      <c r="Q32" s="373">
        <f>VLOOKUP(O32,$F$30:$M$34,8,FALSE)</f>
        <v>0</v>
      </c>
      <c r="R32" s="373">
        <f>VLOOKUP(O32,$F$30:$M$34,6,FALSE)</f>
        <v>3</v>
      </c>
      <c r="S32" s="370" t="str">
        <f>IF(AND(P30=P32,Q30=Q32,R32&gt;R30),O30,O32)</f>
        <v>Korea</v>
      </c>
      <c r="T32" s="373">
        <f>VLOOKUP(S32,$O$30:$R$34,2,FALSE)</f>
        <v>4</v>
      </c>
      <c r="U32" s="373">
        <f>VLOOKUP(S32,$O$30:$R$34,3,FALSE)</f>
        <v>0</v>
      </c>
      <c r="V32" s="373">
        <f>VLOOKUP(S32,$O$30:$R$34,4,FALSE)</f>
        <v>3</v>
      </c>
      <c r="W32" s="370" t="str">
        <f>S32</f>
        <v>Korea</v>
      </c>
      <c r="X32" s="373">
        <f>VLOOKUP(W32,$S$30:$V$34,2,FALSE)</f>
        <v>4</v>
      </c>
      <c r="Y32" s="373">
        <f>VLOOKUP(W32,$S$30:$V$34,3,FALSE)</f>
        <v>0</v>
      </c>
      <c r="Z32" s="373">
        <f>VLOOKUP(W32,$S$30:$V$34,4,FALSE)</f>
        <v>3</v>
      </c>
      <c r="AA32" s="370" t="str">
        <f>IF(AND(X31=X32,Y31=Y32,Z32&gt;Z31),W31,W32)</f>
        <v>Korea</v>
      </c>
      <c r="AB32" s="373">
        <f>VLOOKUP(AA32,W30:Z34,2,FALSE)</f>
        <v>4</v>
      </c>
      <c r="AC32" s="373">
        <f>VLOOKUP(AA32,W30:Z34,3,FALSE)</f>
        <v>0</v>
      </c>
      <c r="AD32" s="373">
        <f>VLOOKUP(AA32,W30:Z34,4,FALSE)</f>
        <v>3</v>
      </c>
      <c r="AE32" s="370" t="str">
        <f>AA32</f>
        <v>Korea</v>
      </c>
      <c r="AF32" s="373">
        <f>VLOOKUP(AE32,AA30:AD34,2,FALSE)</f>
        <v>4</v>
      </c>
      <c r="AG32" s="373">
        <f>VLOOKUP(AE32,AA30:AD34,3,FALSE)</f>
        <v>0</v>
      </c>
      <c r="AH32" s="373">
        <f>VLOOKUP(AE32,AA30:AD34,4,FALSE)</f>
        <v>3</v>
      </c>
      <c r="AI32" s="370" t="str">
        <f>IF(AND(AF32=AF33,AG32=AG33,AH33&gt;AH32),AE33,AE32)</f>
        <v>Korea</v>
      </c>
      <c r="AJ32" s="373">
        <f>VLOOKUP(AI32,AE30:AH34,2,FALSE)</f>
        <v>4</v>
      </c>
      <c r="AK32" s="373">
        <f>VLOOKUP(AI32,AE30:AH34,3,FALSE)</f>
        <v>0</v>
      </c>
      <c r="AL32" s="373">
        <f>VLOOKUP(AI32,AE30:AH34,4,FALSE)</f>
        <v>3</v>
      </c>
      <c r="AM32" s="370"/>
      <c r="AN32" s="373">
        <f t="shared" si="36"/>
        <v>4003</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4003</v>
      </c>
      <c r="AW32" s="373">
        <f t="shared" si="38"/>
        <v>3</v>
      </c>
      <c r="AX32" s="370" t="str">
        <f t="shared" si="39"/>
        <v>Korea</v>
      </c>
      <c r="AY32" s="336"/>
      <c r="AZ32" s="336"/>
      <c r="BA32" s="336"/>
      <c r="BB32" s="336"/>
      <c r="BC32" s="336"/>
    </row>
    <row r="33" spans="1:55" x14ac:dyDescent="0.2">
      <c r="A33" s="370"/>
      <c r="B33" s="370"/>
      <c r="C33" s="370"/>
      <c r="D33" s="370"/>
      <c r="E33" s="370"/>
      <c r="F33" s="370" t="str">
        <f>AI26</f>
        <v>Sudáfrica</v>
      </c>
      <c r="G33" s="370"/>
      <c r="H33" s="370"/>
      <c r="I33" s="370"/>
      <c r="J33" s="373">
        <f>VLOOKUP(F33,$F$16:$M$20,8,FALSE)</f>
        <v>0</v>
      </c>
      <c r="K33" s="373">
        <f>VLOOKUP(F33,$F$16:$M$20,6,FALSE)</f>
        <v>1</v>
      </c>
      <c r="L33" s="373">
        <f>VLOOKUP(F33,$F$16:$M$20,7,FALSE)</f>
        <v>7</v>
      </c>
      <c r="M33" s="373">
        <f>K33-L33</f>
        <v>-6</v>
      </c>
      <c r="N33" s="370"/>
      <c r="O33" s="370" t="str">
        <f>F33</f>
        <v>Sudáfrica</v>
      </c>
      <c r="P33" s="373">
        <f>VLOOKUP(O33,$F$30:$M$34,5,FALSE)</f>
        <v>0</v>
      </c>
      <c r="Q33" s="373">
        <f>VLOOKUP(O33,$F$30:$M$34,8,FALSE)</f>
        <v>-6</v>
      </c>
      <c r="R33" s="373">
        <f>VLOOKUP(O33,$F$30:$M$34,6,FALSE)</f>
        <v>1</v>
      </c>
      <c r="S33" s="370" t="str">
        <f>O33</f>
        <v>Sudáfrica</v>
      </c>
      <c r="T33" s="373">
        <f>VLOOKUP(S33,$O$30:$R$34,2,FALSE)</f>
        <v>0</v>
      </c>
      <c r="U33" s="373">
        <f>VLOOKUP(S33,$O$30:$R$34,3,FALSE)</f>
        <v>-6</v>
      </c>
      <c r="V33" s="373">
        <f>VLOOKUP(S33,$O$30:$R$34,4,FALSE)</f>
        <v>1</v>
      </c>
      <c r="W33" s="370" t="str">
        <f>IF(AND(T30=T33,U30=U33,V33&gt;V30),S30,S33)</f>
        <v>Sudáfrica</v>
      </c>
      <c r="X33" s="373">
        <f>VLOOKUP(W33,$S$30:$V$34,2,FALSE)</f>
        <v>0</v>
      </c>
      <c r="Y33" s="373">
        <f>VLOOKUP(W33,$S$30:$V$34,3,FALSE)</f>
        <v>-6</v>
      </c>
      <c r="Z33" s="373">
        <f>VLOOKUP(W33,$S$30:$V$34,4,FALSE)</f>
        <v>1</v>
      </c>
      <c r="AA33" s="370" t="str">
        <f>W33</f>
        <v>Sudáfrica</v>
      </c>
      <c r="AB33" s="373">
        <f>VLOOKUP(AA33,W30:Z34,2,FALSE)</f>
        <v>0</v>
      </c>
      <c r="AC33" s="373">
        <f>VLOOKUP(AA33,W30:Z34,3,FALSE)</f>
        <v>-6</v>
      </c>
      <c r="AD33" s="373">
        <f>VLOOKUP(AA33,W30:Z34,4,FALSE)</f>
        <v>1</v>
      </c>
      <c r="AE33" s="370" t="str">
        <f>IF(AND(AB31=AB33,AC31=AC33,AD33&gt;AD31),AA31,AA33)</f>
        <v>Sudáfrica</v>
      </c>
      <c r="AF33" s="373">
        <f>VLOOKUP(AE33,AA30:AD34,2,FALSE)</f>
        <v>0</v>
      </c>
      <c r="AG33" s="373">
        <f>VLOOKUP(AE33,AA30:AD34,3,FALSE)</f>
        <v>-6</v>
      </c>
      <c r="AH33" s="373">
        <f>VLOOKUP(AE33,AA30:AD34,4,FALSE)</f>
        <v>1</v>
      </c>
      <c r="AI33" s="370" t="str">
        <f>IF(AND(AF32=AF33,AG32=AG33,AH33&gt;AH32),AE32,AE33)</f>
        <v>Sudáfrica</v>
      </c>
      <c r="AJ33" s="373">
        <f>VLOOKUP(AI33,AE30:AH34,2,FALSE)</f>
        <v>0</v>
      </c>
      <c r="AK33" s="373">
        <f>VLOOKUP(AI33,AE30:AH34,3,FALSE)</f>
        <v>-6</v>
      </c>
      <c r="AL33" s="373">
        <f>VLOOKUP(AI33,AE30:AH34,4,FALSE)</f>
        <v>1</v>
      </c>
      <c r="AM33" s="370"/>
      <c r="AN33" s="373">
        <f t="shared" si="36"/>
        <v>-599</v>
      </c>
      <c r="AO33" s="375"/>
      <c r="AP33" s="370"/>
      <c r="AQ33" s="375"/>
      <c r="AR33" s="370"/>
      <c r="AS33" s="375"/>
      <c r="AT33" s="370"/>
      <c r="AU33" s="370"/>
      <c r="AV33" s="370">
        <f t="shared" si="37"/>
        <v>-599</v>
      </c>
      <c r="AW33" s="373">
        <f t="shared" si="38"/>
        <v>4</v>
      </c>
      <c r="AX33" s="370" t="str">
        <f t="shared" si="39"/>
        <v>Sudáfrica</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México</v>
      </c>
      <c r="G37" s="373">
        <f>VLOOKUP(F37,$F$16:$M$20,2,FALSE)</f>
        <v>3</v>
      </c>
      <c r="H37" s="373">
        <f>VLOOKUP(F37,$F$16:$M$20,3,FALSE)</f>
        <v>2</v>
      </c>
      <c r="I37" s="373">
        <f>VLOOKUP(F37,$F$16:$M$20,4,FALSE)</f>
        <v>1</v>
      </c>
      <c r="J37" s="373">
        <f>VLOOKUP(F37,$F$16:$M$20,5,FALSE)</f>
        <v>0</v>
      </c>
      <c r="K37" s="373">
        <f>VLOOKUP(F37,$F$16:$M$20,6,FALSE)</f>
        <v>6</v>
      </c>
      <c r="L37" s="373">
        <f>VLOOKUP(F37,$F$16:$M$20,7,FALSE)</f>
        <v>2</v>
      </c>
      <c r="M37" s="373">
        <f>VLOOKUP(F37,$F$16:$M$20,8,FALSE)</f>
        <v>7</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República Checa</v>
      </c>
      <c r="G38" s="373">
        <f>VLOOKUP(F38,$F$16:$M$20,2,FALSE)</f>
        <v>3</v>
      </c>
      <c r="H38" s="373">
        <f>VLOOKUP(F38,$F$16:$M$20,3,FALSE)</f>
        <v>2</v>
      </c>
      <c r="I38" s="373">
        <f>VLOOKUP(F38,$F$16:$M$20,4,FALSE)</f>
        <v>0</v>
      </c>
      <c r="J38" s="373">
        <f>VLOOKUP(F38,$F$16:$M$20,5,FALSE)</f>
        <v>1</v>
      </c>
      <c r="K38" s="373">
        <f>VLOOKUP(F38,$F$16:$M$20,6,FALSE)</f>
        <v>5</v>
      </c>
      <c r="L38" s="373">
        <f>VLOOKUP(F38,$F$16:$M$20,7,FALSE)</f>
        <v>3</v>
      </c>
      <c r="M38" s="373">
        <f>VLOOKUP(F38,$F$16:$M$20,8,FALSE)</f>
        <v>6</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Korea</v>
      </c>
      <c r="G39" s="373">
        <f>VLOOKUP(F39,$F$16:$M$20,2,FALSE)</f>
        <v>3</v>
      </c>
      <c r="H39" s="373">
        <f>VLOOKUP(F39,$F$16:$M$20,3,FALSE)</f>
        <v>1</v>
      </c>
      <c r="I39" s="373">
        <f>VLOOKUP(F39,$F$16:$M$20,4,FALSE)</f>
        <v>1</v>
      </c>
      <c r="J39" s="373">
        <f>VLOOKUP(F39,$F$16:$M$20,5,FALSE)</f>
        <v>1</v>
      </c>
      <c r="K39" s="373">
        <f>VLOOKUP(F39,$F$16:$M$20,6,FALSE)</f>
        <v>3</v>
      </c>
      <c r="L39" s="373">
        <f>VLOOKUP(F39,$F$16:$M$20,7,FALSE)</f>
        <v>3</v>
      </c>
      <c r="M39" s="373">
        <f>VLOOKUP(F39,$F$16:$M$20,8,FALSE)</f>
        <v>4</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Sudáfrica</v>
      </c>
      <c r="G40" s="373">
        <f>VLOOKUP(F40,$F$16:$M$20,2,FALSE)</f>
        <v>3</v>
      </c>
      <c r="H40" s="373">
        <f>VLOOKUP(F40,$F$16:$M$20,3,FALSE)</f>
        <v>0</v>
      </c>
      <c r="I40" s="373">
        <f>VLOOKUP(F40,$F$16:$M$20,4,FALSE)</f>
        <v>0</v>
      </c>
      <c r="J40" s="373">
        <f>VLOOKUP(F40,$F$16:$M$20,5,FALSE)</f>
        <v>3</v>
      </c>
      <c r="K40" s="373">
        <f>VLOOKUP(F40,$F$16:$M$20,6,FALSE)</f>
        <v>1</v>
      </c>
      <c r="L40" s="373">
        <f>VLOOKUP(F40,$F$16:$M$20,7,FALSE)</f>
        <v>7</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vHoBG29tKVH5ywhOWUMqFJSF4bNp1fm/3H6WTQS54F4p1sGCwcq5YfiXv+Heuyi+9wbdFsnfjU7ttyRBAnaGDw==" saltValue="sreRlLftcrxjZNKXhawCaA==" spinCount="100000" sheet="1" objects="1" scenarios="1" selectLockedCells="1"/>
  <mergeCells count="1">
    <mergeCell ref="A2:E2"/>
  </mergeCells>
  <phoneticPr fontId="20" type="noConversion"/>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6"/>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B -'!R7&lt;&gt;"",'- B -'!R7,"")</f>
        <v>Canadá</v>
      </c>
      <c r="H2" s="370"/>
      <c r="I2" s="370"/>
      <c r="J2" s="370"/>
      <c r="K2" s="370"/>
      <c r="L2" s="370"/>
      <c r="M2" s="370"/>
      <c r="N2" s="370" t="str">
        <f>IF('- B -'!R9&lt;&gt;"",'- B -'!R9,"")</f>
        <v>Bosnia</v>
      </c>
      <c r="O2" s="370"/>
      <c r="P2" s="370"/>
      <c r="Q2" s="370"/>
      <c r="R2" s="370"/>
      <c r="S2" s="370"/>
      <c r="T2" s="370"/>
      <c r="U2" s="370" t="str">
        <f>IF('- B -'!R11&lt;&gt;"",'- B -'!R11,"")</f>
        <v>Suiza</v>
      </c>
      <c r="V2" s="370"/>
      <c r="W2" s="370"/>
      <c r="X2" s="370"/>
      <c r="Y2" s="370"/>
      <c r="Z2" s="370"/>
      <c r="AA2" s="370"/>
      <c r="AB2" s="370" t="str">
        <f>IF('- B -'!R13&lt;&gt;"",'- B -'!R13,"")</f>
        <v>Catar</v>
      </c>
      <c r="AC2" s="370"/>
      <c r="AD2" s="370"/>
      <c r="AE2" s="370"/>
      <c r="AF2" s="370"/>
      <c r="AG2" s="370"/>
      <c r="AH2" s="370"/>
      <c r="AI2" s="370"/>
      <c r="AJ2" s="370"/>
      <c r="AK2" s="370"/>
      <c r="AL2" s="370"/>
      <c r="AM2" s="370"/>
      <c r="AN2" s="374" t="str">
        <f t="shared" ref="AN2:AN7" si="0">A4&amp;E4</f>
        <v>CanadáBosnia</v>
      </c>
      <c r="AO2" s="371" t="str">
        <f t="shared" ref="AO2:AO7" si="1">IF(B4=D4,0,IF(B4&gt;D4,A4,E4))</f>
        <v>Canadá</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CatarSuiza</v>
      </c>
      <c r="AO3" s="371" t="str">
        <f t="shared" si="1"/>
        <v>Suiza</v>
      </c>
      <c r="AP3" s="370"/>
      <c r="AQ3" s="370"/>
      <c r="AR3" s="370"/>
      <c r="AS3" s="370"/>
      <c r="AT3" s="370"/>
      <c r="AU3" s="370"/>
      <c r="AV3" s="370"/>
      <c r="AW3" s="370"/>
      <c r="AX3" s="370"/>
      <c r="AY3" s="336"/>
      <c r="AZ3" s="336"/>
      <c r="BA3" s="336"/>
      <c r="BB3" s="336"/>
      <c r="BC3" s="336"/>
    </row>
    <row r="4" spans="1:55" x14ac:dyDescent="0.2">
      <c r="A4" s="375" t="str">
        <f>'- B -'!C6</f>
        <v>Canadá</v>
      </c>
      <c r="B4" s="373">
        <f>IF('- B -'!D6&lt;&gt;"",'- B -'!D6,"")</f>
        <v>2</v>
      </c>
      <c r="C4" s="373" t="str">
        <f>'- B -'!E6</f>
        <v>-</v>
      </c>
      <c r="D4" s="373">
        <f>IF('- B -'!F6&lt;&gt;"",'- B -'!F6,"")</f>
        <v>0</v>
      </c>
      <c r="E4" s="376" t="str">
        <f>'- B -'!G6</f>
        <v>Bosnia</v>
      </c>
      <c r="F4" s="373">
        <f>COUNTBLANK('- B -'!D6:'- B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2</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2</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SuizaBosnia</v>
      </c>
      <c r="AO4" s="371" t="str">
        <f t="shared" si="1"/>
        <v>Suiza</v>
      </c>
      <c r="AP4" s="370"/>
      <c r="AQ4" s="370"/>
      <c r="AR4" s="370"/>
      <c r="AS4" s="370"/>
      <c r="AT4" s="370"/>
      <c r="AU4" s="370"/>
      <c r="AV4" s="370"/>
      <c r="AW4" s="370"/>
      <c r="AX4" s="370"/>
      <c r="AY4" s="336"/>
      <c r="AZ4" s="336"/>
      <c r="BA4" s="336"/>
      <c r="BB4" s="336"/>
      <c r="BC4" s="336"/>
    </row>
    <row r="5" spans="1:55" x14ac:dyDescent="0.2">
      <c r="A5" s="375" t="str">
        <f>'- B -'!C7</f>
        <v>Catar</v>
      </c>
      <c r="B5" s="373">
        <f>IF('- B -'!D7&lt;&gt;"",'- B -'!D7,"")</f>
        <v>0</v>
      </c>
      <c r="C5" s="373" t="str">
        <f>'- B -'!E7</f>
        <v>-</v>
      </c>
      <c r="D5" s="373">
        <f>IF('- B -'!F7&lt;&gt;"",'- B -'!F7,"")</f>
        <v>3</v>
      </c>
      <c r="E5" s="376" t="str">
        <f>'- B -'!G7</f>
        <v>Suiza</v>
      </c>
      <c r="F5" s="373">
        <f>COUNTBLANK('- B -'!D7:'- B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1</v>
      </c>
      <c r="W5" s="373">
        <f t="shared" si="16"/>
        <v>0</v>
      </c>
      <c r="X5" s="373">
        <f t="shared" si="17"/>
        <v>0</v>
      </c>
      <c r="Y5" s="373">
        <f t="shared" si="18"/>
        <v>3</v>
      </c>
      <c r="Z5" s="373">
        <f t="shared" si="19"/>
        <v>0</v>
      </c>
      <c r="AA5" s="373"/>
      <c r="AB5" s="373">
        <f t="shared" si="20"/>
        <v>1</v>
      </c>
      <c r="AC5" s="373">
        <f t="shared" si="21"/>
        <v>0</v>
      </c>
      <c r="AD5" s="373">
        <f t="shared" si="22"/>
        <v>0</v>
      </c>
      <c r="AE5" s="373">
        <f t="shared" si="23"/>
        <v>1</v>
      </c>
      <c r="AF5" s="373">
        <f t="shared" si="24"/>
        <v>0</v>
      </c>
      <c r="AG5" s="373">
        <f t="shared" si="25"/>
        <v>3</v>
      </c>
      <c r="AH5" s="373"/>
      <c r="AI5" s="370"/>
      <c r="AJ5" s="370"/>
      <c r="AK5" s="370"/>
      <c r="AL5" s="370"/>
      <c r="AM5" s="370"/>
      <c r="AN5" s="374" t="str">
        <f t="shared" si="0"/>
        <v>CanadáCatar</v>
      </c>
      <c r="AO5" s="371">
        <f t="shared" si="1"/>
        <v>0</v>
      </c>
      <c r="AP5" s="370"/>
      <c r="AQ5" s="370"/>
      <c r="AR5" s="370"/>
      <c r="AS5" s="370"/>
      <c r="AT5" s="370"/>
      <c r="AU5" s="370"/>
      <c r="AV5" s="370"/>
      <c r="AW5" s="370"/>
      <c r="AX5" s="370"/>
      <c r="AY5" s="336"/>
      <c r="AZ5" s="336"/>
      <c r="BA5" s="336"/>
      <c r="BB5" s="336"/>
      <c r="BC5" s="336"/>
    </row>
    <row r="6" spans="1:55" x14ac:dyDescent="0.2">
      <c r="A6" s="375" t="str">
        <f>'- B -'!C8</f>
        <v>Suiza</v>
      </c>
      <c r="B6" s="373">
        <f>IF('- B -'!D8&lt;&gt;"",'- B -'!D8,"")</f>
        <v>1</v>
      </c>
      <c r="C6" s="373" t="str">
        <f>'- B -'!E8</f>
        <v>-</v>
      </c>
      <c r="D6" s="373">
        <f>IF('- B -'!F8&lt;&gt;"",'- B -'!F8,"")</f>
        <v>0</v>
      </c>
      <c r="E6" s="376" t="str">
        <f>'- B -'!G8</f>
        <v>Bosnia</v>
      </c>
      <c r="F6" s="373">
        <f>COUNTBLANK('- B -'!D8:'- B -'!F8)</f>
        <v>0</v>
      </c>
      <c r="G6" s="373">
        <f t="shared" si="2"/>
        <v>0</v>
      </c>
      <c r="H6" s="373">
        <f t="shared" si="3"/>
        <v>0</v>
      </c>
      <c r="I6" s="373">
        <f t="shared" si="4"/>
        <v>0</v>
      </c>
      <c r="J6" s="373">
        <f t="shared" si="5"/>
        <v>0</v>
      </c>
      <c r="K6" s="373">
        <f t="shared" si="6"/>
        <v>0</v>
      </c>
      <c r="L6" s="373">
        <f t="shared" si="7"/>
        <v>0</v>
      </c>
      <c r="M6" s="373"/>
      <c r="N6" s="373">
        <f t="shared" si="8"/>
        <v>1</v>
      </c>
      <c r="O6" s="373">
        <f t="shared" si="9"/>
        <v>0</v>
      </c>
      <c r="P6" s="373">
        <f t="shared" si="10"/>
        <v>0</v>
      </c>
      <c r="Q6" s="373">
        <f t="shared" si="11"/>
        <v>1</v>
      </c>
      <c r="R6" s="373">
        <f t="shared" si="12"/>
        <v>0</v>
      </c>
      <c r="S6" s="373">
        <f t="shared" si="13"/>
        <v>1</v>
      </c>
      <c r="T6" s="373"/>
      <c r="U6" s="373">
        <f t="shared" si="14"/>
        <v>1</v>
      </c>
      <c r="V6" s="373">
        <f t="shared" si="15"/>
        <v>1</v>
      </c>
      <c r="W6" s="373">
        <f t="shared" si="16"/>
        <v>0</v>
      </c>
      <c r="X6" s="373">
        <f t="shared" si="17"/>
        <v>0</v>
      </c>
      <c r="Y6" s="373">
        <f t="shared" si="18"/>
        <v>1</v>
      </c>
      <c r="Z6" s="373">
        <f t="shared" si="19"/>
        <v>0</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SuizaCanadá</v>
      </c>
      <c r="AO6" s="371">
        <f t="shared" si="1"/>
        <v>0</v>
      </c>
      <c r="AP6" s="370"/>
      <c r="AQ6" s="370"/>
      <c r="AR6" s="370"/>
      <c r="AS6" s="370"/>
      <c r="AT6" s="370"/>
      <c r="AU6" s="370"/>
      <c r="AV6" s="370"/>
      <c r="AW6" s="370"/>
      <c r="AX6" s="370"/>
      <c r="AY6" s="336"/>
      <c r="AZ6" s="336"/>
      <c r="BA6" s="336"/>
      <c r="BB6" s="336"/>
      <c r="BC6" s="336"/>
    </row>
    <row r="7" spans="1:55" x14ac:dyDescent="0.2">
      <c r="A7" s="375" t="str">
        <f>'- B -'!C9</f>
        <v>Canadá</v>
      </c>
      <c r="B7" s="373">
        <f>IF('- B -'!D9&lt;&gt;"",'- B -'!D9,"")</f>
        <v>1</v>
      </c>
      <c r="C7" s="373" t="str">
        <f>'- B -'!E9</f>
        <v>-</v>
      </c>
      <c r="D7" s="373">
        <f>IF('- B -'!F9&lt;&gt;"",'- B -'!F9,"")</f>
        <v>1</v>
      </c>
      <c r="E7" s="376" t="str">
        <f>'- B -'!G9</f>
        <v>Catar</v>
      </c>
      <c r="F7" s="373">
        <f>COUNTBLANK('- B -'!D9:'- B -'!F9)</f>
        <v>0</v>
      </c>
      <c r="G7" s="373">
        <f t="shared" si="2"/>
        <v>1</v>
      </c>
      <c r="H7" s="373">
        <f t="shared" si="3"/>
        <v>0</v>
      </c>
      <c r="I7" s="373">
        <f t="shared" si="4"/>
        <v>1</v>
      </c>
      <c r="J7" s="373">
        <f t="shared" si="5"/>
        <v>0</v>
      </c>
      <c r="K7" s="373">
        <f t="shared" si="6"/>
        <v>1</v>
      </c>
      <c r="L7" s="373">
        <f t="shared" si="7"/>
        <v>1</v>
      </c>
      <c r="M7" s="373"/>
      <c r="N7" s="373">
        <f t="shared" si="8"/>
        <v>0</v>
      </c>
      <c r="O7" s="373">
        <f t="shared" si="9"/>
        <v>0</v>
      </c>
      <c r="P7" s="373">
        <f t="shared" si="10"/>
        <v>0</v>
      </c>
      <c r="Q7" s="373">
        <f t="shared" si="11"/>
        <v>0</v>
      </c>
      <c r="R7" s="373">
        <f t="shared" si="12"/>
        <v>0</v>
      </c>
      <c r="S7" s="373">
        <f t="shared" si="13"/>
        <v>0</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0</v>
      </c>
      <c r="AD7" s="373">
        <f t="shared" si="22"/>
        <v>1</v>
      </c>
      <c r="AE7" s="373">
        <f t="shared" si="23"/>
        <v>0</v>
      </c>
      <c r="AF7" s="373">
        <f t="shared" si="24"/>
        <v>1</v>
      </c>
      <c r="AG7" s="373">
        <f t="shared" si="25"/>
        <v>1</v>
      </c>
      <c r="AH7" s="373"/>
      <c r="AI7" s="370"/>
      <c r="AJ7" s="370"/>
      <c r="AK7" s="370"/>
      <c r="AL7" s="370"/>
      <c r="AM7" s="370"/>
      <c r="AN7" s="374" t="str">
        <f t="shared" si="0"/>
        <v>BosniaCatar</v>
      </c>
      <c r="AO7" s="371" t="str">
        <f t="shared" si="1"/>
        <v>Bosnia</v>
      </c>
      <c r="AP7" s="370"/>
      <c r="AQ7" s="370"/>
      <c r="AR7" s="370"/>
      <c r="AS7" s="370"/>
      <c r="AT7" s="370"/>
      <c r="AU7" s="370"/>
      <c r="AV7" s="370"/>
      <c r="AW7" s="370"/>
      <c r="AX7" s="370"/>
      <c r="AY7" s="336"/>
      <c r="AZ7" s="336"/>
      <c r="BA7" s="336"/>
      <c r="BB7" s="336"/>
      <c r="BC7" s="336"/>
    </row>
    <row r="8" spans="1:55" x14ac:dyDescent="0.2">
      <c r="A8" s="375" t="str">
        <f>'- B -'!C10</f>
        <v>Suiza</v>
      </c>
      <c r="B8" s="373">
        <f>IF('- B -'!D10&lt;&gt;"",'- B -'!D10,"")</f>
        <v>1</v>
      </c>
      <c r="C8" s="373" t="str">
        <f>'- B -'!E10</f>
        <v>-</v>
      </c>
      <c r="D8" s="373">
        <f>IF('- B -'!F10&lt;&gt;"",'- B -'!F10,"")</f>
        <v>1</v>
      </c>
      <c r="E8" s="376" t="str">
        <f>'- B -'!G10</f>
        <v>Canadá</v>
      </c>
      <c r="F8" s="373">
        <f>COUNTBLANK('- B -'!D10:'- B -'!F10)</f>
        <v>0</v>
      </c>
      <c r="G8" s="373">
        <f t="shared" si="2"/>
        <v>1</v>
      </c>
      <c r="H8" s="373">
        <f t="shared" si="3"/>
        <v>0</v>
      </c>
      <c r="I8" s="373">
        <f t="shared" si="4"/>
        <v>1</v>
      </c>
      <c r="J8" s="373">
        <f t="shared" si="5"/>
        <v>0</v>
      </c>
      <c r="K8" s="373">
        <f t="shared" si="6"/>
        <v>1</v>
      </c>
      <c r="L8" s="373">
        <f t="shared" si="7"/>
        <v>1</v>
      </c>
      <c r="M8" s="373"/>
      <c r="N8" s="373">
        <f t="shared" si="8"/>
        <v>0</v>
      </c>
      <c r="O8" s="373">
        <f t="shared" si="9"/>
        <v>0</v>
      </c>
      <c r="P8" s="373">
        <f t="shared" si="10"/>
        <v>0</v>
      </c>
      <c r="Q8" s="373">
        <f t="shared" si="11"/>
        <v>0</v>
      </c>
      <c r="R8" s="373">
        <f t="shared" si="12"/>
        <v>0</v>
      </c>
      <c r="S8" s="373">
        <f t="shared" si="13"/>
        <v>0</v>
      </c>
      <c r="T8" s="373"/>
      <c r="U8" s="373">
        <f t="shared" si="14"/>
        <v>1</v>
      </c>
      <c r="V8" s="373">
        <f t="shared" si="15"/>
        <v>0</v>
      </c>
      <c r="W8" s="373">
        <f t="shared" si="16"/>
        <v>1</v>
      </c>
      <c r="X8" s="373">
        <f t="shared" si="17"/>
        <v>0</v>
      </c>
      <c r="Y8" s="373">
        <f t="shared" si="18"/>
        <v>1</v>
      </c>
      <c r="Z8" s="373">
        <f t="shared" si="19"/>
        <v>1</v>
      </c>
      <c r="AA8" s="373"/>
      <c r="AB8" s="373">
        <f t="shared" si="20"/>
        <v>0</v>
      </c>
      <c r="AC8" s="373">
        <f t="shared" si="21"/>
        <v>0</v>
      </c>
      <c r="AD8" s="373">
        <f t="shared" si="22"/>
        <v>0</v>
      </c>
      <c r="AE8" s="373">
        <f t="shared" si="23"/>
        <v>0</v>
      </c>
      <c r="AF8" s="373">
        <f t="shared" si="24"/>
        <v>0</v>
      </c>
      <c r="AG8" s="373">
        <f t="shared" si="25"/>
        <v>0</v>
      </c>
      <c r="AH8" s="373"/>
      <c r="AI8" s="370"/>
      <c r="AJ8" s="370"/>
      <c r="AK8" s="370"/>
      <c r="AL8" s="370"/>
      <c r="AM8" s="370"/>
      <c r="AN8" s="374" t="str">
        <f>E4&amp;A4</f>
        <v>BosniaCanadá</v>
      </c>
      <c r="AO8" s="371" t="str">
        <f>IF(B4=D4,0,IF(B4&gt;D4,A4,E4))</f>
        <v>Canadá</v>
      </c>
      <c r="AP8" s="370"/>
      <c r="AQ8" s="370"/>
      <c r="AR8" s="370"/>
      <c r="AS8" s="370"/>
      <c r="AT8" s="370"/>
      <c r="AU8" s="370"/>
      <c r="AV8" s="370"/>
      <c r="AW8" s="370"/>
      <c r="AX8" s="370"/>
      <c r="AY8" s="336"/>
      <c r="AZ8" s="336"/>
      <c r="BA8" s="336"/>
      <c r="BB8" s="336"/>
      <c r="BC8" s="336"/>
    </row>
    <row r="9" spans="1:55" x14ac:dyDescent="0.2">
      <c r="A9" s="375" t="str">
        <f>'- B -'!C11</f>
        <v>Bosnia</v>
      </c>
      <c r="B9" s="373">
        <f>IF('- B -'!D11&lt;&gt;"",'- B -'!D11,"")</f>
        <v>3</v>
      </c>
      <c r="C9" s="373" t="str">
        <f>'- B -'!E11</f>
        <v>-</v>
      </c>
      <c r="D9" s="373">
        <f>IF('- B -'!F11&lt;&gt;"",'- B -'!F11,"")</f>
        <v>1</v>
      </c>
      <c r="E9" s="376" t="str">
        <f>'- B -'!G11</f>
        <v>Catar</v>
      </c>
      <c r="F9" s="373">
        <f>COUNTBLANK('- B -'!D11:'- B -'!F11)</f>
        <v>0</v>
      </c>
      <c r="G9" s="373">
        <f t="shared" si="2"/>
        <v>0</v>
      </c>
      <c r="H9" s="373">
        <f t="shared" si="3"/>
        <v>0</v>
      </c>
      <c r="I9" s="373">
        <f t="shared" si="4"/>
        <v>0</v>
      </c>
      <c r="J9" s="373">
        <f t="shared" si="5"/>
        <v>0</v>
      </c>
      <c r="K9" s="373">
        <f t="shared" si="6"/>
        <v>0</v>
      </c>
      <c r="L9" s="373">
        <f t="shared" si="7"/>
        <v>0</v>
      </c>
      <c r="M9" s="373"/>
      <c r="N9" s="373">
        <f t="shared" si="8"/>
        <v>1</v>
      </c>
      <c r="O9" s="373">
        <f t="shared" si="9"/>
        <v>1</v>
      </c>
      <c r="P9" s="373">
        <f t="shared" si="10"/>
        <v>0</v>
      </c>
      <c r="Q9" s="373">
        <f t="shared" si="11"/>
        <v>0</v>
      </c>
      <c r="R9" s="373">
        <f t="shared" si="12"/>
        <v>3</v>
      </c>
      <c r="S9" s="373">
        <f t="shared" si="13"/>
        <v>1</v>
      </c>
      <c r="T9" s="373"/>
      <c r="U9" s="373">
        <f t="shared" si="14"/>
        <v>0</v>
      </c>
      <c r="V9" s="373">
        <f t="shared" si="15"/>
        <v>0</v>
      </c>
      <c r="W9" s="373">
        <f t="shared" si="16"/>
        <v>0</v>
      </c>
      <c r="X9" s="373">
        <f t="shared" si="17"/>
        <v>0</v>
      </c>
      <c r="Y9" s="373">
        <f t="shared" si="18"/>
        <v>0</v>
      </c>
      <c r="Z9" s="373">
        <f t="shared" si="19"/>
        <v>0</v>
      </c>
      <c r="AA9" s="373"/>
      <c r="AB9" s="373">
        <f t="shared" si="20"/>
        <v>1</v>
      </c>
      <c r="AC9" s="373">
        <f t="shared" si="21"/>
        <v>0</v>
      </c>
      <c r="AD9" s="373">
        <f t="shared" si="22"/>
        <v>0</v>
      </c>
      <c r="AE9" s="373">
        <f t="shared" si="23"/>
        <v>1</v>
      </c>
      <c r="AF9" s="373">
        <f t="shared" si="24"/>
        <v>1</v>
      </c>
      <c r="AG9" s="373">
        <f t="shared" si="25"/>
        <v>3</v>
      </c>
      <c r="AH9" s="373"/>
      <c r="AI9" s="370"/>
      <c r="AJ9" s="370"/>
      <c r="AK9" s="370"/>
      <c r="AL9" s="370"/>
      <c r="AM9" s="370"/>
      <c r="AN9" s="374" t="str">
        <f t="shared" ref="AN9:AN13" si="26">E5&amp;A5</f>
        <v>SuizaCatar</v>
      </c>
      <c r="AO9" s="371" t="str">
        <f t="shared" ref="AO9:AO13" si="27">IF(B5=D5,0,IF(B5&gt;D5,A5,E5))</f>
        <v>Suiza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1</v>
      </c>
      <c r="I10" s="373">
        <f t="shared" si="28"/>
        <v>2</v>
      </c>
      <c r="J10" s="373">
        <f t="shared" si="28"/>
        <v>0</v>
      </c>
      <c r="K10" s="373">
        <f t="shared" si="28"/>
        <v>4</v>
      </c>
      <c r="L10" s="373">
        <f t="shared" si="28"/>
        <v>2</v>
      </c>
      <c r="M10" s="373">
        <f>H10*3+I10</f>
        <v>5</v>
      </c>
      <c r="N10" s="373">
        <f t="shared" ref="N10:S10" si="29">SUM(N4:N9)</f>
        <v>3</v>
      </c>
      <c r="O10" s="373">
        <f t="shared" si="29"/>
        <v>1</v>
      </c>
      <c r="P10" s="373">
        <f t="shared" si="29"/>
        <v>0</v>
      </c>
      <c r="Q10" s="373">
        <f t="shared" si="29"/>
        <v>2</v>
      </c>
      <c r="R10" s="373">
        <f t="shared" si="29"/>
        <v>3</v>
      </c>
      <c r="S10" s="373">
        <f t="shared" si="29"/>
        <v>4</v>
      </c>
      <c r="T10" s="373">
        <f>O10*3+P10</f>
        <v>3</v>
      </c>
      <c r="U10" s="373">
        <f t="shared" ref="U10:Z10" si="30">SUM(U4:U9)</f>
        <v>3</v>
      </c>
      <c r="V10" s="373">
        <f t="shared" si="30"/>
        <v>2</v>
      </c>
      <c r="W10" s="373">
        <f t="shared" si="30"/>
        <v>1</v>
      </c>
      <c r="X10" s="373">
        <f t="shared" si="30"/>
        <v>0</v>
      </c>
      <c r="Y10" s="373">
        <f t="shared" si="30"/>
        <v>5</v>
      </c>
      <c r="Z10" s="373">
        <f t="shared" si="30"/>
        <v>1</v>
      </c>
      <c r="AA10" s="373">
        <f>V10*3+W10</f>
        <v>7</v>
      </c>
      <c r="AB10" s="373">
        <f t="shared" ref="AB10:AG10" si="31">SUM(AB4:AB9)</f>
        <v>3</v>
      </c>
      <c r="AC10" s="373">
        <f t="shared" si="31"/>
        <v>0</v>
      </c>
      <c r="AD10" s="373">
        <f t="shared" si="31"/>
        <v>1</v>
      </c>
      <c r="AE10" s="373">
        <f t="shared" si="31"/>
        <v>2</v>
      </c>
      <c r="AF10" s="373">
        <f t="shared" si="31"/>
        <v>2</v>
      </c>
      <c r="AG10" s="373">
        <f t="shared" si="31"/>
        <v>7</v>
      </c>
      <c r="AH10" s="373">
        <f>AC10*3+AD10</f>
        <v>1</v>
      </c>
      <c r="AI10" s="370"/>
      <c r="AJ10" s="370"/>
      <c r="AK10" s="370"/>
      <c r="AL10" s="370"/>
      <c r="AM10" s="370"/>
      <c r="AN10" s="374" t="str">
        <f t="shared" si="26"/>
        <v>BosniaSuiza</v>
      </c>
      <c r="AO10" s="371" t="str">
        <f t="shared" si="27"/>
        <v>Suiza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CatarCanadá</v>
      </c>
      <c r="AO11" s="371">
        <f t="shared" si="27"/>
        <v>0</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CanadáSuiza</v>
      </c>
      <c r="AO12" s="371">
        <f t="shared" si="27"/>
        <v>0</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CatarBosnia</v>
      </c>
      <c r="AO13" s="371" t="str">
        <f t="shared" si="27"/>
        <v>Bosnia</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Canadá</v>
      </c>
      <c r="G16" s="373">
        <f t="shared" ref="G16:M16" si="32">G10</f>
        <v>3</v>
      </c>
      <c r="H16" s="373">
        <f t="shared" si="32"/>
        <v>1</v>
      </c>
      <c r="I16" s="373">
        <f t="shared" si="32"/>
        <v>2</v>
      </c>
      <c r="J16" s="373">
        <f t="shared" si="32"/>
        <v>0</v>
      </c>
      <c r="K16" s="373">
        <f t="shared" si="32"/>
        <v>4</v>
      </c>
      <c r="L16" s="373">
        <f t="shared" si="32"/>
        <v>2</v>
      </c>
      <c r="M16" s="373">
        <f t="shared" si="32"/>
        <v>5</v>
      </c>
      <c r="N16" s="370"/>
      <c r="O16" s="370" t="str">
        <f>IF($M16&gt;=$M17,$F16,$F17)</f>
        <v>Canadá</v>
      </c>
      <c r="P16" s="370">
        <f>VLOOKUP(O16,$F$16:$M$20,8,FALSE)</f>
        <v>5</v>
      </c>
      <c r="Q16" s="370"/>
      <c r="R16" s="370"/>
      <c r="S16" s="370" t="str">
        <f>IF($P16&gt;=$P18,$O16,$O18)</f>
        <v>Suiza</v>
      </c>
      <c r="T16" s="370">
        <f>VLOOKUP(S16,$O$16:$P$20,2,FALSE)</f>
        <v>7</v>
      </c>
      <c r="U16" s="370"/>
      <c r="V16" s="370"/>
      <c r="W16" s="370" t="str">
        <f>IF($T16&gt;=$T19,$S16,$S19)</f>
        <v>Suiza</v>
      </c>
      <c r="X16" s="370">
        <f>VLOOKUP(W16,$S$16:$T$20,2,FALSE)</f>
        <v>7</v>
      </c>
      <c r="Y16" s="370"/>
      <c r="Z16" s="370"/>
      <c r="AA16" s="370" t="str">
        <f>W16</f>
        <v>Suiza</v>
      </c>
      <c r="AB16" s="370">
        <f>VLOOKUP(AA16,W16:X20,2,FALSE)</f>
        <v>7</v>
      </c>
      <c r="AC16" s="370"/>
      <c r="AD16" s="370"/>
      <c r="AE16" s="370" t="str">
        <f>AA16</f>
        <v>Suiza</v>
      </c>
      <c r="AF16" s="370">
        <f>VLOOKUP(AE16,AA16:AB20,2,FALSE)</f>
        <v>7</v>
      </c>
      <c r="AG16" s="370"/>
      <c r="AH16" s="370"/>
      <c r="AI16" s="370" t="str">
        <f>AE16</f>
        <v>Suiza</v>
      </c>
      <c r="AJ16" s="370">
        <f>VLOOKUP(AI16,AE16:AF20,2,FALSE)</f>
        <v>7</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Bosnia</v>
      </c>
      <c r="G17" s="373">
        <f t="shared" ref="G17:M17" si="33">N10</f>
        <v>3</v>
      </c>
      <c r="H17" s="373">
        <f t="shared" si="33"/>
        <v>1</v>
      </c>
      <c r="I17" s="373">
        <f t="shared" si="33"/>
        <v>0</v>
      </c>
      <c r="J17" s="373">
        <f t="shared" si="33"/>
        <v>2</v>
      </c>
      <c r="K17" s="373">
        <f t="shared" si="33"/>
        <v>3</v>
      </c>
      <c r="L17" s="373">
        <f t="shared" si="33"/>
        <v>4</v>
      </c>
      <c r="M17" s="373">
        <f t="shared" si="33"/>
        <v>3</v>
      </c>
      <c r="N17" s="370"/>
      <c r="O17" s="370" t="str">
        <f>IF($M17&lt;=$M16,$F17,$F16)</f>
        <v>Bosnia</v>
      </c>
      <c r="P17" s="370">
        <f>VLOOKUP(O17,$F$16:$M$20,8,FALSE)</f>
        <v>3</v>
      </c>
      <c r="Q17" s="370"/>
      <c r="R17" s="370"/>
      <c r="S17" s="370" t="str">
        <f>O17</f>
        <v>Bosnia</v>
      </c>
      <c r="T17" s="370">
        <f>VLOOKUP(S17,$O$16:$P$20,2,FALSE)</f>
        <v>3</v>
      </c>
      <c r="U17" s="370"/>
      <c r="V17" s="370"/>
      <c r="W17" s="370" t="str">
        <f>S17</f>
        <v>Bosnia</v>
      </c>
      <c r="X17" s="370">
        <f>VLOOKUP(W17,$S$16:$T$20,2,FALSE)</f>
        <v>3</v>
      </c>
      <c r="Y17" s="370"/>
      <c r="Z17" s="370"/>
      <c r="AA17" s="370" t="str">
        <f>IF(X17&gt;=X18,W17,W18)</f>
        <v>Canadá</v>
      </c>
      <c r="AB17" s="370">
        <f>VLOOKUP(AA17,W16:X20,2,FALSE)</f>
        <v>5</v>
      </c>
      <c r="AC17" s="370"/>
      <c r="AD17" s="370"/>
      <c r="AE17" s="370" t="str">
        <f>IF(AB17&gt;=AB19,AA17,AA19)</f>
        <v>Canadá</v>
      </c>
      <c r="AF17" s="370">
        <f>VLOOKUP(AE17,AA16:AB20,2,FALSE)</f>
        <v>5</v>
      </c>
      <c r="AG17" s="370"/>
      <c r="AH17" s="370"/>
      <c r="AI17" s="370" t="str">
        <f>AE17</f>
        <v>Canadá</v>
      </c>
      <c r="AJ17" s="370">
        <f>VLOOKUP(AI17,AE16:AF20,2,FALSE)</f>
        <v>5</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Suiza</v>
      </c>
      <c r="G18" s="373">
        <f t="shared" ref="G18:M18" si="34">U10</f>
        <v>3</v>
      </c>
      <c r="H18" s="373">
        <f t="shared" si="34"/>
        <v>2</v>
      </c>
      <c r="I18" s="373">
        <f t="shared" si="34"/>
        <v>1</v>
      </c>
      <c r="J18" s="373">
        <f t="shared" si="34"/>
        <v>0</v>
      </c>
      <c r="K18" s="373">
        <f t="shared" si="34"/>
        <v>5</v>
      </c>
      <c r="L18" s="373">
        <f t="shared" si="34"/>
        <v>1</v>
      </c>
      <c r="M18" s="373">
        <f t="shared" si="34"/>
        <v>7</v>
      </c>
      <c r="N18" s="370"/>
      <c r="O18" s="370" t="str">
        <f>F18</f>
        <v>Suiza</v>
      </c>
      <c r="P18" s="370">
        <f>VLOOKUP(O18,$F$16:$M$20,8,FALSE)</f>
        <v>7</v>
      </c>
      <c r="Q18" s="370"/>
      <c r="R18" s="370"/>
      <c r="S18" s="370" t="str">
        <f>IF($P18&lt;=$P16,$O18,$O16)</f>
        <v>Canadá</v>
      </c>
      <c r="T18" s="370">
        <f>VLOOKUP(S18,$O$16:$P$20,2,FALSE)</f>
        <v>5</v>
      </c>
      <c r="U18" s="370"/>
      <c r="V18" s="370"/>
      <c r="W18" s="370" t="str">
        <f>S18</f>
        <v>Canadá</v>
      </c>
      <c r="X18" s="370">
        <f>VLOOKUP(W18,$S$16:$T$20,2,FALSE)</f>
        <v>5</v>
      </c>
      <c r="Y18" s="370"/>
      <c r="Z18" s="370"/>
      <c r="AA18" s="370" t="str">
        <f>IF(X18&lt;=X17,W18,W17)</f>
        <v>Bosnia</v>
      </c>
      <c r="AB18" s="370">
        <f>VLOOKUP(AA18,W16:X20,2,FALSE)</f>
        <v>3</v>
      </c>
      <c r="AC18" s="370"/>
      <c r="AD18" s="370"/>
      <c r="AE18" s="370" t="str">
        <f>AA18</f>
        <v>Bosnia</v>
      </c>
      <c r="AF18" s="370">
        <f>VLOOKUP(AE18,AA16:AB20,2,FALSE)</f>
        <v>3</v>
      </c>
      <c r="AG18" s="370"/>
      <c r="AH18" s="370"/>
      <c r="AI18" s="370" t="str">
        <f>IF(AF18&gt;=AF19,AE18,AE19)</f>
        <v>Bosnia</v>
      </c>
      <c r="AJ18" s="370">
        <f>VLOOKUP(AI18,AE16:AF20,2,FALSE)</f>
        <v>3</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Catar</v>
      </c>
      <c r="G19" s="373">
        <f t="shared" ref="G19:M19" si="35">AB10</f>
        <v>3</v>
      </c>
      <c r="H19" s="373">
        <f t="shared" si="35"/>
        <v>0</v>
      </c>
      <c r="I19" s="373">
        <f t="shared" si="35"/>
        <v>1</v>
      </c>
      <c r="J19" s="373">
        <f t="shared" si="35"/>
        <v>2</v>
      </c>
      <c r="K19" s="373">
        <f t="shared" si="35"/>
        <v>2</v>
      </c>
      <c r="L19" s="373">
        <f t="shared" si="35"/>
        <v>7</v>
      </c>
      <c r="M19" s="373">
        <f t="shared" si="35"/>
        <v>1</v>
      </c>
      <c r="N19" s="370"/>
      <c r="O19" s="370" t="str">
        <f>F19</f>
        <v>Catar</v>
      </c>
      <c r="P19" s="370">
        <f>VLOOKUP(O19,$F$16:$M$20,8,FALSE)</f>
        <v>1</v>
      </c>
      <c r="Q19" s="370"/>
      <c r="R19" s="370"/>
      <c r="S19" s="370" t="str">
        <f>O19</f>
        <v>Catar</v>
      </c>
      <c r="T19" s="370">
        <f>VLOOKUP(S19,$O$16:$P$20,2,FALSE)</f>
        <v>1</v>
      </c>
      <c r="U19" s="370"/>
      <c r="V19" s="370"/>
      <c r="W19" s="370" t="str">
        <f>IF($T19&lt;=$T16,$S19,$S16)</f>
        <v>Catar</v>
      </c>
      <c r="X19" s="370">
        <f>VLOOKUP(W19,$S$16:$T$20,2,FALSE)</f>
        <v>1</v>
      </c>
      <c r="Y19" s="370"/>
      <c r="Z19" s="370"/>
      <c r="AA19" s="370" t="str">
        <f>W19</f>
        <v>Catar</v>
      </c>
      <c r="AB19" s="370">
        <f>VLOOKUP(AA19,W16:X20,2,FALSE)</f>
        <v>1</v>
      </c>
      <c r="AC19" s="370"/>
      <c r="AD19" s="370"/>
      <c r="AE19" s="370" t="str">
        <f>IF(AB19&lt;=AB17,AA19,AA17)</f>
        <v>Catar</v>
      </c>
      <c r="AF19" s="370">
        <f>VLOOKUP(AE19,AA16:AB20,2,FALSE)</f>
        <v>1</v>
      </c>
      <c r="AG19" s="370"/>
      <c r="AH19" s="370"/>
      <c r="AI19" s="370" t="str">
        <f>IF(AF19&lt;=AF18,AE19,AE18)</f>
        <v>Catar</v>
      </c>
      <c r="AJ19" s="370">
        <f>VLOOKUP(AI19,AE16:AF20,2,FALSE)</f>
        <v>1</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Suiza</v>
      </c>
      <c r="G23" s="370"/>
      <c r="H23" s="370"/>
      <c r="I23" s="370"/>
      <c r="J23" s="373">
        <f>AJ16</f>
        <v>7</v>
      </c>
      <c r="K23" s="373">
        <f>VLOOKUP(AI16,$F$16:$M$20,6,FALSE)</f>
        <v>5</v>
      </c>
      <c r="L23" s="373">
        <f>VLOOKUP(AI16,$F$16:$M$20,7,FALSE)</f>
        <v>1</v>
      </c>
      <c r="M23" s="373">
        <f>K23-L23</f>
        <v>4</v>
      </c>
      <c r="N23" s="370"/>
      <c r="O23" s="370" t="str">
        <f>IF(AND($J23=$J24,$M24&gt;$M23),$F24,$F23)</f>
        <v>Suiza</v>
      </c>
      <c r="P23" s="373">
        <f>VLOOKUP(O23,$F$23:$M$27,5,FALSE)</f>
        <v>7</v>
      </c>
      <c r="Q23" s="373">
        <f>VLOOKUP(O23,$F$23:$M$27,8,FALSE)</f>
        <v>4</v>
      </c>
      <c r="R23" s="370"/>
      <c r="S23" s="370" t="str">
        <f>IF(AND(P23=P25,Q25&gt;Q23),O25,O23)</f>
        <v>Suiza</v>
      </c>
      <c r="T23" s="373">
        <f>VLOOKUP(S23,$O$23:$Q$27,2,FALSE)</f>
        <v>7</v>
      </c>
      <c r="U23" s="373">
        <f>VLOOKUP(S23,$O$23:$Q$27,3,FALSE)</f>
        <v>4</v>
      </c>
      <c r="V23" s="370"/>
      <c r="W23" s="370" t="str">
        <f>IF(AND(T23=T26,U26&gt;U23),S26,S23)</f>
        <v>Suiza</v>
      </c>
      <c r="X23" s="373">
        <f>VLOOKUP(W23,$S$23:$U$27,2,FALSE)</f>
        <v>7</v>
      </c>
      <c r="Y23" s="373">
        <f>VLOOKUP(W23,$S$23:$U$27,3,FALSE)</f>
        <v>4</v>
      </c>
      <c r="Z23" s="370"/>
      <c r="AA23" s="370" t="str">
        <f>W23</f>
        <v>Suiza</v>
      </c>
      <c r="AB23" s="373">
        <f>VLOOKUP(AA23,W23:Y27,2,FALSE)</f>
        <v>7</v>
      </c>
      <c r="AC23" s="373">
        <f>VLOOKUP(AA23,W23:Y27,3,FALSE)</f>
        <v>4</v>
      </c>
      <c r="AD23" s="370"/>
      <c r="AE23" s="370" t="str">
        <f>AA23</f>
        <v>Suiza</v>
      </c>
      <c r="AF23" s="373">
        <f>VLOOKUP(AE23,AA23:AC27,2,FALSE)</f>
        <v>7</v>
      </c>
      <c r="AG23" s="373">
        <f>VLOOKUP(AE23,AA23:AC27,3,FALSE)</f>
        <v>4</v>
      </c>
      <c r="AH23" s="370"/>
      <c r="AI23" s="370" t="str">
        <f>AE23</f>
        <v>Suiza</v>
      </c>
      <c r="AJ23" s="373">
        <f>VLOOKUP(AI23,AE23:AG27,2,FALSE)</f>
        <v>7</v>
      </c>
      <c r="AK23" s="373">
        <f>VLOOKUP(AI23,AE23:AG27,3,FALSE)</f>
        <v>4</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Canadá</v>
      </c>
      <c r="G24" s="370"/>
      <c r="H24" s="370"/>
      <c r="I24" s="370"/>
      <c r="J24" s="373">
        <f>AJ17</f>
        <v>5</v>
      </c>
      <c r="K24" s="373">
        <f>VLOOKUP(AI17,$F$16:$M$20,6,FALSE)</f>
        <v>4</v>
      </c>
      <c r="L24" s="373">
        <f>VLOOKUP(AI17,$F$16:$M$20,7,FALSE)</f>
        <v>2</v>
      </c>
      <c r="M24" s="373">
        <f>K24-L24</f>
        <v>2</v>
      </c>
      <c r="N24" s="370"/>
      <c r="O24" s="370" t="str">
        <f>IF(AND($J23=$J24,$M24&gt;$M23),$F23,$F24)</f>
        <v>Canadá</v>
      </c>
      <c r="P24" s="373">
        <f>VLOOKUP(O24,$F$23:$M$27,5,FALSE)</f>
        <v>5</v>
      </c>
      <c r="Q24" s="373">
        <f>VLOOKUP(O24,$F$23:$M$27,8,FALSE)</f>
        <v>2</v>
      </c>
      <c r="R24" s="370"/>
      <c r="S24" s="370" t="str">
        <f>O24</f>
        <v>Canadá</v>
      </c>
      <c r="T24" s="373">
        <f>VLOOKUP(S24,$O$23:$Q$27,2,FALSE)</f>
        <v>5</v>
      </c>
      <c r="U24" s="373">
        <f>VLOOKUP(S24,$O$23:$Q$27,3,FALSE)</f>
        <v>2</v>
      </c>
      <c r="V24" s="370"/>
      <c r="W24" s="370" t="str">
        <f>S24</f>
        <v>Canadá</v>
      </c>
      <c r="X24" s="373">
        <f>VLOOKUP(W24,$S$23:$U$27,2,FALSE)</f>
        <v>5</v>
      </c>
      <c r="Y24" s="373">
        <f>VLOOKUP(W24,$S$23:$U$27,3,FALSE)</f>
        <v>2</v>
      </c>
      <c r="Z24" s="370"/>
      <c r="AA24" s="370" t="str">
        <f>IF(AND(X24=X25,Y25&gt;Y24),W25,W24)</f>
        <v>Canadá</v>
      </c>
      <c r="AB24" s="373">
        <f>VLOOKUP(AA24,W23:Y27,2,FALSE)</f>
        <v>5</v>
      </c>
      <c r="AC24" s="373">
        <f>VLOOKUP(AA24,W23:Y27,3,FALSE)</f>
        <v>2</v>
      </c>
      <c r="AD24" s="370"/>
      <c r="AE24" s="370" t="str">
        <f>IF(AND(AB24=AB26,AC26&gt;AC24),AA26,AA24)</f>
        <v>Canadá</v>
      </c>
      <c r="AF24" s="373">
        <f>VLOOKUP(AE24,AA23:AC27,2,FALSE)</f>
        <v>5</v>
      </c>
      <c r="AG24" s="373">
        <f>VLOOKUP(AE24,AA23:AC27,3,FALSE)</f>
        <v>2</v>
      </c>
      <c r="AH24" s="370"/>
      <c r="AI24" s="370" t="str">
        <f>AE24</f>
        <v>Canadá</v>
      </c>
      <c r="AJ24" s="373">
        <f>VLOOKUP(AI24,AE23:AG27,2,FALSE)</f>
        <v>5</v>
      </c>
      <c r="AK24" s="373">
        <f>VLOOKUP(AI24,AE23:AG27,3,FALSE)</f>
        <v>2</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Bosnia</v>
      </c>
      <c r="G25" s="370"/>
      <c r="H25" s="370"/>
      <c r="I25" s="370"/>
      <c r="J25" s="373">
        <f>AJ18</f>
        <v>3</v>
      </c>
      <c r="K25" s="373">
        <f>VLOOKUP(AI18,$F$16:$M$20,6,FALSE)</f>
        <v>3</v>
      </c>
      <c r="L25" s="373">
        <f>VLOOKUP(AI18,$F$16:$M$20,7,FALSE)</f>
        <v>4</v>
      </c>
      <c r="M25" s="373">
        <f>K25-L25</f>
        <v>-1</v>
      </c>
      <c r="N25" s="370"/>
      <c r="O25" s="370" t="str">
        <f>F25</f>
        <v>Bosnia</v>
      </c>
      <c r="P25" s="373">
        <f>VLOOKUP(O25,$F$23:$M$27,5,FALSE)</f>
        <v>3</v>
      </c>
      <c r="Q25" s="373">
        <f>VLOOKUP(O25,$F$23:$M$27,8,FALSE)</f>
        <v>-1</v>
      </c>
      <c r="R25" s="370"/>
      <c r="S25" s="370" t="str">
        <f>IF(AND($P23=P25,Q25&gt;Q23),O23,O25)</f>
        <v>Bosnia</v>
      </c>
      <c r="T25" s="373">
        <f>VLOOKUP(S25,$O$23:$Q$27,2,FALSE)</f>
        <v>3</v>
      </c>
      <c r="U25" s="373">
        <f>VLOOKUP(S25,$O$23:$Q$27,3,FALSE)</f>
        <v>-1</v>
      </c>
      <c r="V25" s="370"/>
      <c r="W25" s="370" t="str">
        <f>S25</f>
        <v>Bosnia</v>
      </c>
      <c r="X25" s="373">
        <f>VLOOKUP(W25,$S$23:$U$27,2,FALSE)</f>
        <v>3</v>
      </c>
      <c r="Y25" s="373">
        <f>VLOOKUP(W25,$S$23:$U$27,3,FALSE)</f>
        <v>-1</v>
      </c>
      <c r="Z25" s="370"/>
      <c r="AA25" s="370" t="str">
        <f>IF(AND(X24=X25,Y25&gt;Y24),W24,W25)</f>
        <v>Bosnia</v>
      </c>
      <c r="AB25" s="373">
        <f>VLOOKUP(AA25,W23:Y27,2,FALSE)</f>
        <v>3</v>
      </c>
      <c r="AC25" s="373">
        <f>VLOOKUP(AA25,W23:Y27,3,FALSE)</f>
        <v>-1</v>
      </c>
      <c r="AD25" s="370"/>
      <c r="AE25" s="370" t="str">
        <f>AA25</f>
        <v>Bosnia</v>
      </c>
      <c r="AF25" s="373">
        <f>VLOOKUP(AE25,AA23:AC27,2,FALSE)</f>
        <v>3</v>
      </c>
      <c r="AG25" s="373">
        <f>VLOOKUP(AE25,AA23:AC27,3,FALSE)</f>
        <v>-1</v>
      </c>
      <c r="AH25" s="370"/>
      <c r="AI25" s="370" t="str">
        <f>IF(AND(AF25=AF26,AG26&gt;AG25),AE26,AE25)</f>
        <v>Bosnia</v>
      </c>
      <c r="AJ25" s="373">
        <f>VLOOKUP(AI25,AE23:AG27,2,FALSE)</f>
        <v>3</v>
      </c>
      <c r="AK25" s="373">
        <f>VLOOKUP(AI25,AE23:AG27,3,FALSE)</f>
        <v>-1</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Catar</v>
      </c>
      <c r="G26" s="370"/>
      <c r="H26" s="370"/>
      <c r="I26" s="370"/>
      <c r="J26" s="373">
        <f>AJ19</f>
        <v>1</v>
      </c>
      <c r="K26" s="373">
        <f>VLOOKUP(AI19,$F$16:$M$20,6,FALSE)</f>
        <v>2</v>
      </c>
      <c r="L26" s="373">
        <f>VLOOKUP(AI19,$F$16:$M$20,7,FALSE)</f>
        <v>7</v>
      </c>
      <c r="M26" s="373">
        <f>K26-L26</f>
        <v>-5</v>
      </c>
      <c r="N26" s="370"/>
      <c r="O26" s="370" t="str">
        <f>F26</f>
        <v>Catar</v>
      </c>
      <c r="P26" s="373">
        <f>VLOOKUP(O26,$F$23:$M$27,5,FALSE)</f>
        <v>1</v>
      </c>
      <c r="Q26" s="373">
        <f>VLOOKUP(O26,$F$23:$M$27,8,FALSE)</f>
        <v>-5</v>
      </c>
      <c r="R26" s="370"/>
      <c r="S26" s="370" t="str">
        <f>O26</f>
        <v>Catar</v>
      </c>
      <c r="T26" s="373">
        <f>VLOOKUP(S26,$O$23:$Q$27,2,FALSE)</f>
        <v>1</v>
      </c>
      <c r="U26" s="373">
        <f>VLOOKUP(S26,$O$23:$Q$27,3,FALSE)</f>
        <v>-5</v>
      </c>
      <c r="V26" s="370"/>
      <c r="W26" s="370" t="str">
        <f>IF(AND(T23=T26,U26&gt;U23),S23,S26)</f>
        <v>Catar</v>
      </c>
      <c r="X26" s="373">
        <f>VLOOKUP(W26,$S$23:$U$27,2,FALSE)</f>
        <v>1</v>
      </c>
      <c r="Y26" s="373">
        <f>VLOOKUP(W26,$S$23:$U$27,3,FALSE)</f>
        <v>-5</v>
      </c>
      <c r="Z26" s="370"/>
      <c r="AA26" s="370" t="str">
        <f>W26</f>
        <v>Catar</v>
      </c>
      <c r="AB26" s="373">
        <f>VLOOKUP(AA26,W23:Y27,2,FALSE)</f>
        <v>1</v>
      </c>
      <c r="AC26" s="373">
        <f>VLOOKUP(AA26,W23:Y27,3,FALSE)</f>
        <v>-5</v>
      </c>
      <c r="AD26" s="370"/>
      <c r="AE26" s="370" t="str">
        <f>IF(AND(AB24=AB26,AC26&gt;AC24),AA24,AA26)</f>
        <v>Catar</v>
      </c>
      <c r="AF26" s="373">
        <f>VLOOKUP(AE26,AA23:AC27,2,FALSE)</f>
        <v>1</v>
      </c>
      <c r="AG26" s="373">
        <f>VLOOKUP(AE26,AA23:AC27,3,FALSE)</f>
        <v>-5</v>
      </c>
      <c r="AH26" s="370"/>
      <c r="AI26" s="370" t="str">
        <f>IF(AND(AF25=AF26,AG26&gt;AG25),AE25,AE26)</f>
        <v>Catar</v>
      </c>
      <c r="AJ26" s="373">
        <f>VLOOKUP(AI26,AE23:AG27,2,FALSE)</f>
        <v>1</v>
      </c>
      <c r="AK26" s="373">
        <f>VLOOKUP(AI26,AE23:AG27,3,FALSE)</f>
        <v>-5</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Suiza</v>
      </c>
      <c r="G30" s="370"/>
      <c r="H30" s="370"/>
      <c r="I30" s="370"/>
      <c r="J30" s="373">
        <f>VLOOKUP(F30,$F$16:$M$20,8,FALSE)</f>
        <v>7</v>
      </c>
      <c r="K30" s="373">
        <f>VLOOKUP(F30,$F$16:$M$20,6,FALSE)</f>
        <v>5</v>
      </c>
      <c r="L30" s="373">
        <f>VLOOKUP(F30,$F$16:$M$20,7,FALSE)</f>
        <v>1</v>
      </c>
      <c r="M30" s="373">
        <f>K30-L30</f>
        <v>4</v>
      </c>
      <c r="N30" s="370"/>
      <c r="O30" s="370" t="str">
        <f>IF(AND(J30=J31,M30=M31,K31&gt;K30),F31,F30)</f>
        <v>Suiza</v>
      </c>
      <c r="P30" s="373">
        <f>VLOOKUP(O30,$F$30:$M$34,5,FALSE)</f>
        <v>7</v>
      </c>
      <c r="Q30" s="373">
        <f>VLOOKUP(O30,$F$30:$M$34,8,FALSE)</f>
        <v>4</v>
      </c>
      <c r="R30" s="373">
        <f>VLOOKUP(O30,$F$30:$M$34,6,FALSE)</f>
        <v>5</v>
      </c>
      <c r="S30" s="370" t="str">
        <f>IF(AND(P30=P32,Q30=Q32,R32&gt;R30),O32,O30)</f>
        <v>Suiza</v>
      </c>
      <c r="T30" s="373">
        <f>VLOOKUP(S30,$O$30:$R$34,2,FALSE)</f>
        <v>7</v>
      </c>
      <c r="U30" s="373">
        <f>VLOOKUP(S30,$O$30:$R$34,3,FALSE)</f>
        <v>4</v>
      </c>
      <c r="V30" s="373">
        <f>VLOOKUP(S30,$O$30:$R$34,4,FALSE)</f>
        <v>5</v>
      </c>
      <c r="W30" s="370" t="str">
        <f>IF(AND(T30=T33,U30=U33,V33&gt;V30),S33,S30)</f>
        <v>Suiza</v>
      </c>
      <c r="X30" s="373">
        <f>VLOOKUP(W30,$S$30:$V$34,2,FALSE)</f>
        <v>7</v>
      </c>
      <c r="Y30" s="373">
        <f>VLOOKUP(W30,$S$30:$V$34,3,FALSE)</f>
        <v>4</v>
      </c>
      <c r="Z30" s="373">
        <f>VLOOKUP(W30,$S$30:$V$34,4,FALSE)</f>
        <v>5</v>
      </c>
      <c r="AA30" s="370" t="str">
        <f>W30</f>
        <v>Suiza</v>
      </c>
      <c r="AB30" s="373">
        <f>VLOOKUP(AA30,W30:Z34,2,FALSE)</f>
        <v>7</v>
      </c>
      <c r="AC30" s="373">
        <f>VLOOKUP(AA30,W30:Z34,3,FALSE)</f>
        <v>4</v>
      </c>
      <c r="AD30" s="373">
        <f>VLOOKUP(AA30,W30:Z34,4,FALSE)</f>
        <v>5</v>
      </c>
      <c r="AE30" s="370" t="str">
        <f>AA30</f>
        <v>Suiza</v>
      </c>
      <c r="AF30" s="373">
        <f>VLOOKUP(AE30,AA30:AD34,2,FALSE)</f>
        <v>7</v>
      </c>
      <c r="AG30" s="373">
        <f>VLOOKUP(AE30,AA30:AD34,3,FALSE)</f>
        <v>4</v>
      </c>
      <c r="AH30" s="373">
        <f>VLOOKUP(AE30,AA30:AD34,4,FALSE)</f>
        <v>5</v>
      </c>
      <c r="AI30" s="370" t="str">
        <f>AE30</f>
        <v>Suiza</v>
      </c>
      <c r="AJ30" s="373">
        <f>VLOOKUP(AI30,AE30:AH34,2,FALSE)</f>
        <v>7</v>
      </c>
      <c r="AK30" s="373">
        <f>VLOOKUP(AI30,AE30:AH34,3,FALSE)</f>
        <v>4</v>
      </c>
      <c r="AL30" s="373">
        <f>VLOOKUP(AI30,AE30:AH34,4,FALSE)</f>
        <v>5</v>
      </c>
      <c r="AM30" s="370"/>
      <c r="AN30" s="373">
        <f>(AJ30*1000)+(AK30*100)+AL30</f>
        <v>7405</v>
      </c>
      <c r="AO30" s="375">
        <f>IF($AN30=$AN31,VLOOKUP($AI30&amp;$AI31,$AN$2:$AO$13,2,0),0)</f>
        <v>0</v>
      </c>
      <c r="AP30" s="370">
        <f>IF(AO30=$AI30,1,0)</f>
        <v>0</v>
      </c>
      <c r="AQ30" s="375"/>
      <c r="AR30" s="370"/>
      <c r="AS30" s="375">
        <f>IF($AN30=$AN32,VLOOKUP($AI30&amp;$AI32,$AN$2:$AO$13,2,0),0)</f>
        <v>0</v>
      </c>
      <c r="AT30" s="370">
        <f>IF(AS30=$AI30,1,0)</f>
        <v>0</v>
      </c>
      <c r="AU30" s="370"/>
      <c r="AV30" s="370">
        <f>SUM(AN30,AP30,AR30,AT30)</f>
        <v>7405</v>
      </c>
      <c r="AW30" s="373">
        <f>RANK(AV30,$AV$30:$AV$33,0)</f>
        <v>1</v>
      </c>
      <c r="AX30" s="370" t="str">
        <f>AI30</f>
        <v>Suiza</v>
      </c>
      <c r="AY30" s="336"/>
      <c r="AZ30" s="336"/>
      <c r="BA30" s="336"/>
      <c r="BB30" s="336"/>
      <c r="BC30" s="336"/>
    </row>
    <row r="31" spans="1:55" x14ac:dyDescent="0.2">
      <c r="A31" s="370"/>
      <c r="B31" s="370"/>
      <c r="C31" s="370"/>
      <c r="D31" s="370"/>
      <c r="E31" s="370"/>
      <c r="F31" s="370" t="str">
        <f>AI24</f>
        <v>Canadá</v>
      </c>
      <c r="G31" s="370"/>
      <c r="H31" s="370"/>
      <c r="I31" s="370"/>
      <c r="J31" s="373">
        <f>VLOOKUP(F31,$F$16:$M$20,8,FALSE)</f>
        <v>5</v>
      </c>
      <c r="K31" s="373">
        <f>VLOOKUP(F31,$F$16:$M$20,6,FALSE)</f>
        <v>4</v>
      </c>
      <c r="L31" s="373">
        <f>VLOOKUP(F31,$F$16:$M$20,7,FALSE)</f>
        <v>2</v>
      </c>
      <c r="M31" s="373">
        <f>K31-L31</f>
        <v>2</v>
      </c>
      <c r="N31" s="370"/>
      <c r="O31" s="370" t="str">
        <f>IF(AND(J30=J31,M30=M31,K31&gt;K30),F30,F31)</f>
        <v>Canadá</v>
      </c>
      <c r="P31" s="373">
        <f>VLOOKUP(O31,$F$30:$M$34,5,FALSE)</f>
        <v>5</v>
      </c>
      <c r="Q31" s="373">
        <f>VLOOKUP(O31,$F$30:$M$34,8,FALSE)</f>
        <v>2</v>
      </c>
      <c r="R31" s="373">
        <f>VLOOKUP(O31,$F$30:$M$34,6,FALSE)</f>
        <v>4</v>
      </c>
      <c r="S31" s="370" t="str">
        <f>O31</f>
        <v>Canadá</v>
      </c>
      <c r="T31" s="373">
        <f>VLOOKUP(S31,$O$30:$R$34,2,FALSE)</f>
        <v>5</v>
      </c>
      <c r="U31" s="373">
        <f>VLOOKUP(S31,$O$30:$R$34,3,FALSE)</f>
        <v>2</v>
      </c>
      <c r="V31" s="373">
        <f>VLOOKUP(S31,$O$30:$R$34,4,FALSE)</f>
        <v>4</v>
      </c>
      <c r="W31" s="370" t="str">
        <f>S31</f>
        <v>Canadá</v>
      </c>
      <c r="X31" s="373">
        <f>VLOOKUP(W31,$S$30:$V$34,2,FALSE)</f>
        <v>5</v>
      </c>
      <c r="Y31" s="373">
        <f>VLOOKUP(W31,$S$30:$V$34,3,FALSE)</f>
        <v>2</v>
      </c>
      <c r="Z31" s="373">
        <f>VLOOKUP(W31,$S$30:$V$34,4,FALSE)</f>
        <v>4</v>
      </c>
      <c r="AA31" s="370" t="str">
        <f>IF(AND(X31=X32,Y31=Y32,Z32&gt;Z31),W32,W31)</f>
        <v>Canadá</v>
      </c>
      <c r="AB31" s="373">
        <f>VLOOKUP(AA31,W30:Z34,2,FALSE)</f>
        <v>5</v>
      </c>
      <c r="AC31" s="373">
        <f>VLOOKUP(AA31,W30:Z34,3,FALSE)</f>
        <v>2</v>
      </c>
      <c r="AD31" s="373">
        <f>VLOOKUP(AA31,W30:Z34,4,FALSE)</f>
        <v>4</v>
      </c>
      <c r="AE31" s="370" t="str">
        <f>IF(AND(AB31=AB33,AC31=AC33,AD33&gt;AD31),AA33,AA31)</f>
        <v>Canadá</v>
      </c>
      <c r="AF31" s="373">
        <f>VLOOKUP(AE31,AA30:AD34,2,FALSE)</f>
        <v>5</v>
      </c>
      <c r="AG31" s="373">
        <f>VLOOKUP(AE31,AA30:AD34,3,FALSE)</f>
        <v>2</v>
      </c>
      <c r="AH31" s="373">
        <f>VLOOKUP(AE31,AA30:AD34,4,FALSE)</f>
        <v>4</v>
      </c>
      <c r="AI31" s="370" t="str">
        <f>AE31</f>
        <v>Canadá</v>
      </c>
      <c r="AJ31" s="373">
        <f>VLOOKUP(AI31,AE30:AH34,2,FALSE)</f>
        <v>5</v>
      </c>
      <c r="AK31" s="373">
        <f>VLOOKUP(AI31,AE30:AH34,3,FALSE)</f>
        <v>2</v>
      </c>
      <c r="AL31" s="373">
        <f>VLOOKUP(AI31,AE30:AH34,4,FALSE)</f>
        <v>4</v>
      </c>
      <c r="AM31" s="370"/>
      <c r="AN31" s="373">
        <f t="shared" ref="AN31:AN33" si="36">(AJ31*1000)+(AK31*100)+AL31</f>
        <v>5204</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5204</v>
      </c>
      <c r="AW31" s="373">
        <f t="shared" ref="AW31:AW33" si="38">RANK(AV31,$AV$30:$AV$33,0)</f>
        <v>2</v>
      </c>
      <c r="AX31" s="370" t="str">
        <f t="shared" ref="AX31:AX33" si="39">AI31</f>
        <v>Canadá</v>
      </c>
      <c r="AY31" s="336"/>
      <c r="AZ31" s="336"/>
      <c r="BA31" s="336"/>
      <c r="BB31" s="336"/>
      <c r="BC31" s="336"/>
    </row>
    <row r="32" spans="1:55" x14ac:dyDescent="0.2">
      <c r="A32" s="370"/>
      <c r="B32" s="370"/>
      <c r="C32" s="370"/>
      <c r="D32" s="370"/>
      <c r="E32" s="370"/>
      <c r="F32" s="370" t="str">
        <f>AI25</f>
        <v>Bosnia</v>
      </c>
      <c r="G32" s="370"/>
      <c r="H32" s="370"/>
      <c r="I32" s="370"/>
      <c r="J32" s="373">
        <f>VLOOKUP(F32,$F$16:$M$20,8,FALSE)</f>
        <v>3</v>
      </c>
      <c r="K32" s="373">
        <f>VLOOKUP(F32,$F$16:$M$20,6,FALSE)</f>
        <v>3</v>
      </c>
      <c r="L32" s="373">
        <f>VLOOKUP(F32,$F$16:$M$20,7,FALSE)</f>
        <v>4</v>
      </c>
      <c r="M32" s="373">
        <f>K32-L32</f>
        <v>-1</v>
      </c>
      <c r="N32" s="370"/>
      <c r="O32" s="370" t="str">
        <f>F32</f>
        <v>Bosnia</v>
      </c>
      <c r="P32" s="373">
        <f>VLOOKUP(O32,$F$30:$M$34,5,FALSE)</f>
        <v>3</v>
      </c>
      <c r="Q32" s="373">
        <f>VLOOKUP(O32,$F$30:$M$34,8,FALSE)</f>
        <v>-1</v>
      </c>
      <c r="R32" s="373">
        <f>VLOOKUP(O32,$F$30:$M$34,6,FALSE)</f>
        <v>3</v>
      </c>
      <c r="S32" s="370" t="str">
        <f>IF(AND(P30=P32,Q30=Q32,R32&gt;R30),O30,O32)</f>
        <v>Bosnia</v>
      </c>
      <c r="T32" s="373">
        <f>VLOOKUP(S32,$O$30:$R$34,2,FALSE)</f>
        <v>3</v>
      </c>
      <c r="U32" s="373">
        <f>VLOOKUP(S32,$O$30:$R$34,3,FALSE)</f>
        <v>-1</v>
      </c>
      <c r="V32" s="373">
        <f>VLOOKUP(S32,$O$30:$R$34,4,FALSE)</f>
        <v>3</v>
      </c>
      <c r="W32" s="370" t="str">
        <f>S32</f>
        <v>Bosnia</v>
      </c>
      <c r="X32" s="373">
        <f>VLOOKUP(W32,$S$30:$V$34,2,FALSE)</f>
        <v>3</v>
      </c>
      <c r="Y32" s="373">
        <f>VLOOKUP(W32,$S$30:$V$34,3,FALSE)</f>
        <v>-1</v>
      </c>
      <c r="Z32" s="373">
        <f>VLOOKUP(W32,$S$30:$V$34,4,FALSE)</f>
        <v>3</v>
      </c>
      <c r="AA32" s="370" t="str">
        <f>IF(AND(X31=X32,Y31=Y32,Z32&gt;Z31),W31,W32)</f>
        <v>Bosnia</v>
      </c>
      <c r="AB32" s="373">
        <f>VLOOKUP(AA32,W30:Z34,2,FALSE)</f>
        <v>3</v>
      </c>
      <c r="AC32" s="373">
        <f>VLOOKUP(AA32,W30:Z34,3,FALSE)</f>
        <v>-1</v>
      </c>
      <c r="AD32" s="373">
        <f>VLOOKUP(AA32,W30:Z34,4,FALSE)</f>
        <v>3</v>
      </c>
      <c r="AE32" s="370" t="str">
        <f>AA32</f>
        <v>Bosnia</v>
      </c>
      <c r="AF32" s="373">
        <f>VLOOKUP(AE32,AA30:AD34,2,FALSE)</f>
        <v>3</v>
      </c>
      <c r="AG32" s="373">
        <f>VLOOKUP(AE32,AA30:AD34,3,FALSE)</f>
        <v>-1</v>
      </c>
      <c r="AH32" s="373">
        <f>VLOOKUP(AE32,AA30:AD34,4,FALSE)</f>
        <v>3</v>
      </c>
      <c r="AI32" s="370" t="str">
        <f>IF(AND(AF32=AF33,AG32=AG33,AH33&gt;AH32),AE33,AE32)</f>
        <v>Bosnia</v>
      </c>
      <c r="AJ32" s="373">
        <f>VLOOKUP(AI32,AE30:AH34,2,FALSE)</f>
        <v>3</v>
      </c>
      <c r="AK32" s="373">
        <f>VLOOKUP(AI32,AE30:AH34,3,FALSE)</f>
        <v>-1</v>
      </c>
      <c r="AL32" s="373">
        <f>VLOOKUP(AI32,AE30:AH34,4,FALSE)</f>
        <v>3</v>
      </c>
      <c r="AM32" s="370"/>
      <c r="AN32" s="373">
        <f t="shared" si="36"/>
        <v>2903</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2903</v>
      </c>
      <c r="AW32" s="373">
        <f t="shared" si="38"/>
        <v>3</v>
      </c>
      <c r="AX32" s="370" t="str">
        <f t="shared" si="39"/>
        <v>Bosnia</v>
      </c>
      <c r="AY32" s="336"/>
      <c r="AZ32" s="336"/>
      <c r="BA32" s="336"/>
      <c r="BB32" s="336"/>
      <c r="BC32" s="336"/>
    </row>
    <row r="33" spans="1:55" x14ac:dyDescent="0.2">
      <c r="A33" s="370"/>
      <c r="B33" s="370"/>
      <c r="C33" s="370"/>
      <c r="D33" s="370"/>
      <c r="E33" s="370"/>
      <c r="F33" s="370" t="str">
        <f>AI26</f>
        <v>Catar</v>
      </c>
      <c r="G33" s="370"/>
      <c r="H33" s="370"/>
      <c r="I33" s="370"/>
      <c r="J33" s="373">
        <f>VLOOKUP(F33,$F$16:$M$20,8,FALSE)</f>
        <v>1</v>
      </c>
      <c r="K33" s="373">
        <f>VLOOKUP(F33,$F$16:$M$20,6,FALSE)</f>
        <v>2</v>
      </c>
      <c r="L33" s="373">
        <f>VLOOKUP(F33,$F$16:$M$20,7,FALSE)</f>
        <v>7</v>
      </c>
      <c r="M33" s="373">
        <f>K33-L33</f>
        <v>-5</v>
      </c>
      <c r="N33" s="370"/>
      <c r="O33" s="370" t="str">
        <f>F33</f>
        <v>Catar</v>
      </c>
      <c r="P33" s="373">
        <f>VLOOKUP(O33,$F$30:$M$34,5,FALSE)</f>
        <v>1</v>
      </c>
      <c r="Q33" s="373">
        <f>VLOOKUP(O33,$F$30:$M$34,8,FALSE)</f>
        <v>-5</v>
      </c>
      <c r="R33" s="373">
        <f>VLOOKUP(O33,$F$30:$M$34,6,FALSE)</f>
        <v>2</v>
      </c>
      <c r="S33" s="370" t="str">
        <f>O33</f>
        <v>Catar</v>
      </c>
      <c r="T33" s="373">
        <f>VLOOKUP(S33,$O$30:$R$34,2,FALSE)</f>
        <v>1</v>
      </c>
      <c r="U33" s="373">
        <f>VLOOKUP(S33,$O$30:$R$34,3,FALSE)</f>
        <v>-5</v>
      </c>
      <c r="V33" s="373">
        <f>VLOOKUP(S33,$O$30:$R$34,4,FALSE)</f>
        <v>2</v>
      </c>
      <c r="W33" s="370" t="str">
        <f>IF(AND(T30=T33,U30=U33,V33&gt;V30),S30,S33)</f>
        <v>Catar</v>
      </c>
      <c r="X33" s="373">
        <f>VLOOKUP(W33,$S$30:$V$34,2,FALSE)</f>
        <v>1</v>
      </c>
      <c r="Y33" s="373">
        <f>VLOOKUP(W33,$S$30:$V$34,3,FALSE)</f>
        <v>-5</v>
      </c>
      <c r="Z33" s="373">
        <f>VLOOKUP(W33,$S$30:$V$34,4,FALSE)</f>
        <v>2</v>
      </c>
      <c r="AA33" s="370" t="str">
        <f>W33</f>
        <v>Catar</v>
      </c>
      <c r="AB33" s="373">
        <f>VLOOKUP(AA33,W30:Z34,2,FALSE)</f>
        <v>1</v>
      </c>
      <c r="AC33" s="373">
        <f>VLOOKUP(AA33,W30:Z34,3,FALSE)</f>
        <v>-5</v>
      </c>
      <c r="AD33" s="373">
        <f>VLOOKUP(AA33,W30:Z34,4,FALSE)</f>
        <v>2</v>
      </c>
      <c r="AE33" s="370" t="str">
        <f>IF(AND(AB31=AB33,AC31=AC33,AD33&gt;AD31),AA31,AA33)</f>
        <v>Catar</v>
      </c>
      <c r="AF33" s="373">
        <f>VLOOKUP(AE33,AA30:AD34,2,FALSE)</f>
        <v>1</v>
      </c>
      <c r="AG33" s="373">
        <f>VLOOKUP(AE33,AA30:AD34,3,FALSE)</f>
        <v>-5</v>
      </c>
      <c r="AH33" s="373">
        <f>VLOOKUP(AE33,AA30:AD34,4,FALSE)</f>
        <v>2</v>
      </c>
      <c r="AI33" s="370" t="str">
        <f>IF(AND(AF32=AF33,AG32=AG33,AH33&gt;AH32),AE32,AE33)</f>
        <v>Catar</v>
      </c>
      <c r="AJ33" s="373">
        <f>VLOOKUP(AI33,AE30:AH34,2,FALSE)</f>
        <v>1</v>
      </c>
      <c r="AK33" s="373">
        <f>VLOOKUP(AI33,AE30:AH34,3,FALSE)</f>
        <v>-5</v>
      </c>
      <c r="AL33" s="373">
        <f>VLOOKUP(AI33,AE30:AH34,4,FALSE)</f>
        <v>2</v>
      </c>
      <c r="AM33" s="370"/>
      <c r="AN33" s="373">
        <f t="shared" si="36"/>
        <v>502</v>
      </c>
      <c r="AO33" s="375"/>
      <c r="AP33" s="370"/>
      <c r="AQ33" s="375"/>
      <c r="AR33" s="370"/>
      <c r="AS33" s="375"/>
      <c r="AT33" s="370"/>
      <c r="AU33" s="370"/>
      <c r="AV33" s="370">
        <f t="shared" si="37"/>
        <v>502</v>
      </c>
      <c r="AW33" s="373">
        <f t="shared" si="38"/>
        <v>4</v>
      </c>
      <c r="AX33" s="370" t="str">
        <f t="shared" si="39"/>
        <v>Catar</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Suiza</v>
      </c>
      <c r="G37" s="373">
        <f>VLOOKUP(F37,$F$16:$M$20,2,FALSE)</f>
        <v>3</v>
      </c>
      <c r="H37" s="373">
        <f>VLOOKUP(F37,$F$16:$M$20,3,FALSE)</f>
        <v>2</v>
      </c>
      <c r="I37" s="373">
        <f>VLOOKUP(F37,$F$16:$M$20,4,FALSE)</f>
        <v>1</v>
      </c>
      <c r="J37" s="373">
        <f>VLOOKUP(F37,$F$16:$M$20,5,FALSE)</f>
        <v>0</v>
      </c>
      <c r="K37" s="373">
        <f>VLOOKUP(F37,$F$16:$M$20,6,FALSE)</f>
        <v>5</v>
      </c>
      <c r="L37" s="373">
        <f>VLOOKUP(F37,$F$16:$M$20,7,FALSE)</f>
        <v>1</v>
      </c>
      <c r="M37" s="373">
        <f>VLOOKUP(F37,$F$16:$M$20,8,FALSE)</f>
        <v>7</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Canadá</v>
      </c>
      <c r="G38" s="373">
        <f>VLOOKUP(F38,$F$16:$M$20,2,FALSE)</f>
        <v>3</v>
      </c>
      <c r="H38" s="373">
        <f>VLOOKUP(F38,$F$16:$M$20,3,FALSE)</f>
        <v>1</v>
      </c>
      <c r="I38" s="373">
        <f>VLOOKUP(F38,$F$16:$M$20,4,FALSE)</f>
        <v>2</v>
      </c>
      <c r="J38" s="373">
        <f>VLOOKUP(F38,$F$16:$M$20,5,FALSE)</f>
        <v>0</v>
      </c>
      <c r="K38" s="373">
        <f>VLOOKUP(F38,$F$16:$M$20,6,FALSE)</f>
        <v>4</v>
      </c>
      <c r="L38" s="373">
        <f>VLOOKUP(F38,$F$16:$M$20,7,FALSE)</f>
        <v>2</v>
      </c>
      <c r="M38" s="373">
        <f>VLOOKUP(F38,$F$16:$M$20,8,FALSE)</f>
        <v>5</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Bosnia</v>
      </c>
      <c r="G39" s="373">
        <f>VLOOKUP(F39,$F$16:$M$20,2,FALSE)</f>
        <v>3</v>
      </c>
      <c r="H39" s="373">
        <f>VLOOKUP(F39,$F$16:$M$20,3,FALSE)</f>
        <v>1</v>
      </c>
      <c r="I39" s="373">
        <f>VLOOKUP(F39,$F$16:$M$20,4,FALSE)</f>
        <v>0</v>
      </c>
      <c r="J39" s="373">
        <f>VLOOKUP(F39,$F$16:$M$20,5,FALSE)</f>
        <v>2</v>
      </c>
      <c r="K39" s="373">
        <f>VLOOKUP(F39,$F$16:$M$20,6,FALSE)</f>
        <v>3</v>
      </c>
      <c r="L39" s="373">
        <f>VLOOKUP(F39,$F$16:$M$20,7,FALSE)</f>
        <v>4</v>
      </c>
      <c r="M39" s="373">
        <f>VLOOKUP(F39,$F$16:$M$20,8,FALSE)</f>
        <v>3</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Catar</v>
      </c>
      <c r="G40" s="373">
        <f>VLOOKUP(F40,$F$16:$M$20,2,FALSE)</f>
        <v>3</v>
      </c>
      <c r="H40" s="373">
        <f>VLOOKUP(F40,$F$16:$M$20,3,FALSE)</f>
        <v>0</v>
      </c>
      <c r="I40" s="373">
        <f>VLOOKUP(F40,$F$16:$M$20,4,FALSE)</f>
        <v>1</v>
      </c>
      <c r="J40" s="373">
        <f>VLOOKUP(F40,$F$16:$M$20,5,FALSE)</f>
        <v>2</v>
      </c>
      <c r="K40" s="373">
        <f>VLOOKUP(F40,$F$16:$M$20,6,FALSE)</f>
        <v>2</v>
      </c>
      <c r="L40" s="373">
        <f>VLOOKUP(F40,$F$16:$M$20,7,FALSE)</f>
        <v>7</v>
      </c>
      <c r="M40" s="373">
        <f>VLOOKUP(F40,$F$16:$M$20,8,FALSE)</f>
        <v>1</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x3TEELpVJhFqhvOxU6MSG5XKNj27LIYfCV7wJgJVjnb1B8A0J33z9w4YafNlg3tUb3JsrEkTy/Gkm+h55WkMkw==" saltValue="c1jFlfXrYydAcP3wv3uPkw==" spinCount="100000" sheet="1" objects="1" scenarios="1" selectLockedCells="1"/>
  <mergeCells count="1">
    <mergeCell ref="A2:E2"/>
  </mergeCells>
  <phoneticPr fontId="20" type="noConversion"/>
  <pageMargins left="0.75" right="0.75" top="1" bottom="1" header="0.5" footer="0.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7"/>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C -'!R7&lt;&gt;"",'- C -'!R7,"")</f>
        <v>Brasil</v>
      </c>
      <c r="H2" s="370"/>
      <c r="I2" s="370"/>
      <c r="J2" s="370"/>
      <c r="K2" s="370"/>
      <c r="L2" s="370"/>
      <c r="M2" s="370"/>
      <c r="N2" s="370" t="str">
        <f>IF('- C -'!R9&lt;&gt;"",'- C -'!R9,"")</f>
        <v>Marruecos</v>
      </c>
      <c r="O2" s="370"/>
      <c r="P2" s="370"/>
      <c r="Q2" s="370"/>
      <c r="R2" s="370"/>
      <c r="S2" s="370"/>
      <c r="T2" s="370"/>
      <c r="U2" s="370" t="str">
        <f>IF('- C -'!R11&lt;&gt;"",'- C -'!R11,"")</f>
        <v>Haití</v>
      </c>
      <c r="V2" s="370"/>
      <c r="W2" s="370"/>
      <c r="X2" s="370"/>
      <c r="Y2" s="370"/>
      <c r="Z2" s="370"/>
      <c r="AA2" s="370"/>
      <c r="AB2" s="370" t="str">
        <f>IF('- C -'!R13&lt;&gt;"",'- C -'!R13,"")</f>
        <v>Escocia</v>
      </c>
      <c r="AC2" s="370"/>
      <c r="AD2" s="370"/>
      <c r="AE2" s="370"/>
      <c r="AF2" s="370"/>
      <c r="AG2" s="370"/>
      <c r="AH2" s="370"/>
      <c r="AI2" s="370"/>
      <c r="AJ2" s="370"/>
      <c r="AK2" s="370"/>
      <c r="AL2" s="370"/>
      <c r="AM2" s="370"/>
      <c r="AN2" s="374" t="str">
        <f t="shared" ref="AN2:AN7" si="0">A4&amp;E4</f>
        <v>BrasilMarruecos</v>
      </c>
      <c r="AO2" s="371" t="str">
        <f t="shared" ref="AO2:AO7" si="1">IF(B4=D4,0,IF(B4&gt;D4,A4,E4))</f>
        <v>Brasil</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HaitíEscocia</v>
      </c>
      <c r="AO3" s="371" t="str">
        <f t="shared" si="1"/>
        <v>Escocia</v>
      </c>
      <c r="AP3" s="370"/>
      <c r="AQ3" s="370"/>
      <c r="AR3" s="370"/>
      <c r="AS3" s="370"/>
      <c r="AT3" s="370"/>
      <c r="AU3" s="370"/>
      <c r="AV3" s="370"/>
      <c r="AW3" s="370"/>
      <c r="AX3" s="370"/>
      <c r="AY3" s="336"/>
      <c r="AZ3" s="336"/>
      <c r="BA3" s="336"/>
      <c r="BB3" s="336"/>
      <c r="BC3" s="336"/>
    </row>
    <row r="4" spans="1:55" x14ac:dyDescent="0.2">
      <c r="A4" s="375" t="str">
        <f>'- C -'!C6</f>
        <v>Brasil</v>
      </c>
      <c r="B4" s="373">
        <f>IF('- C -'!D6&lt;&gt;"",'- C -'!D6,"")</f>
        <v>2</v>
      </c>
      <c r="C4" s="373" t="str">
        <f>'- C -'!E6</f>
        <v>-</v>
      </c>
      <c r="D4" s="373">
        <f>IF('- C -'!F6&lt;&gt;"",'- C -'!F6,"")</f>
        <v>1</v>
      </c>
      <c r="E4" s="376" t="str">
        <f>'- C -'!G6</f>
        <v>Marruecos</v>
      </c>
      <c r="F4" s="373">
        <f>COUNTBLANK('- C -'!D6:'- C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2</v>
      </c>
      <c r="L4" s="373">
        <f t="shared" ref="L4:L9" si="7">IF(F4&gt;0,0,IF($A4=$G$2,$D4,IF($E4=$G$2,$B4,0)))</f>
        <v>1</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1</v>
      </c>
      <c r="S4" s="373">
        <f t="shared" ref="S4:S9" si="13">IF(F4&gt;0,0,IF($A4=$N$2,$D4,IF($E4=$N$2,$B4,0)))</f>
        <v>2</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EscociaMarruecos</v>
      </c>
      <c r="AO4" s="371">
        <f t="shared" si="1"/>
        <v>0</v>
      </c>
      <c r="AP4" s="370"/>
      <c r="AQ4" s="370"/>
      <c r="AR4" s="370"/>
      <c r="AS4" s="370"/>
      <c r="AT4" s="370"/>
      <c r="AU4" s="370"/>
      <c r="AV4" s="370"/>
      <c r="AW4" s="370"/>
      <c r="AX4" s="370"/>
      <c r="AY4" s="336"/>
      <c r="AZ4" s="336"/>
      <c r="BA4" s="336"/>
      <c r="BB4" s="336"/>
      <c r="BC4" s="336"/>
    </row>
    <row r="5" spans="1:55" x14ac:dyDescent="0.2">
      <c r="A5" s="375" t="str">
        <f>'- C -'!C7</f>
        <v>Haití</v>
      </c>
      <c r="B5" s="373">
        <f>IF('- C -'!D7&lt;&gt;"",'- C -'!D7,"")</f>
        <v>0</v>
      </c>
      <c r="C5" s="373" t="str">
        <f>'- C -'!E7</f>
        <v>-</v>
      </c>
      <c r="D5" s="373">
        <f>IF('- C -'!F7&lt;&gt;"",'- C -'!F7,"")</f>
        <v>3</v>
      </c>
      <c r="E5" s="376" t="str">
        <f>'- C -'!G7</f>
        <v>Escocia</v>
      </c>
      <c r="F5" s="373">
        <f>COUNTBLANK('- C -'!D7:'- C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0</v>
      </c>
      <c r="W5" s="373">
        <f t="shared" si="16"/>
        <v>0</v>
      </c>
      <c r="X5" s="373">
        <f t="shared" si="17"/>
        <v>1</v>
      </c>
      <c r="Y5" s="373">
        <f t="shared" si="18"/>
        <v>0</v>
      </c>
      <c r="Z5" s="373">
        <f t="shared" si="19"/>
        <v>3</v>
      </c>
      <c r="AA5" s="373"/>
      <c r="AB5" s="373">
        <f t="shared" si="20"/>
        <v>1</v>
      </c>
      <c r="AC5" s="373">
        <f t="shared" si="21"/>
        <v>1</v>
      </c>
      <c r="AD5" s="373">
        <f t="shared" si="22"/>
        <v>0</v>
      </c>
      <c r="AE5" s="373">
        <f t="shared" si="23"/>
        <v>0</v>
      </c>
      <c r="AF5" s="373">
        <f t="shared" si="24"/>
        <v>3</v>
      </c>
      <c r="AG5" s="373">
        <f t="shared" si="25"/>
        <v>0</v>
      </c>
      <c r="AH5" s="373"/>
      <c r="AI5" s="370"/>
      <c r="AJ5" s="370"/>
      <c r="AK5" s="370"/>
      <c r="AL5" s="370"/>
      <c r="AM5" s="370"/>
      <c r="AN5" s="374" t="str">
        <f t="shared" si="0"/>
        <v>BrasilHaití</v>
      </c>
      <c r="AO5" s="371" t="str">
        <f t="shared" si="1"/>
        <v>Brasil</v>
      </c>
      <c r="AP5" s="370"/>
      <c r="AQ5" s="370"/>
      <c r="AR5" s="370"/>
      <c r="AS5" s="370"/>
      <c r="AT5" s="370"/>
      <c r="AU5" s="370"/>
      <c r="AV5" s="370"/>
      <c r="AW5" s="370"/>
      <c r="AX5" s="370"/>
      <c r="AY5" s="336"/>
      <c r="AZ5" s="336"/>
      <c r="BA5" s="336"/>
      <c r="BB5" s="336"/>
      <c r="BC5" s="336"/>
    </row>
    <row r="6" spans="1:55" x14ac:dyDescent="0.2">
      <c r="A6" s="375" t="str">
        <f>'- C -'!C8</f>
        <v>Escocia</v>
      </c>
      <c r="B6" s="373">
        <f>IF('- C -'!D8&lt;&gt;"",'- C -'!D8,"")</f>
        <v>0</v>
      </c>
      <c r="C6" s="373" t="str">
        <f>'- C -'!E8</f>
        <v>-</v>
      </c>
      <c r="D6" s="373">
        <f>IF('- C -'!F8&lt;&gt;"",'- C -'!F8,"")</f>
        <v>0</v>
      </c>
      <c r="E6" s="376" t="str">
        <f>'- C -'!G8</f>
        <v>Marruecos</v>
      </c>
      <c r="F6" s="373">
        <f>COUNTBLANK('- C -'!D8:'- C -'!F8)</f>
        <v>0</v>
      </c>
      <c r="G6" s="373">
        <f t="shared" si="2"/>
        <v>0</v>
      </c>
      <c r="H6" s="373">
        <f t="shared" si="3"/>
        <v>0</v>
      </c>
      <c r="I6" s="373">
        <f t="shared" si="4"/>
        <v>0</v>
      </c>
      <c r="J6" s="373">
        <f t="shared" si="5"/>
        <v>0</v>
      </c>
      <c r="K6" s="373">
        <f t="shared" si="6"/>
        <v>0</v>
      </c>
      <c r="L6" s="373">
        <f t="shared" si="7"/>
        <v>0</v>
      </c>
      <c r="M6" s="373"/>
      <c r="N6" s="373">
        <f t="shared" si="8"/>
        <v>1</v>
      </c>
      <c r="O6" s="373">
        <f t="shared" si="9"/>
        <v>0</v>
      </c>
      <c r="P6" s="373">
        <f t="shared" si="10"/>
        <v>1</v>
      </c>
      <c r="Q6" s="373">
        <f t="shared" si="11"/>
        <v>0</v>
      </c>
      <c r="R6" s="373">
        <f t="shared" si="12"/>
        <v>0</v>
      </c>
      <c r="S6" s="373">
        <f t="shared" si="13"/>
        <v>0</v>
      </c>
      <c r="T6" s="373"/>
      <c r="U6" s="373">
        <f t="shared" si="14"/>
        <v>0</v>
      </c>
      <c r="V6" s="373">
        <f t="shared" si="15"/>
        <v>0</v>
      </c>
      <c r="W6" s="373">
        <f t="shared" si="16"/>
        <v>0</v>
      </c>
      <c r="X6" s="373">
        <f t="shared" si="17"/>
        <v>0</v>
      </c>
      <c r="Y6" s="373">
        <f t="shared" si="18"/>
        <v>0</v>
      </c>
      <c r="Z6" s="373">
        <f t="shared" si="19"/>
        <v>0</v>
      </c>
      <c r="AA6" s="373"/>
      <c r="AB6" s="373">
        <f t="shared" si="20"/>
        <v>1</v>
      </c>
      <c r="AC6" s="373">
        <f t="shared" si="21"/>
        <v>0</v>
      </c>
      <c r="AD6" s="373">
        <f t="shared" si="22"/>
        <v>1</v>
      </c>
      <c r="AE6" s="373">
        <f t="shared" si="23"/>
        <v>0</v>
      </c>
      <c r="AF6" s="373">
        <f t="shared" si="24"/>
        <v>0</v>
      </c>
      <c r="AG6" s="373">
        <f t="shared" si="25"/>
        <v>0</v>
      </c>
      <c r="AH6" s="373"/>
      <c r="AI6" s="370"/>
      <c r="AJ6" s="370"/>
      <c r="AK6" s="370"/>
      <c r="AL6" s="370"/>
      <c r="AM6" s="370"/>
      <c r="AN6" s="374" t="str">
        <f t="shared" si="0"/>
        <v>EscociaBrasil</v>
      </c>
      <c r="AO6" s="371">
        <f t="shared" si="1"/>
        <v>0</v>
      </c>
      <c r="AP6" s="370"/>
      <c r="AQ6" s="370"/>
      <c r="AR6" s="370"/>
      <c r="AS6" s="370"/>
      <c r="AT6" s="370"/>
      <c r="AU6" s="370"/>
      <c r="AV6" s="370"/>
      <c r="AW6" s="370"/>
      <c r="AX6" s="370"/>
      <c r="AY6" s="336"/>
      <c r="AZ6" s="336"/>
      <c r="BA6" s="336"/>
      <c r="BB6" s="336"/>
      <c r="BC6" s="336"/>
    </row>
    <row r="7" spans="1:55" x14ac:dyDescent="0.2">
      <c r="A7" s="375" t="str">
        <f>'- C -'!C9</f>
        <v>Brasil</v>
      </c>
      <c r="B7" s="373">
        <f>IF('- C -'!D9&lt;&gt;"",'- C -'!D9,"")</f>
        <v>3</v>
      </c>
      <c r="C7" s="373" t="str">
        <f>'- C -'!E9</f>
        <v>-</v>
      </c>
      <c r="D7" s="373">
        <f>IF('- C -'!F9&lt;&gt;"",'- C -'!F9,"")</f>
        <v>0</v>
      </c>
      <c r="E7" s="376" t="str">
        <f>'- C -'!G9</f>
        <v>Haití</v>
      </c>
      <c r="F7" s="373">
        <f>COUNTBLANK('- C -'!D9:'- C -'!F9)</f>
        <v>0</v>
      </c>
      <c r="G7" s="373">
        <f t="shared" si="2"/>
        <v>1</v>
      </c>
      <c r="H7" s="373">
        <f t="shared" si="3"/>
        <v>1</v>
      </c>
      <c r="I7" s="373">
        <f t="shared" si="4"/>
        <v>0</v>
      </c>
      <c r="J7" s="373">
        <f t="shared" si="5"/>
        <v>0</v>
      </c>
      <c r="K7" s="373">
        <f t="shared" si="6"/>
        <v>3</v>
      </c>
      <c r="L7" s="373">
        <f t="shared" si="7"/>
        <v>0</v>
      </c>
      <c r="M7" s="373"/>
      <c r="N7" s="373">
        <f t="shared" si="8"/>
        <v>0</v>
      </c>
      <c r="O7" s="373">
        <f t="shared" si="9"/>
        <v>0</v>
      </c>
      <c r="P7" s="373">
        <f t="shared" si="10"/>
        <v>0</v>
      </c>
      <c r="Q7" s="373">
        <f t="shared" si="11"/>
        <v>0</v>
      </c>
      <c r="R7" s="373">
        <f t="shared" si="12"/>
        <v>0</v>
      </c>
      <c r="S7" s="373">
        <f t="shared" si="13"/>
        <v>0</v>
      </c>
      <c r="T7" s="373"/>
      <c r="U7" s="373">
        <f t="shared" si="14"/>
        <v>1</v>
      </c>
      <c r="V7" s="373">
        <f t="shared" si="15"/>
        <v>0</v>
      </c>
      <c r="W7" s="373">
        <f t="shared" si="16"/>
        <v>0</v>
      </c>
      <c r="X7" s="373">
        <f t="shared" si="17"/>
        <v>1</v>
      </c>
      <c r="Y7" s="373">
        <f t="shared" si="18"/>
        <v>0</v>
      </c>
      <c r="Z7" s="373">
        <f t="shared" si="19"/>
        <v>3</v>
      </c>
      <c r="AA7" s="373"/>
      <c r="AB7" s="373">
        <f t="shared" si="20"/>
        <v>0</v>
      </c>
      <c r="AC7" s="373">
        <f t="shared" si="21"/>
        <v>0</v>
      </c>
      <c r="AD7" s="373">
        <f t="shared" si="22"/>
        <v>0</v>
      </c>
      <c r="AE7" s="373">
        <f t="shared" si="23"/>
        <v>0</v>
      </c>
      <c r="AF7" s="373">
        <f t="shared" si="24"/>
        <v>0</v>
      </c>
      <c r="AG7" s="373">
        <f t="shared" si="25"/>
        <v>0</v>
      </c>
      <c r="AH7" s="373"/>
      <c r="AI7" s="370"/>
      <c r="AJ7" s="370"/>
      <c r="AK7" s="370"/>
      <c r="AL7" s="370"/>
      <c r="AM7" s="370"/>
      <c r="AN7" s="374" t="str">
        <f t="shared" si="0"/>
        <v>MarruecosHaití</v>
      </c>
      <c r="AO7" s="371" t="str">
        <f t="shared" si="1"/>
        <v>Marruecos</v>
      </c>
      <c r="AP7" s="370"/>
      <c r="AQ7" s="370"/>
      <c r="AR7" s="370"/>
      <c r="AS7" s="370"/>
      <c r="AT7" s="370"/>
      <c r="AU7" s="370"/>
      <c r="AV7" s="370"/>
      <c r="AW7" s="370"/>
      <c r="AX7" s="370"/>
      <c r="AY7" s="336"/>
      <c r="AZ7" s="336"/>
      <c r="BA7" s="336"/>
      <c r="BB7" s="336"/>
      <c r="BC7" s="336"/>
    </row>
    <row r="8" spans="1:55" x14ac:dyDescent="0.2">
      <c r="A8" s="375" t="str">
        <f>'- C -'!C10</f>
        <v>Escocia</v>
      </c>
      <c r="B8" s="373">
        <f>IF('- C -'!D10&lt;&gt;"",'- C -'!D10,"")</f>
        <v>2</v>
      </c>
      <c r="C8" s="373" t="str">
        <f>'- C -'!E10</f>
        <v>-</v>
      </c>
      <c r="D8" s="373">
        <f>IF('- C -'!F10&lt;&gt;"",'- C -'!F10,"")</f>
        <v>2</v>
      </c>
      <c r="E8" s="376" t="str">
        <f>'- C -'!G10</f>
        <v>Brasil</v>
      </c>
      <c r="F8" s="373">
        <f>COUNTBLANK('- C -'!D10:'- C -'!F10)</f>
        <v>0</v>
      </c>
      <c r="G8" s="373">
        <f t="shared" si="2"/>
        <v>1</v>
      </c>
      <c r="H8" s="373">
        <f t="shared" si="3"/>
        <v>0</v>
      </c>
      <c r="I8" s="373">
        <f t="shared" si="4"/>
        <v>1</v>
      </c>
      <c r="J8" s="373">
        <f t="shared" si="5"/>
        <v>0</v>
      </c>
      <c r="K8" s="373">
        <f t="shared" si="6"/>
        <v>2</v>
      </c>
      <c r="L8" s="373">
        <f t="shared" si="7"/>
        <v>2</v>
      </c>
      <c r="M8" s="373"/>
      <c r="N8" s="373">
        <f t="shared" si="8"/>
        <v>0</v>
      </c>
      <c r="O8" s="373">
        <f t="shared" si="9"/>
        <v>0</v>
      </c>
      <c r="P8" s="373">
        <f t="shared" si="10"/>
        <v>0</v>
      </c>
      <c r="Q8" s="373">
        <f t="shared" si="11"/>
        <v>0</v>
      </c>
      <c r="R8" s="373">
        <f t="shared" si="12"/>
        <v>0</v>
      </c>
      <c r="S8" s="373">
        <f t="shared" si="13"/>
        <v>0</v>
      </c>
      <c r="T8" s="373"/>
      <c r="U8" s="373">
        <f t="shared" si="14"/>
        <v>0</v>
      </c>
      <c r="V8" s="373">
        <f t="shared" si="15"/>
        <v>0</v>
      </c>
      <c r="W8" s="373">
        <f t="shared" si="16"/>
        <v>0</v>
      </c>
      <c r="X8" s="373">
        <f t="shared" si="17"/>
        <v>0</v>
      </c>
      <c r="Y8" s="373">
        <f t="shared" si="18"/>
        <v>0</v>
      </c>
      <c r="Z8" s="373">
        <f t="shared" si="19"/>
        <v>0</v>
      </c>
      <c r="AA8" s="373"/>
      <c r="AB8" s="373">
        <f t="shared" si="20"/>
        <v>1</v>
      </c>
      <c r="AC8" s="373">
        <f t="shared" si="21"/>
        <v>0</v>
      </c>
      <c r="AD8" s="373">
        <f t="shared" si="22"/>
        <v>1</v>
      </c>
      <c r="AE8" s="373">
        <f t="shared" si="23"/>
        <v>0</v>
      </c>
      <c r="AF8" s="373">
        <f t="shared" si="24"/>
        <v>2</v>
      </c>
      <c r="AG8" s="373">
        <f t="shared" si="25"/>
        <v>2</v>
      </c>
      <c r="AH8" s="373"/>
      <c r="AI8" s="370"/>
      <c r="AJ8" s="370"/>
      <c r="AK8" s="370"/>
      <c r="AL8" s="370"/>
      <c r="AM8" s="370"/>
      <c r="AN8" s="374" t="str">
        <f>E4&amp;A4</f>
        <v>MarruecosBrasil</v>
      </c>
      <c r="AO8" s="371" t="str">
        <f>IF(B4=D4,0,IF(B4&gt;D4,A4,E4))</f>
        <v>Brasil</v>
      </c>
      <c r="AP8" s="370"/>
      <c r="AQ8" s="370"/>
      <c r="AR8" s="370"/>
      <c r="AS8" s="370"/>
      <c r="AT8" s="370"/>
      <c r="AU8" s="370"/>
      <c r="AV8" s="370"/>
      <c r="AW8" s="370"/>
      <c r="AX8" s="370"/>
      <c r="AY8" s="336"/>
      <c r="AZ8" s="336"/>
      <c r="BA8" s="336"/>
      <c r="BB8" s="336"/>
      <c r="BC8" s="336"/>
    </row>
    <row r="9" spans="1:55" x14ac:dyDescent="0.2">
      <c r="A9" s="375" t="str">
        <f>'- C -'!C11</f>
        <v>Marruecos</v>
      </c>
      <c r="B9" s="373">
        <f>IF('- C -'!D11&lt;&gt;"",'- C -'!D11,"")</f>
        <v>1</v>
      </c>
      <c r="C9" s="373" t="str">
        <f>'- C -'!E11</f>
        <v>-</v>
      </c>
      <c r="D9" s="373">
        <f>IF('- C -'!F11&lt;&gt;"",'- C -'!F11,"")</f>
        <v>0</v>
      </c>
      <c r="E9" s="376" t="str">
        <f>'- C -'!G11</f>
        <v>Haití</v>
      </c>
      <c r="F9" s="373">
        <f>COUNTBLANK('- C -'!D11:'- C -'!F11)</f>
        <v>0</v>
      </c>
      <c r="G9" s="373">
        <f t="shared" si="2"/>
        <v>0</v>
      </c>
      <c r="H9" s="373">
        <f t="shared" si="3"/>
        <v>0</v>
      </c>
      <c r="I9" s="373">
        <f t="shared" si="4"/>
        <v>0</v>
      </c>
      <c r="J9" s="373">
        <f t="shared" si="5"/>
        <v>0</v>
      </c>
      <c r="K9" s="373">
        <f t="shared" si="6"/>
        <v>0</v>
      </c>
      <c r="L9" s="373">
        <f t="shared" si="7"/>
        <v>0</v>
      </c>
      <c r="M9" s="373"/>
      <c r="N9" s="373">
        <f t="shared" si="8"/>
        <v>1</v>
      </c>
      <c r="O9" s="373">
        <f t="shared" si="9"/>
        <v>1</v>
      </c>
      <c r="P9" s="373">
        <f t="shared" si="10"/>
        <v>0</v>
      </c>
      <c r="Q9" s="373">
        <f t="shared" si="11"/>
        <v>0</v>
      </c>
      <c r="R9" s="373">
        <f t="shared" si="12"/>
        <v>1</v>
      </c>
      <c r="S9" s="373">
        <f t="shared" si="13"/>
        <v>0</v>
      </c>
      <c r="T9" s="373"/>
      <c r="U9" s="373">
        <f t="shared" si="14"/>
        <v>1</v>
      </c>
      <c r="V9" s="373">
        <f t="shared" si="15"/>
        <v>0</v>
      </c>
      <c r="W9" s="373">
        <f t="shared" si="16"/>
        <v>0</v>
      </c>
      <c r="X9" s="373">
        <f t="shared" si="17"/>
        <v>1</v>
      </c>
      <c r="Y9" s="373">
        <f t="shared" si="18"/>
        <v>0</v>
      </c>
      <c r="Z9" s="373">
        <f t="shared" si="19"/>
        <v>1</v>
      </c>
      <c r="AA9" s="373"/>
      <c r="AB9" s="373">
        <f t="shared" si="20"/>
        <v>0</v>
      </c>
      <c r="AC9" s="373">
        <f t="shared" si="21"/>
        <v>0</v>
      </c>
      <c r="AD9" s="373">
        <f t="shared" si="22"/>
        <v>0</v>
      </c>
      <c r="AE9" s="373">
        <f t="shared" si="23"/>
        <v>0</v>
      </c>
      <c r="AF9" s="373">
        <f t="shared" si="24"/>
        <v>0</v>
      </c>
      <c r="AG9" s="373">
        <f t="shared" si="25"/>
        <v>0</v>
      </c>
      <c r="AH9" s="373"/>
      <c r="AI9" s="370"/>
      <c r="AJ9" s="370"/>
      <c r="AK9" s="370"/>
      <c r="AL9" s="370"/>
      <c r="AM9" s="370"/>
      <c r="AN9" s="374" t="str">
        <f t="shared" ref="AN9:AN13" si="26">E5&amp;A5</f>
        <v>EscociaHaití</v>
      </c>
      <c r="AO9" s="371" t="str">
        <f t="shared" ref="AO9:AO13" si="27">IF(B5=D5,0,IF(B5&gt;D5,A5,E5))</f>
        <v>Escocia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2</v>
      </c>
      <c r="I10" s="373">
        <f t="shared" si="28"/>
        <v>1</v>
      </c>
      <c r="J10" s="373">
        <f t="shared" si="28"/>
        <v>0</v>
      </c>
      <c r="K10" s="373">
        <f t="shared" si="28"/>
        <v>7</v>
      </c>
      <c r="L10" s="373">
        <f t="shared" si="28"/>
        <v>3</v>
      </c>
      <c r="M10" s="373">
        <f>H10*3+I10</f>
        <v>7</v>
      </c>
      <c r="N10" s="373">
        <f t="shared" ref="N10:S10" si="29">SUM(N4:N9)</f>
        <v>3</v>
      </c>
      <c r="O10" s="373">
        <f t="shared" si="29"/>
        <v>1</v>
      </c>
      <c r="P10" s="373">
        <f t="shared" si="29"/>
        <v>1</v>
      </c>
      <c r="Q10" s="373">
        <f t="shared" si="29"/>
        <v>1</v>
      </c>
      <c r="R10" s="373">
        <f t="shared" si="29"/>
        <v>2</v>
      </c>
      <c r="S10" s="373">
        <f t="shared" si="29"/>
        <v>2</v>
      </c>
      <c r="T10" s="373">
        <f>O10*3+P10</f>
        <v>4</v>
      </c>
      <c r="U10" s="373">
        <f t="shared" ref="U10:Z10" si="30">SUM(U4:U9)</f>
        <v>3</v>
      </c>
      <c r="V10" s="373">
        <f t="shared" si="30"/>
        <v>0</v>
      </c>
      <c r="W10" s="373">
        <f t="shared" si="30"/>
        <v>0</v>
      </c>
      <c r="X10" s="373">
        <f t="shared" si="30"/>
        <v>3</v>
      </c>
      <c r="Y10" s="373">
        <f t="shared" si="30"/>
        <v>0</v>
      </c>
      <c r="Z10" s="373">
        <f t="shared" si="30"/>
        <v>7</v>
      </c>
      <c r="AA10" s="373">
        <f>V10*3+W10</f>
        <v>0</v>
      </c>
      <c r="AB10" s="373">
        <f t="shared" ref="AB10:AG10" si="31">SUM(AB4:AB9)</f>
        <v>3</v>
      </c>
      <c r="AC10" s="373">
        <f t="shared" si="31"/>
        <v>1</v>
      </c>
      <c r="AD10" s="373">
        <f t="shared" si="31"/>
        <v>2</v>
      </c>
      <c r="AE10" s="373">
        <f t="shared" si="31"/>
        <v>0</v>
      </c>
      <c r="AF10" s="373">
        <f t="shared" si="31"/>
        <v>5</v>
      </c>
      <c r="AG10" s="373">
        <f t="shared" si="31"/>
        <v>2</v>
      </c>
      <c r="AH10" s="373">
        <f>AC10*3+AD10</f>
        <v>5</v>
      </c>
      <c r="AI10" s="370"/>
      <c r="AJ10" s="370"/>
      <c r="AK10" s="370"/>
      <c r="AL10" s="370"/>
      <c r="AM10" s="370"/>
      <c r="AN10" s="374" t="str">
        <f t="shared" si="26"/>
        <v>MarruecosEscocia</v>
      </c>
      <c r="AO10" s="371">
        <f t="shared" si="27"/>
        <v>0</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HaitíBrasil</v>
      </c>
      <c r="AO11" s="371" t="str">
        <f t="shared" si="27"/>
        <v>Brasil</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BrasilEscocia</v>
      </c>
      <c r="AO12" s="371">
        <f t="shared" si="27"/>
        <v>0</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HaitíMarruecos</v>
      </c>
      <c r="AO13" s="371" t="str">
        <f t="shared" si="27"/>
        <v>Marruecos</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Brasil</v>
      </c>
      <c r="G16" s="373">
        <f t="shared" ref="G16:M16" si="32">G10</f>
        <v>3</v>
      </c>
      <c r="H16" s="373">
        <f t="shared" si="32"/>
        <v>2</v>
      </c>
      <c r="I16" s="373">
        <f t="shared" si="32"/>
        <v>1</v>
      </c>
      <c r="J16" s="373">
        <f t="shared" si="32"/>
        <v>0</v>
      </c>
      <c r="K16" s="373">
        <f t="shared" si="32"/>
        <v>7</v>
      </c>
      <c r="L16" s="373">
        <f t="shared" si="32"/>
        <v>3</v>
      </c>
      <c r="M16" s="373">
        <f t="shared" si="32"/>
        <v>7</v>
      </c>
      <c r="N16" s="370"/>
      <c r="O16" s="370" t="str">
        <f>IF($M16&gt;=$M17,$F16,$F17)</f>
        <v>Brasil</v>
      </c>
      <c r="P16" s="370">
        <f>VLOOKUP(O16,$F$16:$M$20,8,FALSE)</f>
        <v>7</v>
      </c>
      <c r="Q16" s="370"/>
      <c r="R16" s="370"/>
      <c r="S16" s="370" t="str">
        <f>IF($P16&gt;=$P18,$O16,$O18)</f>
        <v>Brasil</v>
      </c>
      <c r="T16" s="370">
        <f>VLOOKUP(S16,$O$16:$P$20,2,FALSE)</f>
        <v>7</v>
      </c>
      <c r="U16" s="370"/>
      <c r="V16" s="370"/>
      <c r="W16" s="370" t="str">
        <f>IF($T16&gt;=$T19,$S16,$S19)</f>
        <v>Brasil</v>
      </c>
      <c r="X16" s="370">
        <f>VLOOKUP(W16,$S$16:$T$20,2,FALSE)</f>
        <v>7</v>
      </c>
      <c r="Y16" s="370"/>
      <c r="Z16" s="370"/>
      <c r="AA16" s="370" t="str">
        <f>W16</f>
        <v>Brasil</v>
      </c>
      <c r="AB16" s="370">
        <f>VLOOKUP(AA16,W16:X20,2,FALSE)</f>
        <v>7</v>
      </c>
      <c r="AC16" s="370"/>
      <c r="AD16" s="370"/>
      <c r="AE16" s="370" t="str">
        <f>AA16</f>
        <v>Brasil</v>
      </c>
      <c r="AF16" s="370">
        <f>VLOOKUP(AE16,AA16:AB20,2,FALSE)</f>
        <v>7</v>
      </c>
      <c r="AG16" s="370"/>
      <c r="AH16" s="370"/>
      <c r="AI16" s="370" t="str">
        <f>AE16</f>
        <v>Brasil</v>
      </c>
      <c r="AJ16" s="370">
        <f>VLOOKUP(AI16,AE16:AF20,2,FALSE)</f>
        <v>7</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Marruecos</v>
      </c>
      <c r="G17" s="373">
        <f t="shared" ref="G17:M17" si="33">N10</f>
        <v>3</v>
      </c>
      <c r="H17" s="373">
        <f t="shared" si="33"/>
        <v>1</v>
      </c>
      <c r="I17" s="373">
        <f t="shared" si="33"/>
        <v>1</v>
      </c>
      <c r="J17" s="373">
        <f t="shared" si="33"/>
        <v>1</v>
      </c>
      <c r="K17" s="373">
        <f t="shared" si="33"/>
        <v>2</v>
      </c>
      <c r="L17" s="373">
        <f t="shared" si="33"/>
        <v>2</v>
      </c>
      <c r="M17" s="373">
        <f t="shared" si="33"/>
        <v>4</v>
      </c>
      <c r="N17" s="370"/>
      <c r="O17" s="370" t="str">
        <f>IF($M17&lt;=$M16,$F17,$F16)</f>
        <v>Marruecos</v>
      </c>
      <c r="P17" s="370">
        <f>VLOOKUP(O17,$F$16:$M$20,8,FALSE)</f>
        <v>4</v>
      </c>
      <c r="Q17" s="370"/>
      <c r="R17" s="370"/>
      <c r="S17" s="370" t="str">
        <f>O17</f>
        <v>Marruecos</v>
      </c>
      <c r="T17" s="370">
        <f>VLOOKUP(S17,$O$16:$P$20,2,FALSE)</f>
        <v>4</v>
      </c>
      <c r="U17" s="370"/>
      <c r="V17" s="370"/>
      <c r="W17" s="370" t="str">
        <f>S17</f>
        <v>Marruecos</v>
      </c>
      <c r="X17" s="370">
        <f>VLOOKUP(W17,$S$16:$T$20,2,FALSE)</f>
        <v>4</v>
      </c>
      <c r="Y17" s="370"/>
      <c r="Z17" s="370"/>
      <c r="AA17" s="370" t="str">
        <f>IF(X17&gt;=X18,W17,W18)</f>
        <v>Marruecos</v>
      </c>
      <c r="AB17" s="370">
        <f>VLOOKUP(AA17,W16:X20,2,FALSE)</f>
        <v>4</v>
      </c>
      <c r="AC17" s="370"/>
      <c r="AD17" s="370"/>
      <c r="AE17" s="370" t="str">
        <f>IF(AB17&gt;=AB19,AA17,AA19)</f>
        <v>Escocia</v>
      </c>
      <c r="AF17" s="370">
        <f>VLOOKUP(AE17,AA16:AB20,2,FALSE)</f>
        <v>5</v>
      </c>
      <c r="AG17" s="370"/>
      <c r="AH17" s="370"/>
      <c r="AI17" s="370" t="str">
        <f>AE17</f>
        <v>Escocia</v>
      </c>
      <c r="AJ17" s="370">
        <f>VLOOKUP(AI17,AE16:AF20,2,FALSE)</f>
        <v>5</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Haití</v>
      </c>
      <c r="G18" s="373">
        <f t="shared" ref="G18:M18" si="34">U10</f>
        <v>3</v>
      </c>
      <c r="H18" s="373">
        <f t="shared" si="34"/>
        <v>0</v>
      </c>
      <c r="I18" s="373">
        <f t="shared" si="34"/>
        <v>0</v>
      </c>
      <c r="J18" s="373">
        <f t="shared" si="34"/>
        <v>3</v>
      </c>
      <c r="K18" s="373">
        <f t="shared" si="34"/>
        <v>0</v>
      </c>
      <c r="L18" s="373">
        <f t="shared" si="34"/>
        <v>7</v>
      </c>
      <c r="M18" s="373">
        <f t="shared" si="34"/>
        <v>0</v>
      </c>
      <c r="N18" s="370"/>
      <c r="O18" s="370" t="str">
        <f>F18</f>
        <v>Haití</v>
      </c>
      <c r="P18" s="370">
        <f>VLOOKUP(O18,$F$16:$M$20,8,FALSE)</f>
        <v>0</v>
      </c>
      <c r="Q18" s="370"/>
      <c r="R18" s="370"/>
      <c r="S18" s="370" t="str">
        <f>IF($P18&lt;=$P16,$O18,$O16)</f>
        <v>Haití</v>
      </c>
      <c r="T18" s="370">
        <f>VLOOKUP(S18,$O$16:$P$20,2,FALSE)</f>
        <v>0</v>
      </c>
      <c r="U18" s="370"/>
      <c r="V18" s="370"/>
      <c r="W18" s="370" t="str">
        <f>S18</f>
        <v>Haití</v>
      </c>
      <c r="X18" s="370">
        <f>VLOOKUP(W18,$S$16:$T$20,2,FALSE)</f>
        <v>0</v>
      </c>
      <c r="Y18" s="370"/>
      <c r="Z18" s="370"/>
      <c r="AA18" s="370" t="str">
        <f>IF(X18&lt;=X17,W18,W17)</f>
        <v>Haití</v>
      </c>
      <c r="AB18" s="370">
        <f>VLOOKUP(AA18,W16:X20,2,FALSE)</f>
        <v>0</v>
      </c>
      <c r="AC18" s="370"/>
      <c r="AD18" s="370"/>
      <c r="AE18" s="370" t="str">
        <f>AA18</f>
        <v>Haití</v>
      </c>
      <c r="AF18" s="370">
        <f>VLOOKUP(AE18,AA16:AB20,2,FALSE)</f>
        <v>0</v>
      </c>
      <c r="AG18" s="370"/>
      <c r="AH18" s="370"/>
      <c r="AI18" s="370" t="str">
        <f>IF(AF18&gt;=AF19,AE18,AE19)</f>
        <v>Marruecos</v>
      </c>
      <c r="AJ18" s="370">
        <f>VLOOKUP(AI18,AE16:AF20,2,FALSE)</f>
        <v>4</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Escocia</v>
      </c>
      <c r="G19" s="373">
        <f t="shared" ref="G19:M19" si="35">AB10</f>
        <v>3</v>
      </c>
      <c r="H19" s="373">
        <f t="shared" si="35"/>
        <v>1</v>
      </c>
      <c r="I19" s="373">
        <f t="shared" si="35"/>
        <v>2</v>
      </c>
      <c r="J19" s="373">
        <f t="shared" si="35"/>
        <v>0</v>
      </c>
      <c r="K19" s="373">
        <f t="shared" si="35"/>
        <v>5</v>
      </c>
      <c r="L19" s="373">
        <f t="shared" si="35"/>
        <v>2</v>
      </c>
      <c r="M19" s="373">
        <f t="shared" si="35"/>
        <v>5</v>
      </c>
      <c r="N19" s="370"/>
      <c r="O19" s="370" t="str">
        <f>F19</f>
        <v>Escocia</v>
      </c>
      <c r="P19" s="370">
        <f>VLOOKUP(O19,$F$16:$M$20,8,FALSE)</f>
        <v>5</v>
      </c>
      <c r="Q19" s="370"/>
      <c r="R19" s="370"/>
      <c r="S19" s="370" t="str">
        <f>O19</f>
        <v>Escocia</v>
      </c>
      <c r="T19" s="370">
        <f>VLOOKUP(S19,$O$16:$P$20,2,FALSE)</f>
        <v>5</v>
      </c>
      <c r="U19" s="370"/>
      <c r="V19" s="370"/>
      <c r="W19" s="370" t="str">
        <f>IF($T19&lt;=$T16,$S19,$S16)</f>
        <v>Escocia</v>
      </c>
      <c r="X19" s="370">
        <f>VLOOKUP(W19,$S$16:$T$20,2,FALSE)</f>
        <v>5</v>
      </c>
      <c r="Y19" s="370"/>
      <c r="Z19" s="370"/>
      <c r="AA19" s="370" t="str">
        <f>W19</f>
        <v>Escocia</v>
      </c>
      <c r="AB19" s="370">
        <f>VLOOKUP(AA19,W16:X20,2,FALSE)</f>
        <v>5</v>
      </c>
      <c r="AC19" s="370"/>
      <c r="AD19" s="370"/>
      <c r="AE19" s="370" t="str">
        <f>IF(AB19&lt;=AB17,AA19,AA17)</f>
        <v>Marruecos</v>
      </c>
      <c r="AF19" s="370">
        <f>VLOOKUP(AE19,AA16:AB20,2,FALSE)</f>
        <v>4</v>
      </c>
      <c r="AG19" s="370"/>
      <c r="AH19" s="370"/>
      <c r="AI19" s="370" t="str">
        <f>IF(AF19&lt;=AF18,AE19,AE18)</f>
        <v>Haití</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Brasil</v>
      </c>
      <c r="G23" s="370"/>
      <c r="H23" s="370"/>
      <c r="I23" s="370"/>
      <c r="J23" s="373">
        <f>AJ16</f>
        <v>7</v>
      </c>
      <c r="K23" s="373">
        <f>VLOOKUP(AI16,$F$16:$M$20,6,FALSE)</f>
        <v>7</v>
      </c>
      <c r="L23" s="373">
        <f>VLOOKUP(AI16,$F$16:$M$20,7,FALSE)</f>
        <v>3</v>
      </c>
      <c r="M23" s="373">
        <f>K23-L23</f>
        <v>4</v>
      </c>
      <c r="N23" s="370"/>
      <c r="O23" s="370" t="str">
        <f>IF(AND($J23=$J24,$M24&gt;$M23),$F24,$F23)</f>
        <v>Brasil</v>
      </c>
      <c r="P23" s="373">
        <f>VLOOKUP(O23,$F$23:$M$27,5,FALSE)</f>
        <v>7</v>
      </c>
      <c r="Q23" s="373">
        <f>VLOOKUP(O23,$F$23:$M$27,8,FALSE)</f>
        <v>4</v>
      </c>
      <c r="R23" s="370"/>
      <c r="S23" s="370" t="str">
        <f>IF(AND(P23=P25,Q25&gt;Q23),O25,O23)</f>
        <v>Brasil</v>
      </c>
      <c r="T23" s="373">
        <f>VLOOKUP(S23,$O$23:$Q$27,2,FALSE)</f>
        <v>7</v>
      </c>
      <c r="U23" s="373">
        <f>VLOOKUP(S23,$O$23:$Q$27,3,FALSE)</f>
        <v>4</v>
      </c>
      <c r="V23" s="370"/>
      <c r="W23" s="370" t="str">
        <f>IF(AND(T23=T26,U26&gt;U23),S26,S23)</f>
        <v>Brasil</v>
      </c>
      <c r="X23" s="373">
        <f>VLOOKUP(W23,$S$23:$U$27,2,FALSE)</f>
        <v>7</v>
      </c>
      <c r="Y23" s="373">
        <f>VLOOKUP(W23,$S$23:$U$27,3,FALSE)</f>
        <v>4</v>
      </c>
      <c r="Z23" s="370"/>
      <c r="AA23" s="370" t="str">
        <f>W23</f>
        <v>Brasil</v>
      </c>
      <c r="AB23" s="373">
        <f>VLOOKUP(AA23,W23:Y27,2,FALSE)</f>
        <v>7</v>
      </c>
      <c r="AC23" s="373">
        <f>VLOOKUP(AA23,W23:Y27,3,FALSE)</f>
        <v>4</v>
      </c>
      <c r="AD23" s="370"/>
      <c r="AE23" s="370" t="str">
        <f>AA23</f>
        <v>Brasil</v>
      </c>
      <c r="AF23" s="373">
        <f>VLOOKUP(AE23,AA23:AC27,2,FALSE)</f>
        <v>7</v>
      </c>
      <c r="AG23" s="373">
        <f>VLOOKUP(AE23,AA23:AC27,3,FALSE)</f>
        <v>4</v>
      </c>
      <c r="AH23" s="370"/>
      <c r="AI23" s="370" t="str">
        <f>AE23</f>
        <v>Brasil</v>
      </c>
      <c r="AJ23" s="373">
        <f>VLOOKUP(AI23,AE23:AG27,2,FALSE)</f>
        <v>7</v>
      </c>
      <c r="AK23" s="373">
        <f>VLOOKUP(AI23,AE23:AG27,3,FALSE)</f>
        <v>4</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Escocia</v>
      </c>
      <c r="G24" s="370"/>
      <c r="H24" s="370"/>
      <c r="I24" s="370"/>
      <c r="J24" s="373">
        <f>AJ17</f>
        <v>5</v>
      </c>
      <c r="K24" s="373">
        <f>VLOOKUP(AI17,$F$16:$M$20,6,FALSE)</f>
        <v>5</v>
      </c>
      <c r="L24" s="373">
        <f>VLOOKUP(AI17,$F$16:$M$20,7,FALSE)</f>
        <v>2</v>
      </c>
      <c r="M24" s="373">
        <f>K24-L24</f>
        <v>3</v>
      </c>
      <c r="N24" s="370"/>
      <c r="O24" s="370" t="str">
        <f>IF(AND($J23=$J24,$M24&gt;$M23),$F23,$F24)</f>
        <v>Escocia</v>
      </c>
      <c r="P24" s="373">
        <f>VLOOKUP(O24,$F$23:$M$27,5,FALSE)</f>
        <v>5</v>
      </c>
      <c r="Q24" s="373">
        <f>VLOOKUP(O24,$F$23:$M$27,8,FALSE)</f>
        <v>3</v>
      </c>
      <c r="R24" s="370"/>
      <c r="S24" s="370" t="str">
        <f>O24</f>
        <v>Escocia</v>
      </c>
      <c r="T24" s="373">
        <f>VLOOKUP(S24,$O$23:$Q$27,2,FALSE)</f>
        <v>5</v>
      </c>
      <c r="U24" s="373">
        <f>VLOOKUP(S24,$O$23:$Q$27,3,FALSE)</f>
        <v>3</v>
      </c>
      <c r="V24" s="370"/>
      <c r="W24" s="370" t="str">
        <f>S24</f>
        <v>Escocia</v>
      </c>
      <c r="X24" s="373">
        <f>VLOOKUP(W24,$S$23:$U$27,2,FALSE)</f>
        <v>5</v>
      </c>
      <c r="Y24" s="373">
        <f>VLOOKUP(W24,$S$23:$U$27,3,FALSE)</f>
        <v>3</v>
      </c>
      <c r="Z24" s="370"/>
      <c r="AA24" s="370" t="str">
        <f>IF(AND(X24=X25,Y25&gt;Y24),W25,W24)</f>
        <v>Escocia</v>
      </c>
      <c r="AB24" s="373">
        <f>VLOOKUP(AA24,W23:Y27,2,FALSE)</f>
        <v>5</v>
      </c>
      <c r="AC24" s="373">
        <f>VLOOKUP(AA24,W23:Y27,3,FALSE)</f>
        <v>3</v>
      </c>
      <c r="AD24" s="370"/>
      <c r="AE24" s="370" t="str">
        <f>IF(AND(AB24=AB26,AC26&gt;AC24),AA26,AA24)</f>
        <v>Escocia</v>
      </c>
      <c r="AF24" s="373">
        <f>VLOOKUP(AE24,AA23:AC27,2,FALSE)</f>
        <v>5</v>
      </c>
      <c r="AG24" s="373">
        <f>VLOOKUP(AE24,AA23:AC27,3,FALSE)</f>
        <v>3</v>
      </c>
      <c r="AH24" s="370"/>
      <c r="AI24" s="370" t="str">
        <f>AE24</f>
        <v>Escocia</v>
      </c>
      <c r="AJ24" s="373">
        <f>VLOOKUP(AI24,AE23:AG27,2,FALSE)</f>
        <v>5</v>
      </c>
      <c r="AK24" s="373">
        <f>VLOOKUP(AI24,AE23:AG27,3,FALSE)</f>
        <v>3</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Marruecos</v>
      </c>
      <c r="G25" s="370"/>
      <c r="H25" s="370"/>
      <c r="I25" s="370"/>
      <c r="J25" s="373">
        <f>AJ18</f>
        <v>4</v>
      </c>
      <c r="K25" s="373">
        <f>VLOOKUP(AI18,$F$16:$M$20,6,FALSE)</f>
        <v>2</v>
      </c>
      <c r="L25" s="373">
        <f>VLOOKUP(AI18,$F$16:$M$20,7,FALSE)</f>
        <v>2</v>
      </c>
      <c r="M25" s="373">
        <f>K25-L25</f>
        <v>0</v>
      </c>
      <c r="N25" s="370"/>
      <c r="O25" s="370" t="str">
        <f>F25</f>
        <v>Marruecos</v>
      </c>
      <c r="P25" s="373">
        <f>VLOOKUP(O25,$F$23:$M$27,5,FALSE)</f>
        <v>4</v>
      </c>
      <c r="Q25" s="373">
        <f>VLOOKUP(O25,$F$23:$M$27,8,FALSE)</f>
        <v>0</v>
      </c>
      <c r="R25" s="370"/>
      <c r="S25" s="370" t="str">
        <f>IF(AND($P23=P25,Q25&gt;Q23),O23,O25)</f>
        <v>Marruecos</v>
      </c>
      <c r="T25" s="373">
        <f>VLOOKUP(S25,$O$23:$Q$27,2,FALSE)</f>
        <v>4</v>
      </c>
      <c r="U25" s="373">
        <f>VLOOKUP(S25,$O$23:$Q$27,3,FALSE)</f>
        <v>0</v>
      </c>
      <c r="V25" s="370"/>
      <c r="W25" s="370" t="str">
        <f>S25</f>
        <v>Marruecos</v>
      </c>
      <c r="X25" s="373">
        <f>VLOOKUP(W25,$S$23:$U$27,2,FALSE)</f>
        <v>4</v>
      </c>
      <c r="Y25" s="373">
        <f>VLOOKUP(W25,$S$23:$U$27,3,FALSE)</f>
        <v>0</v>
      </c>
      <c r="Z25" s="370"/>
      <c r="AA25" s="370" t="str">
        <f>IF(AND(X24=X25,Y25&gt;Y24),W24,W25)</f>
        <v>Marruecos</v>
      </c>
      <c r="AB25" s="373">
        <f>VLOOKUP(AA25,W23:Y27,2,FALSE)</f>
        <v>4</v>
      </c>
      <c r="AC25" s="373">
        <f>VLOOKUP(AA25,W23:Y27,3,FALSE)</f>
        <v>0</v>
      </c>
      <c r="AD25" s="370"/>
      <c r="AE25" s="370" t="str">
        <f>AA25</f>
        <v>Marruecos</v>
      </c>
      <c r="AF25" s="373">
        <f>VLOOKUP(AE25,AA23:AC27,2,FALSE)</f>
        <v>4</v>
      </c>
      <c r="AG25" s="373">
        <f>VLOOKUP(AE25,AA23:AC27,3,FALSE)</f>
        <v>0</v>
      </c>
      <c r="AH25" s="370"/>
      <c r="AI25" s="370" t="str">
        <f>IF(AND(AF25=AF26,AG26&gt;AG25),AE26,AE25)</f>
        <v>Marruecos</v>
      </c>
      <c r="AJ25" s="373">
        <f>VLOOKUP(AI25,AE23:AG27,2,FALSE)</f>
        <v>4</v>
      </c>
      <c r="AK25" s="373">
        <f>VLOOKUP(AI25,AE23:AG27,3,FALSE)</f>
        <v>0</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Haití</v>
      </c>
      <c r="G26" s="370"/>
      <c r="H26" s="370"/>
      <c r="I26" s="370"/>
      <c r="J26" s="373">
        <f>AJ19</f>
        <v>0</v>
      </c>
      <c r="K26" s="373">
        <f>VLOOKUP(AI19,$F$16:$M$20,6,FALSE)</f>
        <v>0</v>
      </c>
      <c r="L26" s="373">
        <f>VLOOKUP(AI19,$F$16:$M$20,7,FALSE)</f>
        <v>7</v>
      </c>
      <c r="M26" s="373">
        <f>K26-L26</f>
        <v>-7</v>
      </c>
      <c r="N26" s="370"/>
      <c r="O26" s="370" t="str">
        <f>F26</f>
        <v>Haití</v>
      </c>
      <c r="P26" s="373">
        <f>VLOOKUP(O26,$F$23:$M$27,5,FALSE)</f>
        <v>0</v>
      </c>
      <c r="Q26" s="373">
        <f>VLOOKUP(O26,$F$23:$M$27,8,FALSE)</f>
        <v>-7</v>
      </c>
      <c r="R26" s="370"/>
      <c r="S26" s="370" t="str">
        <f>O26</f>
        <v>Haití</v>
      </c>
      <c r="T26" s="373">
        <f>VLOOKUP(S26,$O$23:$Q$27,2,FALSE)</f>
        <v>0</v>
      </c>
      <c r="U26" s="373">
        <f>VLOOKUP(S26,$O$23:$Q$27,3,FALSE)</f>
        <v>-7</v>
      </c>
      <c r="V26" s="370"/>
      <c r="W26" s="370" t="str">
        <f>IF(AND(T23=T26,U26&gt;U23),S23,S26)</f>
        <v>Haití</v>
      </c>
      <c r="X26" s="373">
        <f>VLOOKUP(W26,$S$23:$U$27,2,FALSE)</f>
        <v>0</v>
      </c>
      <c r="Y26" s="373">
        <f>VLOOKUP(W26,$S$23:$U$27,3,FALSE)</f>
        <v>-7</v>
      </c>
      <c r="Z26" s="370"/>
      <c r="AA26" s="370" t="str">
        <f>W26</f>
        <v>Haití</v>
      </c>
      <c r="AB26" s="373">
        <f>VLOOKUP(AA26,W23:Y27,2,FALSE)</f>
        <v>0</v>
      </c>
      <c r="AC26" s="373">
        <f>VLOOKUP(AA26,W23:Y27,3,FALSE)</f>
        <v>-7</v>
      </c>
      <c r="AD26" s="370"/>
      <c r="AE26" s="370" t="str">
        <f>IF(AND(AB24=AB26,AC26&gt;AC24),AA24,AA26)</f>
        <v>Haití</v>
      </c>
      <c r="AF26" s="373">
        <f>VLOOKUP(AE26,AA23:AC27,2,FALSE)</f>
        <v>0</v>
      </c>
      <c r="AG26" s="373">
        <f>VLOOKUP(AE26,AA23:AC27,3,FALSE)</f>
        <v>-7</v>
      </c>
      <c r="AH26" s="370"/>
      <c r="AI26" s="370" t="str">
        <f>IF(AND(AF25=AF26,AG26&gt;AG25),AE25,AE26)</f>
        <v>Haití</v>
      </c>
      <c r="AJ26" s="373">
        <f>VLOOKUP(AI26,AE23:AG27,2,FALSE)</f>
        <v>0</v>
      </c>
      <c r="AK26" s="373">
        <f>VLOOKUP(AI26,AE23:AG27,3,FALSE)</f>
        <v>-7</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Brasil</v>
      </c>
      <c r="G30" s="370"/>
      <c r="H30" s="370"/>
      <c r="I30" s="370"/>
      <c r="J30" s="373">
        <f>VLOOKUP(F30,$F$16:$M$20,8,FALSE)</f>
        <v>7</v>
      </c>
      <c r="K30" s="373">
        <f>VLOOKUP(F30,$F$16:$M$20,6,FALSE)</f>
        <v>7</v>
      </c>
      <c r="L30" s="373">
        <f>VLOOKUP(F30,$F$16:$M$20,7,FALSE)</f>
        <v>3</v>
      </c>
      <c r="M30" s="373">
        <f>K30-L30</f>
        <v>4</v>
      </c>
      <c r="N30" s="370"/>
      <c r="O30" s="370" t="str">
        <f>IF(AND(J30=J31,M30=M31,K31&gt;K30),F31,F30)</f>
        <v>Brasil</v>
      </c>
      <c r="P30" s="373">
        <f>VLOOKUP(O30,$F$30:$M$34,5,FALSE)</f>
        <v>7</v>
      </c>
      <c r="Q30" s="373">
        <f>VLOOKUP(O30,$F$30:$M$34,8,FALSE)</f>
        <v>4</v>
      </c>
      <c r="R30" s="373">
        <f>VLOOKUP(O30,$F$30:$M$34,6,FALSE)</f>
        <v>7</v>
      </c>
      <c r="S30" s="370" t="str">
        <f>IF(AND(P30=P32,Q30=Q32,R32&gt;R30),O32,O30)</f>
        <v>Brasil</v>
      </c>
      <c r="T30" s="373">
        <f>VLOOKUP(S30,$O$30:$R$34,2,FALSE)</f>
        <v>7</v>
      </c>
      <c r="U30" s="373">
        <f>VLOOKUP(S30,$O$30:$R$34,3,FALSE)</f>
        <v>4</v>
      </c>
      <c r="V30" s="373">
        <f>VLOOKUP(S30,$O$30:$R$34,4,FALSE)</f>
        <v>7</v>
      </c>
      <c r="W30" s="370" t="str">
        <f>IF(AND(T30=T33,U30=U33,V33&gt;V30),S33,S30)</f>
        <v>Brasil</v>
      </c>
      <c r="X30" s="373">
        <f>VLOOKUP(W30,$S$30:$V$34,2,FALSE)</f>
        <v>7</v>
      </c>
      <c r="Y30" s="373">
        <f>VLOOKUP(W30,$S$30:$V$34,3,FALSE)</f>
        <v>4</v>
      </c>
      <c r="Z30" s="373">
        <f>VLOOKUP(W30,$S$30:$V$34,4,FALSE)</f>
        <v>7</v>
      </c>
      <c r="AA30" s="370" t="str">
        <f>W30</f>
        <v>Brasil</v>
      </c>
      <c r="AB30" s="373">
        <f>VLOOKUP(AA30,W30:Z34,2,FALSE)</f>
        <v>7</v>
      </c>
      <c r="AC30" s="373">
        <f>VLOOKUP(AA30,W30:Z34,3,FALSE)</f>
        <v>4</v>
      </c>
      <c r="AD30" s="373">
        <f>VLOOKUP(AA30,W30:Z34,4,FALSE)</f>
        <v>7</v>
      </c>
      <c r="AE30" s="370" t="str">
        <f>AA30</f>
        <v>Brasil</v>
      </c>
      <c r="AF30" s="373">
        <f>VLOOKUP(AE30,AA30:AD34,2,FALSE)</f>
        <v>7</v>
      </c>
      <c r="AG30" s="373">
        <f>VLOOKUP(AE30,AA30:AD34,3,FALSE)</f>
        <v>4</v>
      </c>
      <c r="AH30" s="373">
        <f>VLOOKUP(AE30,AA30:AD34,4,FALSE)</f>
        <v>7</v>
      </c>
      <c r="AI30" s="370" t="str">
        <f>AE30</f>
        <v>Brasil</v>
      </c>
      <c r="AJ30" s="373">
        <f>VLOOKUP(AI30,AE30:AH34,2,FALSE)</f>
        <v>7</v>
      </c>
      <c r="AK30" s="373">
        <f>VLOOKUP(AI30,AE30:AH34,3,FALSE)</f>
        <v>4</v>
      </c>
      <c r="AL30" s="373">
        <f>VLOOKUP(AI30,AE30:AH34,4,FALSE)</f>
        <v>7</v>
      </c>
      <c r="AM30" s="370"/>
      <c r="AN30" s="373">
        <f>(AJ30*1000)+(AK30*100)+AL30</f>
        <v>7407</v>
      </c>
      <c r="AO30" s="375">
        <f>IF($AN30=$AN31,VLOOKUP($AI30&amp;$AI31,$AN$2:$AO$13,2,0),0)</f>
        <v>0</v>
      </c>
      <c r="AP30" s="370">
        <f>IF(AO30=$AI30,1,0)</f>
        <v>0</v>
      </c>
      <c r="AQ30" s="375"/>
      <c r="AR30" s="370"/>
      <c r="AS30" s="375">
        <f>IF($AN30=$AN32,VLOOKUP($AI30&amp;$AI32,$AN$2:$AO$13,2,0),0)</f>
        <v>0</v>
      </c>
      <c r="AT30" s="370">
        <f>IF(AS30=$AI30,1,0)</f>
        <v>0</v>
      </c>
      <c r="AU30" s="370"/>
      <c r="AV30" s="370">
        <f>SUM(AN30,AP30,AR30,AT30)</f>
        <v>7407</v>
      </c>
      <c r="AW30" s="373">
        <f>RANK(AV30,$AV$30:$AV$33,0)</f>
        <v>1</v>
      </c>
      <c r="AX30" s="370" t="str">
        <f>AI30</f>
        <v>Brasil</v>
      </c>
      <c r="AY30" s="336"/>
      <c r="AZ30" s="336"/>
      <c r="BA30" s="336"/>
      <c r="BB30" s="336"/>
      <c r="BC30" s="336"/>
    </row>
    <row r="31" spans="1:55" x14ac:dyDescent="0.2">
      <c r="A31" s="370"/>
      <c r="B31" s="370"/>
      <c r="C31" s="370"/>
      <c r="D31" s="370"/>
      <c r="E31" s="370"/>
      <c r="F31" s="370" t="str">
        <f>AI24</f>
        <v>Escocia</v>
      </c>
      <c r="G31" s="370"/>
      <c r="H31" s="370"/>
      <c r="I31" s="370"/>
      <c r="J31" s="373">
        <f>VLOOKUP(F31,$F$16:$M$20,8,FALSE)</f>
        <v>5</v>
      </c>
      <c r="K31" s="373">
        <f>VLOOKUP(F31,$F$16:$M$20,6,FALSE)</f>
        <v>5</v>
      </c>
      <c r="L31" s="373">
        <f>VLOOKUP(F31,$F$16:$M$20,7,FALSE)</f>
        <v>2</v>
      </c>
      <c r="M31" s="373">
        <f>K31-L31</f>
        <v>3</v>
      </c>
      <c r="N31" s="370"/>
      <c r="O31" s="370" t="str">
        <f>IF(AND(J30=J31,M30=M31,K31&gt;K30),F30,F31)</f>
        <v>Escocia</v>
      </c>
      <c r="P31" s="373">
        <f>VLOOKUP(O31,$F$30:$M$34,5,FALSE)</f>
        <v>5</v>
      </c>
      <c r="Q31" s="373">
        <f>VLOOKUP(O31,$F$30:$M$34,8,FALSE)</f>
        <v>3</v>
      </c>
      <c r="R31" s="373">
        <f>VLOOKUP(O31,$F$30:$M$34,6,FALSE)</f>
        <v>5</v>
      </c>
      <c r="S31" s="370" t="str">
        <f>O31</f>
        <v>Escocia</v>
      </c>
      <c r="T31" s="373">
        <f>VLOOKUP(S31,$O$30:$R$34,2,FALSE)</f>
        <v>5</v>
      </c>
      <c r="U31" s="373">
        <f>VLOOKUP(S31,$O$30:$R$34,3,FALSE)</f>
        <v>3</v>
      </c>
      <c r="V31" s="373">
        <f>VLOOKUP(S31,$O$30:$R$34,4,FALSE)</f>
        <v>5</v>
      </c>
      <c r="W31" s="370" t="str">
        <f>S31</f>
        <v>Escocia</v>
      </c>
      <c r="X31" s="373">
        <f>VLOOKUP(W31,$S$30:$V$34,2,FALSE)</f>
        <v>5</v>
      </c>
      <c r="Y31" s="373">
        <f>VLOOKUP(W31,$S$30:$V$34,3,FALSE)</f>
        <v>3</v>
      </c>
      <c r="Z31" s="373">
        <f>VLOOKUP(W31,$S$30:$V$34,4,FALSE)</f>
        <v>5</v>
      </c>
      <c r="AA31" s="370" t="str">
        <f>IF(AND(X31=X32,Y31=Y32,Z32&gt;Z31),W32,W31)</f>
        <v>Escocia</v>
      </c>
      <c r="AB31" s="373">
        <f>VLOOKUP(AA31,W30:Z34,2,FALSE)</f>
        <v>5</v>
      </c>
      <c r="AC31" s="373">
        <f>VLOOKUP(AA31,W30:Z34,3,FALSE)</f>
        <v>3</v>
      </c>
      <c r="AD31" s="373">
        <f>VLOOKUP(AA31,W30:Z34,4,FALSE)</f>
        <v>5</v>
      </c>
      <c r="AE31" s="370" t="str">
        <f>IF(AND(AB31=AB33,AC31=AC33,AD33&gt;AD31),AA33,AA31)</f>
        <v>Escocia</v>
      </c>
      <c r="AF31" s="373">
        <f>VLOOKUP(AE31,AA30:AD34,2,FALSE)</f>
        <v>5</v>
      </c>
      <c r="AG31" s="373">
        <f>VLOOKUP(AE31,AA30:AD34,3,FALSE)</f>
        <v>3</v>
      </c>
      <c r="AH31" s="373">
        <f>VLOOKUP(AE31,AA30:AD34,4,FALSE)</f>
        <v>5</v>
      </c>
      <c r="AI31" s="370" t="str">
        <f>AE31</f>
        <v>Escocia</v>
      </c>
      <c r="AJ31" s="373">
        <f>VLOOKUP(AI31,AE30:AH34,2,FALSE)</f>
        <v>5</v>
      </c>
      <c r="AK31" s="373">
        <f>VLOOKUP(AI31,AE30:AH34,3,FALSE)</f>
        <v>3</v>
      </c>
      <c r="AL31" s="373">
        <f>VLOOKUP(AI31,AE30:AH34,4,FALSE)</f>
        <v>5</v>
      </c>
      <c r="AM31" s="370"/>
      <c r="AN31" s="373">
        <f t="shared" ref="AN31:AN33" si="36">(AJ31*1000)+(AK31*100)+AL31</f>
        <v>5305</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5305</v>
      </c>
      <c r="AW31" s="373">
        <f t="shared" ref="AW31:AW33" si="38">RANK(AV31,$AV$30:$AV$33,0)</f>
        <v>2</v>
      </c>
      <c r="AX31" s="370" t="str">
        <f t="shared" ref="AX31:AX33" si="39">AI31</f>
        <v>Escocia</v>
      </c>
      <c r="AY31" s="336"/>
      <c r="AZ31" s="336"/>
      <c r="BA31" s="336"/>
      <c r="BB31" s="336"/>
      <c r="BC31" s="336"/>
    </row>
    <row r="32" spans="1:55" x14ac:dyDescent="0.2">
      <c r="A32" s="370"/>
      <c r="B32" s="370"/>
      <c r="C32" s="370"/>
      <c r="D32" s="370"/>
      <c r="E32" s="370"/>
      <c r="F32" s="370" t="str">
        <f>AI25</f>
        <v>Marruecos</v>
      </c>
      <c r="G32" s="370"/>
      <c r="H32" s="370"/>
      <c r="I32" s="370"/>
      <c r="J32" s="373">
        <f>VLOOKUP(F32,$F$16:$M$20,8,FALSE)</f>
        <v>4</v>
      </c>
      <c r="K32" s="373">
        <f>VLOOKUP(F32,$F$16:$M$20,6,FALSE)</f>
        <v>2</v>
      </c>
      <c r="L32" s="373">
        <f>VLOOKUP(F32,$F$16:$M$20,7,FALSE)</f>
        <v>2</v>
      </c>
      <c r="M32" s="373">
        <f>K32-L32</f>
        <v>0</v>
      </c>
      <c r="N32" s="370"/>
      <c r="O32" s="370" t="str">
        <f>F32</f>
        <v>Marruecos</v>
      </c>
      <c r="P32" s="373">
        <f>VLOOKUP(O32,$F$30:$M$34,5,FALSE)</f>
        <v>4</v>
      </c>
      <c r="Q32" s="373">
        <f>VLOOKUP(O32,$F$30:$M$34,8,FALSE)</f>
        <v>0</v>
      </c>
      <c r="R32" s="373">
        <f>VLOOKUP(O32,$F$30:$M$34,6,FALSE)</f>
        <v>2</v>
      </c>
      <c r="S32" s="370" t="str">
        <f>IF(AND(P30=P32,Q30=Q32,R32&gt;R30),O30,O32)</f>
        <v>Marruecos</v>
      </c>
      <c r="T32" s="373">
        <f>VLOOKUP(S32,$O$30:$R$34,2,FALSE)</f>
        <v>4</v>
      </c>
      <c r="U32" s="373">
        <f>VLOOKUP(S32,$O$30:$R$34,3,FALSE)</f>
        <v>0</v>
      </c>
      <c r="V32" s="373">
        <f>VLOOKUP(S32,$O$30:$R$34,4,FALSE)</f>
        <v>2</v>
      </c>
      <c r="W32" s="370" t="str">
        <f>S32</f>
        <v>Marruecos</v>
      </c>
      <c r="X32" s="373">
        <f>VLOOKUP(W32,$S$30:$V$34,2,FALSE)</f>
        <v>4</v>
      </c>
      <c r="Y32" s="373">
        <f>VLOOKUP(W32,$S$30:$V$34,3,FALSE)</f>
        <v>0</v>
      </c>
      <c r="Z32" s="373">
        <f>VLOOKUP(W32,$S$30:$V$34,4,FALSE)</f>
        <v>2</v>
      </c>
      <c r="AA32" s="370" t="str">
        <f>IF(AND(X31=X32,Y31=Y32,Z32&gt;Z31),W31,W32)</f>
        <v>Marruecos</v>
      </c>
      <c r="AB32" s="373">
        <f>VLOOKUP(AA32,W30:Z34,2,FALSE)</f>
        <v>4</v>
      </c>
      <c r="AC32" s="373">
        <f>VLOOKUP(AA32,W30:Z34,3,FALSE)</f>
        <v>0</v>
      </c>
      <c r="AD32" s="373">
        <f>VLOOKUP(AA32,W30:Z34,4,FALSE)</f>
        <v>2</v>
      </c>
      <c r="AE32" s="370" t="str">
        <f>AA32</f>
        <v>Marruecos</v>
      </c>
      <c r="AF32" s="373">
        <f>VLOOKUP(AE32,AA30:AD34,2,FALSE)</f>
        <v>4</v>
      </c>
      <c r="AG32" s="373">
        <f>VLOOKUP(AE32,AA30:AD34,3,FALSE)</f>
        <v>0</v>
      </c>
      <c r="AH32" s="373">
        <f>VLOOKUP(AE32,AA30:AD34,4,FALSE)</f>
        <v>2</v>
      </c>
      <c r="AI32" s="370" t="str">
        <f>IF(AND(AF32=AF33,AG32=AG33,AH33&gt;AH32),AE33,AE32)</f>
        <v>Marruecos</v>
      </c>
      <c r="AJ32" s="373">
        <f>VLOOKUP(AI32,AE30:AH34,2,FALSE)</f>
        <v>4</v>
      </c>
      <c r="AK32" s="373">
        <f>VLOOKUP(AI32,AE30:AH34,3,FALSE)</f>
        <v>0</v>
      </c>
      <c r="AL32" s="373">
        <f>VLOOKUP(AI32,AE30:AH34,4,FALSE)</f>
        <v>2</v>
      </c>
      <c r="AM32" s="370"/>
      <c r="AN32" s="373">
        <f t="shared" si="36"/>
        <v>4002</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4002</v>
      </c>
      <c r="AW32" s="373">
        <f t="shared" si="38"/>
        <v>3</v>
      </c>
      <c r="AX32" s="370" t="str">
        <f t="shared" si="39"/>
        <v>Marruecos</v>
      </c>
      <c r="AY32" s="336"/>
      <c r="AZ32" s="336"/>
      <c r="BA32" s="336"/>
      <c r="BB32" s="336"/>
      <c r="BC32" s="336"/>
    </row>
    <row r="33" spans="1:55" x14ac:dyDescent="0.2">
      <c r="A33" s="370"/>
      <c r="B33" s="370"/>
      <c r="C33" s="370"/>
      <c r="D33" s="370"/>
      <c r="E33" s="370"/>
      <c r="F33" s="370" t="str">
        <f>AI26</f>
        <v>Haití</v>
      </c>
      <c r="G33" s="370"/>
      <c r="H33" s="370"/>
      <c r="I33" s="370"/>
      <c r="J33" s="373">
        <f>VLOOKUP(F33,$F$16:$M$20,8,FALSE)</f>
        <v>0</v>
      </c>
      <c r="K33" s="373">
        <f>VLOOKUP(F33,$F$16:$M$20,6,FALSE)</f>
        <v>0</v>
      </c>
      <c r="L33" s="373">
        <f>VLOOKUP(F33,$F$16:$M$20,7,FALSE)</f>
        <v>7</v>
      </c>
      <c r="M33" s="373">
        <f>K33-L33</f>
        <v>-7</v>
      </c>
      <c r="N33" s="370"/>
      <c r="O33" s="370" t="str">
        <f>F33</f>
        <v>Haití</v>
      </c>
      <c r="P33" s="373">
        <f>VLOOKUP(O33,$F$30:$M$34,5,FALSE)</f>
        <v>0</v>
      </c>
      <c r="Q33" s="373">
        <f>VLOOKUP(O33,$F$30:$M$34,8,FALSE)</f>
        <v>-7</v>
      </c>
      <c r="R33" s="373">
        <f>VLOOKUP(O33,$F$30:$M$34,6,FALSE)</f>
        <v>0</v>
      </c>
      <c r="S33" s="370" t="str">
        <f>O33</f>
        <v>Haití</v>
      </c>
      <c r="T33" s="373">
        <f>VLOOKUP(S33,$O$30:$R$34,2,FALSE)</f>
        <v>0</v>
      </c>
      <c r="U33" s="373">
        <f>VLOOKUP(S33,$O$30:$R$34,3,FALSE)</f>
        <v>-7</v>
      </c>
      <c r="V33" s="373">
        <f>VLOOKUP(S33,$O$30:$R$34,4,FALSE)</f>
        <v>0</v>
      </c>
      <c r="W33" s="370" t="str">
        <f>IF(AND(T30=T33,U30=U33,V33&gt;V30),S30,S33)</f>
        <v>Haití</v>
      </c>
      <c r="X33" s="373">
        <f>VLOOKUP(W33,$S$30:$V$34,2,FALSE)</f>
        <v>0</v>
      </c>
      <c r="Y33" s="373">
        <f>VLOOKUP(W33,$S$30:$V$34,3,FALSE)</f>
        <v>-7</v>
      </c>
      <c r="Z33" s="373">
        <f>VLOOKUP(W33,$S$30:$V$34,4,FALSE)</f>
        <v>0</v>
      </c>
      <c r="AA33" s="370" t="str">
        <f>W33</f>
        <v>Haití</v>
      </c>
      <c r="AB33" s="373">
        <f>VLOOKUP(AA33,W30:Z34,2,FALSE)</f>
        <v>0</v>
      </c>
      <c r="AC33" s="373">
        <f>VLOOKUP(AA33,W30:Z34,3,FALSE)</f>
        <v>-7</v>
      </c>
      <c r="AD33" s="373">
        <f>VLOOKUP(AA33,W30:Z34,4,FALSE)</f>
        <v>0</v>
      </c>
      <c r="AE33" s="370" t="str">
        <f>IF(AND(AB31=AB33,AC31=AC33,AD33&gt;AD31),AA31,AA33)</f>
        <v>Haití</v>
      </c>
      <c r="AF33" s="373">
        <f>VLOOKUP(AE33,AA30:AD34,2,FALSE)</f>
        <v>0</v>
      </c>
      <c r="AG33" s="373">
        <f>VLOOKUP(AE33,AA30:AD34,3,FALSE)</f>
        <v>-7</v>
      </c>
      <c r="AH33" s="373">
        <f>VLOOKUP(AE33,AA30:AD34,4,FALSE)</f>
        <v>0</v>
      </c>
      <c r="AI33" s="370" t="str">
        <f>IF(AND(AF32=AF33,AG32=AG33,AH33&gt;AH32),AE32,AE33)</f>
        <v>Haití</v>
      </c>
      <c r="AJ33" s="373">
        <f>VLOOKUP(AI33,AE30:AH34,2,FALSE)</f>
        <v>0</v>
      </c>
      <c r="AK33" s="373">
        <f>VLOOKUP(AI33,AE30:AH34,3,FALSE)</f>
        <v>-7</v>
      </c>
      <c r="AL33" s="373">
        <f>VLOOKUP(AI33,AE30:AH34,4,FALSE)</f>
        <v>0</v>
      </c>
      <c r="AM33" s="370"/>
      <c r="AN33" s="373">
        <f t="shared" si="36"/>
        <v>-700</v>
      </c>
      <c r="AO33" s="375"/>
      <c r="AP33" s="370"/>
      <c r="AQ33" s="375"/>
      <c r="AR33" s="370"/>
      <c r="AS33" s="375"/>
      <c r="AT33" s="370"/>
      <c r="AU33" s="370"/>
      <c r="AV33" s="370">
        <f t="shared" si="37"/>
        <v>-700</v>
      </c>
      <c r="AW33" s="373">
        <f t="shared" si="38"/>
        <v>4</v>
      </c>
      <c r="AX33" s="370" t="str">
        <f t="shared" si="39"/>
        <v>Haití</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Brasil</v>
      </c>
      <c r="G37" s="373">
        <f>VLOOKUP(F37,$F$16:$M$20,2,FALSE)</f>
        <v>3</v>
      </c>
      <c r="H37" s="373">
        <f>VLOOKUP(F37,$F$16:$M$20,3,FALSE)</f>
        <v>2</v>
      </c>
      <c r="I37" s="373">
        <f>VLOOKUP(F37,$F$16:$M$20,4,FALSE)</f>
        <v>1</v>
      </c>
      <c r="J37" s="373">
        <f>VLOOKUP(F37,$F$16:$M$20,5,FALSE)</f>
        <v>0</v>
      </c>
      <c r="K37" s="373">
        <f>VLOOKUP(F37,$F$16:$M$20,6,FALSE)</f>
        <v>7</v>
      </c>
      <c r="L37" s="373">
        <f>VLOOKUP(F37,$F$16:$M$20,7,FALSE)</f>
        <v>3</v>
      </c>
      <c r="M37" s="373">
        <f>VLOOKUP(F37,$F$16:$M$20,8,FALSE)</f>
        <v>7</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Escocia</v>
      </c>
      <c r="G38" s="373">
        <f>VLOOKUP(F38,$F$16:$M$20,2,FALSE)</f>
        <v>3</v>
      </c>
      <c r="H38" s="373">
        <f>VLOOKUP(F38,$F$16:$M$20,3,FALSE)</f>
        <v>1</v>
      </c>
      <c r="I38" s="373">
        <f>VLOOKUP(F38,$F$16:$M$20,4,FALSE)</f>
        <v>2</v>
      </c>
      <c r="J38" s="373">
        <f>VLOOKUP(F38,$F$16:$M$20,5,FALSE)</f>
        <v>0</v>
      </c>
      <c r="K38" s="373">
        <f>VLOOKUP(F38,$F$16:$M$20,6,FALSE)</f>
        <v>5</v>
      </c>
      <c r="L38" s="373">
        <f>VLOOKUP(F38,$F$16:$M$20,7,FALSE)</f>
        <v>2</v>
      </c>
      <c r="M38" s="373">
        <f>VLOOKUP(F38,$F$16:$M$20,8,FALSE)</f>
        <v>5</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Marruecos</v>
      </c>
      <c r="G39" s="373">
        <f>VLOOKUP(F39,$F$16:$M$20,2,FALSE)</f>
        <v>3</v>
      </c>
      <c r="H39" s="373">
        <f>VLOOKUP(F39,$F$16:$M$20,3,FALSE)</f>
        <v>1</v>
      </c>
      <c r="I39" s="373">
        <f>VLOOKUP(F39,$F$16:$M$20,4,FALSE)</f>
        <v>1</v>
      </c>
      <c r="J39" s="373">
        <f>VLOOKUP(F39,$F$16:$M$20,5,FALSE)</f>
        <v>1</v>
      </c>
      <c r="K39" s="373">
        <f>VLOOKUP(F39,$F$16:$M$20,6,FALSE)</f>
        <v>2</v>
      </c>
      <c r="L39" s="373">
        <f>VLOOKUP(F39,$F$16:$M$20,7,FALSE)</f>
        <v>2</v>
      </c>
      <c r="M39" s="373">
        <f>VLOOKUP(F39,$F$16:$M$20,8,FALSE)</f>
        <v>4</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Haití</v>
      </c>
      <c r="G40" s="373">
        <f>VLOOKUP(F40,$F$16:$M$20,2,FALSE)</f>
        <v>3</v>
      </c>
      <c r="H40" s="373">
        <f>VLOOKUP(F40,$F$16:$M$20,3,FALSE)</f>
        <v>0</v>
      </c>
      <c r="I40" s="373">
        <f>VLOOKUP(F40,$F$16:$M$20,4,FALSE)</f>
        <v>0</v>
      </c>
      <c r="J40" s="373">
        <f>VLOOKUP(F40,$F$16:$M$20,5,FALSE)</f>
        <v>3</v>
      </c>
      <c r="K40" s="373">
        <f>VLOOKUP(F40,$F$16:$M$20,6,FALSE)</f>
        <v>0</v>
      </c>
      <c r="L40" s="373">
        <f>VLOOKUP(F40,$F$16:$M$20,7,FALSE)</f>
        <v>7</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46PpANxFopZUqGxLzneLBTzMSt3uBOn8igMFWFY39Cuon5x2WHWr8Az6oRVZpVHk3eb/KvfkYtc2xGc2g4Pyeg==" saltValue="X/2aAyvNOHdUplilwYAN7w==" spinCount="100000" sheet="1" objects="1" scenarios="1" selectLockedCells="1"/>
  <mergeCells count="1">
    <mergeCell ref="A2:E2"/>
  </mergeCells>
  <phoneticPr fontId="20" type="noConversion"/>
  <pageMargins left="0.75" right="0.75" top="1" bottom="1" header="0.5" footer="0.5"/>
  <pageSetup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D -'!R7&lt;&gt;"",'- D -'!R7,"")</f>
        <v>EE. UU.</v>
      </c>
      <c r="H2" s="370"/>
      <c r="I2" s="370"/>
      <c r="J2" s="370"/>
      <c r="K2" s="370"/>
      <c r="L2" s="370"/>
      <c r="M2" s="370"/>
      <c r="N2" s="370" t="str">
        <f>IF('- D -'!R9&lt;&gt;"",'- D -'!R9,"")</f>
        <v>Paraguay</v>
      </c>
      <c r="O2" s="370"/>
      <c r="P2" s="370"/>
      <c r="Q2" s="370"/>
      <c r="R2" s="370"/>
      <c r="S2" s="370"/>
      <c r="T2" s="370"/>
      <c r="U2" s="370" t="str">
        <f>IF('- D -'!R11&lt;&gt;"",'- D -'!R11,"")</f>
        <v>Australia</v>
      </c>
      <c r="V2" s="370"/>
      <c r="W2" s="370"/>
      <c r="X2" s="370"/>
      <c r="Y2" s="370"/>
      <c r="Z2" s="370"/>
      <c r="AA2" s="370"/>
      <c r="AB2" s="370" t="str">
        <f>IF('- D -'!R13&lt;&gt;"",'- D -'!R13,"")</f>
        <v>Turquía</v>
      </c>
      <c r="AC2" s="370"/>
      <c r="AD2" s="370"/>
      <c r="AE2" s="370"/>
      <c r="AF2" s="370"/>
      <c r="AG2" s="370"/>
      <c r="AH2" s="370"/>
      <c r="AI2" s="370"/>
      <c r="AJ2" s="370"/>
      <c r="AK2" s="370"/>
      <c r="AL2" s="370"/>
      <c r="AM2" s="370"/>
      <c r="AN2" s="374" t="str">
        <f t="shared" ref="AN2:AN7" si="0">A4&amp;E4</f>
        <v>EE. UU.Paraguay</v>
      </c>
      <c r="AO2" s="371" t="str">
        <f t="shared" ref="AO2:AO7" si="1">IF(B4=D4,0,IF(B4&gt;D4,A4,E4))</f>
        <v>EE. UU.</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AustraliaTurquía</v>
      </c>
      <c r="AO3" s="371" t="str">
        <f t="shared" si="1"/>
        <v>Turquía</v>
      </c>
      <c r="AP3" s="370"/>
      <c r="AQ3" s="370"/>
      <c r="AR3" s="370"/>
      <c r="AS3" s="370"/>
      <c r="AT3" s="370"/>
      <c r="AU3" s="370"/>
      <c r="AV3" s="370"/>
      <c r="AW3" s="370"/>
      <c r="AX3" s="370"/>
      <c r="AY3" s="336"/>
      <c r="AZ3" s="336"/>
      <c r="BA3" s="336"/>
      <c r="BB3" s="336"/>
      <c r="BC3" s="336"/>
    </row>
    <row r="4" spans="1:55" x14ac:dyDescent="0.2">
      <c r="A4" s="375" t="str">
        <f>'- D -'!C6</f>
        <v>EE. UU.</v>
      </c>
      <c r="B4" s="373">
        <f>IF('- D -'!D6&lt;&gt;"",'- D -'!D6,"")</f>
        <v>1</v>
      </c>
      <c r="C4" s="373" t="str">
        <f>'- D -'!E6</f>
        <v>-</v>
      </c>
      <c r="D4" s="373">
        <f>IF('- D -'!F6&lt;&gt;"",'- D -'!F6,"")</f>
        <v>0</v>
      </c>
      <c r="E4" s="376" t="str">
        <f>'- D -'!G6</f>
        <v>Paraguay</v>
      </c>
      <c r="F4" s="373">
        <f>COUNTBLANK('- D -'!D6:'- D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1</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1</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EE. UU.Australia</v>
      </c>
      <c r="AO4" s="371" t="str">
        <f t="shared" si="1"/>
        <v>EE. UU.</v>
      </c>
      <c r="AP4" s="370"/>
      <c r="AQ4" s="370"/>
      <c r="AR4" s="370"/>
      <c r="AS4" s="370"/>
      <c r="AT4" s="370"/>
      <c r="AU4" s="370"/>
      <c r="AV4" s="370"/>
      <c r="AW4" s="370"/>
      <c r="AX4" s="370"/>
      <c r="AY4" s="336"/>
      <c r="AZ4" s="336"/>
      <c r="BA4" s="336"/>
      <c r="BB4" s="336"/>
      <c r="BC4" s="336"/>
    </row>
    <row r="5" spans="1:55" x14ac:dyDescent="0.2">
      <c r="A5" s="375" t="str">
        <f>'- D -'!C7</f>
        <v>Australia</v>
      </c>
      <c r="B5" s="373">
        <f>IF('- D -'!D7&lt;&gt;"",'- D -'!D7,"")</f>
        <v>1</v>
      </c>
      <c r="C5" s="373" t="str">
        <f>'- D -'!E7</f>
        <v>-</v>
      </c>
      <c r="D5" s="373">
        <f>IF('- D -'!F7&lt;&gt;"",'- D -'!F7,"")</f>
        <v>2</v>
      </c>
      <c r="E5" s="376" t="str">
        <f>'- D -'!G7</f>
        <v>Turquía</v>
      </c>
      <c r="F5" s="373">
        <f>COUNTBLANK('- D -'!D7:'- D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0</v>
      </c>
      <c r="W5" s="373">
        <f t="shared" si="16"/>
        <v>0</v>
      </c>
      <c r="X5" s="373">
        <f t="shared" si="17"/>
        <v>1</v>
      </c>
      <c r="Y5" s="373">
        <f t="shared" si="18"/>
        <v>1</v>
      </c>
      <c r="Z5" s="373">
        <f t="shared" si="19"/>
        <v>2</v>
      </c>
      <c r="AA5" s="373"/>
      <c r="AB5" s="373">
        <f t="shared" si="20"/>
        <v>1</v>
      </c>
      <c r="AC5" s="373">
        <f t="shared" si="21"/>
        <v>1</v>
      </c>
      <c r="AD5" s="373">
        <f t="shared" si="22"/>
        <v>0</v>
      </c>
      <c r="AE5" s="373">
        <f t="shared" si="23"/>
        <v>0</v>
      </c>
      <c r="AF5" s="373">
        <f t="shared" si="24"/>
        <v>2</v>
      </c>
      <c r="AG5" s="373">
        <f t="shared" si="25"/>
        <v>1</v>
      </c>
      <c r="AH5" s="373"/>
      <c r="AI5" s="370"/>
      <c r="AJ5" s="370"/>
      <c r="AK5" s="370"/>
      <c r="AL5" s="370"/>
      <c r="AM5" s="370"/>
      <c r="AN5" s="374" t="str">
        <f t="shared" si="0"/>
        <v>TurquíaParaguay</v>
      </c>
      <c r="AO5" s="371" t="str">
        <f t="shared" si="1"/>
        <v>Turquía</v>
      </c>
      <c r="AP5" s="370"/>
      <c r="AQ5" s="370"/>
      <c r="AR5" s="370"/>
      <c r="AS5" s="370"/>
      <c r="AT5" s="370"/>
      <c r="AU5" s="370"/>
      <c r="AV5" s="370"/>
      <c r="AW5" s="370"/>
      <c r="AX5" s="370"/>
      <c r="AY5" s="336"/>
      <c r="AZ5" s="336"/>
      <c r="BA5" s="336"/>
      <c r="BB5" s="336"/>
      <c r="BC5" s="336"/>
    </row>
    <row r="6" spans="1:55" x14ac:dyDescent="0.2">
      <c r="A6" s="375" t="str">
        <f>'- D -'!C8</f>
        <v>EE. UU.</v>
      </c>
      <c r="B6" s="373">
        <f>IF('- D -'!D8&lt;&gt;"",'- D -'!D8,"")</f>
        <v>2</v>
      </c>
      <c r="C6" s="373" t="str">
        <f>'- D -'!E8</f>
        <v>-</v>
      </c>
      <c r="D6" s="373">
        <f>IF('- D -'!F8&lt;&gt;"",'- D -'!F8,"")</f>
        <v>1</v>
      </c>
      <c r="E6" s="376" t="str">
        <f>'- D -'!G8</f>
        <v>Australia</v>
      </c>
      <c r="F6" s="373">
        <f>COUNTBLANK('- D -'!D8:'- D -'!F8)</f>
        <v>0</v>
      </c>
      <c r="G6" s="373">
        <f t="shared" si="2"/>
        <v>1</v>
      </c>
      <c r="H6" s="373">
        <f t="shared" si="3"/>
        <v>1</v>
      </c>
      <c r="I6" s="373">
        <f t="shared" si="4"/>
        <v>0</v>
      </c>
      <c r="J6" s="373">
        <f t="shared" si="5"/>
        <v>0</v>
      </c>
      <c r="K6" s="373">
        <f t="shared" si="6"/>
        <v>2</v>
      </c>
      <c r="L6" s="373">
        <f t="shared" si="7"/>
        <v>1</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1</v>
      </c>
      <c r="Z6" s="373">
        <f t="shared" si="19"/>
        <v>2</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TurquíaEE. UU.</v>
      </c>
      <c r="AO6" s="371">
        <f t="shared" si="1"/>
        <v>0</v>
      </c>
      <c r="AP6" s="370"/>
      <c r="AQ6" s="370"/>
      <c r="AR6" s="370"/>
      <c r="AS6" s="370"/>
      <c r="AT6" s="370"/>
      <c r="AU6" s="370"/>
      <c r="AV6" s="370"/>
      <c r="AW6" s="370"/>
      <c r="AX6" s="370"/>
      <c r="AY6" s="336"/>
      <c r="AZ6" s="336"/>
      <c r="BA6" s="336"/>
      <c r="BB6" s="336"/>
      <c r="BC6" s="336"/>
    </row>
    <row r="7" spans="1:55" x14ac:dyDescent="0.2">
      <c r="A7" s="375" t="str">
        <f>'- D -'!C9</f>
        <v>Turquía</v>
      </c>
      <c r="B7" s="373">
        <f>IF('- D -'!D9&lt;&gt;"",'- D -'!D9,"")</f>
        <v>1</v>
      </c>
      <c r="C7" s="373" t="str">
        <f>'- D -'!E9</f>
        <v>-</v>
      </c>
      <c r="D7" s="373">
        <f>IF('- D -'!F9&lt;&gt;"",'- D -'!F9,"")</f>
        <v>0</v>
      </c>
      <c r="E7" s="376" t="str">
        <f>'- D -'!G9</f>
        <v>Paraguay</v>
      </c>
      <c r="F7" s="373">
        <f>COUNTBLANK('- D -'!D9:'- D -'!F9)</f>
        <v>0</v>
      </c>
      <c r="G7" s="373">
        <f t="shared" si="2"/>
        <v>0</v>
      </c>
      <c r="H7" s="373">
        <f t="shared" si="3"/>
        <v>0</v>
      </c>
      <c r="I7" s="373">
        <f t="shared" si="4"/>
        <v>0</v>
      </c>
      <c r="J7" s="373">
        <f t="shared" si="5"/>
        <v>0</v>
      </c>
      <c r="K7" s="373">
        <f t="shared" si="6"/>
        <v>0</v>
      </c>
      <c r="L7" s="373">
        <f t="shared" si="7"/>
        <v>0</v>
      </c>
      <c r="M7" s="373"/>
      <c r="N7" s="373">
        <f t="shared" si="8"/>
        <v>1</v>
      </c>
      <c r="O7" s="373">
        <f t="shared" si="9"/>
        <v>0</v>
      </c>
      <c r="P7" s="373">
        <f t="shared" si="10"/>
        <v>0</v>
      </c>
      <c r="Q7" s="373">
        <f t="shared" si="11"/>
        <v>1</v>
      </c>
      <c r="R7" s="373">
        <f t="shared" si="12"/>
        <v>0</v>
      </c>
      <c r="S7" s="373">
        <f t="shared" si="13"/>
        <v>1</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1</v>
      </c>
      <c r="AD7" s="373">
        <f t="shared" si="22"/>
        <v>0</v>
      </c>
      <c r="AE7" s="373">
        <f t="shared" si="23"/>
        <v>0</v>
      </c>
      <c r="AF7" s="373">
        <f t="shared" si="24"/>
        <v>1</v>
      </c>
      <c r="AG7" s="373">
        <f t="shared" si="25"/>
        <v>0</v>
      </c>
      <c r="AH7" s="373"/>
      <c r="AI7" s="370"/>
      <c r="AJ7" s="370"/>
      <c r="AK7" s="370"/>
      <c r="AL7" s="370"/>
      <c r="AM7" s="370"/>
      <c r="AN7" s="374" t="str">
        <f t="shared" si="0"/>
        <v>ParaguayAustralia</v>
      </c>
      <c r="AO7" s="371" t="str">
        <f t="shared" si="1"/>
        <v>Paraguay</v>
      </c>
      <c r="AP7" s="370"/>
      <c r="AQ7" s="370"/>
      <c r="AR7" s="370"/>
      <c r="AS7" s="370"/>
      <c r="AT7" s="370"/>
      <c r="AU7" s="370"/>
      <c r="AV7" s="370"/>
      <c r="AW7" s="370"/>
      <c r="AX7" s="370"/>
      <c r="AY7" s="336"/>
      <c r="AZ7" s="336"/>
      <c r="BA7" s="336"/>
      <c r="BB7" s="336"/>
      <c r="BC7" s="336"/>
    </row>
    <row r="8" spans="1:55" x14ac:dyDescent="0.2">
      <c r="A8" s="375" t="str">
        <f>'- D -'!C10</f>
        <v>Turquía</v>
      </c>
      <c r="B8" s="373">
        <f>IF('- D -'!D10&lt;&gt;"",'- D -'!D10,"")</f>
        <v>0</v>
      </c>
      <c r="C8" s="373" t="str">
        <f>'- D -'!E10</f>
        <v>-</v>
      </c>
      <c r="D8" s="373">
        <f>IF('- D -'!F10&lt;&gt;"",'- D -'!F10,"")</f>
        <v>0</v>
      </c>
      <c r="E8" s="376" t="str">
        <f>'- D -'!G10</f>
        <v>EE. UU.</v>
      </c>
      <c r="F8" s="373">
        <f>COUNTBLANK('- D -'!D10:'- D -'!F10)</f>
        <v>0</v>
      </c>
      <c r="G8" s="373">
        <f t="shared" si="2"/>
        <v>1</v>
      </c>
      <c r="H8" s="373">
        <f t="shared" si="3"/>
        <v>0</v>
      </c>
      <c r="I8" s="373">
        <f t="shared" si="4"/>
        <v>1</v>
      </c>
      <c r="J8" s="373">
        <f t="shared" si="5"/>
        <v>0</v>
      </c>
      <c r="K8" s="373">
        <f t="shared" si="6"/>
        <v>0</v>
      </c>
      <c r="L8" s="373">
        <f t="shared" si="7"/>
        <v>0</v>
      </c>
      <c r="M8" s="373"/>
      <c r="N8" s="373">
        <f t="shared" si="8"/>
        <v>0</v>
      </c>
      <c r="O8" s="373">
        <f t="shared" si="9"/>
        <v>0</v>
      </c>
      <c r="P8" s="373">
        <f t="shared" si="10"/>
        <v>0</v>
      </c>
      <c r="Q8" s="373">
        <f t="shared" si="11"/>
        <v>0</v>
      </c>
      <c r="R8" s="373">
        <f t="shared" si="12"/>
        <v>0</v>
      </c>
      <c r="S8" s="373">
        <f t="shared" si="13"/>
        <v>0</v>
      </c>
      <c r="T8" s="373"/>
      <c r="U8" s="373">
        <f t="shared" si="14"/>
        <v>0</v>
      </c>
      <c r="V8" s="373">
        <f t="shared" si="15"/>
        <v>0</v>
      </c>
      <c r="W8" s="373">
        <f t="shared" si="16"/>
        <v>0</v>
      </c>
      <c r="X8" s="373">
        <f t="shared" si="17"/>
        <v>0</v>
      </c>
      <c r="Y8" s="373">
        <f t="shared" si="18"/>
        <v>0</v>
      </c>
      <c r="Z8" s="373">
        <f t="shared" si="19"/>
        <v>0</v>
      </c>
      <c r="AA8" s="373"/>
      <c r="AB8" s="373">
        <f t="shared" si="20"/>
        <v>1</v>
      </c>
      <c r="AC8" s="373">
        <f t="shared" si="21"/>
        <v>0</v>
      </c>
      <c r="AD8" s="373">
        <f t="shared" si="22"/>
        <v>1</v>
      </c>
      <c r="AE8" s="373">
        <f t="shared" si="23"/>
        <v>0</v>
      </c>
      <c r="AF8" s="373">
        <f t="shared" si="24"/>
        <v>0</v>
      </c>
      <c r="AG8" s="373">
        <f t="shared" si="25"/>
        <v>0</v>
      </c>
      <c r="AH8" s="373"/>
      <c r="AI8" s="370"/>
      <c r="AJ8" s="370"/>
      <c r="AK8" s="370"/>
      <c r="AL8" s="370"/>
      <c r="AM8" s="370"/>
      <c r="AN8" s="374" t="str">
        <f>E4&amp;A4</f>
        <v>ParaguayEE. UU.</v>
      </c>
      <c r="AO8" s="371" t="str">
        <f>IF(B4=D4,0,IF(B4&gt;D4,A4,E4))</f>
        <v>EE. UU.</v>
      </c>
      <c r="AP8" s="370"/>
      <c r="AQ8" s="370"/>
      <c r="AR8" s="370"/>
      <c r="AS8" s="370"/>
      <c r="AT8" s="370"/>
      <c r="AU8" s="370"/>
      <c r="AV8" s="370"/>
      <c r="AW8" s="370"/>
      <c r="AX8" s="370"/>
      <c r="AY8" s="336"/>
      <c r="AZ8" s="336"/>
      <c r="BA8" s="336"/>
      <c r="BB8" s="336"/>
      <c r="BC8" s="336"/>
    </row>
    <row r="9" spans="1:55" x14ac:dyDescent="0.2">
      <c r="A9" s="375" t="str">
        <f>'- D -'!C11</f>
        <v>Paraguay</v>
      </c>
      <c r="B9" s="373">
        <f>IF('- D -'!D11&lt;&gt;"",'- D -'!D11,"")</f>
        <v>2</v>
      </c>
      <c r="C9" s="373" t="str">
        <f>'- D -'!E11</f>
        <v>-</v>
      </c>
      <c r="D9" s="373">
        <f>IF('- D -'!F11&lt;&gt;"",'- D -'!F11,"")</f>
        <v>0</v>
      </c>
      <c r="E9" s="376" t="str">
        <f>'- D -'!G11</f>
        <v>Australia</v>
      </c>
      <c r="F9" s="373">
        <f>COUNTBLANK('- D -'!D11:'- D -'!F11)</f>
        <v>0</v>
      </c>
      <c r="G9" s="373">
        <f t="shared" si="2"/>
        <v>0</v>
      </c>
      <c r="H9" s="373">
        <f t="shared" si="3"/>
        <v>0</v>
      </c>
      <c r="I9" s="373">
        <f t="shared" si="4"/>
        <v>0</v>
      </c>
      <c r="J9" s="373">
        <f t="shared" si="5"/>
        <v>0</v>
      </c>
      <c r="K9" s="373">
        <f t="shared" si="6"/>
        <v>0</v>
      </c>
      <c r="L9" s="373">
        <f t="shared" si="7"/>
        <v>0</v>
      </c>
      <c r="M9" s="373"/>
      <c r="N9" s="373">
        <f t="shared" si="8"/>
        <v>1</v>
      </c>
      <c r="O9" s="373">
        <f t="shared" si="9"/>
        <v>1</v>
      </c>
      <c r="P9" s="373">
        <f t="shared" si="10"/>
        <v>0</v>
      </c>
      <c r="Q9" s="373">
        <f t="shared" si="11"/>
        <v>0</v>
      </c>
      <c r="R9" s="373">
        <f t="shared" si="12"/>
        <v>2</v>
      </c>
      <c r="S9" s="373">
        <f t="shared" si="13"/>
        <v>0</v>
      </c>
      <c r="T9" s="373"/>
      <c r="U9" s="373">
        <f t="shared" si="14"/>
        <v>1</v>
      </c>
      <c r="V9" s="373">
        <f t="shared" si="15"/>
        <v>0</v>
      </c>
      <c r="W9" s="373">
        <f t="shared" si="16"/>
        <v>0</v>
      </c>
      <c r="X9" s="373">
        <f t="shared" si="17"/>
        <v>1</v>
      </c>
      <c r="Y9" s="373">
        <f t="shared" si="18"/>
        <v>0</v>
      </c>
      <c r="Z9" s="373">
        <f t="shared" si="19"/>
        <v>2</v>
      </c>
      <c r="AA9" s="373"/>
      <c r="AB9" s="373">
        <f t="shared" si="20"/>
        <v>0</v>
      </c>
      <c r="AC9" s="373">
        <f t="shared" si="21"/>
        <v>0</v>
      </c>
      <c r="AD9" s="373">
        <f t="shared" si="22"/>
        <v>0</v>
      </c>
      <c r="AE9" s="373">
        <f t="shared" si="23"/>
        <v>0</v>
      </c>
      <c r="AF9" s="373">
        <f t="shared" si="24"/>
        <v>0</v>
      </c>
      <c r="AG9" s="373">
        <f t="shared" si="25"/>
        <v>0</v>
      </c>
      <c r="AH9" s="373"/>
      <c r="AI9" s="370"/>
      <c r="AJ9" s="370"/>
      <c r="AK9" s="370"/>
      <c r="AL9" s="370"/>
      <c r="AM9" s="370"/>
      <c r="AN9" s="374" t="str">
        <f t="shared" ref="AN9:AN13" si="26">E5&amp;A5</f>
        <v>TurquíaAustralia</v>
      </c>
      <c r="AO9" s="371" t="str">
        <f t="shared" ref="AO9:AO13" si="27">IF(B5=D5,0,IF(B5&gt;D5,A5,E5))</f>
        <v>Turquía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2</v>
      </c>
      <c r="I10" s="373">
        <f t="shared" si="28"/>
        <v>1</v>
      </c>
      <c r="J10" s="373">
        <f t="shared" si="28"/>
        <v>0</v>
      </c>
      <c r="K10" s="373">
        <f t="shared" si="28"/>
        <v>3</v>
      </c>
      <c r="L10" s="373">
        <f t="shared" si="28"/>
        <v>1</v>
      </c>
      <c r="M10" s="373">
        <f>H10*3+I10</f>
        <v>7</v>
      </c>
      <c r="N10" s="373">
        <f t="shared" ref="N10:S10" si="29">SUM(N4:N9)</f>
        <v>3</v>
      </c>
      <c r="O10" s="373">
        <f t="shared" si="29"/>
        <v>1</v>
      </c>
      <c r="P10" s="373">
        <f t="shared" si="29"/>
        <v>0</v>
      </c>
      <c r="Q10" s="373">
        <f t="shared" si="29"/>
        <v>2</v>
      </c>
      <c r="R10" s="373">
        <f t="shared" si="29"/>
        <v>2</v>
      </c>
      <c r="S10" s="373">
        <f t="shared" si="29"/>
        <v>2</v>
      </c>
      <c r="T10" s="373">
        <f>O10*3+P10</f>
        <v>3</v>
      </c>
      <c r="U10" s="373">
        <f t="shared" ref="U10:Z10" si="30">SUM(U4:U9)</f>
        <v>3</v>
      </c>
      <c r="V10" s="373">
        <f t="shared" si="30"/>
        <v>0</v>
      </c>
      <c r="W10" s="373">
        <f t="shared" si="30"/>
        <v>0</v>
      </c>
      <c r="X10" s="373">
        <f t="shared" si="30"/>
        <v>3</v>
      </c>
      <c r="Y10" s="373">
        <f t="shared" si="30"/>
        <v>2</v>
      </c>
      <c r="Z10" s="373">
        <f t="shared" si="30"/>
        <v>6</v>
      </c>
      <c r="AA10" s="373">
        <f>V10*3+W10</f>
        <v>0</v>
      </c>
      <c r="AB10" s="373">
        <f t="shared" ref="AB10:AG10" si="31">SUM(AB4:AB9)</f>
        <v>3</v>
      </c>
      <c r="AC10" s="373">
        <f t="shared" si="31"/>
        <v>2</v>
      </c>
      <c r="AD10" s="373">
        <f t="shared" si="31"/>
        <v>1</v>
      </c>
      <c r="AE10" s="373">
        <f t="shared" si="31"/>
        <v>0</v>
      </c>
      <c r="AF10" s="373">
        <f t="shared" si="31"/>
        <v>3</v>
      </c>
      <c r="AG10" s="373">
        <f t="shared" si="31"/>
        <v>1</v>
      </c>
      <c r="AH10" s="373">
        <f>AC10*3+AD10</f>
        <v>7</v>
      </c>
      <c r="AI10" s="370"/>
      <c r="AJ10" s="370"/>
      <c r="AK10" s="370"/>
      <c r="AL10" s="370"/>
      <c r="AM10" s="370"/>
      <c r="AN10" s="374" t="str">
        <f t="shared" si="26"/>
        <v>AustraliaEE. UU.</v>
      </c>
      <c r="AO10" s="371" t="str">
        <f t="shared" si="27"/>
        <v>EE. UU.</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ParaguayTurquía</v>
      </c>
      <c r="AO11" s="371" t="str">
        <f t="shared" si="27"/>
        <v>Turquía</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EE. UU.Turquía</v>
      </c>
      <c r="AO12" s="371">
        <f t="shared" si="27"/>
        <v>0</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AustraliaParaguay</v>
      </c>
      <c r="AO13" s="371" t="str">
        <f t="shared" si="27"/>
        <v>Paraguay</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EE. UU.</v>
      </c>
      <c r="G16" s="373">
        <f t="shared" ref="G16:M16" si="32">G10</f>
        <v>3</v>
      </c>
      <c r="H16" s="373">
        <f t="shared" si="32"/>
        <v>2</v>
      </c>
      <c r="I16" s="373">
        <f t="shared" si="32"/>
        <v>1</v>
      </c>
      <c r="J16" s="373">
        <f t="shared" si="32"/>
        <v>0</v>
      </c>
      <c r="K16" s="373">
        <f t="shared" si="32"/>
        <v>3</v>
      </c>
      <c r="L16" s="373">
        <f t="shared" si="32"/>
        <v>1</v>
      </c>
      <c r="M16" s="373">
        <f t="shared" si="32"/>
        <v>7</v>
      </c>
      <c r="N16" s="370"/>
      <c r="O16" s="370" t="str">
        <f>IF($M16&gt;=$M17,$F16,$F17)</f>
        <v>EE. UU.</v>
      </c>
      <c r="P16" s="370">
        <f>VLOOKUP(O16,$F$16:$M$20,8,FALSE)</f>
        <v>7</v>
      </c>
      <c r="Q16" s="370"/>
      <c r="R16" s="370"/>
      <c r="S16" s="370" t="str">
        <f>IF($P16&gt;=$P18,$O16,$O18)</f>
        <v>EE. UU.</v>
      </c>
      <c r="T16" s="370">
        <f>VLOOKUP(S16,$O$16:$P$20,2,FALSE)</f>
        <v>7</v>
      </c>
      <c r="U16" s="370"/>
      <c r="V16" s="370"/>
      <c r="W16" s="370" t="str">
        <f>IF($T16&gt;=$T19,$S16,$S19)</f>
        <v>EE. UU.</v>
      </c>
      <c r="X16" s="370">
        <f>VLOOKUP(W16,$S$16:$T$20,2,FALSE)</f>
        <v>7</v>
      </c>
      <c r="Y16" s="370"/>
      <c r="Z16" s="370"/>
      <c r="AA16" s="370" t="str">
        <f>W16</f>
        <v>EE. UU.</v>
      </c>
      <c r="AB16" s="370">
        <f>VLOOKUP(AA16,W16:X20,2,FALSE)</f>
        <v>7</v>
      </c>
      <c r="AC16" s="370"/>
      <c r="AD16" s="370"/>
      <c r="AE16" s="370" t="str">
        <f>AA16</f>
        <v>EE. UU.</v>
      </c>
      <c r="AF16" s="370">
        <f>VLOOKUP(AE16,AA16:AB20,2,FALSE)</f>
        <v>7</v>
      </c>
      <c r="AG16" s="370"/>
      <c r="AH16" s="370"/>
      <c r="AI16" s="370" t="str">
        <f>AE16</f>
        <v>EE. UU.</v>
      </c>
      <c r="AJ16" s="370">
        <f>VLOOKUP(AI16,AE16:AF20,2,FALSE)</f>
        <v>7</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Paraguay</v>
      </c>
      <c r="G17" s="373">
        <f t="shared" ref="G17:M17" si="33">N10</f>
        <v>3</v>
      </c>
      <c r="H17" s="373">
        <f t="shared" si="33"/>
        <v>1</v>
      </c>
      <c r="I17" s="373">
        <f t="shared" si="33"/>
        <v>0</v>
      </c>
      <c r="J17" s="373">
        <f t="shared" si="33"/>
        <v>2</v>
      </c>
      <c r="K17" s="373">
        <f t="shared" si="33"/>
        <v>2</v>
      </c>
      <c r="L17" s="373">
        <f t="shared" si="33"/>
        <v>2</v>
      </c>
      <c r="M17" s="373">
        <f t="shared" si="33"/>
        <v>3</v>
      </c>
      <c r="N17" s="370"/>
      <c r="O17" s="370" t="str">
        <f>IF($M17&lt;=$M16,$F17,$F16)</f>
        <v>Paraguay</v>
      </c>
      <c r="P17" s="370">
        <f>VLOOKUP(O17,$F$16:$M$20,8,FALSE)</f>
        <v>3</v>
      </c>
      <c r="Q17" s="370"/>
      <c r="R17" s="370"/>
      <c r="S17" s="370" t="str">
        <f>O17</f>
        <v>Paraguay</v>
      </c>
      <c r="T17" s="370">
        <f>VLOOKUP(S17,$O$16:$P$20,2,FALSE)</f>
        <v>3</v>
      </c>
      <c r="U17" s="370"/>
      <c r="V17" s="370"/>
      <c r="W17" s="370" t="str">
        <f>S17</f>
        <v>Paraguay</v>
      </c>
      <c r="X17" s="370">
        <f>VLOOKUP(W17,$S$16:$T$20,2,FALSE)</f>
        <v>3</v>
      </c>
      <c r="Y17" s="370"/>
      <c r="Z17" s="370"/>
      <c r="AA17" s="370" t="str">
        <f>IF(X17&gt;=X18,W17,W18)</f>
        <v>Paraguay</v>
      </c>
      <c r="AB17" s="370">
        <f>VLOOKUP(AA17,W16:X20,2,FALSE)</f>
        <v>3</v>
      </c>
      <c r="AC17" s="370"/>
      <c r="AD17" s="370"/>
      <c r="AE17" s="370" t="str">
        <f>IF(AB17&gt;=AB19,AA17,AA19)</f>
        <v>Turquía</v>
      </c>
      <c r="AF17" s="370">
        <f>VLOOKUP(AE17,AA16:AB20,2,FALSE)</f>
        <v>7</v>
      </c>
      <c r="AG17" s="370"/>
      <c r="AH17" s="370"/>
      <c r="AI17" s="370" t="str">
        <f>AE17</f>
        <v>Turquía</v>
      </c>
      <c r="AJ17" s="370">
        <f>VLOOKUP(AI17,AE16:AF20,2,FALSE)</f>
        <v>7</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Australia</v>
      </c>
      <c r="G18" s="373">
        <f t="shared" ref="G18:M18" si="34">U10</f>
        <v>3</v>
      </c>
      <c r="H18" s="373">
        <f t="shared" si="34"/>
        <v>0</v>
      </c>
      <c r="I18" s="373">
        <f t="shared" si="34"/>
        <v>0</v>
      </c>
      <c r="J18" s="373">
        <f t="shared" si="34"/>
        <v>3</v>
      </c>
      <c r="K18" s="373">
        <f t="shared" si="34"/>
        <v>2</v>
      </c>
      <c r="L18" s="373">
        <f t="shared" si="34"/>
        <v>6</v>
      </c>
      <c r="M18" s="373">
        <f t="shared" si="34"/>
        <v>0</v>
      </c>
      <c r="N18" s="370"/>
      <c r="O18" s="370" t="str">
        <f>F18</f>
        <v>Australia</v>
      </c>
      <c r="P18" s="370">
        <f>VLOOKUP(O18,$F$16:$M$20,8,FALSE)</f>
        <v>0</v>
      </c>
      <c r="Q18" s="370"/>
      <c r="R18" s="370"/>
      <c r="S18" s="370" t="str">
        <f>IF($P18&lt;=$P16,$O18,$O16)</f>
        <v>Australia</v>
      </c>
      <c r="T18" s="370">
        <f>VLOOKUP(S18,$O$16:$P$20,2,FALSE)</f>
        <v>0</v>
      </c>
      <c r="U18" s="370"/>
      <c r="V18" s="370"/>
      <c r="W18" s="370" t="str">
        <f>S18</f>
        <v>Australia</v>
      </c>
      <c r="X18" s="370">
        <f>VLOOKUP(W18,$S$16:$T$20,2,FALSE)</f>
        <v>0</v>
      </c>
      <c r="Y18" s="370"/>
      <c r="Z18" s="370"/>
      <c r="AA18" s="370" t="str">
        <f>IF(X18&lt;=X17,W18,W17)</f>
        <v>Australia</v>
      </c>
      <c r="AB18" s="370">
        <f>VLOOKUP(AA18,W16:X20,2,FALSE)</f>
        <v>0</v>
      </c>
      <c r="AC18" s="370"/>
      <c r="AD18" s="370"/>
      <c r="AE18" s="370" t="str">
        <f>AA18</f>
        <v>Australia</v>
      </c>
      <c r="AF18" s="370">
        <f>VLOOKUP(AE18,AA16:AB20,2,FALSE)</f>
        <v>0</v>
      </c>
      <c r="AG18" s="370"/>
      <c r="AH18" s="370"/>
      <c r="AI18" s="370" t="str">
        <f>IF(AF18&gt;=AF19,AE18,AE19)</f>
        <v>Paraguay</v>
      </c>
      <c r="AJ18" s="370">
        <f>VLOOKUP(AI18,AE16:AF20,2,FALSE)</f>
        <v>3</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Turquía</v>
      </c>
      <c r="G19" s="373">
        <f t="shared" ref="G19:M19" si="35">AB10</f>
        <v>3</v>
      </c>
      <c r="H19" s="373">
        <f t="shared" si="35"/>
        <v>2</v>
      </c>
      <c r="I19" s="373">
        <f t="shared" si="35"/>
        <v>1</v>
      </c>
      <c r="J19" s="373">
        <f t="shared" si="35"/>
        <v>0</v>
      </c>
      <c r="K19" s="373">
        <f t="shared" si="35"/>
        <v>3</v>
      </c>
      <c r="L19" s="373">
        <f t="shared" si="35"/>
        <v>1</v>
      </c>
      <c r="M19" s="373">
        <f t="shared" si="35"/>
        <v>7</v>
      </c>
      <c r="N19" s="370"/>
      <c r="O19" s="370" t="str">
        <f>F19</f>
        <v>Turquía</v>
      </c>
      <c r="P19" s="370">
        <f>VLOOKUP(O19,$F$16:$M$20,8,FALSE)</f>
        <v>7</v>
      </c>
      <c r="Q19" s="370"/>
      <c r="R19" s="370"/>
      <c r="S19" s="370" t="str">
        <f>O19</f>
        <v>Turquía</v>
      </c>
      <c r="T19" s="370">
        <f>VLOOKUP(S19,$O$16:$P$20,2,FALSE)</f>
        <v>7</v>
      </c>
      <c r="U19" s="370"/>
      <c r="V19" s="370"/>
      <c r="W19" s="370" t="str">
        <f>IF($T19&lt;=$T16,$S19,$S16)</f>
        <v>Turquía</v>
      </c>
      <c r="X19" s="370">
        <f>VLOOKUP(W19,$S$16:$T$20,2,FALSE)</f>
        <v>7</v>
      </c>
      <c r="Y19" s="370"/>
      <c r="Z19" s="370"/>
      <c r="AA19" s="370" t="str">
        <f>W19</f>
        <v>Turquía</v>
      </c>
      <c r="AB19" s="370">
        <f>VLOOKUP(AA19,W16:X20,2,FALSE)</f>
        <v>7</v>
      </c>
      <c r="AC19" s="370"/>
      <c r="AD19" s="370"/>
      <c r="AE19" s="370" t="str">
        <f>IF(AB19&lt;=AB17,AA19,AA17)</f>
        <v>Paraguay</v>
      </c>
      <c r="AF19" s="370">
        <f>VLOOKUP(AE19,AA16:AB20,2,FALSE)</f>
        <v>3</v>
      </c>
      <c r="AG19" s="370"/>
      <c r="AH19" s="370"/>
      <c r="AI19" s="370" t="str">
        <f>IF(AF19&lt;=AF18,AE19,AE18)</f>
        <v>Australia</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EE. UU.</v>
      </c>
      <c r="G23" s="370"/>
      <c r="H23" s="370"/>
      <c r="I23" s="370"/>
      <c r="J23" s="373">
        <f>AJ16</f>
        <v>7</v>
      </c>
      <c r="K23" s="373">
        <f>VLOOKUP(AI16,$F$16:$M$20,6,FALSE)</f>
        <v>3</v>
      </c>
      <c r="L23" s="373">
        <f>VLOOKUP(AI16,$F$16:$M$20,7,FALSE)</f>
        <v>1</v>
      </c>
      <c r="M23" s="373">
        <f>K23-L23</f>
        <v>2</v>
      </c>
      <c r="N23" s="370"/>
      <c r="O23" s="370" t="str">
        <f>IF(AND($J23=$J24,$M24&gt;$M23),$F24,$F23)</f>
        <v>EE. UU.</v>
      </c>
      <c r="P23" s="373">
        <f>VLOOKUP(O23,$F$23:$M$27,5,FALSE)</f>
        <v>7</v>
      </c>
      <c r="Q23" s="373">
        <f>VLOOKUP(O23,$F$23:$M$27,8,FALSE)</f>
        <v>2</v>
      </c>
      <c r="R23" s="370"/>
      <c r="S23" s="370" t="str">
        <f>IF(AND(P23=P25,Q25&gt;Q23),O25,O23)</f>
        <v>EE. UU.</v>
      </c>
      <c r="T23" s="373">
        <f>VLOOKUP(S23,$O$23:$Q$27,2,FALSE)</f>
        <v>7</v>
      </c>
      <c r="U23" s="373">
        <f>VLOOKUP(S23,$O$23:$Q$27,3,FALSE)</f>
        <v>2</v>
      </c>
      <c r="V23" s="370"/>
      <c r="W23" s="370" t="str">
        <f>IF(AND(T23=T26,U26&gt;U23),S26,S23)</f>
        <v>EE. UU.</v>
      </c>
      <c r="X23" s="373">
        <f>VLOOKUP(W23,$S$23:$U$27,2,FALSE)</f>
        <v>7</v>
      </c>
      <c r="Y23" s="373">
        <f>VLOOKUP(W23,$S$23:$U$27,3,FALSE)</f>
        <v>2</v>
      </c>
      <c r="Z23" s="370"/>
      <c r="AA23" s="370" t="str">
        <f>W23</f>
        <v>EE. UU.</v>
      </c>
      <c r="AB23" s="373">
        <f>VLOOKUP(AA23,W23:Y27,2,FALSE)</f>
        <v>7</v>
      </c>
      <c r="AC23" s="373">
        <f>VLOOKUP(AA23,W23:Y27,3,FALSE)</f>
        <v>2</v>
      </c>
      <c r="AD23" s="370"/>
      <c r="AE23" s="370" t="str">
        <f>AA23</f>
        <v>EE. UU.</v>
      </c>
      <c r="AF23" s="373">
        <f>VLOOKUP(AE23,AA23:AC27,2,FALSE)</f>
        <v>7</v>
      </c>
      <c r="AG23" s="373">
        <f>VLOOKUP(AE23,AA23:AC27,3,FALSE)</f>
        <v>2</v>
      </c>
      <c r="AH23" s="370"/>
      <c r="AI23" s="370" t="str">
        <f>AE23</f>
        <v>EE. UU.</v>
      </c>
      <c r="AJ23" s="373">
        <f>VLOOKUP(AI23,AE23:AG27,2,FALSE)</f>
        <v>7</v>
      </c>
      <c r="AK23" s="373">
        <f>VLOOKUP(AI23,AE23:AG27,3,FALSE)</f>
        <v>2</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Turquía</v>
      </c>
      <c r="G24" s="370"/>
      <c r="H24" s="370"/>
      <c r="I24" s="370"/>
      <c r="J24" s="373">
        <f>AJ17</f>
        <v>7</v>
      </c>
      <c r="K24" s="373">
        <f>VLOOKUP(AI17,$F$16:$M$20,6,FALSE)</f>
        <v>3</v>
      </c>
      <c r="L24" s="373">
        <f>VLOOKUP(AI17,$F$16:$M$20,7,FALSE)</f>
        <v>1</v>
      </c>
      <c r="M24" s="373">
        <f>K24-L24</f>
        <v>2</v>
      </c>
      <c r="N24" s="370"/>
      <c r="O24" s="370" t="str">
        <f>IF(AND($J23=$J24,$M24&gt;$M23),$F23,$F24)</f>
        <v>Turquía</v>
      </c>
      <c r="P24" s="373">
        <f>VLOOKUP(O24,$F$23:$M$27,5,FALSE)</f>
        <v>7</v>
      </c>
      <c r="Q24" s="373">
        <f>VLOOKUP(O24,$F$23:$M$27,8,FALSE)</f>
        <v>2</v>
      </c>
      <c r="R24" s="370"/>
      <c r="S24" s="370" t="str">
        <f>O24</f>
        <v>Turquía</v>
      </c>
      <c r="T24" s="373">
        <f>VLOOKUP(S24,$O$23:$Q$27,2,FALSE)</f>
        <v>7</v>
      </c>
      <c r="U24" s="373">
        <f>VLOOKUP(S24,$O$23:$Q$27,3,FALSE)</f>
        <v>2</v>
      </c>
      <c r="V24" s="370"/>
      <c r="W24" s="370" t="str">
        <f>S24</f>
        <v>Turquía</v>
      </c>
      <c r="X24" s="373">
        <f>VLOOKUP(W24,$S$23:$U$27,2,FALSE)</f>
        <v>7</v>
      </c>
      <c r="Y24" s="373">
        <f>VLOOKUP(W24,$S$23:$U$27,3,FALSE)</f>
        <v>2</v>
      </c>
      <c r="Z24" s="370"/>
      <c r="AA24" s="370" t="str">
        <f>IF(AND(X24=X25,Y25&gt;Y24),W25,W24)</f>
        <v>Turquía</v>
      </c>
      <c r="AB24" s="373">
        <f>VLOOKUP(AA24,W23:Y27,2,FALSE)</f>
        <v>7</v>
      </c>
      <c r="AC24" s="373">
        <f>VLOOKUP(AA24,W23:Y27,3,FALSE)</f>
        <v>2</v>
      </c>
      <c r="AD24" s="370"/>
      <c r="AE24" s="370" t="str">
        <f>IF(AND(AB24=AB26,AC26&gt;AC24),AA26,AA24)</f>
        <v>Turquía</v>
      </c>
      <c r="AF24" s="373">
        <f>VLOOKUP(AE24,AA23:AC27,2,FALSE)</f>
        <v>7</v>
      </c>
      <c r="AG24" s="373">
        <f>VLOOKUP(AE24,AA23:AC27,3,FALSE)</f>
        <v>2</v>
      </c>
      <c r="AH24" s="370"/>
      <c r="AI24" s="370" t="str">
        <f>AE24</f>
        <v>Turquía</v>
      </c>
      <c r="AJ24" s="373">
        <f>VLOOKUP(AI24,AE23:AG27,2,FALSE)</f>
        <v>7</v>
      </c>
      <c r="AK24" s="373">
        <f>VLOOKUP(AI24,AE23:AG27,3,FALSE)</f>
        <v>2</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Paraguay</v>
      </c>
      <c r="G25" s="370"/>
      <c r="H25" s="370"/>
      <c r="I25" s="370"/>
      <c r="J25" s="373">
        <f>AJ18</f>
        <v>3</v>
      </c>
      <c r="K25" s="373">
        <f>VLOOKUP(AI18,$F$16:$M$20,6,FALSE)</f>
        <v>2</v>
      </c>
      <c r="L25" s="373">
        <f>VLOOKUP(AI18,$F$16:$M$20,7,FALSE)</f>
        <v>2</v>
      </c>
      <c r="M25" s="373">
        <f>K25-L25</f>
        <v>0</v>
      </c>
      <c r="N25" s="370"/>
      <c r="O25" s="370" t="str">
        <f>F25</f>
        <v>Paraguay</v>
      </c>
      <c r="P25" s="373">
        <f>VLOOKUP(O25,$F$23:$M$27,5,FALSE)</f>
        <v>3</v>
      </c>
      <c r="Q25" s="373">
        <f>VLOOKUP(O25,$F$23:$M$27,8,FALSE)</f>
        <v>0</v>
      </c>
      <c r="R25" s="370"/>
      <c r="S25" s="370" t="str">
        <f>IF(AND($P23=P25,Q25&gt;Q23),O23,O25)</f>
        <v>Paraguay</v>
      </c>
      <c r="T25" s="373">
        <f>VLOOKUP(S25,$O$23:$Q$27,2,FALSE)</f>
        <v>3</v>
      </c>
      <c r="U25" s="373">
        <f>VLOOKUP(S25,$O$23:$Q$27,3,FALSE)</f>
        <v>0</v>
      </c>
      <c r="V25" s="370"/>
      <c r="W25" s="370" t="str">
        <f>S25</f>
        <v>Paraguay</v>
      </c>
      <c r="X25" s="373">
        <f>VLOOKUP(W25,$S$23:$U$27,2,FALSE)</f>
        <v>3</v>
      </c>
      <c r="Y25" s="373">
        <f>VLOOKUP(W25,$S$23:$U$27,3,FALSE)</f>
        <v>0</v>
      </c>
      <c r="Z25" s="370"/>
      <c r="AA25" s="370" t="str">
        <f>IF(AND(X24=X25,Y25&gt;Y24),W24,W25)</f>
        <v>Paraguay</v>
      </c>
      <c r="AB25" s="373">
        <f>VLOOKUP(AA25,W23:Y27,2,FALSE)</f>
        <v>3</v>
      </c>
      <c r="AC25" s="373">
        <f>VLOOKUP(AA25,W23:Y27,3,FALSE)</f>
        <v>0</v>
      </c>
      <c r="AD25" s="370"/>
      <c r="AE25" s="370" t="str">
        <f>AA25</f>
        <v>Paraguay</v>
      </c>
      <c r="AF25" s="373">
        <f>VLOOKUP(AE25,AA23:AC27,2,FALSE)</f>
        <v>3</v>
      </c>
      <c r="AG25" s="373">
        <f>VLOOKUP(AE25,AA23:AC27,3,FALSE)</f>
        <v>0</v>
      </c>
      <c r="AH25" s="370"/>
      <c r="AI25" s="370" t="str">
        <f>IF(AND(AF25=AF26,AG26&gt;AG25),AE26,AE25)</f>
        <v>Paraguay</v>
      </c>
      <c r="AJ25" s="373">
        <f>VLOOKUP(AI25,AE23:AG27,2,FALSE)</f>
        <v>3</v>
      </c>
      <c r="AK25" s="373">
        <f>VLOOKUP(AI25,AE23:AG27,3,FALSE)</f>
        <v>0</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Australia</v>
      </c>
      <c r="G26" s="370"/>
      <c r="H26" s="370"/>
      <c r="I26" s="370"/>
      <c r="J26" s="373">
        <f>AJ19</f>
        <v>0</v>
      </c>
      <c r="K26" s="373">
        <f>VLOOKUP(AI19,$F$16:$M$20,6,FALSE)</f>
        <v>2</v>
      </c>
      <c r="L26" s="373">
        <f>VLOOKUP(AI19,$F$16:$M$20,7,FALSE)</f>
        <v>6</v>
      </c>
      <c r="M26" s="373">
        <f>K26-L26</f>
        <v>-4</v>
      </c>
      <c r="N26" s="370"/>
      <c r="O26" s="370" t="str">
        <f>F26</f>
        <v>Australia</v>
      </c>
      <c r="P26" s="373">
        <f>VLOOKUP(O26,$F$23:$M$27,5,FALSE)</f>
        <v>0</v>
      </c>
      <c r="Q26" s="373">
        <f>VLOOKUP(O26,$F$23:$M$27,8,FALSE)</f>
        <v>-4</v>
      </c>
      <c r="R26" s="370"/>
      <c r="S26" s="370" t="str">
        <f>O26</f>
        <v>Australia</v>
      </c>
      <c r="T26" s="373">
        <f>VLOOKUP(S26,$O$23:$Q$27,2,FALSE)</f>
        <v>0</v>
      </c>
      <c r="U26" s="373">
        <f>VLOOKUP(S26,$O$23:$Q$27,3,FALSE)</f>
        <v>-4</v>
      </c>
      <c r="V26" s="370"/>
      <c r="W26" s="370" t="str">
        <f>IF(AND(T23=T26,U26&gt;U23),S23,S26)</f>
        <v>Australia</v>
      </c>
      <c r="X26" s="373">
        <f>VLOOKUP(W26,$S$23:$U$27,2,FALSE)</f>
        <v>0</v>
      </c>
      <c r="Y26" s="373">
        <f>VLOOKUP(W26,$S$23:$U$27,3,FALSE)</f>
        <v>-4</v>
      </c>
      <c r="Z26" s="370"/>
      <c r="AA26" s="370" t="str">
        <f>W26</f>
        <v>Australia</v>
      </c>
      <c r="AB26" s="373">
        <f>VLOOKUP(AA26,W23:Y27,2,FALSE)</f>
        <v>0</v>
      </c>
      <c r="AC26" s="373">
        <f>VLOOKUP(AA26,W23:Y27,3,FALSE)</f>
        <v>-4</v>
      </c>
      <c r="AD26" s="370"/>
      <c r="AE26" s="370" t="str">
        <f>IF(AND(AB24=AB26,AC26&gt;AC24),AA24,AA26)</f>
        <v>Australia</v>
      </c>
      <c r="AF26" s="373">
        <f>VLOOKUP(AE26,AA23:AC27,2,FALSE)</f>
        <v>0</v>
      </c>
      <c r="AG26" s="373">
        <f>VLOOKUP(AE26,AA23:AC27,3,FALSE)</f>
        <v>-4</v>
      </c>
      <c r="AH26" s="370"/>
      <c r="AI26" s="370" t="str">
        <f>IF(AND(AF25=AF26,AG26&gt;AG25),AE25,AE26)</f>
        <v>Australia</v>
      </c>
      <c r="AJ26" s="373">
        <f>VLOOKUP(AI26,AE23:AG27,2,FALSE)</f>
        <v>0</v>
      </c>
      <c r="AK26" s="373">
        <f>VLOOKUP(AI26,AE23:AG27,3,FALSE)</f>
        <v>-4</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EE. UU.</v>
      </c>
      <c r="G30" s="370"/>
      <c r="H30" s="370"/>
      <c r="I30" s="370"/>
      <c r="J30" s="373">
        <f>VLOOKUP(F30,$F$16:$M$20,8,FALSE)</f>
        <v>7</v>
      </c>
      <c r="K30" s="373">
        <f>VLOOKUP(F30,$F$16:$M$20,6,FALSE)</f>
        <v>3</v>
      </c>
      <c r="L30" s="373">
        <f>VLOOKUP(F30,$F$16:$M$20,7,FALSE)</f>
        <v>1</v>
      </c>
      <c r="M30" s="373">
        <f>K30-L30</f>
        <v>2</v>
      </c>
      <c r="N30" s="370"/>
      <c r="O30" s="370" t="str">
        <f>IF(AND(J30=J31,M30=M31,K31&gt;K30),F31,F30)</f>
        <v>EE. UU.</v>
      </c>
      <c r="P30" s="373">
        <f>VLOOKUP(O30,$F$30:$M$34,5,FALSE)</f>
        <v>7</v>
      </c>
      <c r="Q30" s="373">
        <f>VLOOKUP(O30,$F$30:$M$34,8,FALSE)</f>
        <v>2</v>
      </c>
      <c r="R30" s="373">
        <f>VLOOKUP(O30,$F$30:$M$34,6,FALSE)</f>
        <v>3</v>
      </c>
      <c r="S30" s="370" t="str">
        <f>IF(AND(P30=P32,Q30=Q32,R32&gt;R30),O32,O30)</f>
        <v>EE. UU.</v>
      </c>
      <c r="T30" s="373">
        <f>VLOOKUP(S30,$O$30:$R$34,2,FALSE)</f>
        <v>7</v>
      </c>
      <c r="U30" s="373">
        <f>VLOOKUP(S30,$O$30:$R$34,3,FALSE)</f>
        <v>2</v>
      </c>
      <c r="V30" s="373">
        <f>VLOOKUP(S30,$O$30:$R$34,4,FALSE)</f>
        <v>3</v>
      </c>
      <c r="W30" s="370" t="str">
        <f>IF(AND(T30=T33,U30=U33,V33&gt;V30),S33,S30)</f>
        <v>EE. UU.</v>
      </c>
      <c r="X30" s="373">
        <f>VLOOKUP(W30,$S$30:$V$34,2,FALSE)</f>
        <v>7</v>
      </c>
      <c r="Y30" s="373">
        <f>VLOOKUP(W30,$S$30:$V$34,3,FALSE)</f>
        <v>2</v>
      </c>
      <c r="Z30" s="373">
        <f>VLOOKUP(W30,$S$30:$V$34,4,FALSE)</f>
        <v>3</v>
      </c>
      <c r="AA30" s="370" t="str">
        <f>W30</f>
        <v>EE. UU.</v>
      </c>
      <c r="AB30" s="373">
        <f>VLOOKUP(AA30,W30:Z34,2,FALSE)</f>
        <v>7</v>
      </c>
      <c r="AC30" s="373">
        <f>VLOOKUP(AA30,W30:Z34,3,FALSE)</f>
        <v>2</v>
      </c>
      <c r="AD30" s="373">
        <f>VLOOKUP(AA30,W30:Z34,4,FALSE)</f>
        <v>3</v>
      </c>
      <c r="AE30" s="370" t="str">
        <f>AA30</f>
        <v>EE. UU.</v>
      </c>
      <c r="AF30" s="373">
        <f>VLOOKUP(AE30,AA30:AD34,2,FALSE)</f>
        <v>7</v>
      </c>
      <c r="AG30" s="373">
        <f>VLOOKUP(AE30,AA30:AD34,3,FALSE)</f>
        <v>2</v>
      </c>
      <c r="AH30" s="373">
        <f>VLOOKUP(AE30,AA30:AD34,4,FALSE)</f>
        <v>3</v>
      </c>
      <c r="AI30" s="370" t="str">
        <f>AE30</f>
        <v>EE. UU.</v>
      </c>
      <c r="AJ30" s="373">
        <f>VLOOKUP(AI30,AE30:AH34,2,FALSE)</f>
        <v>7</v>
      </c>
      <c r="AK30" s="373">
        <f>VLOOKUP(AI30,AE30:AH34,3,FALSE)</f>
        <v>2</v>
      </c>
      <c r="AL30" s="373">
        <f>VLOOKUP(AI30,AE30:AH34,4,FALSE)</f>
        <v>3</v>
      </c>
      <c r="AM30" s="370"/>
      <c r="AN30" s="373">
        <f>(AJ30*1000)+(AK30*100)+AL30</f>
        <v>7203</v>
      </c>
      <c r="AO30" s="375">
        <f>IF($AN30=$AN31,VLOOKUP($AI30&amp;$AI31,$AN$2:$AO$13,2,0),0)</f>
        <v>0</v>
      </c>
      <c r="AP30" s="370">
        <f>IF(AO30=$AI30,1,0)</f>
        <v>0</v>
      </c>
      <c r="AQ30" s="375"/>
      <c r="AR30" s="370"/>
      <c r="AS30" s="375">
        <f>IF($AN30=$AN32,VLOOKUP($AI30&amp;$AI32,$AN$2:$AO$13,2,0),0)</f>
        <v>0</v>
      </c>
      <c r="AT30" s="370">
        <f>IF(AS30=$AI30,1,0)</f>
        <v>0</v>
      </c>
      <c r="AU30" s="370"/>
      <c r="AV30" s="370">
        <f>SUM(AN30,AP30,AR30,AT30)</f>
        <v>7203</v>
      </c>
      <c r="AW30" s="373">
        <f>RANK(AV30,$AV$30:$AV$33,0)</f>
        <v>1</v>
      </c>
      <c r="AX30" s="370" t="str">
        <f>AI30</f>
        <v>EE. UU.</v>
      </c>
      <c r="AY30" s="336"/>
      <c r="AZ30" s="336"/>
      <c r="BA30" s="336"/>
      <c r="BB30" s="336"/>
      <c r="BC30" s="336"/>
    </row>
    <row r="31" spans="1:55" x14ac:dyDescent="0.2">
      <c r="A31" s="370"/>
      <c r="B31" s="370"/>
      <c r="C31" s="370"/>
      <c r="D31" s="370"/>
      <c r="E31" s="370"/>
      <c r="F31" s="370" t="str">
        <f>AI24</f>
        <v>Turquía</v>
      </c>
      <c r="G31" s="370"/>
      <c r="H31" s="370"/>
      <c r="I31" s="370"/>
      <c r="J31" s="373">
        <f>VLOOKUP(F31,$F$16:$M$20,8,FALSE)</f>
        <v>7</v>
      </c>
      <c r="K31" s="373">
        <f>VLOOKUP(F31,$F$16:$M$20,6,FALSE)</f>
        <v>3</v>
      </c>
      <c r="L31" s="373">
        <f>VLOOKUP(F31,$F$16:$M$20,7,FALSE)</f>
        <v>1</v>
      </c>
      <c r="M31" s="373">
        <f>K31-L31</f>
        <v>2</v>
      </c>
      <c r="N31" s="370"/>
      <c r="O31" s="370" t="str">
        <f>IF(AND(J30=J31,M30=M31,K31&gt;K30),F30,F31)</f>
        <v>Turquía</v>
      </c>
      <c r="P31" s="373">
        <f>VLOOKUP(O31,$F$30:$M$34,5,FALSE)</f>
        <v>7</v>
      </c>
      <c r="Q31" s="373">
        <f>VLOOKUP(O31,$F$30:$M$34,8,FALSE)</f>
        <v>2</v>
      </c>
      <c r="R31" s="373">
        <f>VLOOKUP(O31,$F$30:$M$34,6,FALSE)</f>
        <v>3</v>
      </c>
      <c r="S31" s="370" t="str">
        <f>O31</f>
        <v>Turquía</v>
      </c>
      <c r="T31" s="373">
        <f>VLOOKUP(S31,$O$30:$R$34,2,FALSE)</f>
        <v>7</v>
      </c>
      <c r="U31" s="373">
        <f>VLOOKUP(S31,$O$30:$R$34,3,FALSE)</f>
        <v>2</v>
      </c>
      <c r="V31" s="373">
        <f>VLOOKUP(S31,$O$30:$R$34,4,FALSE)</f>
        <v>3</v>
      </c>
      <c r="W31" s="370" t="str">
        <f>S31</f>
        <v>Turquía</v>
      </c>
      <c r="X31" s="373">
        <f>VLOOKUP(W31,$S$30:$V$34,2,FALSE)</f>
        <v>7</v>
      </c>
      <c r="Y31" s="373">
        <f>VLOOKUP(W31,$S$30:$V$34,3,FALSE)</f>
        <v>2</v>
      </c>
      <c r="Z31" s="373">
        <f>VLOOKUP(W31,$S$30:$V$34,4,FALSE)</f>
        <v>3</v>
      </c>
      <c r="AA31" s="370" t="str">
        <f>IF(AND(X31=X32,Y31=Y32,Z32&gt;Z31),W32,W31)</f>
        <v>Turquía</v>
      </c>
      <c r="AB31" s="373">
        <f>VLOOKUP(AA31,W30:Z34,2,FALSE)</f>
        <v>7</v>
      </c>
      <c r="AC31" s="373">
        <f>VLOOKUP(AA31,W30:Z34,3,FALSE)</f>
        <v>2</v>
      </c>
      <c r="AD31" s="373">
        <f>VLOOKUP(AA31,W30:Z34,4,FALSE)</f>
        <v>3</v>
      </c>
      <c r="AE31" s="370" t="str">
        <f>IF(AND(AB31=AB33,AC31=AC33,AD33&gt;AD31),AA33,AA31)</f>
        <v>Turquía</v>
      </c>
      <c r="AF31" s="373">
        <f>VLOOKUP(AE31,AA30:AD34,2,FALSE)</f>
        <v>7</v>
      </c>
      <c r="AG31" s="373">
        <f>VLOOKUP(AE31,AA30:AD34,3,FALSE)</f>
        <v>2</v>
      </c>
      <c r="AH31" s="373">
        <f>VLOOKUP(AE31,AA30:AD34,4,FALSE)</f>
        <v>3</v>
      </c>
      <c r="AI31" s="370" t="str">
        <f>AE31</f>
        <v>Turquía</v>
      </c>
      <c r="AJ31" s="373">
        <f>VLOOKUP(AI31,AE30:AH34,2,FALSE)</f>
        <v>7</v>
      </c>
      <c r="AK31" s="373">
        <f>VLOOKUP(AI31,AE30:AH34,3,FALSE)</f>
        <v>2</v>
      </c>
      <c r="AL31" s="373">
        <f>VLOOKUP(AI31,AE30:AH34,4,FALSE)</f>
        <v>3</v>
      </c>
      <c r="AM31" s="370"/>
      <c r="AN31" s="373">
        <f t="shared" ref="AN31:AN33" si="36">(AJ31*1000)+(AK31*100)+AL31</f>
        <v>7203</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7203</v>
      </c>
      <c r="AW31" s="373">
        <f t="shared" ref="AW31:AW33" si="38">RANK(AV31,$AV$30:$AV$33,0)</f>
        <v>1</v>
      </c>
      <c r="AX31" s="370" t="str">
        <f t="shared" ref="AX31:AX33" si="39">AI31</f>
        <v>Turquía</v>
      </c>
      <c r="AY31" s="336"/>
      <c r="AZ31" s="336"/>
      <c r="BA31" s="336"/>
      <c r="BB31" s="336"/>
      <c r="BC31" s="336"/>
    </row>
    <row r="32" spans="1:55" x14ac:dyDescent="0.2">
      <c r="A32" s="370"/>
      <c r="B32" s="370"/>
      <c r="C32" s="370"/>
      <c r="D32" s="370"/>
      <c r="E32" s="370"/>
      <c r="F32" s="370" t="str">
        <f>AI25</f>
        <v>Paraguay</v>
      </c>
      <c r="G32" s="370"/>
      <c r="H32" s="370"/>
      <c r="I32" s="370"/>
      <c r="J32" s="373">
        <f>VLOOKUP(F32,$F$16:$M$20,8,FALSE)</f>
        <v>3</v>
      </c>
      <c r="K32" s="373">
        <f>VLOOKUP(F32,$F$16:$M$20,6,FALSE)</f>
        <v>2</v>
      </c>
      <c r="L32" s="373">
        <f>VLOOKUP(F32,$F$16:$M$20,7,FALSE)</f>
        <v>2</v>
      </c>
      <c r="M32" s="373">
        <f>K32-L32</f>
        <v>0</v>
      </c>
      <c r="N32" s="370"/>
      <c r="O32" s="370" t="str">
        <f>F32</f>
        <v>Paraguay</v>
      </c>
      <c r="P32" s="373">
        <f>VLOOKUP(O32,$F$30:$M$34,5,FALSE)</f>
        <v>3</v>
      </c>
      <c r="Q32" s="373">
        <f>VLOOKUP(O32,$F$30:$M$34,8,FALSE)</f>
        <v>0</v>
      </c>
      <c r="R32" s="373">
        <f>VLOOKUP(O32,$F$30:$M$34,6,FALSE)</f>
        <v>2</v>
      </c>
      <c r="S32" s="370" t="str">
        <f>IF(AND(P30=P32,Q30=Q32,R32&gt;R30),O30,O32)</f>
        <v>Paraguay</v>
      </c>
      <c r="T32" s="373">
        <f>VLOOKUP(S32,$O$30:$R$34,2,FALSE)</f>
        <v>3</v>
      </c>
      <c r="U32" s="373">
        <f>VLOOKUP(S32,$O$30:$R$34,3,FALSE)</f>
        <v>0</v>
      </c>
      <c r="V32" s="373">
        <f>VLOOKUP(S32,$O$30:$R$34,4,FALSE)</f>
        <v>2</v>
      </c>
      <c r="W32" s="370" t="str">
        <f>S32</f>
        <v>Paraguay</v>
      </c>
      <c r="X32" s="373">
        <f>VLOOKUP(W32,$S$30:$V$34,2,FALSE)</f>
        <v>3</v>
      </c>
      <c r="Y32" s="373">
        <f>VLOOKUP(W32,$S$30:$V$34,3,FALSE)</f>
        <v>0</v>
      </c>
      <c r="Z32" s="373">
        <f>VLOOKUP(W32,$S$30:$V$34,4,FALSE)</f>
        <v>2</v>
      </c>
      <c r="AA32" s="370" t="str">
        <f>IF(AND(X31=X32,Y31=Y32,Z32&gt;Z31),W31,W32)</f>
        <v>Paraguay</v>
      </c>
      <c r="AB32" s="373">
        <f>VLOOKUP(AA32,W30:Z34,2,FALSE)</f>
        <v>3</v>
      </c>
      <c r="AC32" s="373">
        <f>VLOOKUP(AA32,W30:Z34,3,FALSE)</f>
        <v>0</v>
      </c>
      <c r="AD32" s="373">
        <f>VLOOKUP(AA32,W30:Z34,4,FALSE)</f>
        <v>2</v>
      </c>
      <c r="AE32" s="370" t="str">
        <f>AA32</f>
        <v>Paraguay</v>
      </c>
      <c r="AF32" s="373">
        <f>VLOOKUP(AE32,AA30:AD34,2,FALSE)</f>
        <v>3</v>
      </c>
      <c r="AG32" s="373">
        <f>VLOOKUP(AE32,AA30:AD34,3,FALSE)</f>
        <v>0</v>
      </c>
      <c r="AH32" s="373">
        <f>VLOOKUP(AE32,AA30:AD34,4,FALSE)</f>
        <v>2</v>
      </c>
      <c r="AI32" s="370" t="str">
        <f>IF(AND(AF32=AF33,AG32=AG33,AH33&gt;AH32),AE33,AE32)</f>
        <v>Paraguay</v>
      </c>
      <c r="AJ32" s="373">
        <f>VLOOKUP(AI32,AE30:AH34,2,FALSE)</f>
        <v>3</v>
      </c>
      <c r="AK32" s="373">
        <f>VLOOKUP(AI32,AE30:AH34,3,FALSE)</f>
        <v>0</v>
      </c>
      <c r="AL32" s="373">
        <f>VLOOKUP(AI32,AE30:AH34,4,FALSE)</f>
        <v>2</v>
      </c>
      <c r="AM32" s="370"/>
      <c r="AN32" s="373">
        <f t="shared" si="36"/>
        <v>3002</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3002</v>
      </c>
      <c r="AW32" s="373">
        <f t="shared" si="38"/>
        <v>3</v>
      </c>
      <c r="AX32" s="370" t="str">
        <f t="shared" si="39"/>
        <v>Paraguay</v>
      </c>
      <c r="AY32" s="336"/>
      <c r="AZ32" s="336"/>
      <c r="BA32" s="336"/>
      <c r="BB32" s="336"/>
      <c r="BC32" s="336"/>
    </row>
    <row r="33" spans="1:55" x14ac:dyDescent="0.2">
      <c r="A33" s="370"/>
      <c r="B33" s="370"/>
      <c r="C33" s="370"/>
      <c r="D33" s="370"/>
      <c r="E33" s="370"/>
      <c r="F33" s="370" t="str">
        <f>AI26</f>
        <v>Australia</v>
      </c>
      <c r="G33" s="370"/>
      <c r="H33" s="370"/>
      <c r="I33" s="370"/>
      <c r="J33" s="373">
        <f>VLOOKUP(F33,$F$16:$M$20,8,FALSE)</f>
        <v>0</v>
      </c>
      <c r="K33" s="373">
        <f>VLOOKUP(F33,$F$16:$M$20,6,FALSE)</f>
        <v>2</v>
      </c>
      <c r="L33" s="373">
        <f>VLOOKUP(F33,$F$16:$M$20,7,FALSE)</f>
        <v>6</v>
      </c>
      <c r="M33" s="373">
        <f>K33-L33</f>
        <v>-4</v>
      </c>
      <c r="N33" s="370"/>
      <c r="O33" s="370" t="str">
        <f>F33</f>
        <v>Australia</v>
      </c>
      <c r="P33" s="373">
        <f>VLOOKUP(O33,$F$30:$M$34,5,FALSE)</f>
        <v>0</v>
      </c>
      <c r="Q33" s="373">
        <f>VLOOKUP(O33,$F$30:$M$34,8,FALSE)</f>
        <v>-4</v>
      </c>
      <c r="R33" s="373">
        <f>VLOOKUP(O33,$F$30:$M$34,6,FALSE)</f>
        <v>2</v>
      </c>
      <c r="S33" s="370" t="str">
        <f>O33</f>
        <v>Australia</v>
      </c>
      <c r="T33" s="373">
        <f>VLOOKUP(S33,$O$30:$R$34,2,FALSE)</f>
        <v>0</v>
      </c>
      <c r="U33" s="373">
        <f>VLOOKUP(S33,$O$30:$R$34,3,FALSE)</f>
        <v>-4</v>
      </c>
      <c r="V33" s="373">
        <f>VLOOKUP(S33,$O$30:$R$34,4,FALSE)</f>
        <v>2</v>
      </c>
      <c r="W33" s="370" t="str">
        <f>IF(AND(T30=T33,U30=U33,V33&gt;V30),S30,S33)</f>
        <v>Australia</v>
      </c>
      <c r="X33" s="373">
        <f>VLOOKUP(W33,$S$30:$V$34,2,FALSE)</f>
        <v>0</v>
      </c>
      <c r="Y33" s="373">
        <f>VLOOKUP(W33,$S$30:$V$34,3,FALSE)</f>
        <v>-4</v>
      </c>
      <c r="Z33" s="373">
        <f>VLOOKUP(W33,$S$30:$V$34,4,FALSE)</f>
        <v>2</v>
      </c>
      <c r="AA33" s="370" t="str">
        <f>W33</f>
        <v>Australia</v>
      </c>
      <c r="AB33" s="373">
        <f>VLOOKUP(AA33,W30:Z34,2,FALSE)</f>
        <v>0</v>
      </c>
      <c r="AC33" s="373">
        <f>VLOOKUP(AA33,W30:Z34,3,FALSE)</f>
        <v>-4</v>
      </c>
      <c r="AD33" s="373">
        <f>VLOOKUP(AA33,W30:Z34,4,FALSE)</f>
        <v>2</v>
      </c>
      <c r="AE33" s="370" t="str">
        <f>IF(AND(AB31=AB33,AC31=AC33,AD33&gt;AD31),AA31,AA33)</f>
        <v>Australia</v>
      </c>
      <c r="AF33" s="373">
        <f>VLOOKUP(AE33,AA30:AD34,2,FALSE)</f>
        <v>0</v>
      </c>
      <c r="AG33" s="373">
        <f>VLOOKUP(AE33,AA30:AD34,3,FALSE)</f>
        <v>-4</v>
      </c>
      <c r="AH33" s="373">
        <f>VLOOKUP(AE33,AA30:AD34,4,FALSE)</f>
        <v>2</v>
      </c>
      <c r="AI33" s="370" t="str">
        <f>IF(AND(AF32=AF33,AG32=AG33,AH33&gt;AH32),AE32,AE33)</f>
        <v>Australia</v>
      </c>
      <c r="AJ33" s="373">
        <f>VLOOKUP(AI33,AE30:AH34,2,FALSE)</f>
        <v>0</v>
      </c>
      <c r="AK33" s="373">
        <f>VLOOKUP(AI33,AE30:AH34,3,FALSE)</f>
        <v>-4</v>
      </c>
      <c r="AL33" s="373">
        <f>VLOOKUP(AI33,AE30:AH34,4,FALSE)</f>
        <v>2</v>
      </c>
      <c r="AM33" s="370"/>
      <c r="AN33" s="373">
        <f t="shared" si="36"/>
        <v>-398</v>
      </c>
      <c r="AO33" s="375"/>
      <c r="AP33" s="370"/>
      <c r="AQ33" s="375"/>
      <c r="AR33" s="370"/>
      <c r="AS33" s="375"/>
      <c r="AT33" s="370"/>
      <c r="AU33" s="370"/>
      <c r="AV33" s="370">
        <f t="shared" si="37"/>
        <v>-398</v>
      </c>
      <c r="AW33" s="373">
        <f t="shared" si="38"/>
        <v>4</v>
      </c>
      <c r="AX33" s="370" t="str">
        <f t="shared" si="39"/>
        <v>Australia</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t="e">
        <f t="shared" ref="AV36:AV38" si="41">VLOOKUP(AW36,$AW$30:$AW$33,1,0)</f>
        <v>#N/A</v>
      </c>
      <c r="AW36" s="370">
        <v>2</v>
      </c>
      <c r="AX36" s="370"/>
      <c r="AY36" s="336"/>
      <c r="AZ36" s="336"/>
      <c r="BA36" s="336"/>
      <c r="BB36" s="336"/>
      <c r="BC36" s="336"/>
    </row>
    <row r="37" spans="1:55" x14ac:dyDescent="0.2">
      <c r="A37" s="370"/>
      <c r="B37" s="370"/>
      <c r="C37" s="370"/>
      <c r="D37" s="370"/>
      <c r="E37" s="370">
        <v>1</v>
      </c>
      <c r="F37" s="370" t="str">
        <f>IF(ISERROR($AV$39),AI30,VLOOKUP(E37,$AW$30:$AX$33,2,0))</f>
        <v>EE. UU.</v>
      </c>
      <c r="G37" s="373">
        <f>VLOOKUP(F37,$F$16:$M$20,2,FALSE)</f>
        <v>3</v>
      </c>
      <c r="H37" s="373">
        <f>VLOOKUP(F37,$F$16:$M$20,3,FALSE)</f>
        <v>2</v>
      </c>
      <c r="I37" s="373">
        <f>VLOOKUP(F37,$F$16:$M$20,4,FALSE)</f>
        <v>1</v>
      </c>
      <c r="J37" s="373">
        <f>VLOOKUP(F37,$F$16:$M$20,5,FALSE)</f>
        <v>0</v>
      </c>
      <c r="K37" s="373">
        <f>VLOOKUP(F37,$F$16:$M$20,6,FALSE)</f>
        <v>3</v>
      </c>
      <c r="L37" s="373">
        <f>VLOOKUP(F37,$F$16:$M$20,7,FALSE)</f>
        <v>1</v>
      </c>
      <c r="M37" s="373">
        <f>VLOOKUP(F37,$F$16:$M$20,8,FALSE)</f>
        <v>7</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Turquía</v>
      </c>
      <c r="G38" s="373">
        <f>VLOOKUP(F38,$F$16:$M$20,2,FALSE)</f>
        <v>3</v>
      </c>
      <c r="H38" s="373">
        <f>VLOOKUP(F38,$F$16:$M$20,3,FALSE)</f>
        <v>2</v>
      </c>
      <c r="I38" s="373">
        <f>VLOOKUP(F38,$F$16:$M$20,4,FALSE)</f>
        <v>1</v>
      </c>
      <c r="J38" s="373">
        <f>VLOOKUP(F38,$F$16:$M$20,5,FALSE)</f>
        <v>0</v>
      </c>
      <c r="K38" s="373">
        <f>VLOOKUP(F38,$F$16:$M$20,6,FALSE)</f>
        <v>3</v>
      </c>
      <c r="L38" s="373">
        <f>VLOOKUP(F38,$F$16:$M$20,7,FALSE)</f>
        <v>1</v>
      </c>
      <c r="M38" s="373">
        <f>VLOOKUP(F38,$F$16:$M$20,8,FALSE)</f>
        <v>7</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Paraguay</v>
      </c>
      <c r="G39" s="373">
        <f>VLOOKUP(F39,$F$16:$M$20,2,FALSE)</f>
        <v>3</v>
      </c>
      <c r="H39" s="373">
        <f>VLOOKUP(F39,$F$16:$M$20,3,FALSE)</f>
        <v>1</v>
      </c>
      <c r="I39" s="373">
        <f>VLOOKUP(F39,$F$16:$M$20,4,FALSE)</f>
        <v>0</v>
      </c>
      <c r="J39" s="373">
        <f>VLOOKUP(F39,$F$16:$M$20,5,FALSE)</f>
        <v>2</v>
      </c>
      <c r="K39" s="373">
        <f>VLOOKUP(F39,$F$16:$M$20,6,FALSE)</f>
        <v>2</v>
      </c>
      <c r="L39" s="373">
        <f>VLOOKUP(F39,$F$16:$M$20,7,FALSE)</f>
        <v>2</v>
      </c>
      <c r="M39" s="373">
        <f>VLOOKUP(F39,$F$16:$M$20,8,FALSE)</f>
        <v>3</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t="e">
        <f>SUM(AV35:AV38)</f>
        <v>#N/A</v>
      </c>
      <c r="AW39" s="370"/>
      <c r="AX39" s="370"/>
      <c r="AY39" s="336"/>
      <c r="AZ39" s="336"/>
      <c r="BA39" s="336"/>
      <c r="BB39" s="336"/>
      <c r="BC39" s="336"/>
    </row>
    <row r="40" spans="1:55" x14ac:dyDescent="0.2">
      <c r="A40" s="370"/>
      <c r="B40" s="370"/>
      <c r="C40" s="370"/>
      <c r="D40" s="370"/>
      <c r="E40" s="370">
        <v>4</v>
      </c>
      <c r="F40" s="370" t="str">
        <f t="shared" si="42"/>
        <v>Australia</v>
      </c>
      <c r="G40" s="373">
        <f>VLOOKUP(F40,$F$16:$M$20,2,FALSE)</f>
        <v>3</v>
      </c>
      <c r="H40" s="373">
        <f>VLOOKUP(F40,$F$16:$M$20,3,FALSE)</f>
        <v>0</v>
      </c>
      <c r="I40" s="373">
        <f>VLOOKUP(F40,$F$16:$M$20,4,FALSE)</f>
        <v>0</v>
      </c>
      <c r="J40" s="373">
        <f>VLOOKUP(F40,$F$16:$M$20,5,FALSE)</f>
        <v>3</v>
      </c>
      <c r="K40" s="373">
        <f>VLOOKUP(F40,$F$16:$M$20,6,FALSE)</f>
        <v>2</v>
      </c>
      <c r="L40" s="373">
        <f>VLOOKUP(F40,$F$16:$M$20,7,FALSE)</f>
        <v>6</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UfFdQmkD3RQP99xAUslFBilRqWaJKLgSR6ZP/nXJgQQn1C/kG/Bwmw4KriehbB2w5Rtqqsbd0chFMA8YhjieCA==" saltValue="xNi72kFu7TbE5iu6WaF2fQ==" spinCount="100000" sheet="1" objects="1" scenarios="1" selectLockedCells="1"/>
  <mergeCells count="1">
    <mergeCell ref="A2:E2"/>
  </mergeCells>
  <phoneticPr fontId="20" type="noConversion"/>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9"/>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E -'!R7&lt;&gt;"",'- E -'!R7,"")</f>
        <v>Alemania</v>
      </c>
      <c r="H2" s="370"/>
      <c r="I2" s="370"/>
      <c r="J2" s="370"/>
      <c r="K2" s="370"/>
      <c r="L2" s="370"/>
      <c r="M2" s="370"/>
      <c r="N2" s="370" t="str">
        <f>IF('- E -'!R9&lt;&gt;"",'- E -'!R9,"")</f>
        <v>Curazao</v>
      </c>
      <c r="O2" s="370"/>
      <c r="P2" s="370"/>
      <c r="Q2" s="370"/>
      <c r="R2" s="370"/>
      <c r="S2" s="370"/>
      <c r="T2" s="370"/>
      <c r="U2" s="370" t="str">
        <f>IF('- E -'!R11&lt;&gt;"",'- E -'!R11,"")</f>
        <v>Costa de Marfil</v>
      </c>
      <c r="V2" s="370"/>
      <c r="W2" s="370"/>
      <c r="X2" s="370"/>
      <c r="Y2" s="370"/>
      <c r="Z2" s="370"/>
      <c r="AA2" s="370"/>
      <c r="AB2" s="370" t="str">
        <f>IF('- E -'!R13&lt;&gt;"",'- E -'!R13,"")</f>
        <v>Ecuador</v>
      </c>
      <c r="AC2" s="370"/>
      <c r="AD2" s="370"/>
      <c r="AE2" s="370"/>
      <c r="AF2" s="370"/>
      <c r="AG2" s="370"/>
      <c r="AH2" s="370"/>
      <c r="AI2" s="370"/>
      <c r="AJ2" s="370"/>
      <c r="AK2" s="370"/>
      <c r="AL2" s="370"/>
      <c r="AM2" s="370"/>
      <c r="AN2" s="374" t="str">
        <f t="shared" ref="AN2:AN7" si="0">A4&amp;E4</f>
        <v>AlemaniaCurazao</v>
      </c>
      <c r="AO2" s="371" t="str">
        <f t="shared" ref="AO2:AO7" si="1">IF(B4=D4,0,IF(B4&gt;D4,A4,E4))</f>
        <v>Alemania</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Costa de MarfilEcuador</v>
      </c>
      <c r="AO3" s="371">
        <f t="shared" si="1"/>
        <v>0</v>
      </c>
      <c r="AP3" s="370"/>
      <c r="AQ3" s="370"/>
      <c r="AR3" s="370"/>
      <c r="AS3" s="370"/>
      <c r="AT3" s="370"/>
      <c r="AU3" s="370"/>
      <c r="AV3" s="370"/>
      <c r="AW3" s="370"/>
      <c r="AX3" s="370"/>
      <c r="AY3" s="336"/>
      <c r="AZ3" s="336"/>
      <c r="BA3" s="336"/>
      <c r="BB3" s="336"/>
      <c r="BC3" s="336"/>
    </row>
    <row r="4" spans="1:55" x14ac:dyDescent="0.2">
      <c r="A4" s="375" t="str">
        <f>'- E -'!C6</f>
        <v>Alemania</v>
      </c>
      <c r="B4" s="373">
        <f>IF('- E -'!D6&lt;&gt;"",'- E -'!D6,"")</f>
        <v>4</v>
      </c>
      <c r="C4" s="373" t="str">
        <f>'- E -'!E6</f>
        <v>-</v>
      </c>
      <c r="D4" s="373">
        <f>IF('- E -'!F6&lt;&gt;"",'- E -'!F6,"")</f>
        <v>0</v>
      </c>
      <c r="E4" s="376" t="str">
        <f>'- E -'!G6</f>
        <v>Curazao</v>
      </c>
      <c r="F4" s="373">
        <f>COUNTBLANK('- E -'!D6:'- E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4</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4</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AlemaniaCosta de Marfil</v>
      </c>
      <c r="AO4" s="371" t="str">
        <f t="shared" si="1"/>
        <v>Alemania</v>
      </c>
      <c r="AP4" s="370"/>
      <c r="AQ4" s="370"/>
      <c r="AR4" s="370"/>
      <c r="AS4" s="370"/>
      <c r="AT4" s="370"/>
      <c r="AU4" s="370"/>
      <c r="AV4" s="370"/>
      <c r="AW4" s="370"/>
      <c r="AX4" s="370"/>
      <c r="AY4" s="336"/>
      <c r="AZ4" s="336"/>
      <c r="BA4" s="336"/>
      <c r="BB4" s="336"/>
      <c r="BC4" s="336"/>
    </row>
    <row r="5" spans="1:55" x14ac:dyDescent="0.2">
      <c r="A5" s="375" t="str">
        <f>'- E -'!C7</f>
        <v>Costa de Marfil</v>
      </c>
      <c r="B5" s="373">
        <f>IF('- E -'!D7&lt;&gt;"",'- E -'!D7,"")</f>
        <v>1</v>
      </c>
      <c r="C5" s="373" t="str">
        <f>'- E -'!E7</f>
        <v>-</v>
      </c>
      <c r="D5" s="373">
        <f>IF('- E -'!F7&lt;&gt;"",'- E -'!F7,"")</f>
        <v>1</v>
      </c>
      <c r="E5" s="376" t="str">
        <f>'- E -'!G7</f>
        <v>Ecuador</v>
      </c>
      <c r="F5" s="373">
        <f>COUNTBLANK('- E -'!D7:'- E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0</v>
      </c>
      <c r="W5" s="373">
        <f t="shared" si="16"/>
        <v>1</v>
      </c>
      <c r="X5" s="373">
        <f t="shared" si="17"/>
        <v>0</v>
      </c>
      <c r="Y5" s="373">
        <f t="shared" si="18"/>
        <v>1</v>
      </c>
      <c r="Z5" s="373">
        <f t="shared" si="19"/>
        <v>1</v>
      </c>
      <c r="AA5" s="373"/>
      <c r="AB5" s="373">
        <f t="shared" si="20"/>
        <v>1</v>
      </c>
      <c r="AC5" s="373">
        <f t="shared" si="21"/>
        <v>0</v>
      </c>
      <c r="AD5" s="373">
        <f t="shared" si="22"/>
        <v>1</v>
      </c>
      <c r="AE5" s="373">
        <f t="shared" si="23"/>
        <v>0</v>
      </c>
      <c r="AF5" s="373">
        <f t="shared" si="24"/>
        <v>1</v>
      </c>
      <c r="AG5" s="373">
        <f t="shared" si="25"/>
        <v>1</v>
      </c>
      <c r="AH5" s="373"/>
      <c r="AI5" s="370"/>
      <c r="AJ5" s="370"/>
      <c r="AK5" s="370"/>
      <c r="AL5" s="370"/>
      <c r="AM5" s="370"/>
      <c r="AN5" s="374" t="str">
        <f t="shared" si="0"/>
        <v>EcuadorCurazao</v>
      </c>
      <c r="AO5" s="371" t="str">
        <f t="shared" si="1"/>
        <v>Ecuador</v>
      </c>
      <c r="AP5" s="370"/>
      <c r="AQ5" s="370"/>
      <c r="AR5" s="370"/>
      <c r="AS5" s="370"/>
      <c r="AT5" s="370"/>
      <c r="AU5" s="370"/>
      <c r="AV5" s="370"/>
      <c r="AW5" s="370"/>
      <c r="AX5" s="370"/>
      <c r="AY5" s="336"/>
      <c r="AZ5" s="336"/>
      <c r="BA5" s="336"/>
      <c r="BB5" s="336"/>
      <c r="BC5" s="336"/>
    </row>
    <row r="6" spans="1:55" x14ac:dyDescent="0.2">
      <c r="A6" s="375" t="str">
        <f>'- E -'!C8</f>
        <v>Alemania</v>
      </c>
      <c r="B6" s="373">
        <f>IF('- E -'!D8&lt;&gt;"",'- E -'!D8,"")</f>
        <v>3</v>
      </c>
      <c r="C6" s="373" t="str">
        <f>'- E -'!E8</f>
        <v>-</v>
      </c>
      <c r="D6" s="373">
        <f>IF('- E -'!F8&lt;&gt;"",'- E -'!F8,"")</f>
        <v>0</v>
      </c>
      <c r="E6" s="376" t="str">
        <f>'- E -'!G8</f>
        <v>Costa de Marfil</v>
      </c>
      <c r="F6" s="373">
        <f>COUNTBLANK('- E -'!D8:'- E -'!F8)</f>
        <v>0</v>
      </c>
      <c r="G6" s="373">
        <f t="shared" si="2"/>
        <v>1</v>
      </c>
      <c r="H6" s="373">
        <f t="shared" si="3"/>
        <v>1</v>
      </c>
      <c r="I6" s="373">
        <f t="shared" si="4"/>
        <v>0</v>
      </c>
      <c r="J6" s="373">
        <f t="shared" si="5"/>
        <v>0</v>
      </c>
      <c r="K6" s="373">
        <f t="shared" si="6"/>
        <v>3</v>
      </c>
      <c r="L6" s="373">
        <f t="shared" si="7"/>
        <v>0</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0</v>
      </c>
      <c r="Z6" s="373">
        <f t="shared" si="19"/>
        <v>3</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CurazaoCosta de Marfil</v>
      </c>
      <c r="AO6" s="371" t="str">
        <f t="shared" si="1"/>
        <v>Costa de Marfil</v>
      </c>
      <c r="AP6" s="370"/>
      <c r="AQ6" s="370"/>
      <c r="AR6" s="370"/>
      <c r="AS6" s="370"/>
      <c r="AT6" s="370"/>
      <c r="AU6" s="370"/>
      <c r="AV6" s="370"/>
      <c r="AW6" s="370"/>
      <c r="AX6" s="370"/>
      <c r="AY6" s="336"/>
      <c r="AZ6" s="336"/>
      <c r="BA6" s="336"/>
      <c r="BB6" s="336"/>
      <c r="BC6" s="336"/>
    </row>
    <row r="7" spans="1:55" x14ac:dyDescent="0.2">
      <c r="A7" s="375" t="str">
        <f>'- E -'!C9</f>
        <v>Ecuador</v>
      </c>
      <c r="B7" s="373">
        <f>IF('- E -'!D9&lt;&gt;"",'- E -'!D9,"")</f>
        <v>2</v>
      </c>
      <c r="C7" s="373" t="str">
        <f>'- E -'!E9</f>
        <v>-</v>
      </c>
      <c r="D7" s="373">
        <f>IF('- E -'!F9&lt;&gt;"",'- E -'!F9,"")</f>
        <v>0</v>
      </c>
      <c r="E7" s="376" t="str">
        <f>'- E -'!G9</f>
        <v>Curazao</v>
      </c>
      <c r="F7" s="373">
        <f>COUNTBLANK('- E -'!D9:'- E -'!F9)</f>
        <v>0</v>
      </c>
      <c r="G7" s="373">
        <f t="shared" si="2"/>
        <v>0</v>
      </c>
      <c r="H7" s="373">
        <f t="shared" si="3"/>
        <v>0</v>
      </c>
      <c r="I7" s="373">
        <f t="shared" si="4"/>
        <v>0</v>
      </c>
      <c r="J7" s="373">
        <f t="shared" si="5"/>
        <v>0</v>
      </c>
      <c r="K7" s="373">
        <f t="shared" si="6"/>
        <v>0</v>
      </c>
      <c r="L7" s="373">
        <f t="shared" si="7"/>
        <v>0</v>
      </c>
      <c r="M7" s="373"/>
      <c r="N7" s="373">
        <f t="shared" si="8"/>
        <v>1</v>
      </c>
      <c r="O7" s="373">
        <f t="shared" si="9"/>
        <v>0</v>
      </c>
      <c r="P7" s="373">
        <f t="shared" si="10"/>
        <v>0</v>
      </c>
      <c r="Q7" s="373">
        <f t="shared" si="11"/>
        <v>1</v>
      </c>
      <c r="R7" s="373">
        <f t="shared" si="12"/>
        <v>0</v>
      </c>
      <c r="S7" s="373">
        <f t="shared" si="13"/>
        <v>2</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1</v>
      </c>
      <c r="AD7" s="373">
        <f t="shared" si="22"/>
        <v>0</v>
      </c>
      <c r="AE7" s="373">
        <f t="shared" si="23"/>
        <v>0</v>
      </c>
      <c r="AF7" s="373">
        <f t="shared" si="24"/>
        <v>2</v>
      </c>
      <c r="AG7" s="373">
        <f t="shared" si="25"/>
        <v>0</v>
      </c>
      <c r="AH7" s="373"/>
      <c r="AI7" s="370"/>
      <c r="AJ7" s="370"/>
      <c r="AK7" s="370"/>
      <c r="AL7" s="370"/>
      <c r="AM7" s="370"/>
      <c r="AN7" s="374" t="str">
        <f t="shared" si="0"/>
        <v>EcuadorAlemania</v>
      </c>
      <c r="AO7" s="371" t="str">
        <f t="shared" si="1"/>
        <v>Alemania</v>
      </c>
      <c r="AP7" s="370"/>
      <c r="AQ7" s="370"/>
      <c r="AR7" s="370"/>
      <c r="AS7" s="370"/>
      <c r="AT7" s="370"/>
      <c r="AU7" s="370"/>
      <c r="AV7" s="370"/>
      <c r="AW7" s="370"/>
      <c r="AX7" s="370"/>
      <c r="AY7" s="336"/>
      <c r="AZ7" s="336"/>
      <c r="BA7" s="336"/>
      <c r="BB7" s="336"/>
      <c r="BC7" s="336"/>
    </row>
    <row r="8" spans="1:55" x14ac:dyDescent="0.2">
      <c r="A8" s="375" t="str">
        <f>'- E -'!C10</f>
        <v>Curazao</v>
      </c>
      <c r="B8" s="373">
        <f>IF('- E -'!D10&lt;&gt;"",'- E -'!D10,"")</f>
        <v>1</v>
      </c>
      <c r="C8" s="373" t="str">
        <f>'- E -'!E10</f>
        <v>-</v>
      </c>
      <c r="D8" s="373">
        <f>IF('- E -'!F10&lt;&gt;"",'- E -'!F10,"")</f>
        <v>2</v>
      </c>
      <c r="E8" s="376" t="str">
        <f>'- E -'!G10</f>
        <v>Costa de Marfil</v>
      </c>
      <c r="F8" s="373">
        <f>COUNTBLANK('- E -'!D10:'- E -'!F10)</f>
        <v>0</v>
      </c>
      <c r="G8" s="373">
        <f t="shared" si="2"/>
        <v>0</v>
      </c>
      <c r="H8" s="373">
        <f t="shared" si="3"/>
        <v>0</v>
      </c>
      <c r="I8" s="373">
        <f t="shared" si="4"/>
        <v>0</v>
      </c>
      <c r="J8" s="373">
        <f t="shared" si="5"/>
        <v>0</v>
      </c>
      <c r="K8" s="373">
        <f t="shared" si="6"/>
        <v>0</v>
      </c>
      <c r="L8" s="373">
        <f t="shared" si="7"/>
        <v>0</v>
      </c>
      <c r="M8" s="373"/>
      <c r="N8" s="373">
        <f t="shared" si="8"/>
        <v>1</v>
      </c>
      <c r="O8" s="373">
        <f t="shared" si="9"/>
        <v>0</v>
      </c>
      <c r="P8" s="373">
        <f t="shared" si="10"/>
        <v>0</v>
      </c>
      <c r="Q8" s="373">
        <f t="shared" si="11"/>
        <v>1</v>
      </c>
      <c r="R8" s="373">
        <f t="shared" si="12"/>
        <v>1</v>
      </c>
      <c r="S8" s="373">
        <f t="shared" si="13"/>
        <v>2</v>
      </c>
      <c r="T8" s="373"/>
      <c r="U8" s="373">
        <f t="shared" si="14"/>
        <v>1</v>
      </c>
      <c r="V8" s="373">
        <f t="shared" si="15"/>
        <v>1</v>
      </c>
      <c r="W8" s="373">
        <f t="shared" si="16"/>
        <v>0</v>
      </c>
      <c r="X8" s="373">
        <f t="shared" si="17"/>
        <v>0</v>
      </c>
      <c r="Y8" s="373">
        <f t="shared" si="18"/>
        <v>2</v>
      </c>
      <c r="Z8" s="373">
        <f t="shared" si="19"/>
        <v>1</v>
      </c>
      <c r="AA8" s="373"/>
      <c r="AB8" s="373">
        <f t="shared" si="20"/>
        <v>0</v>
      </c>
      <c r="AC8" s="373">
        <f t="shared" si="21"/>
        <v>0</v>
      </c>
      <c r="AD8" s="373">
        <f t="shared" si="22"/>
        <v>0</v>
      </c>
      <c r="AE8" s="373">
        <f t="shared" si="23"/>
        <v>0</v>
      </c>
      <c r="AF8" s="373">
        <f t="shared" si="24"/>
        <v>0</v>
      </c>
      <c r="AG8" s="373">
        <f t="shared" si="25"/>
        <v>0</v>
      </c>
      <c r="AH8" s="373"/>
      <c r="AI8" s="370"/>
      <c r="AJ8" s="370"/>
      <c r="AK8" s="370"/>
      <c r="AL8" s="370"/>
      <c r="AM8" s="370"/>
      <c r="AN8" s="374" t="str">
        <f>E4&amp;A4</f>
        <v>CurazaoAlemania</v>
      </c>
      <c r="AO8" s="371" t="str">
        <f>IF(B4=D4,0,IF(B4&gt;D4,A4,E4))</f>
        <v>Alemania</v>
      </c>
      <c r="AP8" s="370"/>
      <c r="AQ8" s="370"/>
      <c r="AR8" s="370"/>
      <c r="AS8" s="370"/>
      <c r="AT8" s="370"/>
      <c r="AU8" s="370"/>
      <c r="AV8" s="370"/>
      <c r="AW8" s="370"/>
      <c r="AX8" s="370"/>
      <c r="AY8" s="336"/>
      <c r="AZ8" s="336"/>
      <c r="BA8" s="336"/>
      <c r="BB8" s="336"/>
      <c r="BC8" s="336"/>
    </row>
    <row r="9" spans="1:55" x14ac:dyDescent="0.2">
      <c r="A9" s="375" t="str">
        <f>'- E -'!C11</f>
        <v>Ecuador</v>
      </c>
      <c r="B9" s="373">
        <f>IF('- E -'!D11&lt;&gt;"",'- E -'!D11,"")</f>
        <v>0</v>
      </c>
      <c r="C9" s="373" t="str">
        <f>'- E -'!E11</f>
        <v>-</v>
      </c>
      <c r="D9" s="373">
        <f>IF('- E -'!F11&lt;&gt;"",'- E -'!F11,"")</f>
        <v>2</v>
      </c>
      <c r="E9" s="376" t="str">
        <f>'- E -'!G11</f>
        <v>Alemania</v>
      </c>
      <c r="F9" s="373">
        <f>COUNTBLANK('- E -'!D11:'- E -'!F11)</f>
        <v>0</v>
      </c>
      <c r="G9" s="373">
        <f t="shared" si="2"/>
        <v>1</v>
      </c>
      <c r="H9" s="373">
        <f t="shared" si="3"/>
        <v>1</v>
      </c>
      <c r="I9" s="373">
        <f t="shared" si="4"/>
        <v>0</v>
      </c>
      <c r="J9" s="373">
        <f t="shared" si="5"/>
        <v>0</v>
      </c>
      <c r="K9" s="373">
        <f t="shared" si="6"/>
        <v>2</v>
      </c>
      <c r="L9" s="373">
        <f t="shared" si="7"/>
        <v>0</v>
      </c>
      <c r="M9" s="373"/>
      <c r="N9" s="373">
        <f t="shared" si="8"/>
        <v>0</v>
      </c>
      <c r="O9" s="373">
        <f t="shared" si="9"/>
        <v>0</v>
      </c>
      <c r="P9" s="373">
        <f t="shared" si="10"/>
        <v>0</v>
      </c>
      <c r="Q9" s="373">
        <f t="shared" si="11"/>
        <v>0</v>
      </c>
      <c r="R9" s="373">
        <f t="shared" si="12"/>
        <v>0</v>
      </c>
      <c r="S9" s="373">
        <f t="shared" si="13"/>
        <v>0</v>
      </c>
      <c r="T9" s="373"/>
      <c r="U9" s="373">
        <f t="shared" si="14"/>
        <v>0</v>
      </c>
      <c r="V9" s="373">
        <f t="shared" si="15"/>
        <v>0</v>
      </c>
      <c r="W9" s="373">
        <f t="shared" si="16"/>
        <v>0</v>
      </c>
      <c r="X9" s="373">
        <f t="shared" si="17"/>
        <v>0</v>
      </c>
      <c r="Y9" s="373">
        <f t="shared" si="18"/>
        <v>0</v>
      </c>
      <c r="Z9" s="373">
        <f t="shared" si="19"/>
        <v>0</v>
      </c>
      <c r="AA9" s="373"/>
      <c r="AB9" s="373">
        <f t="shared" si="20"/>
        <v>1</v>
      </c>
      <c r="AC9" s="373">
        <f t="shared" si="21"/>
        <v>0</v>
      </c>
      <c r="AD9" s="373">
        <f t="shared" si="22"/>
        <v>0</v>
      </c>
      <c r="AE9" s="373">
        <f t="shared" si="23"/>
        <v>1</v>
      </c>
      <c r="AF9" s="373">
        <f t="shared" si="24"/>
        <v>0</v>
      </c>
      <c r="AG9" s="373">
        <f t="shared" si="25"/>
        <v>2</v>
      </c>
      <c r="AH9" s="373"/>
      <c r="AI9" s="370"/>
      <c r="AJ9" s="370"/>
      <c r="AK9" s="370"/>
      <c r="AL9" s="370"/>
      <c r="AM9" s="370"/>
      <c r="AN9" s="374" t="str">
        <f t="shared" ref="AN9:AN13" si="26">E5&amp;A5</f>
        <v>EcuadorCosta de Marfil</v>
      </c>
      <c r="AO9" s="371">
        <f t="shared" ref="AO9:AO13" si="27">IF(B5=D5,0,IF(B5&gt;D5,A5,E5))</f>
        <v>0</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3</v>
      </c>
      <c r="I10" s="373">
        <f t="shared" si="28"/>
        <v>0</v>
      </c>
      <c r="J10" s="373">
        <f t="shared" si="28"/>
        <v>0</v>
      </c>
      <c r="K10" s="373">
        <f t="shared" si="28"/>
        <v>9</v>
      </c>
      <c r="L10" s="373">
        <f t="shared" si="28"/>
        <v>0</v>
      </c>
      <c r="M10" s="373">
        <f>H10*3+I10</f>
        <v>9</v>
      </c>
      <c r="N10" s="373">
        <f t="shared" ref="N10:S10" si="29">SUM(N4:N9)</f>
        <v>3</v>
      </c>
      <c r="O10" s="373">
        <f t="shared" si="29"/>
        <v>0</v>
      </c>
      <c r="P10" s="373">
        <f t="shared" si="29"/>
        <v>0</v>
      </c>
      <c r="Q10" s="373">
        <f t="shared" si="29"/>
        <v>3</v>
      </c>
      <c r="R10" s="373">
        <f t="shared" si="29"/>
        <v>1</v>
      </c>
      <c r="S10" s="373">
        <f t="shared" si="29"/>
        <v>8</v>
      </c>
      <c r="T10" s="373">
        <f>O10*3+P10</f>
        <v>0</v>
      </c>
      <c r="U10" s="373">
        <f t="shared" ref="U10:Z10" si="30">SUM(U4:U9)</f>
        <v>3</v>
      </c>
      <c r="V10" s="373">
        <f t="shared" si="30"/>
        <v>1</v>
      </c>
      <c r="W10" s="373">
        <f t="shared" si="30"/>
        <v>1</v>
      </c>
      <c r="X10" s="373">
        <f t="shared" si="30"/>
        <v>1</v>
      </c>
      <c r="Y10" s="373">
        <f t="shared" si="30"/>
        <v>3</v>
      </c>
      <c r="Z10" s="373">
        <f t="shared" si="30"/>
        <v>5</v>
      </c>
      <c r="AA10" s="373">
        <f>V10*3+W10</f>
        <v>4</v>
      </c>
      <c r="AB10" s="373">
        <f t="shared" ref="AB10:AG10" si="31">SUM(AB4:AB9)</f>
        <v>3</v>
      </c>
      <c r="AC10" s="373">
        <f t="shared" si="31"/>
        <v>1</v>
      </c>
      <c r="AD10" s="373">
        <f t="shared" si="31"/>
        <v>1</v>
      </c>
      <c r="AE10" s="373">
        <f t="shared" si="31"/>
        <v>1</v>
      </c>
      <c r="AF10" s="373">
        <f t="shared" si="31"/>
        <v>3</v>
      </c>
      <c r="AG10" s="373">
        <f t="shared" si="31"/>
        <v>3</v>
      </c>
      <c r="AH10" s="373">
        <f>AC10*3+AD10</f>
        <v>4</v>
      </c>
      <c r="AI10" s="370"/>
      <c r="AJ10" s="370"/>
      <c r="AK10" s="370"/>
      <c r="AL10" s="370"/>
      <c r="AM10" s="370"/>
      <c r="AN10" s="374" t="str">
        <f t="shared" si="26"/>
        <v>Costa de MarfilAlemania</v>
      </c>
      <c r="AO10" s="371" t="str">
        <f t="shared" si="27"/>
        <v>Alemania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CurazaoEcuador</v>
      </c>
      <c r="AO11" s="371" t="str">
        <f t="shared" si="27"/>
        <v>Ecuador</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Costa de MarfilCurazao</v>
      </c>
      <c r="AO12" s="371" t="str">
        <f t="shared" si="27"/>
        <v>Costa de Marfil</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AlemaniaEcuador</v>
      </c>
      <c r="AO13" s="371" t="str">
        <f t="shared" si="27"/>
        <v>Alemania</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Alemania</v>
      </c>
      <c r="G16" s="373">
        <f t="shared" ref="G16:M16" si="32">G10</f>
        <v>3</v>
      </c>
      <c r="H16" s="373">
        <f t="shared" si="32"/>
        <v>3</v>
      </c>
      <c r="I16" s="373">
        <f t="shared" si="32"/>
        <v>0</v>
      </c>
      <c r="J16" s="373">
        <f t="shared" si="32"/>
        <v>0</v>
      </c>
      <c r="K16" s="373">
        <f t="shared" si="32"/>
        <v>9</v>
      </c>
      <c r="L16" s="373">
        <f t="shared" si="32"/>
        <v>0</v>
      </c>
      <c r="M16" s="373">
        <f t="shared" si="32"/>
        <v>9</v>
      </c>
      <c r="N16" s="370"/>
      <c r="O16" s="370" t="str">
        <f>IF($M16&gt;=$M17,$F16,$F17)</f>
        <v>Alemania</v>
      </c>
      <c r="P16" s="370">
        <f>VLOOKUP(O16,$F$16:$M$20,8,FALSE)</f>
        <v>9</v>
      </c>
      <c r="Q16" s="370"/>
      <c r="R16" s="370"/>
      <c r="S16" s="370" t="str">
        <f>IF($P16&gt;=$P18,$O16,$O18)</f>
        <v>Alemania</v>
      </c>
      <c r="T16" s="370">
        <f>VLOOKUP(S16,$O$16:$P$20,2,FALSE)</f>
        <v>9</v>
      </c>
      <c r="U16" s="370"/>
      <c r="V16" s="370"/>
      <c r="W16" s="370" t="str">
        <f>IF($T16&gt;=$T19,$S16,$S19)</f>
        <v>Alemania</v>
      </c>
      <c r="X16" s="370">
        <f>VLOOKUP(W16,$S$16:$T$20,2,FALSE)</f>
        <v>9</v>
      </c>
      <c r="Y16" s="370"/>
      <c r="Z16" s="370"/>
      <c r="AA16" s="370" t="str">
        <f>W16</f>
        <v>Alemania</v>
      </c>
      <c r="AB16" s="370">
        <f>VLOOKUP(AA16,W16:X20,2,FALSE)</f>
        <v>9</v>
      </c>
      <c r="AC16" s="370"/>
      <c r="AD16" s="370"/>
      <c r="AE16" s="370" t="str">
        <f>AA16</f>
        <v>Alemania</v>
      </c>
      <c r="AF16" s="370">
        <f>VLOOKUP(AE16,AA16:AB20,2,FALSE)</f>
        <v>9</v>
      </c>
      <c r="AG16" s="370"/>
      <c r="AH16" s="370"/>
      <c r="AI16" s="370" t="str">
        <f>AE16</f>
        <v>Alemania</v>
      </c>
      <c r="AJ16" s="370">
        <f>VLOOKUP(AI16,AE16:AF20,2,FALSE)</f>
        <v>9</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Curazao</v>
      </c>
      <c r="G17" s="373">
        <f t="shared" ref="G17:M17" si="33">N10</f>
        <v>3</v>
      </c>
      <c r="H17" s="373">
        <f t="shared" si="33"/>
        <v>0</v>
      </c>
      <c r="I17" s="373">
        <f t="shared" si="33"/>
        <v>0</v>
      </c>
      <c r="J17" s="373">
        <f t="shared" si="33"/>
        <v>3</v>
      </c>
      <c r="K17" s="373">
        <f t="shared" si="33"/>
        <v>1</v>
      </c>
      <c r="L17" s="373">
        <f t="shared" si="33"/>
        <v>8</v>
      </c>
      <c r="M17" s="373">
        <f t="shared" si="33"/>
        <v>0</v>
      </c>
      <c r="N17" s="370"/>
      <c r="O17" s="370" t="str">
        <f>IF($M17&lt;=$M16,$F17,$F16)</f>
        <v>Curazao</v>
      </c>
      <c r="P17" s="370">
        <f>VLOOKUP(O17,$F$16:$M$20,8,FALSE)</f>
        <v>0</v>
      </c>
      <c r="Q17" s="370"/>
      <c r="R17" s="370"/>
      <c r="S17" s="370" t="str">
        <f>O17</f>
        <v>Curazao</v>
      </c>
      <c r="T17" s="370">
        <f>VLOOKUP(S17,$O$16:$P$20,2,FALSE)</f>
        <v>0</v>
      </c>
      <c r="U17" s="370"/>
      <c r="V17" s="370"/>
      <c r="W17" s="370" t="str">
        <f>S17</f>
        <v>Curazao</v>
      </c>
      <c r="X17" s="370">
        <f>VLOOKUP(W17,$S$16:$T$20,2,FALSE)</f>
        <v>0</v>
      </c>
      <c r="Y17" s="370"/>
      <c r="Z17" s="370"/>
      <c r="AA17" s="370" t="str">
        <f>IF(X17&gt;=X18,W17,W18)</f>
        <v>Costa de Marfil</v>
      </c>
      <c r="AB17" s="370">
        <f>VLOOKUP(AA17,W16:X20,2,FALSE)</f>
        <v>4</v>
      </c>
      <c r="AC17" s="370"/>
      <c r="AD17" s="370"/>
      <c r="AE17" s="370" t="str">
        <f>IF(AB17&gt;=AB19,AA17,AA19)</f>
        <v>Costa de Marfil</v>
      </c>
      <c r="AF17" s="370">
        <f>VLOOKUP(AE17,AA16:AB20,2,FALSE)</f>
        <v>4</v>
      </c>
      <c r="AG17" s="370"/>
      <c r="AH17" s="370"/>
      <c r="AI17" s="370" t="str">
        <f>AE17</f>
        <v>Costa de Marfil</v>
      </c>
      <c r="AJ17" s="370">
        <f>VLOOKUP(AI17,AE16:AF20,2,FALSE)</f>
        <v>4</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Costa de Marfil</v>
      </c>
      <c r="G18" s="373">
        <f t="shared" ref="G18:M18" si="34">U10</f>
        <v>3</v>
      </c>
      <c r="H18" s="373">
        <f t="shared" si="34"/>
        <v>1</v>
      </c>
      <c r="I18" s="373">
        <f t="shared" si="34"/>
        <v>1</v>
      </c>
      <c r="J18" s="373">
        <f t="shared" si="34"/>
        <v>1</v>
      </c>
      <c r="K18" s="373">
        <f t="shared" si="34"/>
        <v>3</v>
      </c>
      <c r="L18" s="373">
        <f t="shared" si="34"/>
        <v>5</v>
      </c>
      <c r="M18" s="373">
        <f t="shared" si="34"/>
        <v>4</v>
      </c>
      <c r="N18" s="370"/>
      <c r="O18" s="370" t="str">
        <f>F18</f>
        <v>Costa de Marfil</v>
      </c>
      <c r="P18" s="370">
        <f>VLOOKUP(O18,$F$16:$M$20,8,FALSE)</f>
        <v>4</v>
      </c>
      <c r="Q18" s="370"/>
      <c r="R18" s="370"/>
      <c r="S18" s="370" t="str">
        <f>IF($P18&lt;=$P16,$O18,$O16)</f>
        <v>Costa de Marfil</v>
      </c>
      <c r="T18" s="370">
        <f>VLOOKUP(S18,$O$16:$P$20,2,FALSE)</f>
        <v>4</v>
      </c>
      <c r="U18" s="370"/>
      <c r="V18" s="370"/>
      <c r="W18" s="370" t="str">
        <f>S18</f>
        <v>Costa de Marfil</v>
      </c>
      <c r="X18" s="370">
        <f>VLOOKUP(W18,$S$16:$T$20,2,FALSE)</f>
        <v>4</v>
      </c>
      <c r="Y18" s="370"/>
      <c r="Z18" s="370"/>
      <c r="AA18" s="370" t="str">
        <f>IF(X18&lt;=X17,W18,W17)</f>
        <v>Curazao</v>
      </c>
      <c r="AB18" s="370">
        <f>VLOOKUP(AA18,W16:X20,2,FALSE)</f>
        <v>0</v>
      </c>
      <c r="AC18" s="370"/>
      <c r="AD18" s="370"/>
      <c r="AE18" s="370" t="str">
        <f>AA18</f>
        <v>Curazao</v>
      </c>
      <c r="AF18" s="370">
        <f>VLOOKUP(AE18,AA16:AB20,2,FALSE)</f>
        <v>0</v>
      </c>
      <c r="AG18" s="370"/>
      <c r="AH18" s="370"/>
      <c r="AI18" s="370" t="str">
        <f>IF(AF18&gt;=AF19,AE18,AE19)</f>
        <v>Ecuador</v>
      </c>
      <c r="AJ18" s="370">
        <f>VLOOKUP(AI18,AE16:AF20,2,FALSE)</f>
        <v>4</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Ecuador</v>
      </c>
      <c r="G19" s="373">
        <f t="shared" ref="G19:M19" si="35">AB10</f>
        <v>3</v>
      </c>
      <c r="H19" s="373">
        <f t="shared" si="35"/>
        <v>1</v>
      </c>
      <c r="I19" s="373">
        <f t="shared" si="35"/>
        <v>1</v>
      </c>
      <c r="J19" s="373">
        <f t="shared" si="35"/>
        <v>1</v>
      </c>
      <c r="K19" s="373">
        <f t="shared" si="35"/>
        <v>3</v>
      </c>
      <c r="L19" s="373">
        <f t="shared" si="35"/>
        <v>3</v>
      </c>
      <c r="M19" s="373">
        <f t="shared" si="35"/>
        <v>4</v>
      </c>
      <c r="N19" s="370"/>
      <c r="O19" s="370" t="str">
        <f>F19</f>
        <v>Ecuador</v>
      </c>
      <c r="P19" s="370">
        <f>VLOOKUP(O19,$F$16:$M$20,8,FALSE)</f>
        <v>4</v>
      </c>
      <c r="Q19" s="370"/>
      <c r="R19" s="370"/>
      <c r="S19" s="370" t="str">
        <f>O19</f>
        <v>Ecuador</v>
      </c>
      <c r="T19" s="370">
        <f>VLOOKUP(S19,$O$16:$P$20,2,FALSE)</f>
        <v>4</v>
      </c>
      <c r="U19" s="370"/>
      <c r="V19" s="370"/>
      <c r="W19" s="370" t="str">
        <f>IF($T19&lt;=$T16,$S19,$S16)</f>
        <v>Ecuador</v>
      </c>
      <c r="X19" s="370">
        <f>VLOOKUP(W19,$S$16:$T$20,2,FALSE)</f>
        <v>4</v>
      </c>
      <c r="Y19" s="370"/>
      <c r="Z19" s="370"/>
      <c r="AA19" s="370" t="str">
        <f>W19</f>
        <v>Ecuador</v>
      </c>
      <c r="AB19" s="370">
        <f>VLOOKUP(AA19,W16:X20,2,FALSE)</f>
        <v>4</v>
      </c>
      <c r="AC19" s="370"/>
      <c r="AD19" s="370"/>
      <c r="AE19" s="370" t="str">
        <f>IF(AB19&lt;=AB17,AA19,AA17)</f>
        <v>Ecuador</v>
      </c>
      <c r="AF19" s="370">
        <f>VLOOKUP(AE19,AA16:AB20,2,FALSE)</f>
        <v>4</v>
      </c>
      <c r="AG19" s="370"/>
      <c r="AH19" s="370"/>
      <c r="AI19" s="370" t="str">
        <f>IF(AF19&lt;=AF18,AE19,AE18)</f>
        <v>Curazao</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Alemania</v>
      </c>
      <c r="G23" s="370"/>
      <c r="H23" s="370"/>
      <c r="I23" s="370"/>
      <c r="J23" s="373">
        <f>AJ16</f>
        <v>9</v>
      </c>
      <c r="K23" s="373">
        <f>VLOOKUP(AI16,$F$16:$M$20,6,FALSE)</f>
        <v>9</v>
      </c>
      <c r="L23" s="373">
        <f>VLOOKUP(AI16,$F$16:$M$20,7,FALSE)</f>
        <v>0</v>
      </c>
      <c r="M23" s="373">
        <f>K23-L23</f>
        <v>9</v>
      </c>
      <c r="N23" s="370"/>
      <c r="O23" s="370" t="str">
        <f>IF(AND($J23=$J24,$M24&gt;$M23),$F24,$F23)</f>
        <v>Alemania</v>
      </c>
      <c r="P23" s="373">
        <f>VLOOKUP(O23,$F$23:$M$27,5,FALSE)</f>
        <v>9</v>
      </c>
      <c r="Q23" s="373">
        <f>VLOOKUP(O23,$F$23:$M$27,8,FALSE)</f>
        <v>9</v>
      </c>
      <c r="R23" s="370"/>
      <c r="S23" s="370" t="str">
        <f>IF(AND(P23=P25,Q25&gt;Q23),O25,O23)</f>
        <v>Alemania</v>
      </c>
      <c r="T23" s="373">
        <f>VLOOKUP(S23,$O$23:$Q$27,2,FALSE)</f>
        <v>9</v>
      </c>
      <c r="U23" s="373">
        <f>VLOOKUP(S23,$O$23:$Q$27,3,FALSE)</f>
        <v>9</v>
      </c>
      <c r="V23" s="370"/>
      <c r="W23" s="370" t="str">
        <f>IF(AND(T23=T26,U26&gt;U23),S26,S23)</f>
        <v>Alemania</v>
      </c>
      <c r="X23" s="373">
        <f>VLOOKUP(W23,$S$23:$U$27,2,FALSE)</f>
        <v>9</v>
      </c>
      <c r="Y23" s="373">
        <f>VLOOKUP(W23,$S$23:$U$27,3,FALSE)</f>
        <v>9</v>
      </c>
      <c r="Z23" s="370"/>
      <c r="AA23" s="370" t="str">
        <f>W23</f>
        <v>Alemania</v>
      </c>
      <c r="AB23" s="373">
        <f>VLOOKUP(AA23,W23:Y27,2,FALSE)</f>
        <v>9</v>
      </c>
      <c r="AC23" s="373">
        <f>VLOOKUP(AA23,W23:Y27,3,FALSE)</f>
        <v>9</v>
      </c>
      <c r="AD23" s="370"/>
      <c r="AE23" s="370" t="str">
        <f>AA23</f>
        <v>Alemania</v>
      </c>
      <c r="AF23" s="373">
        <f>VLOOKUP(AE23,AA23:AC27,2,FALSE)</f>
        <v>9</v>
      </c>
      <c r="AG23" s="373">
        <f>VLOOKUP(AE23,AA23:AC27,3,FALSE)</f>
        <v>9</v>
      </c>
      <c r="AH23" s="370"/>
      <c r="AI23" s="370" t="str">
        <f>AE23</f>
        <v>Alemania</v>
      </c>
      <c r="AJ23" s="373">
        <f>VLOOKUP(AI23,AE23:AG27,2,FALSE)</f>
        <v>9</v>
      </c>
      <c r="AK23" s="373">
        <f>VLOOKUP(AI23,AE23:AG27,3,FALSE)</f>
        <v>9</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Costa de Marfil</v>
      </c>
      <c r="G24" s="370"/>
      <c r="H24" s="370"/>
      <c r="I24" s="370"/>
      <c r="J24" s="373">
        <f>AJ17</f>
        <v>4</v>
      </c>
      <c r="K24" s="373">
        <f>VLOOKUP(AI17,$F$16:$M$20,6,FALSE)</f>
        <v>3</v>
      </c>
      <c r="L24" s="373">
        <f>VLOOKUP(AI17,$F$16:$M$20,7,FALSE)</f>
        <v>5</v>
      </c>
      <c r="M24" s="373">
        <f>K24-L24</f>
        <v>-2</v>
      </c>
      <c r="N24" s="370"/>
      <c r="O24" s="370" t="str">
        <f>IF(AND($J23=$J24,$M24&gt;$M23),$F23,$F24)</f>
        <v>Costa de Marfil</v>
      </c>
      <c r="P24" s="373">
        <f>VLOOKUP(O24,$F$23:$M$27,5,FALSE)</f>
        <v>4</v>
      </c>
      <c r="Q24" s="373">
        <f>VLOOKUP(O24,$F$23:$M$27,8,FALSE)</f>
        <v>-2</v>
      </c>
      <c r="R24" s="370"/>
      <c r="S24" s="370" t="str">
        <f>O24</f>
        <v>Costa de Marfil</v>
      </c>
      <c r="T24" s="373">
        <f>VLOOKUP(S24,$O$23:$Q$27,2,FALSE)</f>
        <v>4</v>
      </c>
      <c r="U24" s="373">
        <f>VLOOKUP(S24,$O$23:$Q$27,3,FALSE)</f>
        <v>-2</v>
      </c>
      <c r="V24" s="370"/>
      <c r="W24" s="370" t="str">
        <f>S24</f>
        <v>Costa de Marfil</v>
      </c>
      <c r="X24" s="373">
        <f>VLOOKUP(W24,$S$23:$U$27,2,FALSE)</f>
        <v>4</v>
      </c>
      <c r="Y24" s="373">
        <f>VLOOKUP(W24,$S$23:$U$27,3,FALSE)</f>
        <v>-2</v>
      </c>
      <c r="Z24" s="370"/>
      <c r="AA24" s="370" t="str">
        <f>IF(AND(X24=X25,Y25&gt;Y24),W25,W24)</f>
        <v>Ecuador</v>
      </c>
      <c r="AB24" s="373">
        <f>VLOOKUP(AA24,W23:Y27,2,FALSE)</f>
        <v>4</v>
      </c>
      <c r="AC24" s="373">
        <f>VLOOKUP(AA24,W23:Y27,3,FALSE)</f>
        <v>0</v>
      </c>
      <c r="AD24" s="370"/>
      <c r="AE24" s="370" t="str">
        <f>IF(AND(AB24=AB26,AC26&gt;AC24),AA26,AA24)</f>
        <v>Ecuador</v>
      </c>
      <c r="AF24" s="373">
        <f>VLOOKUP(AE24,AA23:AC27,2,FALSE)</f>
        <v>4</v>
      </c>
      <c r="AG24" s="373">
        <f>VLOOKUP(AE24,AA23:AC27,3,FALSE)</f>
        <v>0</v>
      </c>
      <c r="AH24" s="370"/>
      <c r="AI24" s="370" t="str">
        <f>AE24</f>
        <v>Ecuador</v>
      </c>
      <c r="AJ24" s="373">
        <f>VLOOKUP(AI24,AE23:AG27,2,FALSE)</f>
        <v>4</v>
      </c>
      <c r="AK24" s="373">
        <f>VLOOKUP(AI24,AE23:AG27,3,FALSE)</f>
        <v>0</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Ecuador</v>
      </c>
      <c r="G25" s="370"/>
      <c r="H25" s="370"/>
      <c r="I25" s="370"/>
      <c r="J25" s="373">
        <f>AJ18</f>
        <v>4</v>
      </c>
      <c r="K25" s="373">
        <f>VLOOKUP(AI18,$F$16:$M$20,6,FALSE)</f>
        <v>3</v>
      </c>
      <c r="L25" s="373">
        <f>VLOOKUP(AI18,$F$16:$M$20,7,FALSE)</f>
        <v>3</v>
      </c>
      <c r="M25" s="373">
        <f>K25-L25</f>
        <v>0</v>
      </c>
      <c r="N25" s="370"/>
      <c r="O25" s="370" t="str">
        <f>F25</f>
        <v>Ecuador</v>
      </c>
      <c r="P25" s="373">
        <f>VLOOKUP(O25,$F$23:$M$27,5,FALSE)</f>
        <v>4</v>
      </c>
      <c r="Q25" s="373">
        <f>VLOOKUP(O25,$F$23:$M$27,8,FALSE)</f>
        <v>0</v>
      </c>
      <c r="R25" s="370"/>
      <c r="S25" s="370" t="str">
        <f>IF(AND($P23=P25,Q25&gt;Q23),O23,O25)</f>
        <v>Ecuador</v>
      </c>
      <c r="T25" s="373">
        <f>VLOOKUP(S25,$O$23:$Q$27,2,FALSE)</f>
        <v>4</v>
      </c>
      <c r="U25" s="373">
        <f>VLOOKUP(S25,$O$23:$Q$27,3,FALSE)</f>
        <v>0</v>
      </c>
      <c r="V25" s="370"/>
      <c r="W25" s="370" t="str">
        <f>S25</f>
        <v>Ecuador</v>
      </c>
      <c r="X25" s="373">
        <f>VLOOKUP(W25,$S$23:$U$27,2,FALSE)</f>
        <v>4</v>
      </c>
      <c r="Y25" s="373">
        <f>VLOOKUP(W25,$S$23:$U$27,3,FALSE)</f>
        <v>0</v>
      </c>
      <c r="Z25" s="370"/>
      <c r="AA25" s="370" t="str">
        <f>IF(AND(X24=X25,Y25&gt;Y24),W24,W25)</f>
        <v>Costa de Marfil</v>
      </c>
      <c r="AB25" s="373">
        <f>VLOOKUP(AA25,W23:Y27,2,FALSE)</f>
        <v>4</v>
      </c>
      <c r="AC25" s="373">
        <f>VLOOKUP(AA25,W23:Y27,3,FALSE)</f>
        <v>-2</v>
      </c>
      <c r="AD25" s="370"/>
      <c r="AE25" s="370" t="str">
        <f>AA25</f>
        <v>Costa de Marfil</v>
      </c>
      <c r="AF25" s="373">
        <f>VLOOKUP(AE25,AA23:AC27,2,FALSE)</f>
        <v>4</v>
      </c>
      <c r="AG25" s="373">
        <f>VLOOKUP(AE25,AA23:AC27,3,FALSE)</f>
        <v>-2</v>
      </c>
      <c r="AH25" s="370"/>
      <c r="AI25" s="370" t="str">
        <f>IF(AND(AF25=AF26,AG26&gt;AG25),AE26,AE25)</f>
        <v>Costa de Marfil</v>
      </c>
      <c r="AJ25" s="373">
        <f>VLOOKUP(AI25,AE23:AG27,2,FALSE)</f>
        <v>4</v>
      </c>
      <c r="AK25" s="373">
        <f>VLOOKUP(AI25,AE23:AG27,3,FALSE)</f>
        <v>-2</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Curazao</v>
      </c>
      <c r="G26" s="370"/>
      <c r="H26" s="370"/>
      <c r="I26" s="370"/>
      <c r="J26" s="373">
        <f>AJ19</f>
        <v>0</v>
      </c>
      <c r="K26" s="373">
        <f>VLOOKUP(AI19,$F$16:$M$20,6,FALSE)</f>
        <v>1</v>
      </c>
      <c r="L26" s="373">
        <f>VLOOKUP(AI19,$F$16:$M$20,7,FALSE)</f>
        <v>8</v>
      </c>
      <c r="M26" s="373">
        <f>K26-L26</f>
        <v>-7</v>
      </c>
      <c r="N26" s="370"/>
      <c r="O26" s="370" t="str">
        <f>F26</f>
        <v>Curazao</v>
      </c>
      <c r="P26" s="373">
        <f>VLOOKUP(O26,$F$23:$M$27,5,FALSE)</f>
        <v>0</v>
      </c>
      <c r="Q26" s="373">
        <f>VLOOKUP(O26,$F$23:$M$27,8,FALSE)</f>
        <v>-7</v>
      </c>
      <c r="R26" s="370"/>
      <c r="S26" s="370" t="str">
        <f>O26</f>
        <v>Curazao</v>
      </c>
      <c r="T26" s="373">
        <f>VLOOKUP(S26,$O$23:$Q$27,2,FALSE)</f>
        <v>0</v>
      </c>
      <c r="U26" s="373">
        <f>VLOOKUP(S26,$O$23:$Q$27,3,FALSE)</f>
        <v>-7</v>
      </c>
      <c r="V26" s="370"/>
      <c r="W26" s="370" t="str">
        <f>IF(AND(T23=T26,U26&gt;U23),S23,S26)</f>
        <v>Curazao</v>
      </c>
      <c r="X26" s="373">
        <f>VLOOKUP(W26,$S$23:$U$27,2,FALSE)</f>
        <v>0</v>
      </c>
      <c r="Y26" s="373">
        <f>VLOOKUP(W26,$S$23:$U$27,3,FALSE)</f>
        <v>-7</v>
      </c>
      <c r="Z26" s="370"/>
      <c r="AA26" s="370" t="str">
        <f>W26</f>
        <v>Curazao</v>
      </c>
      <c r="AB26" s="373">
        <f>VLOOKUP(AA26,W23:Y27,2,FALSE)</f>
        <v>0</v>
      </c>
      <c r="AC26" s="373">
        <f>VLOOKUP(AA26,W23:Y27,3,FALSE)</f>
        <v>-7</v>
      </c>
      <c r="AD26" s="370"/>
      <c r="AE26" s="370" t="str">
        <f>IF(AND(AB24=AB26,AC26&gt;AC24),AA24,AA26)</f>
        <v>Curazao</v>
      </c>
      <c r="AF26" s="373">
        <f>VLOOKUP(AE26,AA23:AC27,2,FALSE)</f>
        <v>0</v>
      </c>
      <c r="AG26" s="373">
        <f>VLOOKUP(AE26,AA23:AC27,3,FALSE)</f>
        <v>-7</v>
      </c>
      <c r="AH26" s="370"/>
      <c r="AI26" s="370" t="str">
        <f>IF(AND(AF25=AF26,AG26&gt;AG25),AE25,AE26)</f>
        <v>Curazao</v>
      </c>
      <c r="AJ26" s="373">
        <f>VLOOKUP(AI26,AE23:AG27,2,FALSE)</f>
        <v>0</v>
      </c>
      <c r="AK26" s="373">
        <f>VLOOKUP(AI26,AE23:AG27,3,FALSE)</f>
        <v>-7</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Alemania</v>
      </c>
      <c r="G30" s="370"/>
      <c r="H30" s="370"/>
      <c r="I30" s="370"/>
      <c r="J30" s="373">
        <f>VLOOKUP(F30,$F$16:$M$20,8,FALSE)</f>
        <v>9</v>
      </c>
      <c r="K30" s="373">
        <f>VLOOKUP(F30,$F$16:$M$20,6,FALSE)</f>
        <v>9</v>
      </c>
      <c r="L30" s="373">
        <f>VLOOKUP(F30,$F$16:$M$20,7,FALSE)</f>
        <v>0</v>
      </c>
      <c r="M30" s="373">
        <f>K30-L30</f>
        <v>9</v>
      </c>
      <c r="N30" s="370"/>
      <c r="O30" s="370" t="str">
        <f>IF(AND(J30=J31,M30=M31,K31&gt;K30),F31,F30)</f>
        <v>Alemania</v>
      </c>
      <c r="P30" s="373">
        <f>VLOOKUP(O30,$F$30:$M$34,5,FALSE)</f>
        <v>9</v>
      </c>
      <c r="Q30" s="373">
        <f>VLOOKUP(O30,$F$30:$M$34,8,FALSE)</f>
        <v>9</v>
      </c>
      <c r="R30" s="373">
        <f>VLOOKUP(O30,$F$30:$M$34,6,FALSE)</f>
        <v>9</v>
      </c>
      <c r="S30" s="370" t="str">
        <f>IF(AND(P30=P32,Q30=Q32,R32&gt;R30),O32,O30)</f>
        <v>Alemania</v>
      </c>
      <c r="T30" s="373">
        <f>VLOOKUP(S30,$O$30:$R$34,2,FALSE)</f>
        <v>9</v>
      </c>
      <c r="U30" s="373">
        <f>VLOOKUP(S30,$O$30:$R$34,3,FALSE)</f>
        <v>9</v>
      </c>
      <c r="V30" s="373">
        <f>VLOOKUP(S30,$O$30:$R$34,4,FALSE)</f>
        <v>9</v>
      </c>
      <c r="W30" s="370" t="str">
        <f>IF(AND(T30=T33,U30=U33,V33&gt;V30),S33,S30)</f>
        <v>Alemania</v>
      </c>
      <c r="X30" s="373">
        <f>VLOOKUP(W30,$S$30:$V$34,2,FALSE)</f>
        <v>9</v>
      </c>
      <c r="Y30" s="373">
        <f>VLOOKUP(W30,$S$30:$V$34,3,FALSE)</f>
        <v>9</v>
      </c>
      <c r="Z30" s="373">
        <f>VLOOKUP(W30,$S$30:$V$34,4,FALSE)</f>
        <v>9</v>
      </c>
      <c r="AA30" s="370" t="str">
        <f>W30</f>
        <v>Alemania</v>
      </c>
      <c r="AB30" s="373">
        <f>VLOOKUP(AA30,W30:Z34,2,FALSE)</f>
        <v>9</v>
      </c>
      <c r="AC30" s="373">
        <f>VLOOKUP(AA30,W30:Z34,3,FALSE)</f>
        <v>9</v>
      </c>
      <c r="AD30" s="373">
        <f>VLOOKUP(AA30,W30:Z34,4,FALSE)</f>
        <v>9</v>
      </c>
      <c r="AE30" s="370" t="str">
        <f>AA30</f>
        <v>Alemania</v>
      </c>
      <c r="AF30" s="373">
        <f>VLOOKUP(AE30,AA30:AD34,2,FALSE)</f>
        <v>9</v>
      </c>
      <c r="AG30" s="373">
        <f>VLOOKUP(AE30,AA30:AD34,3,FALSE)</f>
        <v>9</v>
      </c>
      <c r="AH30" s="373">
        <f>VLOOKUP(AE30,AA30:AD34,4,FALSE)</f>
        <v>9</v>
      </c>
      <c r="AI30" s="370" t="str">
        <f>AE30</f>
        <v>Alemania</v>
      </c>
      <c r="AJ30" s="373">
        <f>VLOOKUP(AI30,AE30:AH34,2,FALSE)</f>
        <v>9</v>
      </c>
      <c r="AK30" s="373">
        <f>VLOOKUP(AI30,AE30:AH34,3,FALSE)</f>
        <v>9</v>
      </c>
      <c r="AL30" s="373">
        <f>VLOOKUP(AI30,AE30:AH34,4,FALSE)</f>
        <v>9</v>
      </c>
      <c r="AM30" s="370"/>
      <c r="AN30" s="373">
        <f>(AJ30*1000)+(AK30*100)+AL30</f>
        <v>9909</v>
      </c>
      <c r="AO30" s="375">
        <f>IF($AN30=$AN31,VLOOKUP($AI30&amp;$AI31,$AN$2:$AO$13,2,0),0)</f>
        <v>0</v>
      </c>
      <c r="AP30" s="370">
        <f>IF(AO30=$AI30,1,0)</f>
        <v>0</v>
      </c>
      <c r="AQ30" s="375"/>
      <c r="AR30" s="370"/>
      <c r="AS30" s="375">
        <f>IF($AN30=$AN32,VLOOKUP($AI30&amp;$AI32,$AN$2:$AO$13,2,0),0)</f>
        <v>0</v>
      </c>
      <c r="AT30" s="370">
        <f>IF(AS30=$AI30,1,0)</f>
        <v>0</v>
      </c>
      <c r="AU30" s="370"/>
      <c r="AV30" s="370">
        <f>SUM(AN30,AP30,AR30,AT30)</f>
        <v>9909</v>
      </c>
      <c r="AW30" s="373">
        <f>RANK(AV30,$AV$30:$AV$33,0)</f>
        <v>1</v>
      </c>
      <c r="AX30" s="370" t="str">
        <f>AI30</f>
        <v>Alemania</v>
      </c>
      <c r="AY30" s="336"/>
      <c r="AZ30" s="336"/>
      <c r="BA30" s="336"/>
      <c r="BB30" s="336"/>
      <c r="BC30" s="336"/>
    </row>
    <row r="31" spans="1:55" x14ac:dyDescent="0.2">
      <c r="A31" s="370"/>
      <c r="B31" s="370"/>
      <c r="C31" s="370"/>
      <c r="D31" s="370"/>
      <c r="E31" s="370"/>
      <c r="F31" s="370" t="str">
        <f>AI24</f>
        <v>Ecuador</v>
      </c>
      <c r="G31" s="370"/>
      <c r="H31" s="370"/>
      <c r="I31" s="370"/>
      <c r="J31" s="373">
        <f>VLOOKUP(F31,$F$16:$M$20,8,FALSE)</f>
        <v>4</v>
      </c>
      <c r="K31" s="373">
        <f>VLOOKUP(F31,$F$16:$M$20,6,FALSE)</f>
        <v>3</v>
      </c>
      <c r="L31" s="373">
        <f>VLOOKUP(F31,$F$16:$M$20,7,FALSE)</f>
        <v>3</v>
      </c>
      <c r="M31" s="373">
        <f>K31-L31</f>
        <v>0</v>
      </c>
      <c r="N31" s="370"/>
      <c r="O31" s="370" t="str">
        <f>IF(AND(J30=J31,M30=M31,K31&gt;K30),F30,F31)</f>
        <v>Ecuador</v>
      </c>
      <c r="P31" s="373">
        <f>VLOOKUP(O31,$F$30:$M$34,5,FALSE)</f>
        <v>4</v>
      </c>
      <c r="Q31" s="373">
        <f>VLOOKUP(O31,$F$30:$M$34,8,FALSE)</f>
        <v>0</v>
      </c>
      <c r="R31" s="373">
        <f>VLOOKUP(O31,$F$30:$M$34,6,FALSE)</f>
        <v>3</v>
      </c>
      <c r="S31" s="370" t="str">
        <f>O31</f>
        <v>Ecuador</v>
      </c>
      <c r="T31" s="373">
        <f>VLOOKUP(S31,$O$30:$R$34,2,FALSE)</f>
        <v>4</v>
      </c>
      <c r="U31" s="373">
        <f>VLOOKUP(S31,$O$30:$R$34,3,FALSE)</f>
        <v>0</v>
      </c>
      <c r="V31" s="373">
        <f>VLOOKUP(S31,$O$30:$R$34,4,FALSE)</f>
        <v>3</v>
      </c>
      <c r="W31" s="370" t="str">
        <f>S31</f>
        <v>Ecuador</v>
      </c>
      <c r="X31" s="373">
        <f>VLOOKUP(W31,$S$30:$V$34,2,FALSE)</f>
        <v>4</v>
      </c>
      <c r="Y31" s="373">
        <f>VLOOKUP(W31,$S$30:$V$34,3,FALSE)</f>
        <v>0</v>
      </c>
      <c r="Z31" s="373">
        <f>VLOOKUP(W31,$S$30:$V$34,4,FALSE)</f>
        <v>3</v>
      </c>
      <c r="AA31" s="370" t="str">
        <f>IF(AND(X31=X32,Y31=Y32,Z32&gt;Z31),W32,W31)</f>
        <v>Ecuador</v>
      </c>
      <c r="AB31" s="373">
        <f>VLOOKUP(AA31,W30:Z34,2,FALSE)</f>
        <v>4</v>
      </c>
      <c r="AC31" s="373">
        <f>VLOOKUP(AA31,W30:Z34,3,FALSE)</f>
        <v>0</v>
      </c>
      <c r="AD31" s="373">
        <f>VLOOKUP(AA31,W30:Z34,4,FALSE)</f>
        <v>3</v>
      </c>
      <c r="AE31" s="370" t="str">
        <f>IF(AND(AB31=AB33,AC31=AC33,AD33&gt;AD31),AA33,AA31)</f>
        <v>Ecuador</v>
      </c>
      <c r="AF31" s="373">
        <f>VLOOKUP(AE31,AA30:AD34,2,FALSE)</f>
        <v>4</v>
      </c>
      <c r="AG31" s="373">
        <f>VLOOKUP(AE31,AA30:AD34,3,FALSE)</f>
        <v>0</v>
      </c>
      <c r="AH31" s="373">
        <f>VLOOKUP(AE31,AA30:AD34,4,FALSE)</f>
        <v>3</v>
      </c>
      <c r="AI31" s="370" t="str">
        <f>AE31</f>
        <v>Ecuador</v>
      </c>
      <c r="AJ31" s="373">
        <f>VLOOKUP(AI31,AE30:AH34,2,FALSE)</f>
        <v>4</v>
      </c>
      <c r="AK31" s="373">
        <f>VLOOKUP(AI31,AE30:AH34,3,FALSE)</f>
        <v>0</v>
      </c>
      <c r="AL31" s="373">
        <f>VLOOKUP(AI31,AE30:AH34,4,FALSE)</f>
        <v>3</v>
      </c>
      <c r="AM31" s="370"/>
      <c r="AN31" s="373">
        <f t="shared" ref="AN31:AN33" si="36">(AJ31*1000)+(AK31*100)+AL31</f>
        <v>4003</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4003</v>
      </c>
      <c r="AW31" s="373">
        <f t="shared" ref="AW31:AW33" si="38">RANK(AV31,$AV$30:$AV$33,0)</f>
        <v>2</v>
      </c>
      <c r="AX31" s="370" t="str">
        <f t="shared" ref="AX31:AX33" si="39">AI31</f>
        <v>Ecuador</v>
      </c>
      <c r="AY31" s="336"/>
      <c r="AZ31" s="336"/>
      <c r="BA31" s="336"/>
      <c r="BB31" s="336"/>
      <c r="BC31" s="336"/>
    </row>
    <row r="32" spans="1:55" x14ac:dyDescent="0.2">
      <c r="A32" s="370"/>
      <c r="B32" s="370"/>
      <c r="C32" s="370"/>
      <c r="D32" s="370"/>
      <c r="E32" s="370"/>
      <c r="F32" s="370" t="str">
        <f>AI25</f>
        <v>Costa de Marfil</v>
      </c>
      <c r="G32" s="370"/>
      <c r="H32" s="370"/>
      <c r="I32" s="370"/>
      <c r="J32" s="373">
        <f>VLOOKUP(F32,$F$16:$M$20,8,FALSE)</f>
        <v>4</v>
      </c>
      <c r="K32" s="373">
        <f>VLOOKUP(F32,$F$16:$M$20,6,FALSE)</f>
        <v>3</v>
      </c>
      <c r="L32" s="373">
        <f>VLOOKUP(F32,$F$16:$M$20,7,FALSE)</f>
        <v>5</v>
      </c>
      <c r="M32" s="373">
        <f>K32-L32</f>
        <v>-2</v>
      </c>
      <c r="N32" s="370"/>
      <c r="O32" s="370" t="str">
        <f>F32</f>
        <v>Costa de Marfil</v>
      </c>
      <c r="P32" s="373">
        <f>VLOOKUP(O32,$F$30:$M$34,5,FALSE)</f>
        <v>4</v>
      </c>
      <c r="Q32" s="373">
        <f>VLOOKUP(O32,$F$30:$M$34,8,FALSE)</f>
        <v>-2</v>
      </c>
      <c r="R32" s="373">
        <f>VLOOKUP(O32,$F$30:$M$34,6,FALSE)</f>
        <v>3</v>
      </c>
      <c r="S32" s="370" t="str">
        <f>IF(AND(P30=P32,Q30=Q32,R32&gt;R30),O30,O32)</f>
        <v>Costa de Marfil</v>
      </c>
      <c r="T32" s="373">
        <f>VLOOKUP(S32,$O$30:$R$34,2,FALSE)</f>
        <v>4</v>
      </c>
      <c r="U32" s="373">
        <f>VLOOKUP(S32,$O$30:$R$34,3,FALSE)</f>
        <v>-2</v>
      </c>
      <c r="V32" s="373">
        <f>VLOOKUP(S32,$O$30:$R$34,4,FALSE)</f>
        <v>3</v>
      </c>
      <c r="W32" s="370" t="str">
        <f>S32</f>
        <v>Costa de Marfil</v>
      </c>
      <c r="X32" s="373">
        <f>VLOOKUP(W32,$S$30:$V$34,2,FALSE)</f>
        <v>4</v>
      </c>
      <c r="Y32" s="373">
        <f>VLOOKUP(W32,$S$30:$V$34,3,FALSE)</f>
        <v>-2</v>
      </c>
      <c r="Z32" s="373">
        <f>VLOOKUP(W32,$S$30:$V$34,4,FALSE)</f>
        <v>3</v>
      </c>
      <c r="AA32" s="370" t="str">
        <f>IF(AND(X31=X32,Y31=Y32,Z32&gt;Z31),W31,W32)</f>
        <v>Costa de Marfil</v>
      </c>
      <c r="AB32" s="373">
        <f>VLOOKUP(AA32,W30:Z34,2,FALSE)</f>
        <v>4</v>
      </c>
      <c r="AC32" s="373">
        <f>VLOOKUP(AA32,W30:Z34,3,FALSE)</f>
        <v>-2</v>
      </c>
      <c r="AD32" s="373">
        <f>VLOOKUP(AA32,W30:Z34,4,FALSE)</f>
        <v>3</v>
      </c>
      <c r="AE32" s="370" t="str">
        <f>AA32</f>
        <v>Costa de Marfil</v>
      </c>
      <c r="AF32" s="373">
        <f>VLOOKUP(AE32,AA30:AD34,2,FALSE)</f>
        <v>4</v>
      </c>
      <c r="AG32" s="373">
        <f>VLOOKUP(AE32,AA30:AD34,3,FALSE)</f>
        <v>-2</v>
      </c>
      <c r="AH32" s="373">
        <f>VLOOKUP(AE32,AA30:AD34,4,FALSE)</f>
        <v>3</v>
      </c>
      <c r="AI32" s="370" t="str">
        <f>IF(AND(AF32=AF33,AG32=AG33,AH33&gt;AH32),AE33,AE32)</f>
        <v>Costa de Marfil</v>
      </c>
      <c r="AJ32" s="373">
        <f>VLOOKUP(AI32,AE30:AH34,2,FALSE)</f>
        <v>4</v>
      </c>
      <c r="AK32" s="373">
        <f>VLOOKUP(AI32,AE30:AH34,3,FALSE)</f>
        <v>-2</v>
      </c>
      <c r="AL32" s="373">
        <f>VLOOKUP(AI32,AE30:AH34,4,FALSE)</f>
        <v>3</v>
      </c>
      <c r="AM32" s="370"/>
      <c r="AN32" s="373">
        <f t="shared" si="36"/>
        <v>3803</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3803</v>
      </c>
      <c r="AW32" s="373">
        <f t="shared" si="38"/>
        <v>3</v>
      </c>
      <c r="AX32" s="370" t="str">
        <f t="shared" si="39"/>
        <v>Costa de Marfil</v>
      </c>
      <c r="AY32" s="336"/>
      <c r="AZ32" s="336"/>
      <c r="BA32" s="336"/>
      <c r="BB32" s="336"/>
      <c r="BC32" s="336"/>
    </row>
    <row r="33" spans="1:55" x14ac:dyDescent="0.2">
      <c r="A33" s="370"/>
      <c r="B33" s="370"/>
      <c r="C33" s="370"/>
      <c r="D33" s="370"/>
      <c r="E33" s="370"/>
      <c r="F33" s="370" t="str">
        <f>AI26</f>
        <v>Curazao</v>
      </c>
      <c r="G33" s="370"/>
      <c r="H33" s="370"/>
      <c r="I33" s="370"/>
      <c r="J33" s="373">
        <f>VLOOKUP(F33,$F$16:$M$20,8,FALSE)</f>
        <v>0</v>
      </c>
      <c r="K33" s="373">
        <f>VLOOKUP(F33,$F$16:$M$20,6,FALSE)</f>
        <v>1</v>
      </c>
      <c r="L33" s="373">
        <f>VLOOKUP(F33,$F$16:$M$20,7,FALSE)</f>
        <v>8</v>
      </c>
      <c r="M33" s="373">
        <f>K33-L33</f>
        <v>-7</v>
      </c>
      <c r="N33" s="370"/>
      <c r="O33" s="370" t="str">
        <f>F33</f>
        <v>Curazao</v>
      </c>
      <c r="P33" s="373">
        <f>VLOOKUP(O33,$F$30:$M$34,5,FALSE)</f>
        <v>0</v>
      </c>
      <c r="Q33" s="373">
        <f>VLOOKUP(O33,$F$30:$M$34,8,FALSE)</f>
        <v>-7</v>
      </c>
      <c r="R33" s="373">
        <f>VLOOKUP(O33,$F$30:$M$34,6,FALSE)</f>
        <v>1</v>
      </c>
      <c r="S33" s="370" t="str">
        <f>O33</f>
        <v>Curazao</v>
      </c>
      <c r="T33" s="373">
        <f>VLOOKUP(S33,$O$30:$R$34,2,FALSE)</f>
        <v>0</v>
      </c>
      <c r="U33" s="373">
        <f>VLOOKUP(S33,$O$30:$R$34,3,FALSE)</f>
        <v>-7</v>
      </c>
      <c r="V33" s="373">
        <f>VLOOKUP(S33,$O$30:$R$34,4,FALSE)</f>
        <v>1</v>
      </c>
      <c r="W33" s="370" t="str">
        <f>IF(AND(T30=T33,U30=U33,V33&gt;V30),S30,S33)</f>
        <v>Curazao</v>
      </c>
      <c r="X33" s="373">
        <f>VLOOKUP(W33,$S$30:$V$34,2,FALSE)</f>
        <v>0</v>
      </c>
      <c r="Y33" s="373">
        <f>VLOOKUP(W33,$S$30:$V$34,3,FALSE)</f>
        <v>-7</v>
      </c>
      <c r="Z33" s="373">
        <f>VLOOKUP(W33,$S$30:$V$34,4,FALSE)</f>
        <v>1</v>
      </c>
      <c r="AA33" s="370" t="str">
        <f>W33</f>
        <v>Curazao</v>
      </c>
      <c r="AB33" s="373">
        <f>VLOOKUP(AA33,W30:Z34,2,FALSE)</f>
        <v>0</v>
      </c>
      <c r="AC33" s="373">
        <f>VLOOKUP(AA33,W30:Z34,3,FALSE)</f>
        <v>-7</v>
      </c>
      <c r="AD33" s="373">
        <f>VLOOKUP(AA33,W30:Z34,4,FALSE)</f>
        <v>1</v>
      </c>
      <c r="AE33" s="370" t="str">
        <f>IF(AND(AB31=AB33,AC31=AC33,AD33&gt;AD31),AA31,AA33)</f>
        <v>Curazao</v>
      </c>
      <c r="AF33" s="373">
        <f>VLOOKUP(AE33,AA30:AD34,2,FALSE)</f>
        <v>0</v>
      </c>
      <c r="AG33" s="373">
        <f>VLOOKUP(AE33,AA30:AD34,3,FALSE)</f>
        <v>-7</v>
      </c>
      <c r="AH33" s="373">
        <f>VLOOKUP(AE33,AA30:AD34,4,FALSE)</f>
        <v>1</v>
      </c>
      <c r="AI33" s="370" t="str">
        <f>IF(AND(AF32=AF33,AG32=AG33,AH33&gt;AH32),AE32,AE33)</f>
        <v>Curazao</v>
      </c>
      <c r="AJ33" s="373">
        <f>VLOOKUP(AI33,AE30:AH34,2,FALSE)</f>
        <v>0</v>
      </c>
      <c r="AK33" s="373">
        <f>VLOOKUP(AI33,AE30:AH34,3,FALSE)</f>
        <v>-7</v>
      </c>
      <c r="AL33" s="373">
        <f>VLOOKUP(AI33,AE30:AH34,4,FALSE)</f>
        <v>1</v>
      </c>
      <c r="AM33" s="370"/>
      <c r="AN33" s="373">
        <f t="shared" si="36"/>
        <v>-699</v>
      </c>
      <c r="AO33" s="375"/>
      <c r="AP33" s="370"/>
      <c r="AQ33" s="375"/>
      <c r="AR33" s="370"/>
      <c r="AS33" s="375"/>
      <c r="AT33" s="370"/>
      <c r="AU33" s="370"/>
      <c r="AV33" s="370">
        <f t="shared" si="37"/>
        <v>-699</v>
      </c>
      <c r="AW33" s="373">
        <f t="shared" si="38"/>
        <v>4</v>
      </c>
      <c r="AX33" s="370" t="str">
        <f t="shared" si="39"/>
        <v>Curazao</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Alemania</v>
      </c>
      <c r="G37" s="373">
        <f>VLOOKUP(F37,$F$16:$M$20,2,FALSE)</f>
        <v>3</v>
      </c>
      <c r="H37" s="373">
        <f>VLOOKUP(F37,$F$16:$M$20,3,FALSE)</f>
        <v>3</v>
      </c>
      <c r="I37" s="373">
        <f>VLOOKUP(F37,$F$16:$M$20,4,FALSE)</f>
        <v>0</v>
      </c>
      <c r="J37" s="373">
        <f>VLOOKUP(F37,$F$16:$M$20,5,FALSE)</f>
        <v>0</v>
      </c>
      <c r="K37" s="373">
        <f>VLOOKUP(F37,$F$16:$M$20,6,FALSE)</f>
        <v>9</v>
      </c>
      <c r="L37" s="373">
        <f>VLOOKUP(F37,$F$16:$M$20,7,FALSE)</f>
        <v>0</v>
      </c>
      <c r="M37" s="373">
        <f>VLOOKUP(F37,$F$16:$M$20,8,FALSE)</f>
        <v>9</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Ecuador</v>
      </c>
      <c r="G38" s="373">
        <f>VLOOKUP(F38,$F$16:$M$20,2,FALSE)</f>
        <v>3</v>
      </c>
      <c r="H38" s="373">
        <f>VLOOKUP(F38,$F$16:$M$20,3,FALSE)</f>
        <v>1</v>
      </c>
      <c r="I38" s="373">
        <f>VLOOKUP(F38,$F$16:$M$20,4,FALSE)</f>
        <v>1</v>
      </c>
      <c r="J38" s="373">
        <f>VLOOKUP(F38,$F$16:$M$20,5,FALSE)</f>
        <v>1</v>
      </c>
      <c r="K38" s="373">
        <f>VLOOKUP(F38,$F$16:$M$20,6,FALSE)</f>
        <v>3</v>
      </c>
      <c r="L38" s="373">
        <f>VLOOKUP(F38,$F$16:$M$20,7,FALSE)</f>
        <v>3</v>
      </c>
      <c r="M38" s="373">
        <f>VLOOKUP(F38,$F$16:$M$20,8,FALSE)</f>
        <v>4</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Costa de Marfil</v>
      </c>
      <c r="G39" s="373">
        <f>VLOOKUP(F39,$F$16:$M$20,2,FALSE)</f>
        <v>3</v>
      </c>
      <c r="H39" s="373">
        <f>VLOOKUP(F39,$F$16:$M$20,3,FALSE)</f>
        <v>1</v>
      </c>
      <c r="I39" s="373">
        <f>VLOOKUP(F39,$F$16:$M$20,4,FALSE)</f>
        <v>1</v>
      </c>
      <c r="J39" s="373">
        <f>VLOOKUP(F39,$F$16:$M$20,5,FALSE)</f>
        <v>1</v>
      </c>
      <c r="K39" s="373">
        <f>VLOOKUP(F39,$F$16:$M$20,6,FALSE)</f>
        <v>3</v>
      </c>
      <c r="L39" s="373">
        <f>VLOOKUP(F39,$F$16:$M$20,7,FALSE)</f>
        <v>5</v>
      </c>
      <c r="M39" s="373">
        <f>VLOOKUP(F39,$F$16:$M$20,8,FALSE)</f>
        <v>4</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Curazao</v>
      </c>
      <c r="G40" s="373">
        <f>VLOOKUP(F40,$F$16:$M$20,2,FALSE)</f>
        <v>3</v>
      </c>
      <c r="H40" s="373">
        <f>VLOOKUP(F40,$F$16:$M$20,3,FALSE)</f>
        <v>0</v>
      </c>
      <c r="I40" s="373">
        <f>VLOOKUP(F40,$F$16:$M$20,4,FALSE)</f>
        <v>0</v>
      </c>
      <c r="J40" s="373">
        <f>VLOOKUP(F40,$F$16:$M$20,5,FALSE)</f>
        <v>3</v>
      </c>
      <c r="K40" s="373">
        <f>VLOOKUP(F40,$F$16:$M$20,6,FALSE)</f>
        <v>1</v>
      </c>
      <c r="L40" s="373">
        <f>VLOOKUP(F40,$F$16:$M$20,7,FALSE)</f>
        <v>8</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3QvI4h0Rw+8y86XOy1+roIBQtGjhw+1TzCA2g1Rkz+UV0JhjMX+l0zENKNE87Z+yaqH+aWBogrQrHHZrU1lx6w==" saltValue="ZSnYamBjCwvbFMl+n3Qs0A==" spinCount="100000" sheet="1" objects="1" scenarios="1" selectLockedCells="1"/>
  <mergeCells count="1">
    <mergeCell ref="A2:E2"/>
  </mergeCells>
  <phoneticPr fontId="20" type="noConversion"/>
  <pageMargins left="0.75" right="0.75" top="1" bottom="1" header="0.5" footer="0.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0"/>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F -'!R7&lt;&gt;"",'- F -'!R7,"")</f>
        <v>Países Bajos</v>
      </c>
      <c r="H2" s="370"/>
      <c r="I2" s="370"/>
      <c r="J2" s="370"/>
      <c r="K2" s="370"/>
      <c r="L2" s="370"/>
      <c r="M2" s="370"/>
      <c r="N2" s="370" t="str">
        <f>IF('- F -'!R9&lt;&gt;"",'- F -'!R9,"")</f>
        <v>Japón</v>
      </c>
      <c r="O2" s="370"/>
      <c r="P2" s="370"/>
      <c r="Q2" s="370"/>
      <c r="R2" s="370"/>
      <c r="S2" s="370"/>
      <c r="T2" s="370"/>
      <c r="U2" s="370" t="str">
        <f>IF('- F -'!R11&lt;&gt;"",'- F -'!R11,"")</f>
        <v>Suecia</v>
      </c>
      <c r="V2" s="370"/>
      <c r="W2" s="370"/>
      <c r="X2" s="370"/>
      <c r="Y2" s="370"/>
      <c r="Z2" s="370"/>
      <c r="AA2" s="370"/>
      <c r="AB2" s="370" t="str">
        <f>IF('- F -'!R13&lt;&gt;"",'- F -'!R13,"")</f>
        <v>Túnez</v>
      </c>
      <c r="AC2" s="370"/>
      <c r="AD2" s="370"/>
      <c r="AE2" s="370"/>
      <c r="AF2" s="370"/>
      <c r="AG2" s="370"/>
      <c r="AH2" s="370"/>
      <c r="AI2" s="370"/>
      <c r="AJ2" s="370"/>
      <c r="AK2" s="370"/>
      <c r="AL2" s="370"/>
      <c r="AM2" s="370"/>
      <c r="AN2" s="374" t="str">
        <f t="shared" ref="AN2:AN7" si="0">A4&amp;E4</f>
        <v>Países BajosJapón</v>
      </c>
      <c r="AO2" s="371">
        <f t="shared" ref="AO2:AO7" si="1">IF(B4=D4,0,IF(B4&gt;D4,A4,E4))</f>
        <v>0</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SueciaTúnez</v>
      </c>
      <c r="AO3" s="371" t="str">
        <f t="shared" si="1"/>
        <v>Suecia</v>
      </c>
      <c r="AP3" s="370"/>
      <c r="AQ3" s="370"/>
      <c r="AR3" s="370"/>
      <c r="AS3" s="370"/>
      <c r="AT3" s="370"/>
      <c r="AU3" s="370"/>
      <c r="AV3" s="370"/>
      <c r="AW3" s="370"/>
      <c r="AX3" s="370"/>
      <c r="AY3" s="336"/>
      <c r="AZ3" s="336"/>
      <c r="BA3" s="336"/>
      <c r="BB3" s="336"/>
      <c r="BC3" s="336"/>
    </row>
    <row r="4" spans="1:55" x14ac:dyDescent="0.2">
      <c r="A4" s="375" t="str">
        <f>'- F -'!C6</f>
        <v>Países Bajos</v>
      </c>
      <c r="B4" s="373">
        <f>IF('- F -'!D6&lt;&gt;"",'- F -'!D6,"")</f>
        <v>1</v>
      </c>
      <c r="C4" s="373" t="str">
        <f>'- F -'!E6</f>
        <v>-</v>
      </c>
      <c r="D4" s="373">
        <f>IF('- F -'!F6&lt;&gt;"",'- F -'!F6,"")</f>
        <v>1</v>
      </c>
      <c r="E4" s="376" t="str">
        <f>'- F -'!G6</f>
        <v>Japón</v>
      </c>
      <c r="F4" s="373">
        <f>COUNTBLANK('- F -'!D6:'- F -'!F6)</f>
        <v>0</v>
      </c>
      <c r="G4" s="373">
        <f t="shared" ref="G4:G9" si="2">IF(AND(F4=0,OR($A4=$G$2,$E4=$G$2)),1,0)</f>
        <v>1</v>
      </c>
      <c r="H4" s="373">
        <f t="shared" ref="H4:H9" si="3">IF(AND(F4=0,OR(AND($A4=$G$2,$B4&gt;$D4),AND($E4=$G$2,$D4&gt;$B4))),1,0)</f>
        <v>0</v>
      </c>
      <c r="I4" s="373">
        <f t="shared" ref="I4:I9" si="4">IF(AND(F4=0,G4=1,$B4=$D4),1,0)</f>
        <v>1</v>
      </c>
      <c r="J4" s="373">
        <f t="shared" ref="J4:J9" si="5">IF(AND(F4=0,OR(AND($A4=$G$2,$B4&lt;$D4),AND($E4=$G$2,$D4&lt;$B4))),1,0)</f>
        <v>0</v>
      </c>
      <c r="K4" s="373">
        <f t="shared" ref="K4:K9" si="6">IF(F4&gt;0,0,IF($A4=$G$2,$B4,IF($E4=$G$2,$D4,0)))</f>
        <v>1</v>
      </c>
      <c r="L4" s="373">
        <f t="shared" ref="L4:L9" si="7">IF(F4&gt;0,0,IF($A4=$G$2,$D4,IF($E4=$G$2,$B4,0)))</f>
        <v>1</v>
      </c>
      <c r="M4" s="373"/>
      <c r="N4" s="373">
        <f t="shared" ref="N4:N9" si="8">IF(AND(F4=0,OR($A4=$N$2,$E4=$N$2)),1,0)</f>
        <v>1</v>
      </c>
      <c r="O4" s="373">
        <f t="shared" ref="O4:O9" si="9">IF(AND(F4=0,OR(AND($A4=$N$2,$B4&gt;$D4),AND($E4=$N$2,$D4&gt;$B4))),1,0)</f>
        <v>0</v>
      </c>
      <c r="P4" s="373">
        <f t="shared" ref="P4:P9" si="10">IF(AND(F4=0,N4=1,$B4=$D4),1,0)</f>
        <v>1</v>
      </c>
      <c r="Q4" s="373">
        <f t="shared" ref="Q4:Q9" si="11">IF(AND(F4=0,OR(AND($A4=$N$2,$B4&lt;$D4),AND($E4=$N$2,$D4&lt;$B4))),1,0)</f>
        <v>0</v>
      </c>
      <c r="R4" s="373">
        <f t="shared" ref="R4:R9" si="12">IF(F4&gt;0,0,IF($A4=$N$2,$B4,IF($E4=$N$2,$D4,0)))</f>
        <v>1</v>
      </c>
      <c r="S4" s="373">
        <f t="shared" ref="S4:S9" si="13">IF(F4&gt;0,0,IF($A4=$N$2,$D4,IF($E4=$N$2,$B4,0)))</f>
        <v>1</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Países BajosSuecia</v>
      </c>
      <c r="AO4" s="371" t="str">
        <f t="shared" si="1"/>
        <v>Países Bajos</v>
      </c>
      <c r="AP4" s="370"/>
      <c r="AQ4" s="370"/>
      <c r="AR4" s="370"/>
      <c r="AS4" s="370"/>
      <c r="AT4" s="370"/>
      <c r="AU4" s="370"/>
      <c r="AV4" s="370"/>
      <c r="AW4" s="370"/>
      <c r="AX4" s="370"/>
      <c r="AY4" s="336"/>
      <c r="AZ4" s="336"/>
      <c r="BA4" s="336"/>
      <c r="BB4" s="336"/>
      <c r="BC4" s="336"/>
    </row>
    <row r="5" spans="1:55" x14ac:dyDescent="0.2">
      <c r="A5" s="375" t="str">
        <f>'- F -'!C7</f>
        <v>Suecia</v>
      </c>
      <c r="B5" s="373">
        <f>IF('- F -'!D7&lt;&gt;"",'- F -'!D7,"")</f>
        <v>2</v>
      </c>
      <c r="C5" s="373" t="str">
        <f>'- F -'!E7</f>
        <v>-</v>
      </c>
      <c r="D5" s="373">
        <f>IF('- F -'!F7&lt;&gt;"",'- F -'!F7,"")</f>
        <v>0</v>
      </c>
      <c r="E5" s="376" t="str">
        <f>'- F -'!G7</f>
        <v>Túnez</v>
      </c>
      <c r="F5" s="373">
        <f>COUNTBLANK('- F -'!D7:'- F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1</v>
      </c>
      <c r="W5" s="373">
        <f t="shared" si="16"/>
        <v>0</v>
      </c>
      <c r="X5" s="373">
        <f t="shared" si="17"/>
        <v>0</v>
      </c>
      <c r="Y5" s="373">
        <f t="shared" si="18"/>
        <v>2</v>
      </c>
      <c r="Z5" s="373">
        <f t="shared" si="19"/>
        <v>0</v>
      </c>
      <c r="AA5" s="373"/>
      <c r="AB5" s="373">
        <f t="shared" si="20"/>
        <v>1</v>
      </c>
      <c r="AC5" s="373">
        <f t="shared" si="21"/>
        <v>0</v>
      </c>
      <c r="AD5" s="373">
        <f t="shared" si="22"/>
        <v>0</v>
      </c>
      <c r="AE5" s="373">
        <f t="shared" si="23"/>
        <v>1</v>
      </c>
      <c r="AF5" s="373">
        <f t="shared" si="24"/>
        <v>0</v>
      </c>
      <c r="AG5" s="373">
        <f t="shared" si="25"/>
        <v>2</v>
      </c>
      <c r="AH5" s="373"/>
      <c r="AI5" s="370"/>
      <c r="AJ5" s="370"/>
      <c r="AK5" s="370"/>
      <c r="AL5" s="370"/>
      <c r="AM5" s="370"/>
      <c r="AN5" s="374" t="str">
        <f t="shared" si="0"/>
        <v>TúnezJapón</v>
      </c>
      <c r="AO5" s="371">
        <f t="shared" si="1"/>
        <v>0</v>
      </c>
      <c r="AP5" s="370"/>
      <c r="AQ5" s="370"/>
      <c r="AR5" s="370"/>
      <c r="AS5" s="370"/>
      <c r="AT5" s="370"/>
      <c r="AU5" s="370"/>
      <c r="AV5" s="370"/>
      <c r="AW5" s="370"/>
      <c r="AX5" s="370"/>
      <c r="AY5" s="336"/>
      <c r="AZ5" s="336"/>
      <c r="BA5" s="336"/>
      <c r="BB5" s="336"/>
      <c r="BC5" s="336"/>
    </row>
    <row r="6" spans="1:55" x14ac:dyDescent="0.2">
      <c r="A6" s="375" t="str">
        <f>'- F -'!C8</f>
        <v>Países Bajos</v>
      </c>
      <c r="B6" s="373">
        <f>IF('- F -'!D8&lt;&gt;"",'- F -'!D8,"")</f>
        <v>2</v>
      </c>
      <c r="C6" s="373" t="str">
        <f>'- F -'!E8</f>
        <v>-</v>
      </c>
      <c r="D6" s="373">
        <f>IF('- F -'!F8&lt;&gt;"",'- F -'!F8,"")</f>
        <v>1</v>
      </c>
      <c r="E6" s="376" t="str">
        <f>'- F -'!G8</f>
        <v>Suecia</v>
      </c>
      <c r="F6" s="373">
        <f>COUNTBLANK('- F -'!D8:'- F -'!F8)</f>
        <v>0</v>
      </c>
      <c r="G6" s="373">
        <f t="shared" si="2"/>
        <v>1</v>
      </c>
      <c r="H6" s="373">
        <f t="shared" si="3"/>
        <v>1</v>
      </c>
      <c r="I6" s="373">
        <f t="shared" si="4"/>
        <v>0</v>
      </c>
      <c r="J6" s="373">
        <f t="shared" si="5"/>
        <v>0</v>
      </c>
      <c r="K6" s="373">
        <f t="shared" si="6"/>
        <v>2</v>
      </c>
      <c r="L6" s="373">
        <f t="shared" si="7"/>
        <v>1</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1</v>
      </c>
      <c r="Z6" s="373">
        <f t="shared" si="19"/>
        <v>2</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JapónSuecia</v>
      </c>
      <c r="AO6" s="371" t="str">
        <f t="shared" si="1"/>
        <v>Japón</v>
      </c>
      <c r="AP6" s="370"/>
      <c r="AQ6" s="370"/>
      <c r="AR6" s="370"/>
      <c r="AS6" s="370"/>
      <c r="AT6" s="370"/>
      <c r="AU6" s="370"/>
      <c r="AV6" s="370"/>
      <c r="AW6" s="370"/>
      <c r="AX6" s="370"/>
      <c r="AY6" s="336"/>
      <c r="AZ6" s="336"/>
      <c r="BA6" s="336"/>
      <c r="BB6" s="336"/>
      <c r="BC6" s="336"/>
    </row>
    <row r="7" spans="1:55" x14ac:dyDescent="0.2">
      <c r="A7" s="375" t="str">
        <f>'- F -'!C9</f>
        <v>Túnez</v>
      </c>
      <c r="B7" s="373">
        <f>IF('- F -'!D9&lt;&gt;"",'- F -'!D9,"")</f>
        <v>0</v>
      </c>
      <c r="C7" s="373" t="str">
        <f>'- F -'!E9</f>
        <v>-</v>
      </c>
      <c r="D7" s="373">
        <f>IF('- F -'!F9&lt;&gt;"",'- F -'!F9,"")</f>
        <v>0</v>
      </c>
      <c r="E7" s="376" t="str">
        <f>'- F -'!G9</f>
        <v>Japón</v>
      </c>
      <c r="F7" s="373">
        <f>COUNTBLANK('- F -'!D9:'- F -'!F9)</f>
        <v>0</v>
      </c>
      <c r="G7" s="373">
        <f t="shared" si="2"/>
        <v>0</v>
      </c>
      <c r="H7" s="373">
        <f t="shared" si="3"/>
        <v>0</v>
      </c>
      <c r="I7" s="373">
        <f t="shared" si="4"/>
        <v>0</v>
      </c>
      <c r="J7" s="373">
        <f t="shared" si="5"/>
        <v>0</v>
      </c>
      <c r="K7" s="373">
        <f t="shared" si="6"/>
        <v>0</v>
      </c>
      <c r="L7" s="373">
        <f t="shared" si="7"/>
        <v>0</v>
      </c>
      <c r="M7" s="373"/>
      <c r="N7" s="373">
        <f t="shared" si="8"/>
        <v>1</v>
      </c>
      <c r="O7" s="373">
        <f t="shared" si="9"/>
        <v>0</v>
      </c>
      <c r="P7" s="373">
        <f t="shared" si="10"/>
        <v>1</v>
      </c>
      <c r="Q7" s="373">
        <f t="shared" si="11"/>
        <v>0</v>
      </c>
      <c r="R7" s="373">
        <f t="shared" si="12"/>
        <v>0</v>
      </c>
      <c r="S7" s="373">
        <f t="shared" si="13"/>
        <v>0</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0</v>
      </c>
      <c r="AD7" s="373">
        <f t="shared" si="22"/>
        <v>1</v>
      </c>
      <c r="AE7" s="373">
        <f t="shared" si="23"/>
        <v>0</v>
      </c>
      <c r="AF7" s="373">
        <f t="shared" si="24"/>
        <v>0</v>
      </c>
      <c r="AG7" s="373">
        <f t="shared" si="25"/>
        <v>0</v>
      </c>
      <c r="AH7" s="373"/>
      <c r="AI7" s="370"/>
      <c r="AJ7" s="370"/>
      <c r="AK7" s="370"/>
      <c r="AL7" s="370"/>
      <c r="AM7" s="370"/>
      <c r="AN7" s="374" t="str">
        <f t="shared" si="0"/>
        <v>TúnezPaíses Bajos</v>
      </c>
      <c r="AO7" s="371" t="str">
        <f t="shared" si="1"/>
        <v>Países Bajos</v>
      </c>
      <c r="AP7" s="370"/>
      <c r="AQ7" s="370"/>
      <c r="AR7" s="370"/>
      <c r="AS7" s="370"/>
      <c r="AT7" s="370"/>
      <c r="AU7" s="370"/>
      <c r="AV7" s="370"/>
      <c r="AW7" s="370"/>
      <c r="AX7" s="370"/>
      <c r="AY7" s="336"/>
      <c r="AZ7" s="336"/>
      <c r="BA7" s="336"/>
      <c r="BB7" s="336"/>
      <c r="BC7" s="336"/>
    </row>
    <row r="8" spans="1:55" x14ac:dyDescent="0.2">
      <c r="A8" s="375" t="str">
        <f>'- F -'!C10</f>
        <v>Japón</v>
      </c>
      <c r="B8" s="373">
        <f>IF('- F -'!D10&lt;&gt;"",'- F -'!D10,"")</f>
        <v>2</v>
      </c>
      <c r="C8" s="373" t="str">
        <f>'- F -'!E10</f>
        <v>-</v>
      </c>
      <c r="D8" s="373">
        <f>IF('- F -'!F10&lt;&gt;"",'- F -'!F10,"")</f>
        <v>0</v>
      </c>
      <c r="E8" s="376" t="str">
        <f>'- F -'!G10</f>
        <v>Suecia</v>
      </c>
      <c r="F8" s="373">
        <f>COUNTBLANK('- F -'!D10:'- F -'!F10)</f>
        <v>0</v>
      </c>
      <c r="G8" s="373">
        <f t="shared" si="2"/>
        <v>0</v>
      </c>
      <c r="H8" s="373">
        <f t="shared" si="3"/>
        <v>0</v>
      </c>
      <c r="I8" s="373">
        <f t="shared" si="4"/>
        <v>0</v>
      </c>
      <c r="J8" s="373">
        <f t="shared" si="5"/>
        <v>0</v>
      </c>
      <c r="K8" s="373">
        <f t="shared" si="6"/>
        <v>0</v>
      </c>
      <c r="L8" s="373">
        <f t="shared" si="7"/>
        <v>0</v>
      </c>
      <c r="M8" s="373"/>
      <c r="N8" s="373">
        <f t="shared" si="8"/>
        <v>1</v>
      </c>
      <c r="O8" s="373">
        <f t="shared" si="9"/>
        <v>1</v>
      </c>
      <c r="P8" s="373">
        <f t="shared" si="10"/>
        <v>0</v>
      </c>
      <c r="Q8" s="373">
        <f t="shared" si="11"/>
        <v>0</v>
      </c>
      <c r="R8" s="373">
        <f t="shared" si="12"/>
        <v>2</v>
      </c>
      <c r="S8" s="373">
        <f t="shared" si="13"/>
        <v>0</v>
      </c>
      <c r="T8" s="373"/>
      <c r="U8" s="373">
        <f t="shared" si="14"/>
        <v>1</v>
      </c>
      <c r="V8" s="373">
        <f t="shared" si="15"/>
        <v>0</v>
      </c>
      <c r="W8" s="373">
        <f t="shared" si="16"/>
        <v>0</v>
      </c>
      <c r="X8" s="373">
        <f t="shared" si="17"/>
        <v>1</v>
      </c>
      <c r="Y8" s="373">
        <f t="shared" si="18"/>
        <v>0</v>
      </c>
      <c r="Z8" s="373">
        <f t="shared" si="19"/>
        <v>2</v>
      </c>
      <c r="AA8" s="373"/>
      <c r="AB8" s="373">
        <f t="shared" si="20"/>
        <v>0</v>
      </c>
      <c r="AC8" s="373">
        <f t="shared" si="21"/>
        <v>0</v>
      </c>
      <c r="AD8" s="373">
        <f t="shared" si="22"/>
        <v>0</v>
      </c>
      <c r="AE8" s="373">
        <f t="shared" si="23"/>
        <v>0</v>
      </c>
      <c r="AF8" s="373">
        <f t="shared" si="24"/>
        <v>0</v>
      </c>
      <c r="AG8" s="373">
        <f t="shared" si="25"/>
        <v>0</v>
      </c>
      <c r="AH8" s="373"/>
      <c r="AI8" s="370"/>
      <c r="AJ8" s="370"/>
      <c r="AK8" s="370"/>
      <c r="AL8" s="370"/>
      <c r="AM8" s="370"/>
      <c r="AN8" s="374" t="str">
        <f>E4&amp;A4</f>
        <v>JapónPaíses Bajos</v>
      </c>
      <c r="AO8" s="371">
        <f>IF(B4=D4,0,IF(B4&gt;D4,A4,E4))</f>
        <v>0</v>
      </c>
      <c r="AP8" s="370"/>
      <c r="AQ8" s="370"/>
      <c r="AR8" s="370"/>
      <c r="AS8" s="370"/>
      <c r="AT8" s="370"/>
      <c r="AU8" s="370"/>
      <c r="AV8" s="370"/>
      <c r="AW8" s="370"/>
      <c r="AX8" s="370"/>
      <c r="AY8" s="336"/>
      <c r="AZ8" s="336"/>
      <c r="BA8" s="336"/>
      <c r="BB8" s="336"/>
      <c r="BC8" s="336"/>
    </row>
    <row r="9" spans="1:55" x14ac:dyDescent="0.2">
      <c r="A9" s="375" t="str">
        <f>'- F -'!C11</f>
        <v>Túnez</v>
      </c>
      <c r="B9" s="373">
        <f>IF('- F -'!D11&lt;&gt;"",'- F -'!D11,"")</f>
        <v>0</v>
      </c>
      <c r="C9" s="373" t="str">
        <f>'- F -'!E11</f>
        <v>-</v>
      </c>
      <c r="D9" s="373">
        <f>IF('- F -'!F11&lt;&gt;"",'- F -'!F11,"")</f>
        <v>3</v>
      </c>
      <c r="E9" s="376" t="str">
        <f>'- F -'!G11</f>
        <v>Países Bajos</v>
      </c>
      <c r="F9" s="373">
        <f>COUNTBLANK('- F -'!D11:'- F -'!F11)</f>
        <v>0</v>
      </c>
      <c r="G9" s="373">
        <f t="shared" si="2"/>
        <v>1</v>
      </c>
      <c r="H9" s="373">
        <f t="shared" si="3"/>
        <v>1</v>
      </c>
      <c r="I9" s="373">
        <f t="shared" si="4"/>
        <v>0</v>
      </c>
      <c r="J9" s="373">
        <f t="shared" si="5"/>
        <v>0</v>
      </c>
      <c r="K9" s="373">
        <f t="shared" si="6"/>
        <v>3</v>
      </c>
      <c r="L9" s="373">
        <f t="shared" si="7"/>
        <v>0</v>
      </c>
      <c r="M9" s="373"/>
      <c r="N9" s="373">
        <f t="shared" si="8"/>
        <v>0</v>
      </c>
      <c r="O9" s="373">
        <f t="shared" si="9"/>
        <v>0</v>
      </c>
      <c r="P9" s="373">
        <f t="shared" si="10"/>
        <v>0</v>
      </c>
      <c r="Q9" s="373">
        <f t="shared" si="11"/>
        <v>0</v>
      </c>
      <c r="R9" s="373">
        <f t="shared" si="12"/>
        <v>0</v>
      </c>
      <c r="S9" s="373">
        <f t="shared" si="13"/>
        <v>0</v>
      </c>
      <c r="T9" s="373"/>
      <c r="U9" s="373">
        <f t="shared" si="14"/>
        <v>0</v>
      </c>
      <c r="V9" s="373">
        <f t="shared" si="15"/>
        <v>0</v>
      </c>
      <c r="W9" s="373">
        <f t="shared" si="16"/>
        <v>0</v>
      </c>
      <c r="X9" s="373">
        <f t="shared" si="17"/>
        <v>0</v>
      </c>
      <c r="Y9" s="373">
        <f t="shared" si="18"/>
        <v>0</v>
      </c>
      <c r="Z9" s="373">
        <f t="shared" si="19"/>
        <v>0</v>
      </c>
      <c r="AA9" s="373"/>
      <c r="AB9" s="373">
        <f t="shared" si="20"/>
        <v>1</v>
      </c>
      <c r="AC9" s="373">
        <f t="shared" si="21"/>
        <v>0</v>
      </c>
      <c r="AD9" s="373">
        <f t="shared" si="22"/>
        <v>0</v>
      </c>
      <c r="AE9" s="373">
        <f t="shared" si="23"/>
        <v>1</v>
      </c>
      <c r="AF9" s="373">
        <f t="shared" si="24"/>
        <v>0</v>
      </c>
      <c r="AG9" s="373">
        <f t="shared" si="25"/>
        <v>3</v>
      </c>
      <c r="AH9" s="373"/>
      <c r="AI9" s="370"/>
      <c r="AJ9" s="370"/>
      <c r="AK9" s="370"/>
      <c r="AL9" s="370"/>
      <c r="AM9" s="370"/>
      <c r="AN9" s="374" t="str">
        <f t="shared" ref="AN9:AN13" si="26">E5&amp;A5</f>
        <v>TúnezSuecia</v>
      </c>
      <c r="AO9" s="371" t="str">
        <f t="shared" ref="AO9:AO13" si="27">IF(B5=D5,0,IF(B5&gt;D5,A5,E5))</f>
        <v>Suecia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2</v>
      </c>
      <c r="I10" s="373">
        <f t="shared" si="28"/>
        <v>1</v>
      </c>
      <c r="J10" s="373">
        <f t="shared" si="28"/>
        <v>0</v>
      </c>
      <c r="K10" s="373">
        <f t="shared" si="28"/>
        <v>6</v>
      </c>
      <c r="L10" s="373">
        <f t="shared" si="28"/>
        <v>2</v>
      </c>
      <c r="M10" s="373">
        <f>H10*3+I10</f>
        <v>7</v>
      </c>
      <c r="N10" s="373">
        <f t="shared" ref="N10:S10" si="29">SUM(N4:N9)</f>
        <v>3</v>
      </c>
      <c r="O10" s="373">
        <f t="shared" si="29"/>
        <v>1</v>
      </c>
      <c r="P10" s="373">
        <f t="shared" si="29"/>
        <v>2</v>
      </c>
      <c r="Q10" s="373">
        <f t="shared" si="29"/>
        <v>0</v>
      </c>
      <c r="R10" s="373">
        <f t="shared" si="29"/>
        <v>3</v>
      </c>
      <c r="S10" s="373">
        <f t="shared" si="29"/>
        <v>1</v>
      </c>
      <c r="T10" s="373">
        <f>O10*3+P10</f>
        <v>5</v>
      </c>
      <c r="U10" s="373">
        <f t="shared" ref="U10:Z10" si="30">SUM(U4:U9)</f>
        <v>3</v>
      </c>
      <c r="V10" s="373">
        <f t="shared" si="30"/>
        <v>1</v>
      </c>
      <c r="W10" s="373">
        <f t="shared" si="30"/>
        <v>0</v>
      </c>
      <c r="X10" s="373">
        <f t="shared" si="30"/>
        <v>2</v>
      </c>
      <c r="Y10" s="373">
        <f t="shared" si="30"/>
        <v>3</v>
      </c>
      <c r="Z10" s="373">
        <f t="shared" si="30"/>
        <v>4</v>
      </c>
      <c r="AA10" s="373">
        <f>V10*3+W10</f>
        <v>3</v>
      </c>
      <c r="AB10" s="373">
        <f t="shared" ref="AB10:AG10" si="31">SUM(AB4:AB9)</f>
        <v>3</v>
      </c>
      <c r="AC10" s="373">
        <f t="shared" si="31"/>
        <v>0</v>
      </c>
      <c r="AD10" s="373">
        <f t="shared" si="31"/>
        <v>1</v>
      </c>
      <c r="AE10" s="373">
        <f t="shared" si="31"/>
        <v>2</v>
      </c>
      <c r="AF10" s="373">
        <f t="shared" si="31"/>
        <v>0</v>
      </c>
      <c r="AG10" s="373">
        <f t="shared" si="31"/>
        <v>5</v>
      </c>
      <c r="AH10" s="373">
        <f>AC10*3+AD10</f>
        <v>1</v>
      </c>
      <c r="AI10" s="370"/>
      <c r="AJ10" s="370"/>
      <c r="AK10" s="370"/>
      <c r="AL10" s="370"/>
      <c r="AM10" s="370"/>
      <c r="AN10" s="374" t="str">
        <f t="shared" si="26"/>
        <v>SueciaPaíses Bajos</v>
      </c>
      <c r="AO10" s="371" t="str">
        <f t="shared" si="27"/>
        <v>Países Bajos</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JapónTúnez</v>
      </c>
      <c r="AO11" s="371">
        <f t="shared" si="27"/>
        <v>0</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SueciaJapón</v>
      </c>
      <c r="AO12" s="371" t="str">
        <f t="shared" si="27"/>
        <v>Japón</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Países BajosTúnez</v>
      </c>
      <c r="AO13" s="371" t="str">
        <f t="shared" si="27"/>
        <v>Países Bajos</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Países Bajos</v>
      </c>
      <c r="G16" s="373">
        <f t="shared" ref="G16:M16" si="32">G10</f>
        <v>3</v>
      </c>
      <c r="H16" s="373">
        <f t="shared" si="32"/>
        <v>2</v>
      </c>
      <c r="I16" s="373">
        <f t="shared" si="32"/>
        <v>1</v>
      </c>
      <c r="J16" s="373">
        <f t="shared" si="32"/>
        <v>0</v>
      </c>
      <c r="K16" s="373">
        <f t="shared" si="32"/>
        <v>6</v>
      </c>
      <c r="L16" s="373">
        <f t="shared" si="32"/>
        <v>2</v>
      </c>
      <c r="M16" s="373">
        <f t="shared" si="32"/>
        <v>7</v>
      </c>
      <c r="N16" s="370"/>
      <c r="O16" s="370" t="str">
        <f>IF($M16&gt;=$M17,$F16,$F17)</f>
        <v>Países Bajos</v>
      </c>
      <c r="P16" s="370">
        <f>VLOOKUP(O16,$F$16:$M$20,8,FALSE)</f>
        <v>7</v>
      </c>
      <c r="Q16" s="370"/>
      <c r="R16" s="370"/>
      <c r="S16" s="370" t="str">
        <f>IF($P16&gt;=$P18,$O16,$O18)</f>
        <v>Países Bajos</v>
      </c>
      <c r="T16" s="370">
        <f>VLOOKUP(S16,$O$16:$P$20,2,FALSE)</f>
        <v>7</v>
      </c>
      <c r="U16" s="370"/>
      <c r="V16" s="370"/>
      <c r="W16" s="370" t="str">
        <f>IF($T16&gt;=$T19,$S16,$S19)</f>
        <v>Países Bajos</v>
      </c>
      <c r="X16" s="370">
        <f>VLOOKUP(W16,$S$16:$T$20,2,FALSE)</f>
        <v>7</v>
      </c>
      <c r="Y16" s="370"/>
      <c r="Z16" s="370"/>
      <c r="AA16" s="370" t="str">
        <f>W16</f>
        <v>Países Bajos</v>
      </c>
      <c r="AB16" s="370">
        <f>VLOOKUP(AA16,W16:X20,2,FALSE)</f>
        <v>7</v>
      </c>
      <c r="AC16" s="370"/>
      <c r="AD16" s="370"/>
      <c r="AE16" s="370" t="str">
        <f>AA16</f>
        <v>Países Bajos</v>
      </c>
      <c r="AF16" s="370">
        <f>VLOOKUP(AE16,AA16:AB20,2,FALSE)</f>
        <v>7</v>
      </c>
      <c r="AG16" s="370"/>
      <c r="AH16" s="370"/>
      <c r="AI16" s="370" t="str">
        <f>AE16</f>
        <v>Países Bajos</v>
      </c>
      <c r="AJ16" s="370">
        <f>VLOOKUP(AI16,AE16:AF20,2,FALSE)</f>
        <v>7</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Japón</v>
      </c>
      <c r="G17" s="373">
        <f t="shared" ref="G17:M17" si="33">N10</f>
        <v>3</v>
      </c>
      <c r="H17" s="373">
        <f t="shared" si="33"/>
        <v>1</v>
      </c>
      <c r="I17" s="373">
        <f t="shared" si="33"/>
        <v>2</v>
      </c>
      <c r="J17" s="373">
        <f t="shared" si="33"/>
        <v>0</v>
      </c>
      <c r="K17" s="373">
        <f t="shared" si="33"/>
        <v>3</v>
      </c>
      <c r="L17" s="373">
        <f t="shared" si="33"/>
        <v>1</v>
      </c>
      <c r="M17" s="373">
        <f t="shared" si="33"/>
        <v>5</v>
      </c>
      <c r="N17" s="370"/>
      <c r="O17" s="370" t="str">
        <f>IF($M17&lt;=$M16,$F17,$F16)</f>
        <v>Japón</v>
      </c>
      <c r="P17" s="370">
        <f>VLOOKUP(O17,$F$16:$M$20,8,FALSE)</f>
        <v>5</v>
      </c>
      <c r="Q17" s="370"/>
      <c r="R17" s="370"/>
      <c r="S17" s="370" t="str">
        <f>O17</f>
        <v>Japón</v>
      </c>
      <c r="T17" s="370">
        <f>VLOOKUP(S17,$O$16:$P$20,2,FALSE)</f>
        <v>5</v>
      </c>
      <c r="U17" s="370"/>
      <c r="V17" s="370"/>
      <c r="W17" s="370" t="str">
        <f>S17</f>
        <v>Japón</v>
      </c>
      <c r="X17" s="370">
        <f>VLOOKUP(W17,$S$16:$T$20,2,FALSE)</f>
        <v>5</v>
      </c>
      <c r="Y17" s="370"/>
      <c r="Z17" s="370"/>
      <c r="AA17" s="370" t="str">
        <f>IF(X17&gt;=X18,W17,W18)</f>
        <v>Japón</v>
      </c>
      <c r="AB17" s="370">
        <f>VLOOKUP(AA17,W16:X20,2,FALSE)</f>
        <v>5</v>
      </c>
      <c r="AC17" s="370"/>
      <c r="AD17" s="370"/>
      <c r="AE17" s="370" t="str">
        <f>IF(AB17&gt;=AB19,AA17,AA19)</f>
        <v>Japón</v>
      </c>
      <c r="AF17" s="370">
        <f>VLOOKUP(AE17,AA16:AB20,2,FALSE)</f>
        <v>5</v>
      </c>
      <c r="AG17" s="370"/>
      <c r="AH17" s="370"/>
      <c r="AI17" s="370" t="str">
        <f>AE17</f>
        <v>Japón</v>
      </c>
      <c r="AJ17" s="370">
        <f>VLOOKUP(AI17,AE16:AF20,2,FALSE)</f>
        <v>5</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Suecia</v>
      </c>
      <c r="G18" s="373">
        <f t="shared" ref="G18:M18" si="34">U10</f>
        <v>3</v>
      </c>
      <c r="H18" s="373">
        <f t="shared" si="34"/>
        <v>1</v>
      </c>
      <c r="I18" s="373">
        <f t="shared" si="34"/>
        <v>0</v>
      </c>
      <c r="J18" s="373">
        <f t="shared" si="34"/>
        <v>2</v>
      </c>
      <c r="K18" s="373">
        <f t="shared" si="34"/>
        <v>3</v>
      </c>
      <c r="L18" s="373">
        <f t="shared" si="34"/>
        <v>4</v>
      </c>
      <c r="M18" s="373">
        <f t="shared" si="34"/>
        <v>3</v>
      </c>
      <c r="N18" s="370"/>
      <c r="O18" s="370" t="str">
        <f>F18</f>
        <v>Suecia</v>
      </c>
      <c r="P18" s="370">
        <f>VLOOKUP(O18,$F$16:$M$20,8,FALSE)</f>
        <v>3</v>
      </c>
      <c r="Q18" s="370"/>
      <c r="R18" s="370"/>
      <c r="S18" s="370" t="str">
        <f>IF($P18&lt;=$P16,$O18,$O16)</f>
        <v>Suecia</v>
      </c>
      <c r="T18" s="370">
        <f>VLOOKUP(S18,$O$16:$P$20,2,FALSE)</f>
        <v>3</v>
      </c>
      <c r="U18" s="370"/>
      <c r="V18" s="370"/>
      <c r="W18" s="370" t="str">
        <f>S18</f>
        <v>Suecia</v>
      </c>
      <c r="X18" s="370">
        <f>VLOOKUP(W18,$S$16:$T$20,2,FALSE)</f>
        <v>3</v>
      </c>
      <c r="Y18" s="370"/>
      <c r="Z18" s="370"/>
      <c r="AA18" s="370" t="str">
        <f>IF(X18&lt;=X17,W18,W17)</f>
        <v>Suecia</v>
      </c>
      <c r="AB18" s="370">
        <f>VLOOKUP(AA18,W16:X20,2,FALSE)</f>
        <v>3</v>
      </c>
      <c r="AC18" s="370"/>
      <c r="AD18" s="370"/>
      <c r="AE18" s="370" t="str">
        <f>AA18</f>
        <v>Suecia</v>
      </c>
      <c r="AF18" s="370">
        <f>VLOOKUP(AE18,AA16:AB20,2,FALSE)</f>
        <v>3</v>
      </c>
      <c r="AG18" s="370"/>
      <c r="AH18" s="370"/>
      <c r="AI18" s="370" t="str">
        <f>IF(AF18&gt;=AF19,AE18,AE19)</f>
        <v>Suecia</v>
      </c>
      <c r="AJ18" s="370">
        <f>VLOOKUP(AI18,AE16:AF20,2,FALSE)</f>
        <v>3</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Túnez</v>
      </c>
      <c r="G19" s="373">
        <f t="shared" ref="G19:M19" si="35">AB10</f>
        <v>3</v>
      </c>
      <c r="H19" s="373">
        <f t="shared" si="35"/>
        <v>0</v>
      </c>
      <c r="I19" s="373">
        <f t="shared" si="35"/>
        <v>1</v>
      </c>
      <c r="J19" s="373">
        <f t="shared" si="35"/>
        <v>2</v>
      </c>
      <c r="K19" s="373">
        <f t="shared" si="35"/>
        <v>0</v>
      </c>
      <c r="L19" s="373">
        <f t="shared" si="35"/>
        <v>5</v>
      </c>
      <c r="M19" s="373">
        <f t="shared" si="35"/>
        <v>1</v>
      </c>
      <c r="N19" s="370"/>
      <c r="O19" s="370" t="str">
        <f>F19</f>
        <v>Túnez</v>
      </c>
      <c r="P19" s="370">
        <f>VLOOKUP(O19,$F$16:$M$20,8,FALSE)</f>
        <v>1</v>
      </c>
      <c r="Q19" s="370"/>
      <c r="R19" s="370"/>
      <c r="S19" s="370" t="str">
        <f>O19</f>
        <v>Túnez</v>
      </c>
      <c r="T19" s="370">
        <f>VLOOKUP(S19,$O$16:$P$20,2,FALSE)</f>
        <v>1</v>
      </c>
      <c r="U19" s="370"/>
      <c r="V19" s="370"/>
      <c r="W19" s="370" t="str">
        <f>IF($T19&lt;=$T16,$S19,$S16)</f>
        <v>Túnez</v>
      </c>
      <c r="X19" s="370">
        <f>VLOOKUP(W19,$S$16:$T$20,2,FALSE)</f>
        <v>1</v>
      </c>
      <c r="Y19" s="370"/>
      <c r="Z19" s="370"/>
      <c r="AA19" s="370" t="str">
        <f>W19</f>
        <v>Túnez</v>
      </c>
      <c r="AB19" s="370">
        <f>VLOOKUP(AA19,W16:X20,2,FALSE)</f>
        <v>1</v>
      </c>
      <c r="AC19" s="370"/>
      <c r="AD19" s="370"/>
      <c r="AE19" s="370" t="str">
        <f>IF(AB19&lt;=AB17,AA19,AA17)</f>
        <v>Túnez</v>
      </c>
      <c r="AF19" s="370">
        <f>VLOOKUP(AE19,AA16:AB20,2,FALSE)</f>
        <v>1</v>
      </c>
      <c r="AG19" s="370"/>
      <c r="AH19" s="370"/>
      <c r="AI19" s="370" t="str">
        <f>IF(AF19&lt;=AF18,AE19,AE18)</f>
        <v>Túnez</v>
      </c>
      <c r="AJ19" s="370">
        <f>VLOOKUP(AI19,AE16:AF20,2,FALSE)</f>
        <v>1</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Países Bajos</v>
      </c>
      <c r="G23" s="370"/>
      <c r="H23" s="370"/>
      <c r="I23" s="370"/>
      <c r="J23" s="373">
        <f>AJ16</f>
        <v>7</v>
      </c>
      <c r="K23" s="373">
        <f>VLOOKUP(AI16,$F$16:$M$20,6,FALSE)</f>
        <v>6</v>
      </c>
      <c r="L23" s="373">
        <f>VLOOKUP(AI16,$F$16:$M$20,7,FALSE)</f>
        <v>2</v>
      </c>
      <c r="M23" s="373">
        <f>K23-L23</f>
        <v>4</v>
      </c>
      <c r="N23" s="370"/>
      <c r="O23" s="370" t="str">
        <f>IF(AND($J23=$J24,$M24&gt;$M23),$F24,$F23)</f>
        <v>Países Bajos</v>
      </c>
      <c r="P23" s="373">
        <f>VLOOKUP(O23,$F$23:$M$27,5,FALSE)</f>
        <v>7</v>
      </c>
      <c r="Q23" s="373">
        <f>VLOOKUP(O23,$F$23:$M$27,8,FALSE)</f>
        <v>4</v>
      </c>
      <c r="R23" s="370"/>
      <c r="S23" s="370" t="str">
        <f>IF(AND(P23=P25,Q25&gt;Q23),O25,O23)</f>
        <v>Países Bajos</v>
      </c>
      <c r="T23" s="373">
        <f>VLOOKUP(S23,$O$23:$Q$27,2,FALSE)</f>
        <v>7</v>
      </c>
      <c r="U23" s="373">
        <f>VLOOKUP(S23,$O$23:$Q$27,3,FALSE)</f>
        <v>4</v>
      </c>
      <c r="V23" s="370"/>
      <c r="W23" s="370" t="str">
        <f>IF(AND(T23=T26,U26&gt;U23),S26,S23)</f>
        <v>Países Bajos</v>
      </c>
      <c r="X23" s="373">
        <f>VLOOKUP(W23,$S$23:$U$27,2,FALSE)</f>
        <v>7</v>
      </c>
      <c r="Y23" s="373">
        <f>VLOOKUP(W23,$S$23:$U$27,3,FALSE)</f>
        <v>4</v>
      </c>
      <c r="Z23" s="370"/>
      <c r="AA23" s="370" t="str">
        <f>W23</f>
        <v>Países Bajos</v>
      </c>
      <c r="AB23" s="373">
        <f>VLOOKUP(AA23,W23:Y27,2,FALSE)</f>
        <v>7</v>
      </c>
      <c r="AC23" s="373">
        <f>VLOOKUP(AA23,W23:Y27,3,FALSE)</f>
        <v>4</v>
      </c>
      <c r="AD23" s="370"/>
      <c r="AE23" s="370" t="str">
        <f>AA23</f>
        <v>Países Bajos</v>
      </c>
      <c r="AF23" s="373">
        <f>VLOOKUP(AE23,AA23:AC27,2,FALSE)</f>
        <v>7</v>
      </c>
      <c r="AG23" s="373">
        <f>VLOOKUP(AE23,AA23:AC27,3,FALSE)</f>
        <v>4</v>
      </c>
      <c r="AH23" s="370"/>
      <c r="AI23" s="370" t="str">
        <f>AE23</f>
        <v>Países Bajos</v>
      </c>
      <c r="AJ23" s="373">
        <f>VLOOKUP(AI23,AE23:AG27,2,FALSE)</f>
        <v>7</v>
      </c>
      <c r="AK23" s="373">
        <f>VLOOKUP(AI23,AE23:AG27,3,FALSE)</f>
        <v>4</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Japón</v>
      </c>
      <c r="G24" s="370"/>
      <c r="H24" s="370"/>
      <c r="I24" s="370"/>
      <c r="J24" s="373">
        <f>AJ17</f>
        <v>5</v>
      </c>
      <c r="K24" s="373">
        <f>VLOOKUP(AI17,$F$16:$M$20,6,FALSE)</f>
        <v>3</v>
      </c>
      <c r="L24" s="373">
        <f>VLOOKUP(AI17,$F$16:$M$20,7,FALSE)</f>
        <v>1</v>
      </c>
      <c r="M24" s="373">
        <f>K24-L24</f>
        <v>2</v>
      </c>
      <c r="N24" s="370"/>
      <c r="O24" s="370" t="str">
        <f>IF(AND($J23=$J24,$M24&gt;$M23),$F23,$F24)</f>
        <v>Japón</v>
      </c>
      <c r="P24" s="373">
        <f>VLOOKUP(O24,$F$23:$M$27,5,FALSE)</f>
        <v>5</v>
      </c>
      <c r="Q24" s="373">
        <f>VLOOKUP(O24,$F$23:$M$27,8,FALSE)</f>
        <v>2</v>
      </c>
      <c r="R24" s="370"/>
      <c r="S24" s="370" t="str">
        <f>O24</f>
        <v>Japón</v>
      </c>
      <c r="T24" s="373">
        <f>VLOOKUP(S24,$O$23:$Q$27,2,FALSE)</f>
        <v>5</v>
      </c>
      <c r="U24" s="373">
        <f>VLOOKUP(S24,$O$23:$Q$27,3,FALSE)</f>
        <v>2</v>
      </c>
      <c r="V24" s="370"/>
      <c r="W24" s="370" t="str">
        <f>S24</f>
        <v>Japón</v>
      </c>
      <c r="X24" s="373">
        <f>VLOOKUP(W24,$S$23:$U$27,2,FALSE)</f>
        <v>5</v>
      </c>
      <c r="Y24" s="373">
        <f>VLOOKUP(W24,$S$23:$U$27,3,FALSE)</f>
        <v>2</v>
      </c>
      <c r="Z24" s="370"/>
      <c r="AA24" s="370" t="str">
        <f>IF(AND(X24=X25,Y25&gt;Y24),W25,W24)</f>
        <v>Japón</v>
      </c>
      <c r="AB24" s="373">
        <f>VLOOKUP(AA24,W23:Y27,2,FALSE)</f>
        <v>5</v>
      </c>
      <c r="AC24" s="373">
        <f>VLOOKUP(AA24,W23:Y27,3,FALSE)</f>
        <v>2</v>
      </c>
      <c r="AD24" s="370"/>
      <c r="AE24" s="370" t="str">
        <f>IF(AND(AB24=AB26,AC26&gt;AC24),AA26,AA24)</f>
        <v>Japón</v>
      </c>
      <c r="AF24" s="373">
        <f>VLOOKUP(AE24,AA23:AC27,2,FALSE)</f>
        <v>5</v>
      </c>
      <c r="AG24" s="373">
        <f>VLOOKUP(AE24,AA23:AC27,3,FALSE)</f>
        <v>2</v>
      </c>
      <c r="AH24" s="370"/>
      <c r="AI24" s="370" t="str">
        <f>AE24</f>
        <v>Japón</v>
      </c>
      <c r="AJ24" s="373">
        <f>VLOOKUP(AI24,AE23:AG27,2,FALSE)</f>
        <v>5</v>
      </c>
      <c r="AK24" s="373">
        <f>VLOOKUP(AI24,AE23:AG27,3,FALSE)</f>
        <v>2</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Suecia</v>
      </c>
      <c r="G25" s="370"/>
      <c r="H25" s="370"/>
      <c r="I25" s="370"/>
      <c r="J25" s="373">
        <f>AJ18</f>
        <v>3</v>
      </c>
      <c r="K25" s="373">
        <f>VLOOKUP(AI18,$F$16:$M$20,6,FALSE)</f>
        <v>3</v>
      </c>
      <c r="L25" s="373">
        <f>VLOOKUP(AI18,$F$16:$M$20,7,FALSE)</f>
        <v>4</v>
      </c>
      <c r="M25" s="373">
        <f>K25-L25</f>
        <v>-1</v>
      </c>
      <c r="N25" s="370"/>
      <c r="O25" s="370" t="str">
        <f>F25</f>
        <v>Suecia</v>
      </c>
      <c r="P25" s="373">
        <f>VLOOKUP(O25,$F$23:$M$27,5,FALSE)</f>
        <v>3</v>
      </c>
      <c r="Q25" s="373">
        <f>VLOOKUP(O25,$F$23:$M$27,8,FALSE)</f>
        <v>-1</v>
      </c>
      <c r="R25" s="370"/>
      <c r="S25" s="370" t="str">
        <f>IF(AND($P23=P25,Q25&gt;Q23),O23,O25)</f>
        <v>Suecia</v>
      </c>
      <c r="T25" s="373">
        <f>VLOOKUP(S25,$O$23:$Q$27,2,FALSE)</f>
        <v>3</v>
      </c>
      <c r="U25" s="373">
        <f>VLOOKUP(S25,$O$23:$Q$27,3,FALSE)</f>
        <v>-1</v>
      </c>
      <c r="V25" s="370"/>
      <c r="W25" s="370" t="str">
        <f>S25</f>
        <v>Suecia</v>
      </c>
      <c r="X25" s="373">
        <f>VLOOKUP(W25,$S$23:$U$27,2,FALSE)</f>
        <v>3</v>
      </c>
      <c r="Y25" s="373">
        <f>VLOOKUP(W25,$S$23:$U$27,3,FALSE)</f>
        <v>-1</v>
      </c>
      <c r="Z25" s="370"/>
      <c r="AA25" s="370" t="str">
        <f>IF(AND(X24=X25,Y25&gt;Y24),W24,W25)</f>
        <v>Suecia</v>
      </c>
      <c r="AB25" s="373">
        <f>VLOOKUP(AA25,W23:Y27,2,FALSE)</f>
        <v>3</v>
      </c>
      <c r="AC25" s="373">
        <f>VLOOKUP(AA25,W23:Y27,3,FALSE)</f>
        <v>-1</v>
      </c>
      <c r="AD25" s="370"/>
      <c r="AE25" s="370" t="str">
        <f>AA25</f>
        <v>Suecia</v>
      </c>
      <c r="AF25" s="373">
        <f>VLOOKUP(AE25,AA23:AC27,2,FALSE)</f>
        <v>3</v>
      </c>
      <c r="AG25" s="373">
        <f>VLOOKUP(AE25,AA23:AC27,3,FALSE)</f>
        <v>-1</v>
      </c>
      <c r="AH25" s="370"/>
      <c r="AI25" s="370" t="str">
        <f>IF(AND(AF25=AF26,AG26&gt;AG25),AE26,AE25)</f>
        <v>Suecia</v>
      </c>
      <c r="AJ25" s="373">
        <f>VLOOKUP(AI25,AE23:AG27,2,FALSE)</f>
        <v>3</v>
      </c>
      <c r="AK25" s="373">
        <f>VLOOKUP(AI25,AE23:AG27,3,FALSE)</f>
        <v>-1</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Túnez</v>
      </c>
      <c r="G26" s="370"/>
      <c r="H26" s="370"/>
      <c r="I26" s="370"/>
      <c r="J26" s="373">
        <f>AJ19</f>
        <v>1</v>
      </c>
      <c r="K26" s="373">
        <f>VLOOKUP(AI19,$F$16:$M$20,6,FALSE)</f>
        <v>0</v>
      </c>
      <c r="L26" s="373">
        <f>VLOOKUP(AI19,$F$16:$M$20,7,FALSE)</f>
        <v>5</v>
      </c>
      <c r="M26" s="373">
        <f>K26-L26</f>
        <v>-5</v>
      </c>
      <c r="N26" s="370"/>
      <c r="O26" s="370" t="str">
        <f>F26</f>
        <v>Túnez</v>
      </c>
      <c r="P26" s="373">
        <f>VLOOKUP(O26,$F$23:$M$27,5,FALSE)</f>
        <v>1</v>
      </c>
      <c r="Q26" s="373">
        <f>VLOOKUP(O26,$F$23:$M$27,8,FALSE)</f>
        <v>-5</v>
      </c>
      <c r="R26" s="370"/>
      <c r="S26" s="370" t="str">
        <f>O26</f>
        <v>Túnez</v>
      </c>
      <c r="T26" s="373">
        <f>VLOOKUP(S26,$O$23:$Q$27,2,FALSE)</f>
        <v>1</v>
      </c>
      <c r="U26" s="373">
        <f>VLOOKUP(S26,$O$23:$Q$27,3,FALSE)</f>
        <v>-5</v>
      </c>
      <c r="V26" s="370"/>
      <c r="W26" s="370" t="str">
        <f>IF(AND(T23=T26,U26&gt;U23),S23,S26)</f>
        <v>Túnez</v>
      </c>
      <c r="X26" s="373">
        <f>VLOOKUP(W26,$S$23:$U$27,2,FALSE)</f>
        <v>1</v>
      </c>
      <c r="Y26" s="373">
        <f>VLOOKUP(W26,$S$23:$U$27,3,FALSE)</f>
        <v>-5</v>
      </c>
      <c r="Z26" s="370"/>
      <c r="AA26" s="370" t="str">
        <f>W26</f>
        <v>Túnez</v>
      </c>
      <c r="AB26" s="373">
        <f>VLOOKUP(AA26,W23:Y27,2,FALSE)</f>
        <v>1</v>
      </c>
      <c r="AC26" s="373">
        <f>VLOOKUP(AA26,W23:Y27,3,FALSE)</f>
        <v>-5</v>
      </c>
      <c r="AD26" s="370"/>
      <c r="AE26" s="370" t="str">
        <f>IF(AND(AB24=AB26,AC26&gt;AC24),AA24,AA26)</f>
        <v>Túnez</v>
      </c>
      <c r="AF26" s="373">
        <f>VLOOKUP(AE26,AA23:AC27,2,FALSE)</f>
        <v>1</v>
      </c>
      <c r="AG26" s="373">
        <f>VLOOKUP(AE26,AA23:AC27,3,FALSE)</f>
        <v>-5</v>
      </c>
      <c r="AH26" s="370"/>
      <c r="AI26" s="370" t="str">
        <f>IF(AND(AF25=AF26,AG26&gt;AG25),AE25,AE26)</f>
        <v>Túnez</v>
      </c>
      <c r="AJ26" s="373">
        <f>VLOOKUP(AI26,AE23:AG27,2,FALSE)</f>
        <v>1</v>
      </c>
      <c r="AK26" s="373">
        <f>VLOOKUP(AI26,AE23:AG27,3,FALSE)</f>
        <v>-5</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Países Bajos</v>
      </c>
      <c r="G30" s="370"/>
      <c r="H30" s="370"/>
      <c r="I30" s="370"/>
      <c r="J30" s="373">
        <f>VLOOKUP(F30,$F$16:$M$20,8,FALSE)</f>
        <v>7</v>
      </c>
      <c r="K30" s="373">
        <f>VLOOKUP(F30,$F$16:$M$20,6,FALSE)</f>
        <v>6</v>
      </c>
      <c r="L30" s="373">
        <f>VLOOKUP(F30,$F$16:$M$20,7,FALSE)</f>
        <v>2</v>
      </c>
      <c r="M30" s="373">
        <f>K30-L30</f>
        <v>4</v>
      </c>
      <c r="N30" s="370"/>
      <c r="O30" s="370" t="str">
        <f>IF(AND(J30=J31,M30=M31,K31&gt;K30),F31,F30)</f>
        <v>Países Bajos</v>
      </c>
      <c r="P30" s="373">
        <f>VLOOKUP(O30,$F$30:$M$34,5,FALSE)</f>
        <v>7</v>
      </c>
      <c r="Q30" s="373">
        <f>VLOOKUP(O30,$F$30:$M$34,8,FALSE)</f>
        <v>4</v>
      </c>
      <c r="R30" s="373">
        <f>VLOOKUP(O30,$F$30:$M$34,6,FALSE)</f>
        <v>6</v>
      </c>
      <c r="S30" s="370" t="str">
        <f>IF(AND(P30=P32,Q30=Q32,R32&gt;R30),O32,O30)</f>
        <v>Países Bajos</v>
      </c>
      <c r="T30" s="373">
        <f>VLOOKUP(S30,$O$30:$R$34,2,FALSE)</f>
        <v>7</v>
      </c>
      <c r="U30" s="373">
        <f>VLOOKUP(S30,$O$30:$R$34,3,FALSE)</f>
        <v>4</v>
      </c>
      <c r="V30" s="373">
        <f>VLOOKUP(S30,$O$30:$R$34,4,FALSE)</f>
        <v>6</v>
      </c>
      <c r="W30" s="370" t="str">
        <f>IF(AND(T30=T33,U30=U33,V33&gt;V30),S33,S30)</f>
        <v>Países Bajos</v>
      </c>
      <c r="X30" s="373">
        <f>VLOOKUP(W30,$S$30:$V$34,2,FALSE)</f>
        <v>7</v>
      </c>
      <c r="Y30" s="373">
        <f>VLOOKUP(W30,$S$30:$V$34,3,FALSE)</f>
        <v>4</v>
      </c>
      <c r="Z30" s="373">
        <f>VLOOKUP(W30,$S$30:$V$34,4,FALSE)</f>
        <v>6</v>
      </c>
      <c r="AA30" s="370" t="str">
        <f>W30</f>
        <v>Países Bajos</v>
      </c>
      <c r="AB30" s="373">
        <f>VLOOKUP(AA30,W30:Z34,2,FALSE)</f>
        <v>7</v>
      </c>
      <c r="AC30" s="373">
        <f>VLOOKUP(AA30,W30:Z34,3,FALSE)</f>
        <v>4</v>
      </c>
      <c r="AD30" s="373">
        <f>VLOOKUP(AA30,W30:Z34,4,FALSE)</f>
        <v>6</v>
      </c>
      <c r="AE30" s="370" t="str">
        <f>AA30</f>
        <v>Países Bajos</v>
      </c>
      <c r="AF30" s="373">
        <f>VLOOKUP(AE30,AA30:AD34,2,FALSE)</f>
        <v>7</v>
      </c>
      <c r="AG30" s="373">
        <f>VLOOKUP(AE30,AA30:AD34,3,FALSE)</f>
        <v>4</v>
      </c>
      <c r="AH30" s="373">
        <f>VLOOKUP(AE30,AA30:AD34,4,FALSE)</f>
        <v>6</v>
      </c>
      <c r="AI30" s="370" t="str">
        <f>AE30</f>
        <v>Países Bajos</v>
      </c>
      <c r="AJ30" s="373">
        <f>VLOOKUP(AI30,AE30:AH34,2,FALSE)</f>
        <v>7</v>
      </c>
      <c r="AK30" s="373">
        <f>VLOOKUP(AI30,AE30:AH34,3,FALSE)</f>
        <v>4</v>
      </c>
      <c r="AL30" s="373">
        <f>VLOOKUP(AI30,AE30:AH34,4,FALSE)</f>
        <v>6</v>
      </c>
      <c r="AM30" s="370"/>
      <c r="AN30" s="373">
        <f>(AJ30*1000)+(AK30*100)+AL30</f>
        <v>7406</v>
      </c>
      <c r="AO30" s="375">
        <f>IF($AN30=$AN31,VLOOKUP($AI30&amp;$AI31,$AN$2:$AO$13,2,0),0)</f>
        <v>0</v>
      </c>
      <c r="AP30" s="370">
        <f>IF(AO30=$AI30,1,0)</f>
        <v>0</v>
      </c>
      <c r="AQ30" s="375"/>
      <c r="AR30" s="370"/>
      <c r="AS30" s="375">
        <f>IF($AN30=$AN32,VLOOKUP($AI30&amp;$AI32,$AN$2:$AO$13,2,0),0)</f>
        <v>0</v>
      </c>
      <c r="AT30" s="370">
        <f>IF(AS30=$AI30,1,0)</f>
        <v>0</v>
      </c>
      <c r="AU30" s="370"/>
      <c r="AV30" s="370">
        <f>SUM(AN30,AP30,AR30,AT30)</f>
        <v>7406</v>
      </c>
      <c r="AW30" s="373">
        <f>RANK(AV30,$AV$30:$AV$33,0)</f>
        <v>1</v>
      </c>
      <c r="AX30" s="370" t="str">
        <f>AI30</f>
        <v>Países Bajos</v>
      </c>
      <c r="AY30" s="336"/>
      <c r="AZ30" s="336"/>
      <c r="BA30" s="336"/>
      <c r="BB30" s="336"/>
      <c r="BC30" s="336"/>
    </row>
    <row r="31" spans="1:55" x14ac:dyDescent="0.2">
      <c r="A31" s="370"/>
      <c r="B31" s="370"/>
      <c r="C31" s="370"/>
      <c r="D31" s="370"/>
      <c r="E31" s="370"/>
      <c r="F31" s="370" t="str">
        <f>AI24</f>
        <v>Japón</v>
      </c>
      <c r="G31" s="370"/>
      <c r="H31" s="370"/>
      <c r="I31" s="370"/>
      <c r="J31" s="373">
        <f>VLOOKUP(F31,$F$16:$M$20,8,FALSE)</f>
        <v>5</v>
      </c>
      <c r="K31" s="373">
        <f>VLOOKUP(F31,$F$16:$M$20,6,FALSE)</f>
        <v>3</v>
      </c>
      <c r="L31" s="373">
        <f>VLOOKUP(F31,$F$16:$M$20,7,FALSE)</f>
        <v>1</v>
      </c>
      <c r="M31" s="373">
        <f>K31-L31</f>
        <v>2</v>
      </c>
      <c r="N31" s="370"/>
      <c r="O31" s="370" t="str">
        <f>IF(AND(J30=J31,M30=M31,K31&gt;K30),F30,F31)</f>
        <v>Japón</v>
      </c>
      <c r="P31" s="373">
        <f>VLOOKUP(O31,$F$30:$M$34,5,FALSE)</f>
        <v>5</v>
      </c>
      <c r="Q31" s="373">
        <f>VLOOKUP(O31,$F$30:$M$34,8,FALSE)</f>
        <v>2</v>
      </c>
      <c r="R31" s="373">
        <f>VLOOKUP(O31,$F$30:$M$34,6,FALSE)</f>
        <v>3</v>
      </c>
      <c r="S31" s="370" t="str">
        <f>O31</f>
        <v>Japón</v>
      </c>
      <c r="T31" s="373">
        <f>VLOOKUP(S31,$O$30:$R$34,2,FALSE)</f>
        <v>5</v>
      </c>
      <c r="U31" s="373">
        <f>VLOOKUP(S31,$O$30:$R$34,3,FALSE)</f>
        <v>2</v>
      </c>
      <c r="V31" s="373">
        <f>VLOOKUP(S31,$O$30:$R$34,4,FALSE)</f>
        <v>3</v>
      </c>
      <c r="W31" s="370" t="str">
        <f>S31</f>
        <v>Japón</v>
      </c>
      <c r="X31" s="373">
        <f>VLOOKUP(W31,$S$30:$V$34,2,FALSE)</f>
        <v>5</v>
      </c>
      <c r="Y31" s="373">
        <f>VLOOKUP(W31,$S$30:$V$34,3,FALSE)</f>
        <v>2</v>
      </c>
      <c r="Z31" s="373">
        <f>VLOOKUP(W31,$S$30:$V$34,4,FALSE)</f>
        <v>3</v>
      </c>
      <c r="AA31" s="370" t="str">
        <f>IF(AND(X31=X32,Y31=Y32,Z32&gt;Z31),W32,W31)</f>
        <v>Japón</v>
      </c>
      <c r="AB31" s="373">
        <f>VLOOKUP(AA31,W30:Z34,2,FALSE)</f>
        <v>5</v>
      </c>
      <c r="AC31" s="373">
        <f>VLOOKUP(AA31,W30:Z34,3,FALSE)</f>
        <v>2</v>
      </c>
      <c r="AD31" s="373">
        <f>VLOOKUP(AA31,W30:Z34,4,FALSE)</f>
        <v>3</v>
      </c>
      <c r="AE31" s="370" t="str">
        <f>IF(AND(AB31=AB33,AC31=AC33,AD33&gt;AD31),AA33,AA31)</f>
        <v>Japón</v>
      </c>
      <c r="AF31" s="373">
        <f>VLOOKUP(AE31,AA30:AD34,2,FALSE)</f>
        <v>5</v>
      </c>
      <c r="AG31" s="373">
        <f>VLOOKUP(AE31,AA30:AD34,3,FALSE)</f>
        <v>2</v>
      </c>
      <c r="AH31" s="373">
        <f>VLOOKUP(AE31,AA30:AD34,4,FALSE)</f>
        <v>3</v>
      </c>
      <c r="AI31" s="370" t="str">
        <f>AE31</f>
        <v>Japón</v>
      </c>
      <c r="AJ31" s="373">
        <f>VLOOKUP(AI31,AE30:AH34,2,FALSE)</f>
        <v>5</v>
      </c>
      <c r="AK31" s="373">
        <f>VLOOKUP(AI31,AE30:AH34,3,FALSE)</f>
        <v>2</v>
      </c>
      <c r="AL31" s="373">
        <f>VLOOKUP(AI31,AE30:AH34,4,FALSE)</f>
        <v>3</v>
      </c>
      <c r="AM31" s="370"/>
      <c r="AN31" s="373">
        <f t="shared" ref="AN31:AN33" si="36">(AJ31*1000)+(AK31*100)+AL31</f>
        <v>5203</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5203</v>
      </c>
      <c r="AW31" s="373">
        <f t="shared" ref="AW31:AW33" si="38">RANK(AV31,$AV$30:$AV$33,0)</f>
        <v>2</v>
      </c>
      <c r="AX31" s="370" t="str">
        <f t="shared" ref="AX31:AX33" si="39">AI31</f>
        <v>Japón</v>
      </c>
      <c r="AY31" s="336"/>
      <c r="AZ31" s="336"/>
      <c r="BA31" s="336"/>
      <c r="BB31" s="336"/>
      <c r="BC31" s="336"/>
    </row>
    <row r="32" spans="1:55" x14ac:dyDescent="0.2">
      <c r="A32" s="370"/>
      <c r="B32" s="370"/>
      <c r="C32" s="370"/>
      <c r="D32" s="370"/>
      <c r="E32" s="370"/>
      <c r="F32" s="370" t="str">
        <f>AI25</f>
        <v>Suecia</v>
      </c>
      <c r="G32" s="370"/>
      <c r="H32" s="370"/>
      <c r="I32" s="370"/>
      <c r="J32" s="373">
        <f>VLOOKUP(F32,$F$16:$M$20,8,FALSE)</f>
        <v>3</v>
      </c>
      <c r="K32" s="373">
        <f>VLOOKUP(F32,$F$16:$M$20,6,FALSE)</f>
        <v>3</v>
      </c>
      <c r="L32" s="373">
        <f>VLOOKUP(F32,$F$16:$M$20,7,FALSE)</f>
        <v>4</v>
      </c>
      <c r="M32" s="373">
        <f>K32-L32</f>
        <v>-1</v>
      </c>
      <c r="N32" s="370"/>
      <c r="O32" s="370" t="str">
        <f>F32</f>
        <v>Suecia</v>
      </c>
      <c r="P32" s="373">
        <f>VLOOKUP(O32,$F$30:$M$34,5,FALSE)</f>
        <v>3</v>
      </c>
      <c r="Q32" s="373">
        <f>VLOOKUP(O32,$F$30:$M$34,8,FALSE)</f>
        <v>-1</v>
      </c>
      <c r="R32" s="373">
        <f>VLOOKUP(O32,$F$30:$M$34,6,FALSE)</f>
        <v>3</v>
      </c>
      <c r="S32" s="370" t="str">
        <f>IF(AND(P30=P32,Q30=Q32,R32&gt;R30),O30,O32)</f>
        <v>Suecia</v>
      </c>
      <c r="T32" s="373">
        <f>VLOOKUP(S32,$O$30:$R$34,2,FALSE)</f>
        <v>3</v>
      </c>
      <c r="U32" s="373">
        <f>VLOOKUP(S32,$O$30:$R$34,3,FALSE)</f>
        <v>-1</v>
      </c>
      <c r="V32" s="373">
        <f>VLOOKUP(S32,$O$30:$R$34,4,FALSE)</f>
        <v>3</v>
      </c>
      <c r="W32" s="370" t="str">
        <f>S32</f>
        <v>Suecia</v>
      </c>
      <c r="X32" s="373">
        <f>VLOOKUP(W32,$S$30:$V$34,2,FALSE)</f>
        <v>3</v>
      </c>
      <c r="Y32" s="373">
        <f>VLOOKUP(W32,$S$30:$V$34,3,FALSE)</f>
        <v>-1</v>
      </c>
      <c r="Z32" s="373">
        <f>VLOOKUP(W32,$S$30:$V$34,4,FALSE)</f>
        <v>3</v>
      </c>
      <c r="AA32" s="370" t="str">
        <f>IF(AND(X31=X32,Y31=Y32,Z32&gt;Z31),W31,W32)</f>
        <v>Suecia</v>
      </c>
      <c r="AB32" s="373">
        <f>VLOOKUP(AA32,W30:Z34,2,FALSE)</f>
        <v>3</v>
      </c>
      <c r="AC32" s="373">
        <f>VLOOKUP(AA32,W30:Z34,3,FALSE)</f>
        <v>-1</v>
      </c>
      <c r="AD32" s="373">
        <f>VLOOKUP(AA32,W30:Z34,4,FALSE)</f>
        <v>3</v>
      </c>
      <c r="AE32" s="370" t="str">
        <f>AA32</f>
        <v>Suecia</v>
      </c>
      <c r="AF32" s="373">
        <f>VLOOKUP(AE32,AA30:AD34,2,FALSE)</f>
        <v>3</v>
      </c>
      <c r="AG32" s="373">
        <f>VLOOKUP(AE32,AA30:AD34,3,FALSE)</f>
        <v>-1</v>
      </c>
      <c r="AH32" s="373">
        <f>VLOOKUP(AE32,AA30:AD34,4,FALSE)</f>
        <v>3</v>
      </c>
      <c r="AI32" s="370" t="str">
        <f>IF(AND(AF32=AF33,AG32=AG33,AH33&gt;AH32),AE33,AE32)</f>
        <v>Suecia</v>
      </c>
      <c r="AJ32" s="373">
        <f>VLOOKUP(AI32,AE30:AH34,2,FALSE)</f>
        <v>3</v>
      </c>
      <c r="AK32" s="373">
        <f>VLOOKUP(AI32,AE30:AH34,3,FALSE)</f>
        <v>-1</v>
      </c>
      <c r="AL32" s="373">
        <f>VLOOKUP(AI32,AE30:AH34,4,FALSE)</f>
        <v>3</v>
      </c>
      <c r="AM32" s="370"/>
      <c r="AN32" s="373">
        <f t="shared" si="36"/>
        <v>2903</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2903</v>
      </c>
      <c r="AW32" s="373">
        <f t="shared" si="38"/>
        <v>3</v>
      </c>
      <c r="AX32" s="370" t="str">
        <f t="shared" si="39"/>
        <v>Suecia</v>
      </c>
      <c r="AY32" s="336"/>
      <c r="AZ32" s="336"/>
      <c r="BA32" s="336"/>
      <c r="BB32" s="336"/>
      <c r="BC32" s="336"/>
    </row>
    <row r="33" spans="1:55" x14ac:dyDescent="0.2">
      <c r="A33" s="370"/>
      <c r="B33" s="370"/>
      <c r="C33" s="370"/>
      <c r="D33" s="370"/>
      <c r="E33" s="370"/>
      <c r="F33" s="370" t="str">
        <f>AI26</f>
        <v>Túnez</v>
      </c>
      <c r="G33" s="370"/>
      <c r="H33" s="370"/>
      <c r="I33" s="370"/>
      <c r="J33" s="373">
        <f>VLOOKUP(F33,$F$16:$M$20,8,FALSE)</f>
        <v>1</v>
      </c>
      <c r="K33" s="373">
        <f>VLOOKUP(F33,$F$16:$M$20,6,FALSE)</f>
        <v>0</v>
      </c>
      <c r="L33" s="373">
        <f>VLOOKUP(F33,$F$16:$M$20,7,FALSE)</f>
        <v>5</v>
      </c>
      <c r="M33" s="373">
        <f>K33-L33</f>
        <v>-5</v>
      </c>
      <c r="N33" s="370"/>
      <c r="O33" s="370" t="str">
        <f>F33</f>
        <v>Túnez</v>
      </c>
      <c r="P33" s="373">
        <f>VLOOKUP(O33,$F$30:$M$34,5,FALSE)</f>
        <v>1</v>
      </c>
      <c r="Q33" s="373">
        <f>VLOOKUP(O33,$F$30:$M$34,8,FALSE)</f>
        <v>-5</v>
      </c>
      <c r="R33" s="373">
        <f>VLOOKUP(O33,$F$30:$M$34,6,FALSE)</f>
        <v>0</v>
      </c>
      <c r="S33" s="370" t="str">
        <f>O33</f>
        <v>Túnez</v>
      </c>
      <c r="T33" s="373">
        <f>VLOOKUP(S33,$O$30:$R$34,2,FALSE)</f>
        <v>1</v>
      </c>
      <c r="U33" s="373">
        <f>VLOOKUP(S33,$O$30:$R$34,3,FALSE)</f>
        <v>-5</v>
      </c>
      <c r="V33" s="373">
        <f>VLOOKUP(S33,$O$30:$R$34,4,FALSE)</f>
        <v>0</v>
      </c>
      <c r="W33" s="370" t="str">
        <f>IF(AND(T30=T33,U30=U33,V33&gt;V30),S30,S33)</f>
        <v>Túnez</v>
      </c>
      <c r="X33" s="373">
        <f>VLOOKUP(W33,$S$30:$V$34,2,FALSE)</f>
        <v>1</v>
      </c>
      <c r="Y33" s="373">
        <f>VLOOKUP(W33,$S$30:$V$34,3,FALSE)</f>
        <v>-5</v>
      </c>
      <c r="Z33" s="373">
        <f>VLOOKUP(W33,$S$30:$V$34,4,FALSE)</f>
        <v>0</v>
      </c>
      <c r="AA33" s="370" t="str">
        <f>W33</f>
        <v>Túnez</v>
      </c>
      <c r="AB33" s="373">
        <f>VLOOKUP(AA33,W30:Z34,2,FALSE)</f>
        <v>1</v>
      </c>
      <c r="AC33" s="373">
        <f>VLOOKUP(AA33,W30:Z34,3,FALSE)</f>
        <v>-5</v>
      </c>
      <c r="AD33" s="373">
        <f>VLOOKUP(AA33,W30:Z34,4,FALSE)</f>
        <v>0</v>
      </c>
      <c r="AE33" s="370" t="str">
        <f>IF(AND(AB31=AB33,AC31=AC33,AD33&gt;AD31),AA31,AA33)</f>
        <v>Túnez</v>
      </c>
      <c r="AF33" s="373">
        <f>VLOOKUP(AE33,AA30:AD34,2,FALSE)</f>
        <v>1</v>
      </c>
      <c r="AG33" s="373">
        <f>VLOOKUP(AE33,AA30:AD34,3,FALSE)</f>
        <v>-5</v>
      </c>
      <c r="AH33" s="373">
        <f>VLOOKUP(AE33,AA30:AD34,4,FALSE)</f>
        <v>0</v>
      </c>
      <c r="AI33" s="370" t="str">
        <f>IF(AND(AF32=AF33,AG32=AG33,AH33&gt;AH32),AE32,AE33)</f>
        <v>Túnez</v>
      </c>
      <c r="AJ33" s="373">
        <f>VLOOKUP(AI33,AE30:AH34,2,FALSE)</f>
        <v>1</v>
      </c>
      <c r="AK33" s="373">
        <f>VLOOKUP(AI33,AE30:AH34,3,FALSE)</f>
        <v>-5</v>
      </c>
      <c r="AL33" s="373">
        <f>VLOOKUP(AI33,AE30:AH34,4,FALSE)</f>
        <v>0</v>
      </c>
      <c r="AM33" s="370"/>
      <c r="AN33" s="373">
        <f t="shared" si="36"/>
        <v>500</v>
      </c>
      <c r="AO33" s="375"/>
      <c r="AP33" s="370"/>
      <c r="AQ33" s="375"/>
      <c r="AR33" s="370"/>
      <c r="AS33" s="375"/>
      <c r="AT33" s="370"/>
      <c r="AU33" s="370"/>
      <c r="AV33" s="370">
        <f t="shared" si="37"/>
        <v>500</v>
      </c>
      <c r="AW33" s="373">
        <f t="shared" si="38"/>
        <v>4</v>
      </c>
      <c r="AX33" s="370" t="str">
        <f t="shared" si="39"/>
        <v>Túnez</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Países Bajos</v>
      </c>
      <c r="G37" s="373">
        <f>VLOOKUP(F37,$F$16:$M$20,2,FALSE)</f>
        <v>3</v>
      </c>
      <c r="H37" s="373">
        <f>VLOOKUP(F37,$F$16:$M$20,3,FALSE)</f>
        <v>2</v>
      </c>
      <c r="I37" s="373">
        <f>VLOOKUP(F37,$F$16:$M$20,4,FALSE)</f>
        <v>1</v>
      </c>
      <c r="J37" s="373">
        <f>VLOOKUP(F37,$F$16:$M$20,5,FALSE)</f>
        <v>0</v>
      </c>
      <c r="K37" s="373">
        <f>VLOOKUP(F37,$F$16:$M$20,6,FALSE)</f>
        <v>6</v>
      </c>
      <c r="L37" s="373">
        <f>VLOOKUP(F37,$F$16:$M$20,7,FALSE)</f>
        <v>2</v>
      </c>
      <c r="M37" s="373">
        <f>VLOOKUP(F37,$F$16:$M$20,8,FALSE)</f>
        <v>7</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Japón</v>
      </c>
      <c r="G38" s="373">
        <f>VLOOKUP(F38,$F$16:$M$20,2,FALSE)</f>
        <v>3</v>
      </c>
      <c r="H38" s="373">
        <f>VLOOKUP(F38,$F$16:$M$20,3,FALSE)</f>
        <v>1</v>
      </c>
      <c r="I38" s="373">
        <f>VLOOKUP(F38,$F$16:$M$20,4,FALSE)</f>
        <v>2</v>
      </c>
      <c r="J38" s="373">
        <f>VLOOKUP(F38,$F$16:$M$20,5,FALSE)</f>
        <v>0</v>
      </c>
      <c r="K38" s="373">
        <f>VLOOKUP(F38,$F$16:$M$20,6,FALSE)</f>
        <v>3</v>
      </c>
      <c r="L38" s="373">
        <f>VLOOKUP(F38,$F$16:$M$20,7,FALSE)</f>
        <v>1</v>
      </c>
      <c r="M38" s="373">
        <f>VLOOKUP(F38,$F$16:$M$20,8,FALSE)</f>
        <v>5</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Suecia</v>
      </c>
      <c r="G39" s="373">
        <f>VLOOKUP(F39,$F$16:$M$20,2,FALSE)</f>
        <v>3</v>
      </c>
      <c r="H39" s="373">
        <f>VLOOKUP(F39,$F$16:$M$20,3,FALSE)</f>
        <v>1</v>
      </c>
      <c r="I39" s="373">
        <f>VLOOKUP(F39,$F$16:$M$20,4,FALSE)</f>
        <v>0</v>
      </c>
      <c r="J39" s="373">
        <f>VLOOKUP(F39,$F$16:$M$20,5,FALSE)</f>
        <v>2</v>
      </c>
      <c r="K39" s="373">
        <f>VLOOKUP(F39,$F$16:$M$20,6,FALSE)</f>
        <v>3</v>
      </c>
      <c r="L39" s="373">
        <f>VLOOKUP(F39,$F$16:$M$20,7,FALSE)</f>
        <v>4</v>
      </c>
      <c r="M39" s="373">
        <f>VLOOKUP(F39,$F$16:$M$20,8,FALSE)</f>
        <v>3</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Túnez</v>
      </c>
      <c r="G40" s="373">
        <f>VLOOKUP(F40,$F$16:$M$20,2,FALSE)</f>
        <v>3</v>
      </c>
      <c r="H40" s="373">
        <f>VLOOKUP(F40,$F$16:$M$20,3,FALSE)</f>
        <v>0</v>
      </c>
      <c r="I40" s="373">
        <f>VLOOKUP(F40,$F$16:$M$20,4,FALSE)</f>
        <v>1</v>
      </c>
      <c r="J40" s="373">
        <f>VLOOKUP(F40,$F$16:$M$20,5,FALSE)</f>
        <v>2</v>
      </c>
      <c r="K40" s="373">
        <f>VLOOKUP(F40,$F$16:$M$20,6,FALSE)</f>
        <v>0</v>
      </c>
      <c r="L40" s="373">
        <f>VLOOKUP(F40,$F$16:$M$20,7,FALSE)</f>
        <v>5</v>
      </c>
      <c r="M40" s="373">
        <f>VLOOKUP(F40,$F$16:$M$20,8,FALSE)</f>
        <v>1</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lHk4OHY6QhAbDQ3YSK0T5bb2H5ihYn55m2C9Jiwwbhlu5OHUQff2aaRGfsCsoapri6ttWntYVarQg/UZdvXK0A==" saltValue="oL2+tqzMYkaTyz/hxwINrQ==" spinCount="100000" sheet="1" objects="1" scenarios="1" selectLockedCells="1"/>
  <mergeCells count="1">
    <mergeCell ref="A2:E2"/>
  </mergeCells>
  <phoneticPr fontId="20" type="noConversion"/>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1"/>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G -'!R7&lt;&gt;"",'- G -'!R7,"")</f>
        <v>Bélgica</v>
      </c>
      <c r="H2" s="370"/>
      <c r="I2" s="370"/>
      <c r="J2" s="370"/>
      <c r="K2" s="370"/>
      <c r="L2" s="370"/>
      <c r="M2" s="370"/>
      <c r="N2" s="370" t="str">
        <f>IF('- G -'!R9&lt;&gt;"",'- G -'!R9,"")</f>
        <v>Egipto</v>
      </c>
      <c r="O2" s="370"/>
      <c r="P2" s="370"/>
      <c r="Q2" s="370"/>
      <c r="R2" s="370"/>
      <c r="S2" s="370"/>
      <c r="T2" s="370"/>
      <c r="U2" s="370" t="str">
        <f>IF('- G -'!R11&lt;&gt;"",'- G -'!R11,"")</f>
        <v>Irán</v>
      </c>
      <c r="V2" s="370"/>
      <c r="W2" s="370"/>
      <c r="X2" s="370"/>
      <c r="Y2" s="370"/>
      <c r="Z2" s="370"/>
      <c r="AA2" s="370"/>
      <c r="AB2" s="370" t="str">
        <f>IF('- G -'!R13&lt;&gt;"",'- G -'!R13,"")</f>
        <v>Nueva Zelanda</v>
      </c>
      <c r="AC2" s="370"/>
      <c r="AD2" s="370"/>
      <c r="AE2" s="370"/>
      <c r="AF2" s="370"/>
      <c r="AG2" s="370"/>
      <c r="AH2" s="370"/>
      <c r="AI2" s="370"/>
      <c r="AJ2" s="370"/>
      <c r="AK2" s="370"/>
      <c r="AL2" s="370"/>
      <c r="AM2" s="370"/>
      <c r="AN2" s="374" t="str">
        <f t="shared" ref="AN2:AN7" si="0">A4&amp;E4</f>
        <v>BélgicaEgipto</v>
      </c>
      <c r="AO2" s="371" t="str">
        <f t="shared" ref="AO2:AO7" si="1">IF(B4=D4,0,IF(B4&gt;D4,A4,E4))</f>
        <v>Bélgica</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IránNueva Zelanda</v>
      </c>
      <c r="AO3" s="371" t="str">
        <f t="shared" si="1"/>
        <v>Irán</v>
      </c>
      <c r="AP3" s="370"/>
      <c r="AQ3" s="370"/>
      <c r="AR3" s="370"/>
      <c r="AS3" s="370"/>
      <c r="AT3" s="370"/>
      <c r="AU3" s="370"/>
      <c r="AV3" s="370"/>
      <c r="AW3" s="370"/>
      <c r="AX3" s="370"/>
      <c r="AY3" s="336"/>
      <c r="AZ3" s="336"/>
      <c r="BA3" s="336"/>
      <c r="BB3" s="336"/>
      <c r="BC3" s="336"/>
    </row>
    <row r="4" spans="1:55" x14ac:dyDescent="0.2">
      <c r="A4" s="375" t="str">
        <f>'- G -'!C6</f>
        <v>Bélgica</v>
      </c>
      <c r="B4" s="373">
        <f>IF('- G -'!D6&lt;&gt;"",'- G -'!D6,"")</f>
        <v>2</v>
      </c>
      <c r="C4" s="373" t="str">
        <f>'- G -'!E6</f>
        <v>-</v>
      </c>
      <c r="D4" s="373">
        <f>IF('- G -'!F6&lt;&gt;"",'- G -'!F6,"")</f>
        <v>0</v>
      </c>
      <c r="E4" s="376" t="str">
        <f>'- G -'!G6</f>
        <v>Egipto</v>
      </c>
      <c r="F4" s="373">
        <f>COUNTBLANK('- G -'!D6:'- G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2</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2</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BélgicaIrán</v>
      </c>
      <c r="AO4" s="371" t="str">
        <f t="shared" si="1"/>
        <v>Bélgica</v>
      </c>
      <c r="AP4" s="370"/>
      <c r="AQ4" s="370"/>
      <c r="AR4" s="370"/>
      <c r="AS4" s="370"/>
      <c r="AT4" s="370"/>
      <c r="AU4" s="370"/>
      <c r="AV4" s="370"/>
      <c r="AW4" s="370"/>
      <c r="AX4" s="370"/>
      <c r="AY4" s="336"/>
      <c r="AZ4" s="336"/>
      <c r="BA4" s="336"/>
      <c r="BB4" s="336"/>
      <c r="BC4" s="336"/>
    </row>
    <row r="5" spans="1:55" x14ac:dyDescent="0.2">
      <c r="A5" s="375" t="str">
        <f>'- G -'!C7</f>
        <v>Irán</v>
      </c>
      <c r="B5" s="373">
        <f>IF('- G -'!D7&lt;&gt;"",'- G -'!D7,"")</f>
        <v>1</v>
      </c>
      <c r="C5" s="373" t="str">
        <f>'- G -'!E7</f>
        <v>-</v>
      </c>
      <c r="D5" s="373">
        <f>IF('- G -'!F7&lt;&gt;"",'- G -'!F7,"")</f>
        <v>0</v>
      </c>
      <c r="E5" s="376" t="str">
        <f>'- G -'!G7</f>
        <v>Nueva Zelanda</v>
      </c>
      <c r="F5" s="373">
        <f>COUNTBLANK('- G -'!D7:'- G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1</v>
      </c>
      <c r="W5" s="373">
        <f t="shared" si="16"/>
        <v>0</v>
      </c>
      <c r="X5" s="373">
        <f t="shared" si="17"/>
        <v>0</v>
      </c>
      <c r="Y5" s="373">
        <f t="shared" si="18"/>
        <v>1</v>
      </c>
      <c r="Z5" s="373">
        <f t="shared" si="19"/>
        <v>0</v>
      </c>
      <c r="AA5" s="373"/>
      <c r="AB5" s="373">
        <f t="shared" si="20"/>
        <v>1</v>
      </c>
      <c r="AC5" s="373">
        <f t="shared" si="21"/>
        <v>0</v>
      </c>
      <c r="AD5" s="373">
        <f t="shared" si="22"/>
        <v>0</v>
      </c>
      <c r="AE5" s="373">
        <f t="shared" si="23"/>
        <v>1</v>
      </c>
      <c r="AF5" s="373">
        <f t="shared" si="24"/>
        <v>0</v>
      </c>
      <c r="AG5" s="373">
        <f t="shared" si="25"/>
        <v>1</v>
      </c>
      <c r="AH5" s="373"/>
      <c r="AI5" s="370"/>
      <c r="AJ5" s="370"/>
      <c r="AK5" s="370"/>
      <c r="AL5" s="370"/>
      <c r="AM5" s="370"/>
      <c r="AN5" s="374" t="str">
        <f t="shared" si="0"/>
        <v>Nueva ZelandaEgipto</v>
      </c>
      <c r="AO5" s="371" t="str">
        <f t="shared" si="1"/>
        <v>Egipto</v>
      </c>
      <c r="AP5" s="370"/>
      <c r="AQ5" s="370"/>
      <c r="AR5" s="370"/>
      <c r="AS5" s="370"/>
      <c r="AT5" s="370"/>
      <c r="AU5" s="370"/>
      <c r="AV5" s="370"/>
      <c r="AW5" s="370"/>
      <c r="AX5" s="370"/>
      <c r="AY5" s="336"/>
      <c r="AZ5" s="336"/>
      <c r="BA5" s="336"/>
      <c r="BB5" s="336"/>
      <c r="BC5" s="336"/>
    </row>
    <row r="6" spans="1:55" x14ac:dyDescent="0.2">
      <c r="A6" s="375" t="str">
        <f>'- G -'!C8</f>
        <v>Bélgica</v>
      </c>
      <c r="B6" s="373">
        <f>IF('- G -'!D8&lt;&gt;"",'- G -'!D8,"")</f>
        <v>1</v>
      </c>
      <c r="C6" s="373" t="str">
        <f>'- G -'!E8</f>
        <v>-</v>
      </c>
      <c r="D6" s="373">
        <f>IF('- G -'!F8&lt;&gt;"",'- G -'!F8,"")</f>
        <v>0</v>
      </c>
      <c r="E6" s="376" t="str">
        <f>'- G -'!G8</f>
        <v>Irán</v>
      </c>
      <c r="F6" s="373">
        <f>COUNTBLANK('- G -'!D8:'- G -'!F8)</f>
        <v>0</v>
      </c>
      <c r="G6" s="373">
        <f t="shared" si="2"/>
        <v>1</v>
      </c>
      <c r="H6" s="373">
        <f t="shared" si="3"/>
        <v>1</v>
      </c>
      <c r="I6" s="373">
        <f t="shared" si="4"/>
        <v>0</v>
      </c>
      <c r="J6" s="373">
        <f t="shared" si="5"/>
        <v>0</v>
      </c>
      <c r="K6" s="373">
        <f t="shared" si="6"/>
        <v>1</v>
      </c>
      <c r="L6" s="373">
        <f t="shared" si="7"/>
        <v>0</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0</v>
      </c>
      <c r="Z6" s="373">
        <f t="shared" si="19"/>
        <v>1</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EgiptoIrán</v>
      </c>
      <c r="AO6" s="371">
        <f t="shared" si="1"/>
        <v>0</v>
      </c>
      <c r="AP6" s="370"/>
      <c r="AQ6" s="370"/>
      <c r="AR6" s="370"/>
      <c r="AS6" s="370"/>
      <c r="AT6" s="370"/>
      <c r="AU6" s="370"/>
      <c r="AV6" s="370"/>
      <c r="AW6" s="370"/>
      <c r="AX6" s="370"/>
      <c r="AY6" s="336"/>
      <c r="AZ6" s="336"/>
      <c r="BA6" s="336"/>
      <c r="BB6" s="336"/>
      <c r="BC6" s="336"/>
    </row>
    <row r="7" spans="1:55" x14ac:dyDescent="0.2">
      <c r="A7" s="375" t="str">
        <f>'- G -'!C9</f>
        <v>Nueva Zelanda</v>
      </c>
      <c r="B7" s="373">
        <f>IF('- G -'!D9&lt;&gt;"",'- G -'!D9,"")</f>
        <v>0</v>
      </c>
      <c r="C7" s="373" t="str">
        <f>'- G -'!E9</f>
        <v>-</v>
      </c>
      <c r="D7" s="373">
        <f>IF('- G -'!F9&lt;&gt;"",'- G -'!F9,"")</f>
        <v>3</v>
      </c>
      <c r="E7" s="376" t="str">
        <f>'- G -'!G9</f>
        <v>Egipto</v>
      </c>
      <c r="F7" s="373">
        <f>COUNTBLANK('- G -'!D9:'- G -'!F9)</f>
        <v>0</v>
      </c>
      <c r="G7" s="373">
        <f t="shared" si="2"/>
        <v>0</v>
      </c>
      <c r="H7" s="373">
        <f t="shared" si="3"/>
        <v>0</v>
      </c>
      <c r="I7" s="373">
        <f t="shared" si="4"/>
        <v>0</v>
      </c>
      <c r="J7" s="373">
        <f t="shared" si="5"/>
        <v>0</v>
      </c>
      <c r="K7" s="373">
        <f t="shared" si="6"/>
        <v>0</v>
      </c>
      <c r="L7" s="373">
        <f t="shared" si="7"/>
        <v>0</v>
      </c>
      <c r="M7" s="373"/>
      <c r="N7" s="373">
        <f t="shared" si="8"/>
        <v>1</v>
      </c>
      <c r="O7" s="373">
        <f t="shared" si="9"/>
        <v>1</v>
      </c>
      <c r="P7" s="373">
        <f t="shared" si="10"/>
        <v>0</v>
      </c>
      <c r="Q7" s="373">
        <f t="shared" si="11"/>
        <v>0</v>
      </c>
      <c r="R7" s="373">
        <f t="shared" si="12"/>
        <v>3</v>
      </c>
      <c r="S7" s="373">
        <f t="shared" si="13"/>
        <v>0</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0</v>
      </c>
      <c r="AD7" s="373">
        <f t="shared" si="22"/>
        <v>0</v>
      </c>
      <c r="AE7" s="373">
        <f t="shared" si="23"/>
        <v>1</v>
      </c>
      <c r="AF7" s="373">
        <f t="shared" si="24"/>
        <v>0</v>
      </c>
      <c r="AG7" s="373">
        <f t="shared" si="25"/>
        <v>3</v>
      </c>
      <c r="AH7" s="373"/>
      <c r="AI7" s="370"/>
      <c r="AJ7" s="370"/>
      <c r="AK7" s="370"/>
      <c r="AL7" s="370"/>
      <c r="AM7" s="370"/>
      <c r="AN7" s="374" t="str">
        <f t="shared" si="0"/>
        <v>Nueva ZelandaBélgica</v>
      </c>
      <c r="AO7" s="371">
        <f t="shared" si="1"/>
        <v>0</v>
      </c>
      <c r="AP7" s="370"/>
      <c r="AQ7" s="370"/>
      <c r="AR7" s="370"/>
      <c r="AS7" s="370"/>
      <c r="AT7" s="370"/>
      <c r="AU7" s="370"/>
      <c r="AV7" s="370"/>
      <c r="AW7" s="370"/>
      <c r="AX7" s="370"/>
      <c r="AY7" s="336"/>
      <c r="AZ7" s="336"/>
      <c r="BA7" s="336"/>
      <c r="BB7" s="336"/>
      <c r="BC7" s="336"/>
    </row>
    <row r="8" spans="1:55" x14ac:dyDescent="0.2">
      <c r="A8" s="375" t="str">
        <f>'- G -'!C10</f>
        <v>Egipto</v>
      </c>
      <c r="B8" s="373">
        <f>IF('- G -'!D10&lt;&gt;"",'- G -'!D10,"")</f>
        <v>1</v>
      </c>
      <c r="C8" s="373" t="str">
        <f>'- G -'!E10</f>
        <v>-</v>
      </c>
      <c r="D8" s="373">
        <f>IF('- G -'!F10&lt;&gt;"",'- G -'!F10,"")</f>
        <v>1</v>
      </c>
      <c r="E8" s="376" t="str">
        <f>'- G -'!G10</f>
        <v>Irán</v>
      </c>
      <c r="F8" s="373">
        <f>COUNTBLANK('- G -'!D10:'- G -'!F10)</f>
        <v>0</v>
      </c>
      <c r="G8" s="373">
        <f t="shared" si="2"/>
        <v>0</v>
      </c>
      <c r="H8" s="373">
        <f t="shared" si="3"/>
        <v>0</v>
      </c>
      <c r="I8" s="373">
        <f t="shared" si="4"/>
        <v>0</v>
      </c>
      <c r="J8" s="373">
        <f t="shared" si="5"/>
        <v>0</v>
      </c>
      <c r="K8" s="373">
        <f t="shared" si="6"/>
        <v>0</v>
      </c>
      <c r="L8" s="373">
        <f t="shared" si="7"/>
        <v>0</v>
      </c>
      <c r="M8" s="373"/>
      <c r="N8" s="373">
        <f t="shared" si="8"/>
        <v>1</v>
      </c>
      <c r="O8" s="373">
        <f t="shared" si="9"/>
        <v>0</v>
      </c>
      <c r="P8" s="373">
        <f t="shared" si="10"/>
        <v>1</v>
      </c>
      <c r="Q8" s="373">
        <f t="shared" si="11"/>
        <v>0</v>
      </c>
      <c r="R8" s="373">
        <f t="shared" si="12"/>
        <v>1</v>
      </c>
      <c r="S8" s="373">
        <f t="shared" si="13"/>
        <v>1</v>
      </c>
      <c r="T8" s="373"/>
      <c r="U8" s="373">
        <f t="shared" si="14"/>
        <v>1</v>
      </c>
      <c r="V8" s="373">
        <f t="shared" si="15"/>
        <v>0</v>
      </c>
      <c r="W8" s="373">
        <f t="shared" si="16"/>
        <v>1</v>
      </c>
      <c r="X8" s="373">
        <f t="shared" si="17"/>
        <v>0</v>
      </c>
      <c r="Y8" s="373">
        <f t="shared" si="18"/>
        <v>1</v>
      </c>
      <c r="Z8" s="373">
        <f t="shared" si="19"/>
        <v>1</v>
      </c>
      <c r="AA8" s="373"/>
      <c r="AB8" s="373">
        <f t="shared" si="20"/>
        <v>0</v>
      </c>
      <c r="AC8" s="373">
        <f t="shared" si="21"/>
        <v>0</v>
      </c>
      <c r="AD8" s="373">
        <f t="shared" si="22"/>
        <v>0</v>
      </c>
      <c r="AE8" s="373">
        <f t="shared" si="23"/>
        <v>0</v>
      </c>
      <c r="AF8" s="373">
        <f t="shared" si="24"/>
        <v>0</v>
      </c>
      <c r="AG8" s="373">
        <f t="shared" si="25"/>
        <v>0</v>
      </c>
      <c r="AH8" s="373"/>
      <c r="AI8" s="370"/>
      <c r="AJ8" s="370"/>
      <c r="AK8" s="370"/>
      <c r="AL8" s="370"/>
      <c r="AM8" s="370"/>
      <c r="AN8" s="374" t="str">
        <f>E4&amp;A4</f>
        <v>EgiptoBélgica</v>
      </c>
      <c r="AO8" s="371" t="str">
        <f>IF(B4=D4,0,IF(B4&gt;D4,A4,E4))</f>
        <v>Bélgica</v>
      </c>
      <c r="AP8" s="370"/>
      <c r="AQ8" s="370"/>
      <c r="AR8" s="370"/>
      <c r="AS8" s="370"/>
      <c r="AT8" s="370"/>
      <c r="AU8" s="370"/>
      <c r="AV8" s="370"/>
      <c r="AW8" s="370"/>
      <c r="AX8" s="370"/>
      <c r="AY8" s="336"/>
      <c r="AZ8" s="336"/>
      <c r="BA8" s="336"/>
      <c r="BB8" s="336"/>
      <c r="BC8" s="336"/>
    </row>
    <row r="9" spans="1:55" x14ac:dyDescent="0.2">
      <c r="A9" s="375" t="str">
        <f>'- G -'!C11</f>
        <v>Nueva Zelanda</v>
      </c>
      <c r="B9" s="373">
        <f>IF('- G -'!D11&lt;&gt;"",'- G -'!D11,"")</f>
        <v>1</v>
      </c>
      <c r="C9" s="373" t="str">
        <f>'- G -'!E11</f>
        <v>-</v>
      </c>
      <c r="D9" s="373">
        <f>IF('- G -'!F11&lt;&gt;"",'- G -'!F11,"")</f>
        <v>1</v>
      </c>
      <c r="E9" s="376" t="str">
        <f>'- G -'!G11</f>
        <v>Bélgica</v>
      </c>
      <c r="F9" s="373">
        <f>COUNTBLANK('- G -'!D11:'- G -'!F11)</f>
        <v>0</v>
      </c>
      <c r="G9" s="373">
        <f t="shared" si="2"/>
        <v>1</v>
      </c>
      <c r="H9" s="373">
        <f t="shared" si="3"/>
        <v>0</v>
      </c>
      <c r="I9" s="373">
        <f t="shared" si="4"/>
        <v>1</v>
      </c>
      <c r="J9" s="373">
        <f t="shared" si="5"/>
        <v>0</v>
      </c>
      <c r="K9" s="373">
        <f t="shared" si="6"/>
        <v>1</v>
      </c>
      <c r="L9" s="373">
        <f t="shared" si="7"/>
        <v>1</v>
      </c>
      <c r="M9" s="373"/>
      <c r="N9" s="373">
        <f t="shared" si="8"/>
        <v>0</v>
      </c>
      <c r="O9" s="373">
        <f t="shared" si="9"/>
        <v>0</v>
      </c>
      <c r="P9" s="373">
        <f t="shared" si="10"/>
        <v>0</v>
      </c>
      <c r="Q9" s="373">
        <f t="shared" si="11"/>
        <v>0</v>
      </c>
      <c r="R9" s="373">
        <f t="shared" si="12"/>
        <v>0</v>
      </c>
      <c r="S9" s="373">
        <f t="shared" si="13"/>
        <v>0</v>
      </c>
      <c r="T9" s="373"/>
      <c r="U9" s="373">
        <f t="shared" si="14"/>
        <v>0</v>
      </c>
      <c r="V9" s="373">
        <f t="shared" si="15"/>
        <v>0</v>
      </c>
      <c r="W9" s="373">
        <f t="shared" si="16"/>
        <v>0</v>
      </c>
      <c r="X9" s="373">
        <f t="shared" si="17"/>
        <v>0</v>
      </c>
      <c r="Y9" s="373">
        <f t="shared" si="18"/>
        <v>0</v>
      </c>
      <c r="Z9" s="373">
        <f t="shared" si="19"/>
        <v>0</v>
      </c>
      <c r="AA9" s="373"/>
      <c r="AB9" s="373">
        <f t="shared" si="20"/>
        <v>1</v>
      </c>
      <c r="AC9" s="373">
        <f t="shared" si="21"/>
        <v>0</v>
      </c>
      <c r="AD9" s="373">
        <f t="shared" si="22"/>
        <v>1</v>
      </c>
      <c r="AE9" s="373">
        <f t="shared" si="23"/>
        <v>0</v>
      </c>
      <c r="AF9" s="373">
        <f t="shared" si="24"/>
        <v>1</v>
      </c>
      <c r="AG9" s="373">
        <f t="shared" si="25"/>
        <v>1</v>
      </c>
      <c r="AH9" s="373"/>
      <c r="AI9" s="370"/>
      <c r="AJ9" s="370"/>
      <c r="AK9" s="370"/>
      <c r="AL9" s="370"/>
      <c r="AM9" s="370"/>
      <c r="AN9" s="374" t="str">
        <f t="shared" ref="AN9:AN13" si="26">E5&amp;A5</f>
        <v>Nueva ZelandaIrán</v>
      </c>
      <c r="AO9" s="371" t="str">
        <f t="shared" ref="AO9:AO13" si="27">IF(B5=D5,0,IF(B5&gt;D5,A5,E5))</f>
        <v>Irán</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2</v>
      </c>
      <c r="I10" s="373">
        <f t="shared" si="28"/>
        <v>1</v>
      </c>
      <c r="J10" s="373">
        <f t="shared" si="28"/>
        <v>0</v>
      </c>
      <c r="K10" s="373">
        <f t="shared" si="28"/>
        <v>4</v>
      </c>
      <c r="L10" s="373">
        <f t="shared" si="28"/>
        <v>1</v>
      </c>
      <c r="M10" s="373">
        <f>H10*3+I10</f>
        <v>7</v>
      </c>
      <c r="N10" s="373">
        <f t="shared" ref="N10:S10" si="29">SUM(N4:N9)</f>
        <v>3</v>
      </c>
      <c r="O10" s="373">
        <f t="shared" si="29"/>
        <v>1</v>
      </c>
      <c r="P10" s="373">
        <f t="shared" si="29"/>
        <v>1</v>
      </c>
      <c r="Q10" s="373">
        <f t="shared" si="29"/>
        <v>1</v>
      </c>
      <c r="R10" s="373">
        <f t="shared" si="29"/>
        <v>4</v>
      </c>
      <c r="S10" s="373">
        <f t="shared" si="29"/>
        <v>3</v>
      </c>
      <c r="T10" s="373">
        <f>O10*3+P10</f>
        <v>4</v>
      </c>
      <c r="U10" s="373">
        <f t="shared" ref="U10:Z10" si="30">SUM(U4:U9)</f>
        <v>3</v>
      </c>
      <c r="V10" s="373">
        <f t="shared" si="30"/>
        <v>1</v>
      </c>
      <c r="W10" s="373">
        <f t="shared" si="30"/>
        <v>1</v>
      </c>
      <c r="X10" s="373">
        <f t="shared" si="30"/>
        <v>1</v>
      </c>
      <c r="Y10" s="373">
        <f t="shared" si="30"/>
        <v>2</v>
      </c>
      <c r="Z10" s="373">
        <f t="shared" si="30"/>
        <v>2</v>
      </c>
      <c r="AA10" s="373">
        <f>V10*3+W10</f>
        <v>4</v>
      </c>
      <c r="AB10" s="373">
        <f t="shared" ref="AB10:AG10" si="31">SUM(AB4:AB9)</f>
        <v>3</v>
      </c>
      <c r="AC10" s="373">
        <f t="shared" si="31"/>
        <v>0</v>
      </c>
      <c r="AD10" s="373">
        <f t="shared" si="31"/>
        <v>1</v>
      </c>
      <c r="AE10" s="373">
        <f t="shared" si="31"/>
        <v>2</v>
      </c>
      <c r="AF10" s="373">
        <f t="shared" si="31"/>
        <v>1</v>
      </c>
      <c r="AG10" s="373">
        <f t="shared" si="31"/>
        <v>5</v>
      </c>
      <c r="AH10" s="373">
        <f>AC10*3+AD10</f>
        <v>1</v>
      </c>
      <c r="AI10" s="370"/>
      <c r="AJ10" s="370"/>
      <c r="AK10" s="370"/>
      <c r="AL10" s="370"/>
      <c r="AM10" s="370"/>
      <c r="AN10" s="374" t="str">
        <f t="shared" si="26"/>
        <v>IránBélgica</v>
      </c>
      <c r="AO10" s="371" t="str">
        <f t="shared" si="27"/>
        <v>Bélgica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EgiptoNueva Zelanda</v>
      </c>
      <c r="AO11" s="371" t="str">
        <f t="shared" si="27"/>
        <v>Egipto</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IránEgipto</v>
      </c>
      <c r="AO12" s="371">
        <f t="shared" si="27"/>
        <v>0</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BélgicaNueva Zelanda</v>
      </c>
      <c r="AO13" s="371">
        <f t="shared" si="27"/>
        <v>0</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Bélgica</v>
      </c>
      <c r="G16" s="373">
        <f t="shared" ref="G16:M16" si="32">G10</f>
        <v>3</v>
      </c>
      <c r="H16" s="373">
        <f t="shared" si="32"/>
        <v>2</v>
      </c>
      <c r="I16" s="373">
        <f t="shared" si="32"/>
        <v>1</v>
      </c>
      <c r="J16" s="373">
        <f t="shared" si="32"/>
        <v>0</v>
      </c>
      <c r="K16" s="373">
        <f t="shared" si="32"/>
        <v>4</v>
      </c>
      <c r="L16" s="373">
        <f t="shared" si="32"/>
        <v>1</v>
      </c>
      <c r="M16" s="373">
        <f t="shared" si="32"/>
        <v>7</v>
      </c>
      <c r="N16" s="370"/>
      <c r="O16" s="370" t="str">
        <f>IF($M16&gt;=$M17,$F16,$F17)</f>
        <v>Bélgica</v>
      </c>
      <c r="P16" s="370">
        <f>VLOOKUP(O16,$F$16:$M$20,8,FALSE)</f>
        <v>7</v>
      </c>
      <c r="Q16" s="370"/>
      <c r="R16" s="370"/>
      <c r="S16" s="370" t="str">
        <f>IF($P16&gt;=$P18,$O16,$O18)</f>
        <v>Bélgica</v>
      </c>
      <c r="T16" s="370">
        <f>VLOOKUP(S16,$O$16:$P$20,2,FALSE)</f>
        <v>7</v>
      </c>
      <c r="U16" s="370"/>
      <c r="V16" s="370"/>
      <c r="W16" s="370" t="str">
        <f>IF($T16&gt;=$T19,$S16,$S19)</f>
        <v>Bélgica</v>
      </c>
      <c r="X16" s="370">
        <f>VLOOKUP(W16,$S$16:$T$20,2,FALSE)</f>
        <v>7</v>
      </c>
      <c r="Y16" s="370"/>
      <c r="Z16" s="370"/>
      <c r="AA16" s="370" t="str">
        <f>W16</f>
        <v>Bélgica</v>
      </c>
      <c r="AB16" s="370">
        <f>VLOOKUP(AA16,W16:X20,2,FALSE)</f>
        <v>7</v>
      </c>
      <c r="AC16" s="370"/>
      <c r="AD16" s="370"/>
      <c r="AE16" s="370" t="str">
        <f>AA16</f>
        <v>Bélgica</v>
      </c>
      <c r="AF16" s="370">
        <f>VLOOKUP(AE16,AA16:AB20,2,FALSE)</f>
        <v>7</v>
      </c>
      <c r="AG16" s="370"/>
      <c r="AH16" s="370"/>
      <c r="AI16" s="370" t="str">
        <f>AE16</f>
        <v>Bélgica</v>
      </c>
      <c r="AJ16" s="370">
        <f>VLOOKUP(AI16,AE16:AF20,2,FALSE)</f>
        <v>7</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Egipto</v>
      </c>
      <c r="G17" s="373">
        <f t="shared" ref="G17:M17" si="33">N10</f>
        <v>3</v>
      </c>
      <c r="H17" s="373">
        <f t="shared" si="33"/>
        <v>1</v>
      </c>
      <c r="I17" s="373">
        <f t="shared" si="33"/>
        <v>1</v>
      </c>
      <c r="J17" s="373">
        <f t="shared" si="33"/>
        <v>1</v>
      </c>
      <c r="K17" s="373">
        <f t="shared" si="33"/>
        <v>4</v>
      </c>
      <c r="L17" s="373">
        <f t="shared" si="33"/>
        <v>3</v>
      </c>
      <c r="M17" s="373">
        <f t="shared" si="33"/>
        <v>4</v>
      </c>
      <c r="N17" s="370"/>
      <c r="O17" s="370" t="str">
        <f>IF($M17&lt;=$M16,$F17,$F16)</f>
        <v>Egipto</v>
      </c>
      <c r="P17" s="370">
        <f>VLOOKUP(O17,$F$16:$M$20,8,FALSE)</f>
        <v>4</v>
      </c>
      <c r="Q17" s="370"/>
      <c r="R17" s="370"/>
      <c r="S17" s="370" t="str">
        <f>O17</f>
        <v>Egipto</v>
      </c>
      <c r="T17" s="370">
        <f>VLOOKUP(S17,$O$16:$P$20,2,FALSE)</f>
        <v>4</v>
      </c>
      <c r="U17" s="370"/>
      <c r="V17" s="370"/>
      <c r="W17" s="370" t="str">
        <f>S17</f>
        <v>Egipto</v>
      </c>
      <c r="X17" s="370">
        <f>VLOOKUP(W17,$S$16:$T$20,2,FALSE)</f>
        <v>4</v>
      </c>
      <c r="Y17" s="370"/>
      <c r="Z17" s="370"/>
      <c r="AA17" s="370" t="str">
        <f>IF(X17&gt;=X18,W17,W18)</f>
        <v>Egipto</v>
      </c>
      <c r="AB17" s="370">
        <f>VLOOKUP(AA17,W16:X20,2,FALSE)</f>
        <v>4</v>
      </c>
      <c r="AC17" s="370"/>
      <c r="AD17" s="370"/>
      <c r="AE17" s="370" t="str">
        <f>IF(AB17&gt;=AB19,AA17,AA19)</f>
        <v>Egipto</v>
      </c>
      <c r="AF17" s="370">
        <f>VLOOKUP(AE17,AA16:AB20,2,FALSE)</f>
        <v>4</v>
      </c>
      <c r="AG17" s="370"/>
      <c r="AH17" s="370"/>
      <c r="AI17" s="370" t="str">
        <f>AE17</f>
        <v>Egipto</v>
      </c>
      <c r="AJ17" s="370">
        <f>VLOOKUP(AI17,AE16:AF20,2,FALSE)</f>
        <v>4</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Irán</v>
      </c>
      <c r="G18" s="373">
        <f t="shared" ref="G18:M18" si="34">U10</f>
        <v>3</v>
      </c>
      <c r="H18" s="373">
        <f t="shared" si="34"/>
        <v>1</v>
      </c>
      <c r="I18" s="373">
        <f t="shared" si="34"/>
        <v>1</v>
      </c>
      <c r="J18" s="373">
        <f t="shared" si="34"/>
        <v>1</v>
      </c>
      <c r="K18" s="373">
        <f t="shared" si="34"/>
        <v>2</v>
      </c>
      <c r="L18" s="373">
        <f t="shared" si="34"/>
        <v>2</v>
      </c>
      <c r="M18" s="373">
        <f t="shared" si="34"/>
        <v>4</v>
      </c>
      <c r="N18" s="370"/>
      <c r="O18" s="370" t="str">
        <f>F18</f>
        <v>Irán</v>
      </c>
      <c r="P18" s="370">
        <f>VLOOKUP(O18,$F$16:$M$20,8,FALSE)</f>
        <v>4</v>
      </c>
      <c r="Q18" s="370"/>
      <c r="R18" s="370"/>
      <c r="S18" s="370" t="str">
        <f>IF($P18&lt;=$P16,$O18,$O16)</f>
        <v>Irán</v>
      </c>
      <c r="T18" s="370">
        <f>VLOOKUP(S18,$O$16:$P$20,2,FALSE)</f>
        <v>4</v>
      </c>
      <c r="U18" s="370"/>
      <c r="V18" s="370"/>
      <c r="W18" s="370" t="str">
        <f>S18</f>
        <v>Irán</v>
      </c>
      <c r="X18" s="370">
        <f>VLOOKUP(W18,$S$16:$T$20,2,FALSE)</f>
        <v>4</v>
      </c>
      <c r="Y18" s="370"/>
      <c r="Z18" s="370"/>
      <c r="AA18" s="370" t="str">
        <f>IF(X18&lt;=X17,W18,W17)</f>
        <v>Irán</v>
      </c>
      <c r="AB18" s="370">
        <f>VLOOKUP(AA18,W16:X20,2,FALSE)</f>
        <v>4</v>
      </c>
      <c r="AC18" s="370"/>
      <c r="AD18" s="370"/>
      <c r="AE18" s="370" t="str">
        <f>AA18</f>
        <v>Irán</v>
      </c>
      <c r="AF18" s="370">
        <f>VLOOKUP(AE18,AA16:AB20,2,FALSE)</f>
        <v>4</v>
      </c>
      <c r="AG18" s="370"/>
      <c r="AH18" s="370"/>
      <c r="AI18" s="370" t="str">
        <f>IF(AF18&gt;=AF19,AE18,AE19)</f>
        <v>Irán</v>
      </c>
      <c r="AJ18" s="370">
        <f>VLOOKUP(AI18,AE16:AF20,2,FALSE)</f>
        <v>4</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Nueva Zelanda</v>
      </c>
      <c r="G19" s="373">
        <f t="shared" ref="G19:M19" si="35">AB10</f>
        <v>3</v>
      </c>
      <c r="H19" s="373">
        <f t="shared" si="35"/>
        <v>0</v>
      </c>
      <c r="I19" s="373">
        <f t="shared" si="35"/>
        <v>1</v>
      </c>
      <c r="J19" s="373">
        <f t="shared" si="35"/>
        <v>2</v>
      </c>
      <c r="K19" s="373">
        <f t="shared" si="35"/>
        <v>1</v>
      </c>
      <c r="L19" s="373">
        <f t="shared" si="35"/>
        <v>5</v>
      </c>
      <c r="M19" s="373">
        <f t="shared" si="35"/>
        <v>1</v>
      </c>
      <c r="N19" s="370"/>
      <c r="O19" s="370" t="str">
        <f>F19</f>
        <v>Nueva Zelanda</v>
      </c>
      <c r="P19" s="370">
        <f>VLOOKUP(O19,$F$16:$M$20,8,FALSE)</f>
        <v>1</v>
      </c>
      <c r="Q19" s="370"/>
      <c r="R19" s="370"/>
      <c r="S19" s="370" t="str">
        <f>O19</f>
        <v>Nueva Zelanda</v>
      </c>
      <c r="T19" s="370">
        <f>VLOOKUP(S19,$O$16:$P$20,2,FALSE)</f>
        <v>1</v>
      </c>
      <c r="U19" s="370"/>
      <c r="V19" s="370"/>
      <c r="W19" s="370" t="str">
        <f>IF($T19&lt;=$T16,$S19,$S16)</f>
        <v>Nueva Zelanda</v>
      </c>
      <c r="X19" s="370">
        <f>VLOOKUP(W19,$S$16:$T$20,2,FALSE)</f>
        <v>1</v>
      </c>
      <c r="Y19" s="370"/>
      <c r="Z19" s="370"/>
      <c r="AA19" s="370" t="str">
        <f>W19</f>
        <v>Nueva Zelanda</v>
      </c>
      <c r="AB19" s="370">
        <f>VLOOKUP(AA19,W16:X20,2,FALSE)</f>
        <v>1</v>
      </c>
      <c r="AC19" s="370"/>
      <c r="AD19" s="370"/>
      <c r="AE19" s="370" t="str">
        <f>IF(AB19&lt;=AB17,AA19,AA17)</f>
        <v>Nueva Zelanda</v>
      </c>
      <c r="AF19" s="370">
        <f>VLOOKUP(AE19,AA16:AB20,2,FALSE)</f>
        <v>1</v>
      </c>
      <c r="AG19" s="370"/>
      <c r="AH19" s="370"/>
      <c r="AI19" s="370" t="str">
        <f>IF(AF19&lt;=AF18,AE19,AE18)</f>
        <v>Nueva Zelanda</v>
      </c>
      <c r="AJ19" s="370">
        <f>VLOOKUP(AI19,AE16:AF20,2,FALSE)</f>
        <v>1</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Bélgica</v>
      </c>
      <c r="G23" s="370"/>
      <c r="H23" s="370"/>
      <c r="I23" s="370"/>
      <c r="J23" s="373">
        <f>AJ16</f>
        <v>7</v>
      </c>
      <c r="K23" s="373">
        <f>VLOOKUP(AI16,$F$16:$M$20,6,FALSE)</f>
        <v>4</v>
      </c>
      <c r="L23" s="373">
        <f>VLOOKUP(AI16,$F$16:$M$20,7,FALSE)</f>
        <v>1</v>
      </c>
      <c r="M23" s="373">
        <f>K23-L23</f>
        <v>3</v>
      </c>
      <c r="N23" s="370"/>
      <c r="O23" s="370" t="str">
        <f>IF(AND($J23=$J24,$M24&gt;$M23),$F24,$F23)</f>
        <v>Bélgica</v>
      </c>
      <c r="P23" s="373">
        <f>VLOOKUP(O23,$F$23:$M$27,5,FALSE)</f>
        <v>7</v>
      </c>
      <c r="Q23" s="373">
        <f>VLOOKUP(O23,$F$23:$M$27,8,FALSE)</f>
        <v>3</v>
      </c>
      <c r="R23" s="370"/>
      <c r="S23" s="370" t="str">
        <f>IF(AND(P23=P25,Q25&gt;Q23),O25,O23)</f>
        <v>Bélgica</v>
      </c>
      <c r="T23" s="373">
        <f>VLOOKUP(S23,$O$23:$Q$27,2,FALSE)</f>
        <v>7</v>
      </c>
      <c r="U23" s="373">
        <f>VLOOKUP(S23,$O$23:$Q$27,3,FALSE)</f>
        <v>3</v>
      </c>
      <c r="V23" s="370"/>
      <c r="W23" s="370" t="str">
        <f>IF(AND(T23=T26,U26&gt;U23),S26,S23)</f>
        <v>Bélgica</v>
      </c>
      <c r="X23" s="373">
        <f>VLOOKUP(W23,$S$23:$U$27,2,FALSE)</f>
        <v>7</v>
      </c>
      <c r="Y23" s="373">
        <f>VLOOKUP(W23,$S$23:$U$27,3,FALSE)</f>
        <v>3</v>
      </c>
      <c r="Z23" s="370"/>
      <c r="AA23" s="370" t="str">
        <f>W23</f>
        <v>Bélgica</v>
      </c>
      <c r="AB23" s="373">
        <f>VLOOKUP(AA23,W23:Y27,2,FALSE)</f>
        <v>7</v>
      </c>
      <c r="AC23" s="373">
        <f>VLOOKUP(AA23,W23:Y27,3,FALSE)</f>
        <v>3</v>
      </c>
      <c r="AD23" s="370"/>
      <c r="AE23" s="370" t="str">
        <f>AA23</f>
        <v>Bélgica</v>
      </c>
      <c r="AF23" s="373">
        <f>VLOOKUP(AE23,AA23:AC27,2,FALSE)</f>
        <v>7</v>
      </c>
      <c r="AG23" s="373">
        <f>VLOOKUP(AE23,AA23:AC27,3,FALSE)</f>
        <v>3</v>
      </c>
      <c r="AH23" s="370"/>
      <c r="AI23" s="370" t="str">
        <f>AE23</f>
        <v>Bélgica</v>
      </c>
      <c r="AJ23" s="373">
        <f>VLOOKUP(AI23,AE23:AG27,2,FALSE)</f>
        <v>7</v>
      </c>
      <c r="AK23" s="373">
        <f>VLOOKUP(AI23,AE23:AG27,3,FALSE)</f>
        <v>3</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Egipto</v>
      </c>
      <c r="G24" s="370"/>
      <c r="H24" s="370"/>
      <c r="I24" s="370"/>
      <c r="J24" s="373">
        <f>AJ17</f>
        <v>4</v>
      </c>
      <c r="K24" s="373">
        <f>VLOOKUP(AI17,$F$16:$M$20,6,FALSE)</f>
        <v>4</v>
      </c>
      <c r="L24" s="373">
        <f>VLOOKUP(AI17,$F$16:$M$20,7,FALSE)</f>
        <v>3</v>
      </c>
      <c r="M24" s="373">
        <f>K24-L24</f>
        <v>1</v>
      </c>
      <c r="N24" s="370"/>
      <c r="O24" s="370" t="str">
        <f>IF(AND($J23=$J24,$M24&gt;$M23),$F23,$F24)</f>
        <v>Egipto</v>
      </c>
      <c r="P24" s="373">
        <f>VLOOKUP(O24,$F$23:$M$27,5,FALSE)</f>
        <v>4</v>
      </c>
      <c r="Q24" s="373">
        <f>VLOOKUP(O24,$F$23:$M$27,8,FALSE)</f>
        <v>1</v>
      </c>
      <c r="R24" s="370"/>
      <c r="S24" s="370" t="str">
        <f>O24</f>
        <v>Egipto</v>
      </c>
      <c r="T24" s="373">
        <f>VLOOKUP(S24,$O$23:$Q$27,2,FALSE)</f>
        <v>4</v>
      </c>
      <c r="U24" s="373">
        <f>VLOOKUP(S24,$O$23:$Q$27,3,FALSE)</f>
        <v>1</v>
      </c>
      <c r="V24" s="370"/>
      <c r="W24" s="370" t="str">
        <f>S24</f>
        <v>Egipto</v>
      </c>
      <c r="X24" s="373">
        <f>VLOOKUP(W24,$S$23:$U$27,2,FALSE)</f>
        <v>4</v>
      </c>
      <c r="Y24" s="373">
        <f>VLOOKUP(W24,$S$23:$U$27,3,FALSE)</f>
        <v>1</v>
      </c>
      <c r="Z24" s="370"/>
      <c r="AA24" s="370" t="str">
        <f>IF(AND(X24=X25,Y25&gt;Y24),W25,W24)</f>
        <v>Egipto</v>
      </c>
      <c r="AB24" s="373">
        <f>VLOOKUP(AA24,W23:Y27,2,FALSE)</f>
        <v>4</v>
      </c>
      <c r="AC24" s="373">
        <f>VLOOKUP(AA24,W23:Y27,3,FALSE)</f>
        <v>1</v>
      </c>
      <c r="AD24" s="370"/>
      <c r="AE24" s="370" t="str">
        <f>IF(AND(AB24=AB26,AC26&gt;AC24),AA26,AA24)</f>
        <v>Egipto</v>
      </c>
      <c r="AF24" s="373">
        <f>VLOOKUP(AE24,AA23:AC27,2,FALSE)</f>
        <v>4</v>
      </c>
      <c r="AG24" s="373">
        <f>VLOOKUP(AE24,AA23:AC27,3,FALSE)</f>
        <v>1</v>
      </c>
      <c r="AH24" s="370"/>
      <c r="AI24" s="370" t="str">
        <f>AE24</f>
        <v>Egipto</v>
      </c>
      <c r="AJ24" s="373">
        <f>VLOOKUP(AI24,AE23:AG27,2,FALSE)</f>
        <v>4</v>
      </c>
      <c r="AK24" s="373">
        <f>VLOOKUP(AI24,AE23:AG27,3,FALSE)</f>
        <v>1</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Irán</v>
      </c>
      <c r="G25" s="370"/>
      <c r="H25" s="370"/>
      <c r="I25" s="370"/>
      <c r="J25" s="373">
        <f>AJ18</f>
        <v>4</v>
      </c>
      <c r="K25" s="373">
        <f>VLOOKUP(AI18,$F$16:$M$20,6,FALSE)</f>
        <v>2</v>
      </c>
      <c r="L25" s="373">
        <f>VLOOKUP(AI18,$F$16:$M$20,7,FALSE)</f>
        <v>2</v>
      </c>
      <c r="M25" s="373">
        <f>K25-L25</f>
        <v>0</v>
      </c>
      <c r="N25" s="370"/>
      <c r="O25" s="370" t="str">
        <f>F25</f>
        <v>Irán</v>
      </c>
      <c r="P25" s="373">
        <f>VLOOKUP(O25,$F$23:$M$27,5,FALSE)</f>
        <v>4</v>
      </c>
      <c r="Q25" s="373">
        <f>VLOOKUP(O25,$F$23:$M$27,8,FALSE)</f>
        <v>0</v>
      </c>
      <c r="R25" s="370"/>
      <c r="S25" s="370" t="str">
        <f>IF(AND($P23=P25,Q25&gt;Q23),O23,O25)</f>
        <v>Irán</v>
      </c>
      <c r="T25" s="373">
        <f>VLOOKUP(S25,$O$23:$Q$27,2,FALSE)</f>
        <v>4</v>
      </c>
      <c r="U25" s="373">
        <f>VLOOKUP(S25,$O$23:$Q$27,3,FALSE)</f>
        <v>0</v>
      </c>
      <c r="V25" s="370"/>
      <c r="W25" s="370" t="str">
        <f>S25</f>
        <v>Irán</v>
      </c>
      <c r="X25" s="373">
        <f>VLOOKUP(W25,$S$23:$U$27,2,FALSE)</f>
        <v>4</v>
      </c>
      <c r="Y25" s="373">
        <f>VLOOKUP(W25,$S$23:$U$27,3,FALSE)</f>
        <v>0</v>
      </c>
      <c r="Z25" s="370"/>
      <c r="AA25" s="370" t="str">
        <f>IF(AND(X24=X25,Y25&gt;Y24),W24,W25)</f>
        <v>Irán</v>
      </c>
      <c r="AB25" s="373">
        <f>VLOOKUP(AA25,W23:Y27,2,FALSE)</f>
        <v>4</v>
      </c>
      <c r="AC25" s="373">
        <f>VLOOKUP(AA25,W23:Y27,3,FALSE)</f>
        <v>0</v>
      </c>
      <c r="AD25" s="370"/>
      <c r="AE25" s="370" t="str">
        <f>AA25</f>
        <v>Irán</v>
      </c>
      <c r="AF25" s="373">
        <f>VLOOKUP(AE25,AA23:AC27,2,FALSE)</f>
        <v>4</v>
      </c>
      <c r="AG25" s="373">
        <f>VLOOKUP(AE25,AA23:AC27,3,FALSE)</f>
        <v>0</v>
      </c>
      <c r="AH25" s="370"/>
      <c r="AI25" s="370" t="str">
        <f>IF(AND(AF25=AF26,AG26&gt;AG25),AE26,AE25)</f>
        <v>Irán</v>
      </c>
      <c r="AJ25" s="373">
        <f>VLOOKUP(AI25,AE23:AG27,2,FALSE)</f>
        <v>4</v>
      </c>
      <c r="AK25" s="373">
        <f>VLOOKUP(AI25,AE23:AG27,3,FALSE)</f>
        <v>0</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Nueva Zelanda</v>
      </c>
      <c r="G26" s="370"/>
      <c r="H26" s="370"/>
      <c r="I26" s="370"/>
      <c r="J26" s="373">
        <f>AJ19</f>
        <v>1</v>
      </c>
      <c r="K26" s="373">
        <f>VLOOKUP(AI19,$F$16:$M$20,6,FALSE)</f>
        <v>1</v>
      </c>
      <c r="L26" s="373">
        <f>VLOOKUP(AI19,$F$16:$M$20,7,FALSE)</f>
        <v>5</v>
      </c>
      <c r="M26" s="373">
        <f>K26-L26</f>
        <v>-4</v>
      </c>
      <c r="N26" s="370"/>
      <c r="O26" s="370" t="str">
        <f>F26</f>
        <v>Nueva Zelanda</v>
      </c>
      <c r="P26" s="373">
        <f>VLOOKUP(O26,$F$23:$M$27,5,FALSE)</f>
        <v>1</v>
      </c>
      <c r="Q26" s="373">
        <f>VLOOKUP(O26,$F$23:$M$27,8,FALSE)</f>
        <v>-4</v>
      </c>
      <c r="R26" s="370"/>
      <c r="S26" s="370" t="str">
        <f>O26</f>
        <v>Nueva Zelanda</v>
      </c>
      <c r="T26" s="373">
        <f>VLOOKUP(S26,$O$23:$Q$27,2,FALSE)</f>
        <v>1</v>
      </c>
      <c r="U26" s="373">
        <f>VLOOKUP(S26,$O$23:$Q$27,3,FALSE)</f>
        <v>-4</v>
      </c>
      <c r="V26" s="370"/>
      <c r="W26" s="370" t="str">
        <f>IF(AND(T23=T26,U26&gt;U23),S23,S26)</f>
        <v>Nueva Zelanda</v>
      </c>
      <c r="X26" s="373">
        <f>VLOOKUP(W26,$S$23:$U$27,2,FALSE)</f>
        <v>1</v>
      </c>
      <c r="Y26" s="373">
        <f>VLOOKUP(W26,$S$23:$U$27,3,FALSE)</f>
        <v>-4</v>
      </c>
      <c r="Z26" s="370"/>
      <c r="AA26" s="370" t="str">
        <f>W26</f>
        <v>Nueva Zelanda</v>
      </c>
      <c r="AB26" s="373">
        <f>VLOOKUP(AA26,W23:Y27,2,FALSE)</f>
        <v>1</v>
      </c>
      <c r="AC26" s="373">
        <f>VLOOKUP(AA26,W23:Y27,3,FALSE)</f>
        <v>-4</v>
      </c>
      <c r="AD26" s="370"/>
      <c r="AE26" s="370" t="str">
        <f>IF(AND(AB24=AB26,AC26&gt;AC24),AA24,AA26)</f>
        <v>Nueva Zelanda</v>
      </c>
      <c r="AF26" s="373">
        <f>VLOOKUP(AE26,AA23:AC27,2,FALSE)</f>
        <v>1</v>
      </c>
      <c r="AG26" s="373">
        <f>VLOOKUP(AE26,AA23:AC27,3,FALSE)</f>
        <v>-4</v>
      </c>
      <c r="AH26" s="370"/>
      <c r="AI26" s="370" t="str">
        <f>IF(AND(AF25=AF26,AG26&gt;AG25),AE25,AE26)</f>
        <v>Nueva Zelanda</v>
      </c>
      <c r="AJ26" s="373">
        <f>VLOOKUP(AI26,AE23:AG27,2,FALSE)</f>
        <v>1</v>
      </c>
      <c r="AK26" s="373">
        <f>VLOOKUP(AI26,AE23:AG27,3,FALSE)</f>
        <v>-4</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Bélgica</v>
      </c>
      <c r="G30" s="370"/>
      <c r="H30" s="370"/>
      <c r="I30" s="370"/>
      <c r="J30" s="373">
        <f>VLOOKUP(F30,$F$16:$M$20,8,FALSE)</f>
        <v>7</v>
      </c>
      <c r="K30" s="373">
        <f>VLOOKUP(F30,$F$16:$M$20,6,FALSE)</f>
        <v>4</v>
      </c>
      <c r="L30" s="373">
        <f>VLOOKUP(F30,$F$16:$M$20,7,FALSE)</f>
        <v>1</v>
      </c>
      <c r="M30" s="373">
        <f>K30-L30</f>
        <v>3</v>
      </c>
      <c r="N30" s="370"/>
      <c r="O30" s="370" t="str">
        <f>IF(AND(J30=J31,M30=M31,K31&gt;K30),F31,F30)</f>
        <v>Bélgica</v>
      </c>
      <c r="P30" s="373">
        <f>VLOOKUP(O30,$F$30:$M$34,5,FALSE)</f>
        <v>7</v>
      </c>
      <c r="Q30" s="373">
        <f>VLOOKUP(O30,$F$30:$M$34,8,FALSE)</f>
        <v>3</v>
      </c>
      <c r="R30" s="373">
        <f>VLOOKUP(O30,$F$30:$M$34,6,FALSE)</f>
        <v>4</v>
      </c>
      <c r="S30" s="370" t="str">
        <f>IF(AND(P30=P32,Q30=Q32,R32&gt;R30),O32,O30)</f>
        <v>Bélgica</v>
      </c>
      <c r="T30" s="373">
        <f>VLOOKUP(S30,$O$30:$R$34,2,FALSE)</f>
        <v>7</v>
      </c>
      <c r="U30" s="373">
        <f>VLOOKUP(S30,$O$30:$R$34,3,FALSE)</f>
        <v>3</v>
      </c>
      <c r="V30" s="373">
        <f>VLOOKUP(S30,$O$30:$R$34,4,FALSE)</f>
        <v>4</v>
      </c>
      <c r="W30" s="370" t="str">
        <f>IF(AND(T30=T33,U30=U33,V33&gt;V30),S33,S30)</f>
        <v>Bélgica</v>
      </c>
      <c r="X30" s="373">
        <f>VLOOKUP(W30,$S$30:$V$34,2,FALSE)</f>
        <v>7</v>
      </c>
      <c r="Y30" s="373">
        <f>VLOOKUP(W30,$S$30:$V$34,3,FALSE)</f>
        <v>3</v>
      </c>
      <c r="Z30" s="373">
        <f>VLOOKUP(W30,$S$30:$V$34,4,FALSE)</f>
        <v>4</v>
      </c>
      <c r="AA30" s="370" t="str">
        <f>W30</f>
        <v>Bélgica</v>
      </c>
      <c r="AB30" s="373">
        <f>VLOOKUP(AA30,W30:Z34,2,FALSE)</f>
        <v>7</v>
      </c>
      <c r="AC30" s="373">
        <f>VLOOKUP(AA30,W30:Z34,3,FALSE)</f>
        <v>3</v>
      </c>
      <c r="AD30" s="373">
        <f>VLOOKUP(AA30,W30:Z34,4,FALSE)</f>
        <v>4</v>
      </c>
      <c r="AE30" s="370" t="str">
        <f>AA30</f>
        <v>Bélgica</v>
      </c>
      <c r="AF30" s="373">
        <f>VLOOKUP(AE30,AA30:AD34,2,FALSE)</f>
        <v>7</v>
      </c>
      <c r="AG30" s="373">
        <f>VLOOKUP(AE30,AA30:AD34,3,FALSE)</f>
        <v>3</v>
      </c>
      <c r="AH30" s="373">
        <f>VLOOKUP(AE30,AA30:AD34,4,FALSE)</f>
        <v>4</v>
      </c>
      <c r="AI30" s="370" t="str">
        <f>AE30</f>
        <v>Bélgica</v>
      </c>
      <c r="AJ30" s="373">
        <f>VLOOKUP(AI30,AE30:AH34,2,FALSE)</f>
        <v>7</v>
      </c>
      <c r="AK30" s="373">
        <f>VLOOKUP(AI30,AE30:AH34,3,FALSE)</f>
        <v>3</v>
      </c>
      <c r="AL30" s="373">
        <f>VLOOKUP(AI30,AE30:AH34,4,FALSE)</f>
        <v>4</v>
      </c>
      <c r="AM30" s="370"/>
      <c r="AN30" s="373">
        <f>(AJ30*1000)+(AK30*100)+AL30</f>
        <v>7304</v>
      </c>
      <c r="AO30" s="375">
        <f>IF($AN30=$AN31,VLOOKUP($AI30&amp;$AI31,$AN$2:$AO$13,2,0),0)</f>
        <v>0</v>
      </c>
      <c r="AP30" s="370">
        <f>IF(AO30=$AI30,1,0)</f>
        <v>0</v>
      </c>
      <c r="AQ30" s="375"/>
      <c r="AR30" s="370"/>
      <c r="AS30" s="375">
        <f>IF($AN30=$AN32,VLOOKUP($AI30&amp;$AI32,$AN$2:$AO$13,2,0),0)</f>
        <v>0</v>
      </c>
      <c r="AT30" s="370">
        <f>IF(AS30=$AI30,1,0)</f>
        <v>0</v>
      </c>
      <c r="AU30" s="370"/>
      <c r="AV30" s="370">
        <f>SUM(AN30,AP30,AR30,AT30)</f>
        <v>7304</v>
      </c>
      <c r="AW30" s="373">
        <f>RANK(AV30,$AV$30:$AV$33,0)</f>
        <v>1</v>
      </c>
      <c r="AX30" s="370" t="str">
        <f>AI30</f>
        <v>Bélgica</v>
      </c>
      <c r="AY30" s="336"/>
      <c r="AZ30" s="336"/>
      <c r="BA30" s="336"/>
      <c r="BB30" s="336"/>
      <c r="BC30" s="336"/>
    </row>
    <row r="31" spans="1:55" x14ac:dyDescent="0.2">
      <c r="A31" s="370"/>
      <c r="B31" s="370"/>
      <c r="C31" s="370"/>
      <c r="D31" s="370"/>
      <c r="E31" s="370"/>
      <c r="F31" s="370" t="str">
        <f>AI24</f>
        <v>Egipto</v>
      </c>
      <c r="G31" s="370"/>
      <c r="H31" s="370"/>
      <c r="I31" s="370"/>
      <c r="J31" s="373">
        <f>VLOOKUP(F31,$F$16:$M$20,8,FALSE)</f>
        <v>4</v>
      </c>
      <c r="K31" s="373">
        <f>VLOOKUP(F31,$F$16:$M$20,6,FALSE)</f>
        <v>4</v>
      </c>
      <c r="L31" s="373">
        <f>VLOOKUP(F31,$F$16:$M$20,7,FALSE)</f>
        <v>3</v>
      </c>
      <c r="M31" s="373">
        <f>K31-L31</f>
        <v>1</v>
      </c>
      <c r="N31" s="370"/>
      <c r="O31" s="370" t="str">
        <f>IF(AND(J30=J31,M30=M31,K31&gt;K30),F30,F31)</f>
        <v>Egipto</v>
      </c>
      <c r="P31" s="373">
        <f>VLOOKUP(O31,$F$30:$M$34,5,FALSE)</f>
        <v>4</v>
      </c>
      <c r="Q31" s="373">
        <f>VLOOKUP(O31,$F$30:$M$34,8,FALSE)</f>
        <v>1</v>
      </c>
      <c r="R31" s="373">
        <f>VLOOKUP(O31,$F$30:$M$34,6,FALSE)</f>
        <v>4</v>
      </c>
      <c r="S31" s="370" t="str">
        <f>O31</f>
        <v>Egipto</v>
      </c>
      <c r="T31" s="373">
        <f>VLOOKUP(S31,$O$30:$R$34,2,FALSE)</f>
        <v>4</v>
      </c>
      <c r="U31" s="373">
        <f>VLOOKUP(S31,$O$30:$R$34,3,FALSE)</f>
        <v>1</v>
      </c>
      <c r="V31" s="373">
        <f>VLOOKUP(S31,$O$30:$R$34,4,FALSE)</f>
        <v>4</v>
      </c>
      <c r="W31" s="370" t="str">
        <f>S31</f>
        <v>Egipto</v>
      </c>
      <c r="X31" s="373">
        <f>VLOOKUP(W31,$S$30:$V$34,2,FALSE)</f>
        <v>4</v>
      </c>
      <c r="Y31" s="373">
        <f>VLOOKUP(W31,$S$30:$V$34,3,FALSE)</f>
        <v>1</v>
      </c>
      <c r="Z31" s="373">
        <f>VLOOKUP(W31,$S$30:$V$34,4,FALSE)</f>
        <v>4</v>
      </c>
      <c r="AA31" s="370" t="str">
        <f>IF(AND(X31=X32,Y31=Y32,Z32&gt;Z31),W32,W31)</f>
        <v>Egipto</v>
      </c>
      <c r="AB31" s="373">
        <f>VLOOKUP(AA31,W30:Z34,2,FALSE)</f>
        <v>4</v>
      </c>
      <c r="AC31" s="373">
        <f>VLOOKUP(AA31,W30:Z34,3,FALSE)</f>
        <v>1</v>
      </c>
      <c r="AD31" s="373">
        <f>VLOOKUP(AA31,W30:Z34,4,FALSE)</f>
        <v>4</v>
      </c>
      <c r="AE31" s="370" t="str">
        <f>IF(AND(AB31=AB33,AC31=AC33,AD33&gt;AD31),AA33,AA31)</f>
        <v>Egipto</v>
      </c>
      <c r="AF31" s="373">
        <f>VLOOKUP(AE31,AA30:AD34,2,FALSE)</f>
        <v>4</v>
      </c>
      <c r="AG31" s="373">
        <f>VLOOKUP(AE31,AA30:AD34,3,FALSE)</f>
        <v>1</v>
      </c>
      <c r="AH31" s="373">
        <f>VLOOKUP(AE31,AA30:AD34,4,FALSE)</f>
        <v>4</v>
      </c>
      <c r="AI31" s="370" t="str">
        <f>AE31</f>
        <v>Egipto</v>
      </c>
      <c r="AJ31" s="373">
        <f>VLOOKUP(AI31,AE30:AH34,2,FALSE)</f>
        <v>4</v>
      </c>
      <c r="AK31" s="373">
        <f>VLOOKUP(AI31,AE30:AH34,3,FALSE)</f>
        <v>1</v>
      </c>
      <c r="AL31" s="373">
        <f>VLOOKUP(AI31,AE30:AH34,4,FALSE)</f>
        <v>4</v>
      </c>
      <c r="AM31" s="370"/>
      <c r="AN31" s="373">
        <f t="shared" ref="AN31:AN33" si="36">(AJ31*1000)+(AK31*100)+AL31</f>
        <v>4104</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4104</v>
      </c>
      <c r="AW31" s="373">
        <f t="shared" ref="AW31:AW33" si="38">RANK(AV31,$AV$30:$AV$33,0)</f>
        <v>2</v>
      </c>
      <c r="AX31" s="370" t="str">
        <f t="shared" ref="AX31:AX33" si="39">AI31</f>
        <v>Egipto</v>
      </c>
      <c r="AY31" s="336"/>
      <c r="AZ31" s="336"/>
      <c r="BA31" s="336"/>
      <c r="BB31" s="336"/>
      <c r="BC31" s="336"/>
    </row>
    <row r="32" spans="1:55" x14ac:dyDescent="0.2">
      <c r="A32" s="370"/>
      <c r="B32" s="370"/>
      <c r="C32" s="370"/>
      <c r="D32" s="370"/>
      <c r="E32" s="370"/>
      <c r="F32" s="370" t="str">
        <f>AI25</f>
        <v>Irán</v>
      </c>
      <c r="G32" s="370"/>
      <c r="H32" s="370"/>
      <c r="I32" s="370"/>
      <c r="J32" s="373">
        <f>VLOOKUP(F32,$F$16:$M$20,8,FALSE)</f>
        <v>4</v>
      </c>
      <c r="K32" s="373">
        <f>VLOOKUP(F32,$F$16:$M$20,6,FALSE)</f>
        <v>2</v>
      </c>
      <c r="L32" s="373">
        <f>VLOOKUP(F32,$F$16:$M$20,7,FALSE)</f>
        <v>2</v>
      </c>
      <c r="M32" s="373">
        <f>K32-L32</f>
        <v>0</v>
      </c>
      <c r="N32" s="370"/>
      <c r="O32" s="370" t="str">
        <f>F32</f>
        <v>Irán</v>
      </c>
      <c r="P32" s="373">
        <f>VLOOKUP(O32,$F$30:$M$34,5,FALSE)</f>
        <v>4</v>
      </c>
      <c r="Q32" s="373">
        <f>VLOOKUP(O32,$F$30:$M$34,8,FALSE)</f>
        <v>0</v>
      </c>
      <c r="R32" s="373">
        <f>VLOOKUP(O32,$F$30:$M$34,6,FALSE)</f>
        <v>2</v>
      </c>
      <c r="S32" s="370" t="str">
        <f>IF(AND(P30=P32,Q30=Q32,R32&gt;R30),O30,O32)</f>
        <v>Irán</v>
      </c>
      <c r="T32" s="373">
        <f>VLOOKUP(S32,$O$30:$R$34,2,FALSE)</f>
        <v>4</v>
      </c>
      <c r="U32" s="373">
        <f>VLOOKUP(S32,$O$30:$R$34,3,FALSE)</f>
        <v>0</v>
      </c>
      <c r="V32" s="373">
        <f>VLOOKUP(S32,$O$30:$R$34,4,FALSE)</f>
        <v>2</v>
      </c>
      <c r="W32" s="370" t="str">
        <f>S32</f>
        <v>Irán</v>
      </c>
      <c r="X32" s="373">
        <f>VLOOKUP(W32,$S$30:$V$34,2,FALSE)</f>
        <v>4</v>
      </c>
      <c r="Y32" s="373">
        <f>VLOOKUP(W32,$S$30:$V$34,3,FALSE)</f>
        <v>0</v>
      </c>
      <c r="Z32" s="373">
        <f>VLOOKUP(W32,$S$30:$V$34,4,FALSE)</f>
        <v>2</v>
      </c>
      <c r="AA32" s="370" t="str">
        <f>IF(AND(X31=X32,Y31=Y32,Z32&gt;Z31),W31,W32)</f>
        <v>Irán</v>
      </c>
      <c r="AB32" s="373">
        <f>VLOOKUP(AA32,W30:Z34,2,FALSE)</f>
        <v>4</v>
      </c>
      <c r="AC32" s="373">
        <f>VLOOKUP(AA32,W30:Z34,3,FALSE)</f>
        <v>0</v>
      </c>
      <c r="AD32" s="373">
        <f>VLOOKUP(AA32,W30:Z34,4,FALSE)</f>
        <v>2</v>
      </c>
      <c r="AE32" s="370" t="str">
        <f>AA32</f>
        <v>Irán</v>
      </c>
      <c r="AF32" s="373">
        <f>VLOOKUP(AE32,AA30:AD34,2,FALSE)</f>
        <v>4</v>
      </c>
      <c r="AG32" s="373">
        <f>VLOOKUP(AE32,AA30:AD34,3,FALSE)</f>
        <v>0</v>
      </c>
      <c r="AH32" s="373">
        <f>VLOOKUP(AE32,AA30:AD34,4,FALSE)</f>
        <v>2</v>
      </c>
      <c r="AI32" s="370" t="str">
        <f>IF(AND(AF32=AF33,AG32=AG33,AH33&gt;AH32),AE33,AE32)</f>
        <v>Irán</v>
      </c>
      <c r="AJ32" s="373">
        <f>VLOOKUP(AI32,AE30:AH34,2,FALSE)</f>
        <v>4</v>
      </c>
      <c r="AK32" s="373">
        <f>VLOOKUP(AI32,AE30:AH34,3,FALSE)</f>
        <v>0</v>
      </c>
      <c r="AL32" s="373">
        <f>VLOOKUP(AI32,AE30:AH34,4,FALSE)</f>
        <v>2</v>
      </c>
      <c r="AM32" s="370"/>
      <c r="AN32" s="373">
        <f t="shared" si="36"/>
        <v>4002</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4002</v>
      </c>
      <c r="AW32" s="373">
        <f t="shared" si="38"/>
        <v>3</v>
      </c>
      <c r="AX32" s="370" t="str">
        <f t="shared" si="39"/>
        <v>Irán</v>
      </c>
      <c r="AY32" s="336"/>
      <c r="AZ32" s="336"/>
      <c r="BA32" s="336"/>
      <c r="BB32" s="336"/>
      <c r="BC32" s="336"/>
    </row>
    <row r="33" spans="1:55" x14ac:dyDescent="0.2">
      <c r="A33" s="370"/>
      <c r="B33" s="370"/>
      <c r="C33" s="370"/>
      <c r="D33" s="370"/>
      <c r="E33" s="370"/>
      <c r="F33" s="370" t="str">
        <f>AI26</f>
        <v>Nueva Zelanda</v>
      </c>
      <c r="G33" s="370"/>
      <c r="H33" s="370"/>
      <c r="I33" s="370"/>
      <c r="J33" s="373">
        <f>VLOOKUP(F33,$F$16:$M$20,8,FALSE)</f>
        <v>1</v>
      </c>
      <c r="K33" s="373">
        <f>VLOOKUP(F33,$F$16:$M$20,6,FALSE)</f>
        <v>1</v>
      </c>
      <c r="L33" s="373">
        <f>VLOOKUP(F33,$F$16:$M$20,7,FALSE)</f>
        <v>5</v>
      </c>
      <c r="M33" s="373">
        <f>K33-L33</f>
        <v>-4</v>
      </c>
      <c r="N33" s="370"/>
      <c r="O33" s="370" t="str">
        <f>F33</f>
        <v>Nueva Zelanda</v>
      </c>
      <c r="P33" s="373">
        <f>VLOOKUP(O33,$F$30:$M$34,5,FALSE)</f>
        <v>1</v>
      </c>
      <c r="Q33" s="373">
        <f>VLOOKUP(O33,$F$30:$M$34,8,FALSE)</f>
        <v>-4</v>
      </c>
      <c r="R33" s="373">
        <f>VLOOKUP(O33,$F$30:$M$34,6,FALSE)</f>
        <v>1</v>
      </c>
      <c r="S33" s="370" t="str">
        <f>O33</f>
        <v>Nueva Zelanda</v>
      </c>
      <c r="T33" s="373">
        <f>VLOOKUP(S33,$O$30:$R$34,2,FALSE)</f>
        <v>1</v>
      </c>
      <c r="U33" s="373">
        <f>VLOOKUP(S33,$O$30:$R$34,3,FALSE)</f>
        <v>-4</v>
      </c>
      <c r="V33" s="373">
        <f>VLOOKUP(S33,$O$30:$R$34,4,FALSE)</f>
        <v>1</v>
      </c>
      <c r="W33" s="370" t="str">
        <f>IF(AND(T30=T33,U30=U33,V33&gt;V30),S30,S33)</f>
        <v>Nueva Zelanda</v>
      </c>
      <c r="X33" s="373">
        <f>VLOOKUP(W33,$S$30:$V$34,2,FALSE)</f>
        <v>1</v>
      </c>
      <c r="Y33" s="373">
        <f>VLOOKUP(W33,$S$30:$V$34,3,FALSE)</f>
        <v>-4</v>
      </c>
      <c r="Z33" s="373">
        <f>VLOOKUP(W33,$S$30:$V$34,4,FALSE)</f>
        <v>1</v>
      </c>
      <c r="AA33" s="370" t="str">
        <f>W33</f>
        <v>Nueva Zelanda</v>
      </c>
      <c r="AB33" s="373">
        <f>VLOOKUP(AA33,W30:Z34,2,FALSE)</f>
        <v>1</v>
      </c>
      <c r="AC33" s="373">
        <f>VLOOKUP(AA33,W30:Z34,3,FALSE)</f>
        <v>-4</v>
      </c>
      <c r="AD33" s="373">
        <f>VLOOKUP(AA33,W30:Z34,4,FALSE)</f>
        <v>1</v>
      </c>
      <c r="AE33" s="370" t="str">
        <f>IF(AND(AB31=AB33,AC31=AC33,AD33&gt;AD31),AA31,AA33)</f>
        <v>Nueva Zelanda</v>
      </c>
      <c r="AF33" s="373">
        <f>VLOOKUP(AE33,AA30:AD34,2,FALSE)</f>
        <v>1</v>
      </c>
      <c r="AG33" s="373">
        <f>VLOOKUP(AE33,AA30:AD34,3,FALSE)</f>
        <v>-4</v>
      </c>
      <c r="AH33" s="373">
        <f>VLOOKUP(AE33,AA30:AD34,4,FALSE)</f>
        <v>1</v>
      </c>
      <c r="AI33" s="370" t="str">
        <f>IF(AND(AF32=AF33,AG32=AG33,AH33&gt;AH32),AE32,AE33)</f>
        <v>Nueva Zelanda</v>
      </c>
      <c r="AJ33" s="373">
        <f>VLOOKUP(AI33,AE30:AH34,2,FALSE)</f>
        <v>1</v>
      </c>
      <c r="AK33" s="373">
        <f>VLOOKUP(AI33,AE30:AH34,3,FALSE)</f>
        <v>-4</v>
      </c>
      <c r="AL33" s="373">
        <f>VLOOKUP(AI33,AE30:AH34,4,FALSE)</f>
        <v>1</v>
      </c>
      <c r="AM33" s="370"/>
      <c r="AN33" s="373">
        <f t="shared" si="36"/>
        <v>601</v>
      </c>
      <c r="AO33" s="375"/>
      <c r="AP33" s="370"/>
      <c r="AQ33" s="375"/>
      <c r="AR33" s="370"/>
      <c r="AS33" s="375"/>
      <c r="AT33" s="370"/>
      <c r="AU33" s="370"/>
      <c r="AV33" s="370">
        <f t="shared" si="37"/>
        <v>601</v>
      </c>
      <c r="AW33" s="373">
        <f t="shared" si="38"/>
        <v>4</v>
      </c>
      <c r="AX33" s="370" t="str">
        <f t="shared" si="39"/>
        <v>Nueva Zelanda</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Bélgica</v>
      </c>
      <c r="G37" s="373">
        <f>VLOOKUP(F37,$F$16:$M$20,2,FALSE)</f>
        <v>3</v>
      </c>
      <c r="H37" s="373">
        <f>VLOOKUP(F37,$F$16:$M$20,3,FALSE)</f>
        <v>2</v>
      </c>
      <c r="I37" s="373">
        <f>VLOOKUP(F37,$F$16:$M$20,4,FALSE)</f>
        <v>1</v>
      </c>
      <c r="J37" s="373">
        <f>VLOOKUP(F37,$F$16:$M$20,5,FALSE)</f>
        <v>0</v>
      </c>
      <c r="K37" s="373">
        <f>VLOOKUP(F37,$F$16:$M$20,6,FALSE)</f>
        <v>4</v>
      </c>
      <c r="L37" s="373">
        <f>VLOOKUP(F37,$F$16:$M$20,7,FALSE)</f>
        <v>1</v>
      </c>
      <c r="M37" s="373">
        <f>VLOOKUP(F37,$F$16:$M$20,8,FALSE)</f>
        <v>7</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Egipto</v>
      </c>
      <c r="G38" s="373">
        <f>VLOOKUP(F38,$F$16:$M$20,2,FALSE)</f>
        <v>3</v>
      </c>
      <c r="H38" s="373">
        <f>VLOOKUP(F38,$F$16:$M$20,3,FALSE)</f>
        <v>1</v>
      </c>
      <c r="I38" s="373">
        <f>VLOOKUP(F38,$F$16:$M$20,4,FALSE)</f>
        <v>1</v>
      </c>
      <c r="J38" s="373">
        <f>VLOOKUP(F38,$F$16:$M$20,5,FALSE)</f>
        <v>1</v>
      </c>
      <c r="K38" s="373">
        <f>VLOOKUP(F38,$F$16:$M$20,6,FALSE)</f>
        <v>4</v>
      </c>
      <c r="L38" s="373">
        <f>VLOOKUP(F38,$F$16:$M$20,7,FALSE)</f>
        <v>3</v>
      </c>
      <c r="M38" s="373">
        <f>VLOOKUP(F38,$F$16:$M$20,8,FALSE)</f>
        <v>4</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Irán</v>
      </c>
      <c r="G39" s="373">
        <f>VLOOKUP(F39,$F$16:$M$20,2,FALSE)</f>
        <v>3</v>
      </c>
      <c r="H39" s="373">
        <f>VLOOKUP(F39,$F$16:$M$20,3,FALSE)</f>
        <v>1</v>
      </c>
      <c r="I39" s="373">
        <f>VLOOKUP(F39,$F$16:$M$20,4,FALSE)</f>
        <v>1</v>
      </c>
      <c r="J39" s="373">
        <f>VLOOKUP(F39,$F$16:$M$20,5,FALSE)</f>
        <v>1</v>
      </c>
      <c r="K39" s="373">
        <f>VLOOKUP(F39,$F$16:$M$20,6,FALSE)</f>
        <v>2</v>
      </c>
      <c r="L39" s="373">
        <f>VLOOKUP(F39,$F$16:$M$20,7,FALSE)</f>
        <v>2</v>
      </c>
      <c r="M39" s="373">
        <f>VLOOKUP(F39,$F$16:$M$20,8,FALSE)</f>
        <v>4</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Nueva Zelanda</v>
      </c>
      <c r="G40" s="373">
        <f>VLOOKUP(F40,$F$16:$M$20,2,FALSE)</f>
        <v>3</v>
      </c>
      <c r="H40" s="373">
        <f>VLOOKUP(F40,$F$16:$M$20,3,FALSE)</f>
        <v>0</v>
      </c>
      <c r="I40" s="373">
        <f>VLOOKUP(F40,$F$16:$M$20,4,FALSE)</f>
        <v>1</v>
      </c>
      <c r="J40" s="373">
        <f>VLOOKUP(F40,$F$16:$M$20,5,FALSE)</f>
        <v>2</v>
      </c>
      <c r="K40" s="373">
        <f>VLOOKUP(F40,$F$16:$M$20,6,FALSE)</f>
        <v>1</v>
      </c>
      <c r="L40" s="373">
        <f>VLOOKUP(F40,$F$16:$M$20,7,FALSE)</f>
        <v>5</v>
      </c>
      <c r="M40" s="373">
        <f>VLOOKUP(F40,$F$16:$M$20,8,FALSE)</f>
        <v>1</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W9x7nUzfPiL944jgHcK6dNNmG7b0RczfYXULAqJ8ZPsJc8c5FuMyHOUbK9/2G98+k3iVl8S+3KPwwUMZquSoSg==" saltValue="K4FpgFqMhxzlY1LAmmoRCw==" spinCount="100000" sheet="1" objects="1" scenarios="1" selectLockedCells="1"/>
  <mergeCells count="1">
    <mergeCell ref="A2:E2"/>
  </mergeCells>
  <phoneticPr fontId="20" type="noConversion"/>
  <pageMargins left="0.75" right="0.75" top="1" bottom="1" header="0.5" footer="0.5"/>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2"/>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H -'!R7&lt;&gt;"",'- H -'!R7,"")</f>
        <v>España</v>
      </c>
      <c r="H2" s="370"/>
      <c r="I2" s="370"/>
      <c r="J2" s="370"/>
      <c r="K2" s="370"/>
      <c r="L2" s="370"/>
      <c r="M2" s="370"/>
      <c r="N2" s="370" t="str">
        <f>IF('- H -'!R9&lt;&gt;"",'- H -'!R9,"")</f>
        <v>Cabo Verde</v>
      </c>
      <c r="O2" s="370"/>
      <c r="P2" s="370"/>
      <c r="Q2" s="370"/>
      <c r="R2" s="370"/>
      <c r="S2" s="370"/>
      <c r="T2" s="370"/>
      <c r="U2" s="370" t="str">
        <f>IF('- H -'!R11&lt;&gt;"",'- H -'!R11,"")</f>
        <v>Arabia Saudí</v>
      </c>
      <c r="V2" s="370"/>
      <c r="W2" s="370"/>
      <c r="X2" s="370"/>
      <c r="Y2" s="370"/>
      <c r="Z2" s="370"/>
      <c r="AA2" s="370"/>
      <c r="AB2" s="370" t="str">
        <f>IF('- H -'!R13&lt;&gt;"",'- H -'!R13,"")</f>
        <v>Uruguay</v>
      </c>
      <c r="AC2" s="370"/>
      <c r="AD2" s="370"/>
      <c r="AE2" s="370"/>
      <c r="AF2" s="370"/>
      <c r="AG2" s="370"/>
      <c r="AH2" s="370"/>
      <c r="AI2" s="370"/>
      <c r="AJ2" s="370"/>
      <c r="AK2" s="370"/>
      <c r="AL2" s="370"/>
      <c r="AM2" s="370"/>
      <c r="AN2" s="374" t="str">
        <f t="shared" ref="AN2:AN7" si="0">A4&amp;E4</f>
        <v>EspañaCabo Verde</v>
      </c>
      <c r="AO2" s="371" t="str">
        <f t="shared" ref="AO2:AO7" si="1">IF(B4=D4,0,IF(B4&gt;D4,A4,E4))</f>
        <v>España</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Arabia SaudíUruguay</v>
      </c>
      <c r="AO3" s="371" t="str">
        <f t="shared" si="1"/>
        <v>Uruguay</v>
      </c>
      <c r="AP3" s="370"/>
      <c r="AQ3" s="370"/>
      <c r="AR3" s="370"/>
      <c r="AS3" s="370"/>
      <c r="AT3" s="370"/>
      <c r="AU3" s="370"/>
      <c r="AV3" s="370"/>
      <c r="AW3" s="370"/>
      <c r="AX3" s="370"/>
      <c r="AY3" s="336"/>
      <c r="AZ3" s="336"/>
      <c r="BA3" s="336"/>
      <c r="BB3" s="336"/>
      <c r="BC3" s="336"/>
    </row>
    <row r="4" spans="1:55" x14ac:dyDescent="0.2">
      <c r="A4" s="375" t="str">
        <f>'- H -'!C6</f>
        <v>España</v>
      </c>
      <c r="B4" s="373">
        <f>IF('- H -'!D6&lt;&gt;"",'- H -'!D6,"")</f>
        <v>4</v>
      </c>
      <c r="C4" s="373" t="str">
        <f>'- H -'!E6</f>
        <v>-</v>
      </c>
      <c r="D4" s="373">
        <f>IF('- H -'!F6&lt;&gt;"",'- H -'!F6,"")</f>
        <v>0</v>
      </c>
      <c r="E4" s="376" t="str">
        <f>'- H -'!G6</f>
        <v>Cabo Verde</v>
      </c>
      <c r="F4" s="373">
        <f>COUNTBLANK('- H -'!D6:'- H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4</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4</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EspañaArabia Saudí</v>
      </c>
      <c r="AO4" s="371" t="str">
        <f t="shared" si="1"/>
        <v>España</v>
      </c>
      <c r="AP4" s="370"/>
      <c r="AQ4" s="370"/>
      <c r="AR4" s="370"/>
      <c r="AS4" s="370"/>
      <c r="AT4" s="370"/>
      <c r="AU4" s="370"/>
      <c r="AV4" s="370"/>
      <c r="AW4" s="370"/>
      <c r="AX4" s="370"/>
      <c r="AY4" s="336"/>
      <c r="AZ4" s="336"/>
      <c r="BA4" s="336"/>
      <c r="BB4" s="336"/>
      <c r="BC4" s="336"/>
    </row>
    <row r="5" spans="1:55" x14ac:dyDescent="0.2">
      <c r="A5" s="375" t="str">
        <f>'- H -'!C7</f>
        <v>Arabia Saudí</v>
      </c>
      <c r="B5" s="373">
        <f>IF('- H -'!D7&lt;&gt;"",'- H -'!D7,"")</f>
        <v>0</v>
      </c>
      <c r="C5" s="373" t="str">
        <f>'- H -'!E7</f>
        <v>-</v>
      </c>
      <c r="D5" s="373">
        <f>IF('- H -'!F7&lt;&gt;"",'- H -'!F7,"")</f>
        <v>1</v>
      </c>
      <c r="E5" s="376" t="str">
        <f>'- H -'!G7</f>
        <v>Uruguay</v>
      </c>
      <c r="F5" s="373">
        <f>COUNTBLANK('- H -'!D7:'- H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0</v>
      </c>
      <c r="W5" s="373">
        <f t="shared" si="16"/>
        <v>0</v>
      </c>
      <c r="X5" s="373">
        <f t="shared" si="17"/>
        <v>1</v>
      </c>
      <c r="Y5" s="373">
        <f t="shared" si="18"/>
        <v>0</v>
      </c>
      <c r="Z5" s="373">
        <f t="shared" si="19"/>
        <v>1</v>
      </c>
      <c r="AA5" s="373"/>
      <c r="AB5" s="373">
        <f t="shared" si="20"/>
        <v>1</v>
      </c>
      <c r="AC5" s="373">
        <f t="shared" si="21"/>
        <v>1</v>
      </c>
      <c r="AD5" s="373">
        <f t="shared" si="22"/>
        <v>0</v>
      </c>
      <c r="AE5" s="373">
        <f t="shared" si="23"/>
        <v>0</v>
      </c>
      <c r="AF5" s="373">
        <f t="shared" si="24"/>
        <v>1</v>
      </c>
      <c r="AG5" s="373">
        <f t="shared" si="25"/>
        <v>0</v>
      </c>
      <c r="AH5" s="373"/>
      <c r="AI5" s="370"/>
      <c r="AJ5" s="370"/>
      <c r="AK5" s="370"/>
      <c r="AL5" s="370"/>
      <c r="AM5" s="370"/>
      <c r="AN5" s="374" t="str">
        <f t="shared" si="0"/>
        <v>UruguayCabo Verde</v>
      </c>
      <c r="AO5" s="371" t="str">
        <f t="shared" si="1"/>
        <v>Uruguay</v>
      </c>
      <c r="AP5" s="370"/>
      <c r="AQ5" s="370"/>
      <c r="AR5" s="370"/>
      <c r="AS5" s="370"/>
      <c r="AT5" s="370"/>
      <c r="AU5" s="370"/>
      <c r="AV5" s="370"/>
      <c r="AW5" s="370"/>
      <c r="AX5" s="370"/>
      <c r="AY5" s="336"/>
      <c r="AZ5" s="336"/>
      <c r="BA5" s="336"/>
      <c r="BB5" s="336"/>
      <c r="BC5" s="336"/>
    </row>
    <row r="6" spans="1:55" x14ac:dyDescent="0.2">
      <c r="A6" s="375" t="str">
        <f>'- H -'!C8</f>
        <v>España</v>
      </c>
      <c r="B6" s="373">
        <f>IF('- H -'!D8&lt;&gt;"",'- H -'!D8,"")</f>
        <v>2</v>
      </c>
      <c r="C6" s="373" t="str">
        <f>'- H -'!E8</f>
        <v>-</v>
      </c>
      <c r="D6" s="373">
        <f>IF('- H -'!F8&lt;&gt;"",'- H -'!F8,"")</f>
        <v>0</v>
      </c>
      <c r="E6" s="376" t="str">
        <f>'- H -'!G8</f>
        <v>Arabia Saudí</v>
      </c>
      <c r="F6" s="373">
        <f>COUNTBLANK('- H -'!D8:'- H -'!F8)</f>
        <v>0</v>
      </c>
      <c r="G6" s="373">
        <f t="shared" si="2"/>
        <v>1</v>
      </c>
      <c r="H6" s="373">
        <f t="shared" si="3"/>
        <v>1</v>
      </c>
      <c r="I6" s="373">
        <f t="shared" si="4"/>
        <v>0</v>
      </c>
      <c r="J6" s="373">
        <f t="shared" si="5"/>
        <v>0</v>
      </c>
      <c r="K6" s="373">
        <f t="shared" si="6"/>
        <v>2</v>
      </c>
      <c r="L6" s="373">
        <f t="shared" si="7"/>
        <v>0</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0</v>
      </c>
      <c r="Z6" s="373">
        <f t="shared" si="19"/>
        <v>2</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Cabo VerdeArabia Saudí</v>
      </c>
      <c r="AO6" s="371" t="str">
        <f t="shared" si="1"/>
        <v>Cabo Verde</v>
      </c>
      <c r="AP6" s="370"/>
      <c r="AQ6" s="370"/>
      <c r="AR6" s="370"/>
      <c r="AS6" s="370"/>
      <c r="AT6" s="370"/>
      <c r="AU6" s="370"/>
      <c r="AV6" s="370"/>
      <c r="AW6" s="370"/>
      <c r="AX6" s="370"/>
      <c r="AY6" s="336"/>
      <c r="AZ6" s="336"/>
      <c r="BA6" s="336"/>
      <c r="BB6" s="336"/>
      <c r="BC6" s="336"/>
    </row>
    <row r="7" spans="1:55" x14ac:dyDescent="0.2">
      <c r="A7" s="375" t="str">
        <f>'- H -'!C9</f>
        <v>Uruguay</v>
      </c>
      <c r="B7" s="373">
        <f>IF('- H -'!D9&lt;&gt;"",'- H -'!D9,"")</f>
        <v>3</v>
      </c>
      <c r="C7" s="373" t="str">
        <f>'- H -'!E9</f>
        <v>-</v>
      </c>
      <c r="D7" s="373">
        <f>IF('- H -'!F9&lt;&gt;"",'- H -'!F9,"")</f>
        <v>0</v>
      </c>
      <c r="E7" s="376" t="str">
        <f>'- H -'!G9</f>
        <v>Cabo Verde</v>
      </c>
      <c r="F7" s="373">
        <f>COUNTBLANK('- H -'!D9:'- H -'!F9)</f>
        <v>0</v>
      </c>
      <c r="G7" s="373">
        <f t="shared" si="2"/>
        <v>0</v>
      </c>
      <c r="H7" s="373">
        <f t="shared" si="3"/>
        <v>0</v>
      </c>
      <c r="I7" s="373">
        <f t="shared" si="4"/>
        <v>0</v>
      </c>
      <c r="J7" s="373">
        <f t="shared" si="5"/>
        <v>0</v>
      </c>
      <c r="K7" s="373">
        <f t="shared" si="6"/>
        <v>0</v>
      </c>
      <c r="L7" s="373">
        <f t="shared" si="7"/>
        <v>0</v>
      </c>
      <c r="M7" s="373"/>
      <c r="N7" s="373">
        <f t="shared" si="8"/>
        <v>1</v>
      </c>
      <c r="O7" s="373">
        <f t="shared" si="9"/>
        <v>0</v>
      </c>
      <c r="P7" s="373">
        <f t="shared" si="10"/>
        <v>0</v>
      </c>
      <c r="Q7" s="373">
        <f t="shared" si="11"/>
        <v>1</v>
      </c>
      <c r="R7" s="373">
        <f t="shared" si="12"/>
        <v>0</v>
      </c>
      <c r="S7" s="373">
        <f t="shared" si="13"/>
        <v>3</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1</v>
      </c>
      <c r="AD7" s="373">
        <f t="shared" si="22"/>
        <v>0</v>
      </c>
      <c r="AE7" s="373">
        <f t="shared" si="23"/>
        <v>0</v>
      </c>
      <c r="AF7" s="373">
        <f t="shared" si="24"/>
        <v>3</v>
      </c>
      <c r="AG7" s="373">
        <f t="shared" si="25"/>
        <v>0</v>
      </c>
      <c r="AH7" s="373"/>
      <c r="AI7" s="370"/>
      <c r="AJ7" s="370"/>
      <c r="AK7" s="370"/>
      <c r="AL7" s="370"/>
      <c r="AM7" s="370"/>
      <c r="AN7" s="374" t="str">
        <f t="shared" si="0"/>
        <v>UruguayEspaña</v>
      </c>
      <c r="AO7" s="371" t="str">
        <f t="shared" si="1"/>
        <v>España</v>
      </c>
      <c r="AP7" s="370"/>
      <c r="AQ7" s="370"/>
      <c r="AR7" s="370"/>
      <c r="AS7" s="370"/>
      <c r="AT7" s="370"/>
      <c r="AU7" s="370"/>
      <c r="AV7" s="370"/>
      <c r="AW7" s="370"/>
      <c r="AX7" s="370"/>
      <c r="AY7" s="336"/>
      <c r="AZ7" s="336"/>
      <c r="BA7" s="336"/>
      <c r="BB7" s="336"/>
      <c r="BC7" s="336"/>
    </row>
    <row r="8" spans="1:55" x14ac:dyDescent="0.2">
      <c r="A8" s="375" t="str">
        <f>'- H -'!C10</f>
        <v>Cabo Verde</v>
      </c>
      <c r="B8" s="373">
        <f>IF('- H -'!D10&lt;&gt;"",'- H -'!D10,"")</f>
        <v>2</v>
      </c>
      <c r="C8" s="373" t="str">
        <f>'- H -'!E10</f>
        <v>-</v>
      </c>
      <c r="D8" s="373">
        <f>IF('- H -'!F10&lt;&gt;"",'- H -'!F10,"")</f>
        <v>1</v>
      </c>
      <c r="E8" s="376" t="str">
        <f>'- H -'!G10</f>
        <v>Arabia Saudí</v>
      </c>
      <c r="F8" s="373">
        <f>COUNTBLANK('- H -'!D10:'- H -'!F10)</f>
        <v>0</v>
      </c>
      <c r="G8" s="373">
        <f t="shared" si="2"/>
        <v>0</v>
      </c>
      <c r="H8" s="373">
        <f t="shared" si="3"/>
        <v>0</v>
      </c>
      <c r="I8" s="373">
        <f t="shared" si="4"/>
        <v>0</v>
      </c>
      <c r="J8" s="373">
        <f t="shared" si="5"/>
        <v>0</v>
      </c>
      <c r="K8" s="373">
        <f t="shared" si="6"/>
        <v>0</v>
      </c>
      <c r="L8" s="373">
        <f t="shared" si="7"/>
        <v>0</v>
      </c>
      <c r="M8" s="373"/>
      <c r="N8" s="373">
        <f t="shared" si="8"/>
        <v>1</v>
      </c>
      <c r="O8" s="373">
        <f t="shared" si="9"/>
        <v>1</v>
      </c>
      <c r="P8" s="373">
        <f t="shared" si="10"/>
        <v>0</v>
      </c>
      <c r="Q8" s="373">
        <f t="shared" si="11"/>
        <v>0</v>
      </c>
      <c r="R8" s="373">
        <f t="shared" si="12"/>
        <v>2</v>
      </c>
      <c r="S8" s="373">
        <f t="shared" si="13"/>
        <v>1</v>
      </c>
      <c r="T8" s="373"/>
      <c r="U8" s="373">
        <f t="shared" si="14"/>
        <v>1</v>
      </c>
      <c r="V8" s="373">
        <f t="shared" si="15"/>
        <v>0</v>
      </c>
      <c r="W8" s="373">
        <f t="shared" si="16"/>
        <v>0</v>
      </c>
      <c r="X8" s="373">
        <f t="shared" si="17"/>
        <v>1</v>
      </c>
      <c r="Y8" s="373">
        <f t="shared" si="18"/>
        <v>1</v>
      </c>
      <c r="Z8" s="373">
        <f t="shared" si="19"/>
        <v>2</v>
      </c>
      <c r="AA8" s="373"/>
      <c r="AB8" s="373">
        <f t="shared" si="20"/>
        <v>0</v>
      </c>
      <c r="AC8" s="373">
        <f t="shared" si="21"/>
        <v>0</v>
      </c>
      <c r="AD8" s="373">
        <f t="shared" si="22"/>
        <v>0</v>
      </c>
      <c r="AE8" s="373">
        <f t="shared" si="23"/>
        <v>0</v>
      </c>
      <c r="AF8" s="373">
        <f t="shared" si="24"/>
        <v>0</v>
      </c>
      <c r="AG8" s="373">
        <f t="shared" si="25"/>
        <v>0</v>
      </c>
      <c r="AH8" s="373"/>
      <c r="AI8" s="370"/>
      <c r="AJ8" s="370"/>
      <c r="AK8" s="370"/>
      <c r="AL8" s="370"/>
      <c r="AM8" s="370"/>
      <c r="AN8" s="374" t="str">
        <f>E4&amp;A4</f>
        <v>Cabo VerdeEspaña</v>
      </c>
      <c r="AO8" s="371" t="str">
        <f>IF(B4=D4,0,IF(B4&gt;D4,A4,E4))</f>
        <v>España</v>
      </c>
      <c r="AP8" s="370"/>
      <c r="AQ8" s="370"/>
      <c r="AR8" s="370"/>
      <c r="AS8" s="370"/>
      <c r="AT8" s="370"/>
      <c r="AU8" s="370"/>
      <c r="AV8" s="370"/>
      <c r="AW8" s="370"/>
      <c r="AX8" s="370"/>
      <c r="AY8" s="336"/>
      <c r="AZ8" s="336"/>
      <c r="BA8" s="336"/>
      <c r="BB8" s="336"/>
      <c r="BC8" s="336"/>
    </row>
    <row r="9" spans="1:55" x14ac:dyDescent="0.2">
      <c r="A9" s="375" t="str">
        <f>'- H -'!C11</f>
        <v>Uruguay</v>
      </c>
      <c r="B9" s="373">
        <f>IF('- H -'!D11&lt;&gt;"",'- H -'!D11,"")</f>
        <v>0</v>
      </c>
      <c r="C9" s="373" t="str">
        <f>'- H -'!E11</f>
        <v>-</v>
      </c>
      <c r="D9" s="373">
        <f>IF('- H -'!F11&lt;&gt;"",'- H -'!F11,"")</f>
        <v>1</v>
      </c>
      <c r="E9" s="376" t="str">
        <f>'- H -'!G11</f>
        <v>España</v>
      </c>
      <c r="F9" s="373">
        <f>COUNTBLANK('- H -'!D11:'- H -'!F11)</f>
        <v>0</v>
      </c>
      <c r="G9" s="373">
        <f t="shared" si="2"/>
        <v>1</v>
      </c>
      <c r="H9" s="373">
        <f t="shared" si="3"/>
        <v>1</v>
      </c>
      <c r="I9" s="373">
        <f t="shared" si="4"/>
        <v>0</v>
      </c>
      <c r="J9" s="373">
        <f t="shared" si="5"/>
        <v>0</v>
      </c>
      <c r="K9" s="373">
        <f t="shared" si="6"/>
        <v>1</v>
      </c>
      <c r="L9" s="373">
        <f t="shared" si="7"/>
        <v>0</v>
      </c>
      <c r="M9" s="373"/>
      <c r="N9" s="373">
        <f t="shared" si="8"/>
        <v>0</v>
      </c>
      <c r="O9" s="373">
        <f t="shared" si="9"/>
        <v>0</v>
      </c>
      <c r="P9" s="373">
        <f t="shared" si="10"/>
        <v>0</v>
      </c>
      <c r="Q9" s="373">
        <f t="shared" si="11"/>
        <v>0</v>
      </c>
      <c r="R9" s="373">
        <f t="shared" si="12"/>
        <v>0</v>
      </c>
      <c r="S9" s="373">
        <f t="shared" si="13"/>
        <v>0</v>
      </c>
      <c r="T9" s="373"/>
      <c r="U9" s="373">
        <f t="shared" si="14"/>
        <v>0</v>
      </c>
      <c r="V9" s="373">
        <f t="shared" si="15"/>
        <v>0</v>
      </c>
      <c r="W9" s="373">
        <f t="shared" si="16"/>
        <v>0</v>
      </c>
      <c r="X9" s="373">
        <f t="shared" si="17"/>
        <v>0</v>
      </c>
      <c r="Y9" s="373">
        <f t="shared" si="18"/>
        <v>0</v>
      </c>
      <c r="Z9" s="373">
        <f t="shared" si="19"/>
        <v>0</v>
      </c>
      <c r="AA9" s="373"/>
      <c r="AB9" s="373">
        <f t="shared" si="20"/>
        <v>1</v>
      </c>
      <c r="AC9" s="373">
        <f t="shared" si="21"/>
        <v>0</v>
      </c>
      <c r="AD9" s="373">
        <f t="shared" si="22"/>
        <v>0</v>
      </c>
      <c r="AE9" s="373">
        <f t="shared" si="23"/>
        <v>1</v>
      </c>
      <c r="AF9" s="373">
        <f t="shared" si="24"/>
        <v>0</v>
      </c>
      <c r="AG9" s="373">
        <f t="shared" si="25"/>
        <v>1</v>
      </c>
      <c r="AH9" s="373"/>
      <c r="AI9" s="370"/>
      <c r="AJ9" s="370"/>
      <c r="AK9" s="370"/>
      <c r="AL9" s="370"/>
      <c r="AM9" s="370"/>
      <c r="AN9" s="374" t="str">
        <f t="shared" ref="AN9:AN13" si="26">E5&amp;A5</f>
        <v>UruguayArabia Saudí</v>
      </c>
      <c r="AO9" s="371" t="str">
        <f t="shared" ref="AO9:AO13" si="27">IF(B5=D5,0,IF(B5&gt;D5,A5,E5))</f>
        <v>Uruguay</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3</v>
      </c>
      <c r="I10" s="373">
        <f t="shared" si="28"/>
        <v>0</v>
      </c>
      <c r="J10" s="373">
        <f t="shared" si="28"/>
        <v>0</v>
      </c>
      <c r="K10" s="373">
        <f t="shared" si="28"/>
        <v>7</v>
      </c>
      <c r="L10" s="373">
        <f t="shared" si="28"/>
        <v>0</v>
      </c>
      <c r="M10" s="373">
        <f>H10*3+I10</f>
        <v>9</v>
      </c>
      <c r="N10" s="373">
        <f t="shared" ref="N10:S10" si="29">SUM(N4:N9)</f>
        <v>3</v>
      </c>
      <c r="O10" s="373">
        <f t="shared" si="29"/>
        <v>1</v>
      </c>
      <c r="P10" s="373">
        <f t="shared" si="29"/>
        <v>0</v>
      </c>
      <c r="Q10" s="373">
        <f t="shared" si="29"/>
        <v>2</v>
      </c>
      <c r="R10" s="373">
        <f t="shared" si="29"/>
        <v>2</v>
      </c>
      <c r="S10" s="373">
        <f t="shared" si="29"/>
        <v>8</v>
      </c>
      <c r="T10" s="373">
        <f>O10*3+P10</f>
        <v>3</v>
      </c>
      <c r="U10" s="373">
        <f t="shared" ref="U10:Z10" si="30">SUM(U4:U9)</f>
        <v>3</v>
      </c>
      <c r="V10" s="373">
        <f t="shared" si="30"/>
        <v>0</v>
      </c>
      <c r="W10" s="373">
        <f t="shared" si="30"/>
        <v>0</v>
      </c>
      <c r="X10" s="373">
        <f t="shared" si="30"/>
        <v>3</v>
      </c>
      <c r="Y10" s="373">
        <f t="shared" si="30"/>
        <v>1</v>
      </c>
      <c r="Z10" s="373">
        <f t="shared" si="30"/>
        <v>5</v>
      </c>
      <c r="AA10" s="373">
        <f>V10*3+W10</f>
        <v>0</v>
      </c>
      <c r="AB10" s="373">
        <f t="shared" ref="AB10:AG10" si="31">SUM(AB4:AB9)</f>
        <v>3</v>
      </c>
      <c r="AC10" s="373">
        <f t="shared" si="31"/>
        <v>2</v>
      </c>
      <c r="AD10" s="373">
        <f t="shared" si="31"/>
        <v>0</v>
      </c>
      <c r="AE10" s="373">
        <f t="shared" si="31"/>
        <v>1</v>
      </c>
      <c r="AF10" s="373">
        <f t="shared" si="31"/>
        <v>4</v>
      </c>
      <c r="AG10" s="373">
        <f t="shared" si="31"/>
        <v>1</v>
      </c>
      <c r="AH10" s="373">
        <f>AC10*3+AD10</f>
        <v>6</v>
      </c>
      <c r="AI10" s="370"/>
      <c r="AJ10" s="370"/>
      <c r="AK10" s="370"/>
      <c r="AL10" s="370"/>
      <c r="AM10" s="370"/>
      <c r="AN10" s="374" t="str">
        <f t="shared" si="26"/>
        <v>Arabia SaudíEspaña</v>
      </c>
      <c r="AO10" s="371" t="str">
        <f t="shared" si="27"/>
        <v>España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Cabo VerdeUruguay</v>
      </c>
      <c r="AO11" s="371" t="str">
        <f t="shared" si="27"/>
        <v>Uruguay</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Arabia SaudíCabo Verde</v>
      </c>
      <c r="AO12" s="371" t="str">
        <f t="shared" si="27"/>
        <v>Cabo Verde</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EspañaUruguay</v>
      </c>
      <c r="AO13" s="371" t="str">
        <f t="shared" si="27"/>
        <v>España</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España</v>
      </c>
      <c r="G16" s="373">
        <f>G10</f>
        <v>3</v>
      </c>
      <c r="H16" s="373">
        <f t="shared" ref="H16:M16" si="32">H10</f>
        <v>3</v>
      </c>
      <c r="I16" s="373">
        <f t="shared" si="32"/>
        <v>0</v>
      </c>
      <c r="J16" s="373">
        <f t="shared" si="32"/>
        <v>0</v>
      </c>
      <c r="K16" s="373">
        <f t="shared" si="32"/>
        <v>7</v>
      </c>
      <c r="L16" s="373">
        <f t="shared" si="32"/>
        <v>0</v>
      </c>
      <c r="M16" s="373">
        <f t="shared" si="32"/>
        <v>9</v>
      </c>
      <c r="N16" s="370"/>
      <c r="O16" s="370" t="str">
        <f>IF($M16&gt;=$M17,$F16,$F17)</f>
        <v>España</v>
      </c>
      <c r="P16" s="370">
        <f>VLOOKUP(O16,$F$16:$M$20,8,FALSE)</f>
        <v>9</v>
      </c>
      <c r="Q16" s="370"/>
      <c r="R16" s="370"/>
      <c r="S16" s="370" t="str">
        <f>IF($P16&gt;=$P18,$O16,$O18)</f>
        <v>España</v>
      </c>
      <c r="T16" s="370">
        <f>VLOOKUP(S16,$O$16:$P$20,2,FALSE)</f>
        <v>9</v>
      </c>
      <c r="U16" s="370"/>
      <c r="V16" s="370"/>
      <c r="W16" s="370" t="str">
        <f>IF($T16&gt;=$T19,$S16,$S19)</f>
        <v>España</v>
      </c>
      <c r="X16" s="370">
        <f>VLOOKUP(W16,$S$16:$T$20,2,FALSE)</f>
        <v>9</v>
      </c>
      <c r="Y16" s="370"/>
      <c r="Z16" s="370"/>
      <c r="AA16" s="370" t="str">
        <f>W16</f>
        <v>España</v>
      </c>
      <c r="AB16" s="370">
        <f>VLOOKUP(AA16,W16:X20,2,FALSE)</f>
        <v>9</v>
      </c>
      <c r="AC16" s="370"/>
      <c r="AD16" s="370"/>
      <c r="AE16" s="370" t="str">
        <f>AA16</f>
        <v>España</v>
      </c>
      <c r="AF16" s="370">
        <f>VLOOKUP(AE16,AA16:AB20,2,FALSE)</f>
        <v>9</v>
      </c>
      <c r="AG16" s="370"/>
      <c r="AH16" s="370"/>
      <c r="AI16" s="370" t="str">
        <f>AE16</f>
        <v>España</v>
      </c>
      <c r="AJ16" s="370">
        <f>VLOOKUP(AI16,AE16:AF20,2,FALSE)</f>
        <v>9</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Cabo Verde</v>
      </c>
      <c r="G17" s="373">
        <f t="shared" ref="G17:M17" si="33">N10</f>
        <v>3</v>
      </c>
      <c r="H17" s="373">
        <f t="shared" si="33"/>
        <v>1</v>
      </c>
      <c r="I17" s="373">
        <f t="shared" si="33"/>
        <v>0</v>
      </c>
      <c r="J17" s="373">
        <f t="shared" si="33"/>
        <v>2</v>
      </c>
      <c r="K17" s="373">
        <f t="shared" si="33"/>
        <v>2</v>
      </c>
      <c r="L17" s="373">
        <f t="shared" si="33"/>
        <v>8</v>
      </c>
      <c r="M17" s="373">
        <f t="shared" si="33"/>
        <v>3</v>
      </c>
      <c r="N17" s="370"/>
      <c r="O17" s="370" t="str">
        <f>IF($M17&lt;=$M16,$F17,$F16)</f>
        <v>Cabo Verde</v>
      </c>
      <c r="P17" s="370">
        <f>VLOOKUP(O17,$F$16:$M$20,8,FALSE)</f>
        <v>3</v>
      </c>
      <c r="Q17" s="370"/>
      <c r="R17" s="370"/>
      <c r="S17" s="370" t="str">
        <f>O17</f>
        <v>Cabo Verde</v>
      </c>
      <c r="T17" s="370">
        <f>VLOOKUP(S17,$O$16:$P$20,2,FALSE)</f>
        <v>3</v>
      </c>
      <c r="U17" s="370"/>
      <c r="V17" s="370"/>
      <c r="W17" s="370" t="str">
        <f>S17</f>
        <v>Cabo Verde</v>
      </c>
      <c r="X17" s="370">
        <f>VLOOKUP(W17,$S$16:$T$20,2,FALSE)</f>
        <v>3</v>
      </c>
      <c r="Y17" s="370"/>
      <c r="Z17" s="370"/>
      <c r="AA17" s="370" t="str">
        <f>IF(X17&gt;=X18,W17,W18)</f>
        <v>Cabo Verde</v>
      </c>
      <c r="AB17" s="370">
        <f>VLOOKUP(AA17,W16:X20,2,FALSE)</f>
        <v>3</v>
      </c>
      <c r="AC17" s="370"/>
      <c r="AD17" s="370"/>
      <c r="AE17" s="370" t="str">
        <f>IF(AB17&gt;=AB19,AA17,AA19)</f>
        <v>Uruguay</v>
      </c>
      <c r="AF17" s="370">
        <f>VLOOKUP(AE17,AA16:AB20,2,FALSE)</f>
        <v>6</v>
      </c>
      <c r="AG17" s="370"/>
      <c r="AH17" s="370"/>
      <c r="AI17" s="370" t="str">
        <f>AE17</f>
        <v>Uruguay</v>
      </c>
      <c r="AJ17" s="370">
        <f>VLOOKUP(AI17,AE16:AF20,2,FALSE)</f>
        <v>6</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Arabia Saudí</v>
      </c>
      <c r="G18" s="373">
        <f t="shared" ref="G18:M18" si="34">U10</f>
        <v>3</v>
      </c>
      <c r="H18" s="373">
        <f t="shared" si="34"/>
        <v>0</v>
      </c>
      <c r="I18" s="373">
        <f t="shared" si="34"/>
        <v>0</v>
      </c>
      <c r="J18" s="373">
        <f t="shared" si="34"/>
        <v>3</v>
      </c>
      <c r="K18" s="373">
        <f t="shared" si="34"/>
        <v>1</v>
      </c>
      <c r="L18" s="373">
        <f t="shared" si="34"/>
        <v>5</v>
      </c>
      <c r="M18" s="373">
        <f t="shared" si="34"/>
        <v>0</v>
      </c>
      <c r="N18" s="370"/>
      <c r="O18" s="370" t="str">
        <f>F18</f>
        <v>Arabia Saudí</v>
      </c>
      <c r="P18" s="370">
        <f>VLOOKUP(O18,$F$16:$M$20,8,FALSE)</f>
        <v>0</v>
      </c>
      <c r="Q18" s="370"/>
      <c r="R18" s="370"/>
      <c r="S18" s="370" t="str">
        <f>IF($P18&lt;=$P16,$O18,$O16)</f>
        <v>Arabia Saudí</v>
      </c>
      <c r="T18" s="370">
        <f>VLOOKUP(S18,$O$16:$P$20,2,FALSE)</f>
        <v>0</v>
      </c>
      <c r="U18" s="370"/>
      <c r="V18" s="370"/>
      <c r="W18" s="370" t="str">
        <f>S18</f>
        <v>Arabia Saudí</v>
      </c>
      <c r="X18" s="370">
        <f>VLOOKUP(W18,$S$16:$T$20,2,FALSE)</f>
        <v>0</v>
      </c>
      <c r="Y18" s="370"/>
      <c r="Z18" s="370"/>
      <c r="AA18" s="370" t="str">
        <f>IF(X18&lt;=X17,W18,W17)</f>
        <v>Arabia Saudí</v>
      </c>
      <c r="AB18" s="370">
        <f>VLOOKUP(AA18,W16:X20,2,FALSE)</f>
        <v>0</v>
      </c>
      <c r="AC18" s="370"/>
      <c r="AD18" s="370"/>
      <c r="AE18" s="370" t="str">
        <f>AA18</f>
        <v>Arabia Saudí</v>
      </c>
      <c r="AF18" s="370">
        <f>VLOOKUP(AE18,AA16:AB20,2,FALSE)</f>
        <v>0</v>
      </c>
      <c r="AG18" s="370"/>
      <c r="AH18" s="370"/>
      <c r="AI18" s="370" t="str">
        <f>IF(AF18&gt;=AF19,AE18,AE19)</f>
        <v>Cabo Verde</v>
      </c>
      <c r="AJ18" s="370">
        <f>VLOOKUP(AI18,AE16:AF20,2,FALSE)</f>
        <v>3</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Uruguay</v>
      </c>
      <c r="G19" s="373">
        <f t="shared" ref="G19:M19" si="35">AB10</f>
        <v>3</v>
      </c>
      <c r="H19" s="373">
        <f t="shared" si="35"/>
        <v>2</v>
      </c>
      <c r="I19" s="373">
        <f t="shared" si="35"/>
        <v>0</v>
      </c>
      <c r="J19" s="373">
        <f t="shared" si="35"/>
        <v>1</v>
      </c>
      <c r="K19" s="373">
        <f t="shared" si="35"/>
        <v>4</v>
      </c>
      <c r="L19" s="373">
        <f t="shared" si="35"/>
        <v>1</v>
      </c>
      <c r="M19" s="373">
        <f t="shared" si="35"/>
        <v>6</v>
      </c>
      <c r="N19" s="370"/>
      <c r="O19" s="370" t="str">
        <f>F19</f>
        <v>Uruguay</v>
      </c>
      <c r="P19" s="370">
        <f>VLOOKUP(O19,$F$16:$M$20,8,FALSE)</f>
        <v>6</v>
      </c>
      <c r="Q19" s="370"/>
      <c r="R19" s="370"/>
      <c r="S19" s="370" t="str">
        <f>O19</f>
        <v>Uruguay</v>
      </c>
      <c r="T19" s="370">
        <f>VLOOKUP(S19,$O$16:$P$20,2,FALSE)</f>
        <v>6</v>
      </c>
      <c r="U19" s="370"/>
      <c r="V19" s="370"/>
      <c r="W19" s="370" t="str">
        <f>IF($T19&lt;=$T16,$S19,$S16)</f>
        <v>Uruguay</v>
      </c>
      <c r="X19" s="370">
        <f>VLOOKUP(W19,$S$16:$T$20,2,FALSE)</f>
        <v>6</v>
      </c>
      <c r="Y19" s="370"/>
      <c r="Z19" s="370"/>
      <c r="AA19" s="370" t="str">
        <f>W19</f>
        <v>Uruguay</v>
      </c>
      <c r="AB19" s="370">
        <f>VLOOKUP(AA19,W16:X20,2,FALSE)</f>
        <v>6</v>
      </c>
      <c r="AC19" s="370"/>
      <c r="AD19" s="370"/>
      <c r="AE19" s="370" t="str">
        <f>IF(AB19&lt;=AB17,AA19,AA17)</f>
        <v>Cabo Verde</v>
      </c>
      <c r="AF19" s="370">
        <f>VLOOKUP(AE19,AA16:AB20,2,FALSE)</f>
        <v>3</v>
      </c>
      <c r="AG19" s="370"/>
      <c r="AH19" s="370"/>
      <c r="AI19" s="370" t="str">
        <f>IF(AF19&lt;=AF18,AE19,AE18)</f>
        <v>Arabia Saudí</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España</v>
      </c>
      <c r="G23" s="370"/>
      <c r="H23" s="370"/>
      <c r="I23" s="370"/>
      <c r="J23" s="373">
        <f>AJ16</f>
        <v>9</v>
      </c>
      <c r="K23" s="373">
        <f>VLOOKUP(AI16,$F$16:$M$20,6,FALSE)</f>
        <v>7</v>
      </c>
      <c r="L23" s="373">
        <f>VLOOKUP(AI16,$F$16:$M$20,7,FALSE)</f>
        <v>0</v>
      </c>
      <c r="M23" s="373">
        <f>K23-L23</f>
        <v>7</v>
      </c>
      <c r="N23" s="370"/>
      <c r="O23" s="370" t="str">
        <f>IF(AND($J23=$J24,$M24&gt;$M23),$F24,$F23)</f>
        <v>España</v>
      </c>
      <c r="P23" s="373">
        <f>VLOOKUP(O23,$F$23:$M$27,5,FALSE)</f>
        <v>9</v>
      </c>
      <c r="Q23" s="373">
        <f>VLOOKUP(O23,$F$23:$M$27,8,FALSE)</f>
        <v>7</v>
      </c>
      <c r="R23" s="370"/>
      <c r="S23" s="370" t="str">
        <f>IF(AND(P23=P25,Q25&gt;Q23),O25,O23)</f>
        <v>España</v>
      </c>
      <c r="T23" s="373">
        <f>VLOOKUP(S23,$O$23:$Q$27,2,FALSE)</f>
        <v>9</v>
      </c>
      <c r="U23" s="373">
        <f>VLOOKUP(S23,$O$23:$Q$27,3,FALSE)</f>
        <v>7</v>
      </c>
      <c r="V23" s="370"/>
      <c r="W23" s="370" t="str">
        <f>IF(AND(T23=T26,U26&gt;U23),S26,S23)</f>
        <v>España</v>
      </c>
      <c r="X23" s="373">
        <f>VLOOKUP(W23,$S$23:$U$27,2,FALSE)</f>
        <v>9</v>
      </c>
      <c r="Y23" s="373">
        <f>VLOOKUP(W23,$S$23:$U$27,3,FALSE)</f>
        <v>7</v>
      </c>
      <c r="Z23" s="370"/>
      <c r="AA23" s="370" t="str">
        <f>W23</f>
        <v>España</v>
      </c>
      <c r="AB23" s="373">
        <f>VLOOKUP(AA23,W23:Y27,2,FALSE)</f>
        <v>9</v>
      </c>
      <c r="AC23" s="373">
        <f>VLOOKUP(AA23,W23:Y27,3,FALSE)</f>
        <v>7</v>
      </c>
      <c r="AD23" s="370"/>
      <c r="AE23" s="370" t="str">
        <f>AA23</f>
        <v>España</v>
      </c>
      <c r="AF23" s="373">
        <f>VLOOKUP(AE23,AA23:AC27,2,FALSE)</f>
        <v>9</v>
      </c>
      <c r="AG23" s="373">
        <f>VLOOKUP(AE23,AA23:AC27,3,FALSE)</f>
        <v>7</v>
      </c>
      <c r="AH23" s="370"/>
      <c r="AI23" s="370" t="str">
        <f>AE23</f>
        <v>España</v>
      </c>
      <c r="AJ23" s="373">
        <f>VLOOKUP(AI23,AE23:AG27,2,FALSE)</f>
        <v>9</v>
      </c>
      <c r="AK23" s="373">
        <f>VLOOKUP(AI23,AE23:AG27,3,FALSE)</f>
        <v>7</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Uruguay</v>
      </c>
      <c r="G24" s="370"/>
      <c r="H24" s="370"/>
      <c r="I24" s="370"/>
      <c r="J24" s="373">
        <f>AJ17</f>
        <v>6</v>
      </c>
      <c r="K24" s="373">
        <f>VLOOKUP(AI17,$F$16:$M$20,6,FALSE)</f>
        <v>4</v>
      </c>
      <c r="L24" s="373">
        <f>VLOOKUP(AI17,$F$16:$M$20,7,FALSE)</f>
        <v>1</v>
      </c>
      <c r="M24" s="373">
        <f>K24-L24</f>
        <v>3</v>
      </c>
      <c r="N24" s="370"/>
      <c r="O24" s="370" t="str">
        <f>IF(AND($J23=$J24,$M24&gt;$M23),$F23,$F24)</f>
        <v>Uruguay</v>
      </c>
      <c r="P24" s="373">
        <f>VLOOKUP(O24,$F$23:$M$27,5,FALSE)</f>
        <v>6</v>
      </c>
      <c r="Q24" s="373">
        <f>VLOOKUP(O24,$F$23:$M$27,8,FALSE)</f>
        <v>3</v>
      </c>
      <c r="R24" s="370"/>
      <c r="S24" s="370" t="str">
        <f>O24</f>
        <v>Uruguay</v>
      </c>
      <c r="T24" s="373">
        <f>VLOOKUP(S24,$O$23:$Q$27,2,FALSE)</f>
        <v>6</v>
      </c>
      <c r="U24" s="373">
        <f>VLOOKUP(S24,$O$23:$Q$27,3,FALSE)</f>
        <v>3</v>
      </c>
      <c r="V24" s="370"/>
      <c r="W24" s="370" t="str">
        <f>S24</f>
        <v>Uruguay</v>
      </c>
      <c r="X24" s="373">
        <f>VLOOKUP(W24,$S$23:$U$27,2,FALSE)</f>
        <v>6</v>
      </c>
      <c r="Y24" s="373">
        <f>VLOOKUP(W24,$S$23:$U$27,3,FALSE)</f>
        <v>3</v>
      </c>
      <c r="Z24" s="370"/>
      <c r="AA24" s="370" t="str">
        <f>IF(AND(X24=X25,Y25&gt;Y24),W25,W24)</f>
        <v>Uruguay</v>
      </c>
      <c r="AB24" s="373">
        <f>VLOOKUP(AA24,W23:Y27,2,FALSE)</f>
        <v>6</v>
      </c>
      <c r="AC24" s="373">
        <f>VLOOKUP(AA24,W23:Y27,3,FALSE)</f>
        <v>3</v>
      </c>
      <c r="AD24" s="370"/>
      <c r="AE24" s="370" t="str">
        <f>IF(AND(AB24=AB26,AC26&gt;AC24),AA26,AA24)</f>
        <v>Uruguay</v>
      </c>
      <c r="AF24" s="373">
        <f>VLOOKUP(AE24,AA23:AC27,2,FALSE)</f>
        <v>6</v>
      </c>
      <c r="AG24" s="373">
        <f>VLOOKUP(AE24,AA23:AC27,3,FALSE)</f>
        <v>3</v>
      </c>
      <c r="AH24" s="370"/>
      <c r="AI24" s="370" t="str">
        <f>AE24</f>
        <v>Uruguay</v>
      </c>
      <c r="AJ24" s="373">
        <f>VLOOKUP(AI24,AE23:AG27,2,FALSE)</f>
        <v>6</v>
      </c>
      <c r="AK24" s="373">
        <f>VLOOKUP(AI24,AE23:AG27,3,FALSE)</f>
        <v>3</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Cabo Verde</v>
      </c>
      <c r="G25" s="370"/>
      <c r="H25" s="370"/>
      <c r="I25" s="370"/>
      <c r="J25" s="373">
        <f>AJ18</f>
        <v>3</v>
      </c>
      <c r="K25" s="373">
        <f>VLOOKUP(AI18,$F$16:$M$20,6,FALSE)</f>
        <v>2</v>
      </c>
      <c r="L25" s="373">
        <f>VLOOKUP(AI18,$F$16:$M$20,7,FALSE)</f>
        <v>8</v>
      </c>
      <c r="M25" s="373">
        <f>K25-L25</f>
        <v>-6</v>
      </c>
      <c r="N25" s="370"/>
      <c r="O25" s="370" t="str">
        <f>F25</f>
        <v>Cabo Verde</v>
      </c>
      <c r="P25" s="373">
        <f>VLOOKUP(O25,$F$23:$M$27,5,FALSE)</f>
        <v>3</v>
      </c>
      <c r="Q25" s="373">
        <f>VLOOKUP(O25,$F$23:$M$27,8,FALSE)</f>
        <v>-6</v>
      </c>
      <c r="R25" s="370"/>
      <c r="S25" s="370" t="str">
        <f>IF(AND($P23=P25,Q25&gt;Q23),O23,O25)</f>
        <v>Cabo Verde</v>
      </c>
      <c r="T25" s="373">
        <f>VLOOKUP(S25,$O$23:$Q$27,2,FALSE)</f>
        <v>3</v>
      </c>
      <c r="U25" s="373">
        <f>VLOOKUP(S25,$O$23:$Q$27,3,FALSE)</f>
        <v>-6</v>
      </c>
      <c r="V25" s="370"/>
      <c r="W25" s="370" t="str">
        <f>S25</f>
        <v>Cabo Verde</v>
      </c>
      <c r="X25" s="373">
        <f>VLOOKUP(W25,$S$23:$U$27,2,FALSE)</f>
        <v>3</v>
      </c>
      <c r="Y25" s="373">
        <f>VLOOKUP(W25,$S$23:$U$27,3,FALSE)</f>
        <v>-6</v>
      </c>
      <c r="Z25" s="370"/>
      <c r="AA25" s="370" t="str">
        <f>IF(AND(X24=X25,Y25&gt;Y24),W24,W25)</f>
        <v>Cabo Verde</v>
      </c>
      <c r="AB25" s="373">
        <f>VLOOKUP(AA25,W23:Y27,2,FALSE)</f>
        <v>3</v>
      </c>
      <c r="AC25" s="373">
        <f>VLOOKUP(AA25,W23:Y27,3,FALSE)</f>
        <v>-6</v>
      </c>
      <c r="AD25" s="370"/>
      <c r="AE25" s="370" t="str">
        <f>AA25</f>
        <v>Cabo Verde</v>
      </c>
      <c r="AF25" s="373">
        <f>VLOOKUP(AE25,AA23:AC27,2,FALSE)</f>
        <v>3</v>
      </c>
      <c r="AG25" s="373">
        <f>VLOOKUP(AE25,AA23:AC27,3,FALSE)</f>
        <v>-6</v>
      </c>
      <c r="AH25" s="370"/>
      <c r="AI25" s="370" t="str">
        <f>IF(AND(AF25=AF26,AG26&gt;AG25),AE26,AE25)</f>
        <v>Cabo Verde</v>
      </c>
      <c r="AJ25" s="373">
        <f>VLOOKUP(AI25,AE23:AG27,2,FALSE)</f>
        <v>3</v>
      </c>
      <c r="AK25" s="373">
        <f>VLOOKUP(AI25,AE23:AG27,3,FALSE)</f>
        <v>-6</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Arabia Saudí</v>
      </c>
      <c r="G26" s="370"/>
      <c r="H26" s="370"/>
      <c r="I26" s="370"/>
      <c r="J26" s="373">
        <f>AJ19</f>
        <v>0</v>
      </c>
      <c r="K26" s="373">
        <f>VLOOKUP(AI19,$F$16:$M$20,6,FALSE)</f>
        <v>1</v>
      </c>
      <c r="L26" s="373">
        <f>VLOOKUP(AI19,$F$16:$M$20,7,FALSE)</f>
        <v>5</v>
      </c>
      <c r="M26" s="373">
        <f>K26-L26</f>
        <v>-4</v>
      </c>
      <c r="N26" s="370"/>
      <c r="O26" s="370" t="str">
        <f>F26</f>
        <v>Arabia Saudí</v>
      </c>
      <c r="P26" s="373">
        <f>VLOOKUP(O26,$F$23:$M$27,5,FALSE)</f>
        <v>0</v>
      </c>
      <c r="Q26" s="373">
        <f>VLOOKUP(O26,$F$23:$M$27,8,FALSE)</f>
        <v>-4</v>
      </c>
      <c r="R26" s="370"/>
      <c r="S26" s="370" t="str">
        <f>O26</f>
        <v>Arabia Saudí</v>
      </c>
      <c r="T26" s="373">
        <f>VLOOKUP(S26,$O$23:$Q$27,2,FALSE)</f>
        <v>0</v>
      </c>
      <c r="U26" s="373">
        <f>VLOOKUP(S26,$O$23:$Q$27,3,FALSE)</f>
        <v>-4</v>
      </c>
      <c r="V26" s="370"/>
      <c r="W26" s="370" t="str">
        <f>IF(AND(T23=T26,U26&gt;U23),S23,S26)</f>
        <v>Arabia Saudí</v>
      </c>
      <c r="X26" s="373">
        <f>VLOOKUP(W26,$S$23:$U$27,2,FALSE)</f>
        <v>0</v>
      </c>
      <c r="Y26" s="373">
        <f>VLOOKUP(W26,$S$23:$U$27,3,FALSE)</f>
        <v>-4</v>
      </c>
      <c r="Z26" s="370"/>
      <c r="AA26" s="370" t="str">
        <f>W26</f>
        <v>Arabia Saudí</v>
      </c>
      <c r="AB26" s="373">
        <f>VLOOKUP(AA26,W23:Y27,2,FALSE)</f>
        <v>0</v>
      </c>
      <c r="AC26" s="373">
        <f>VLOOKUP(AA26,W23:Y27,3,FALSE)</f>
        <v>-4</v>
      </c>
      <c r="AD26" s="370"/>
      <c r="AE26" s="370" t="str">
        <f>IF(AND(AB24=AB26,AC26&gt;AC24),AA24,AA26)</f>
        <v>Arabia Saudí</v>
      </c>
      <c r="AF26" s="373">
        <f>VLOOKUP(AE26,AA23:AC27,2,FALSE)</f>
        <v>0</v>
      </c>
      <c r="AG26" s="373">
        <f>VLOOKUP(AE26,AA23:AC27,3,FALSE)</f>
        <v>-4</v>
      </c>
      <c r="AH26" s="370"/>
      <c r="AI26" s="370" t="str">
        <f>IF(AND(AF25=AF26,AG26&gt;AG25),AE25,AE26)</f>
        <v>Arabia Saudí</v>
      </c>
      <c r="AJ26" s="373">
        <f>VLOOKUP(AI26,AE23:AG27,2,FALSE)</f>
        <v>0</v>
      </c>
      <c r="AK26" s="373">
        <f>VLOOKUP(AI26,AE23:AG27,3,FALSE)</f>
        <v>-4</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España</v>
      </c>
      <c r="G30" s="370"/>
      <c r="H30" s="370"/>
      <c r="I30" s="370"/>
      <c r="J30" s="373">
        <f>VLOOKUP(F30,$F$16:$M$20,8,FALSE)</f>
        <v>9</v>
      </c>
      <c r="K30" s="373">
        <f>VLOOKUP(F30,$F$16:$M$20,6,FALSE)</f>
        <v>7</v>
      </c>
      <c r="L30" s="373">
        <f>VLOOKUP(F30,$F$16:$M$20,7,FALSE)</f>
        <v>0</v>
      </c>
      <c r="M30" s="373">
        <f>K30-L30</f>
        <v>7</v>
      </c>
      <c r="N30" s="370"/>
      <c r="O30" s="370" t="str">
        <f>IF(AND(J30=J31,M30=M31,K31&gt;K30),F31,F30)</f>
        <v>España</v>
      </c>
      <c r="P30" s="373">
        <f>VLOOKUP(O30,$F$30:$M$34,5,FALSE)</f>
        <v>9</v>
      </c>
      <c r="Q30" s="373">
        <f>VLOOKUP(O30,$F$30:$M$34,8,FALSE)</f>
        <v>7</v>
      </c>
      <c r="R30" s="373">
        <f>VLOOKUP(O30,$F$30:$M$34,6,FALSE)</f>
        <v>7</v>
      </c>
      <c r="S30" s="370" t="str">
        <f>IF(AND(P30=P32,Q30=Q32,R32&gt;R30),O32,O30)</f>
        <v>España</v>
      </c>
      <c r="T30" s="373">
        <f>VLOOKUP(S30,$O$30:$R$34,2,FALSE)</f>
        <v>9</v>
      </c>
      <c r="U30" s="373">
        <f>VLOOKUP(S30,$O$30:$R$34,3,FALSE)</f>
        <v>7</v>
      </c>
      <c r="V30" s="373">
        <f>VLOOKUP(S30,$O$30:$R$34,4,FALSE)</f>
        <v>7</v>
      </c>
      <c r="W30" s="370" t="str">
        <f>IF(AND(T30=T33,U30=U33,V33&gt;V30),S33,S30)</f>
        <v>España</v>
      </c>
      <c r="X30" s="373">
        <f>VLOOKUP(W30,$S$30:$V$34,2,FALSE)</f>
        <v>9</v>
      </c>
      <c r="Y30" s="373">
        <f>VLOOKUP(W30,$S$30:$V$34,3,FALSE)</f>
        <v>7</v>
      </c>
      <c r="Z30" s="373">
        <f>VLOOKUP(W30,$S$30:$V$34,4,FALSE)</f>
        <v>7</v>
      </c>
      <c r="AA30" s="370" t="str">
        <f>W30</f>
        <v>España</v>
      </c>
      <c r="AB30" s="373">
        <f>VLOOKUP(AA30,W30:Z34,2,FALSE)</f>
        <v>9</v>
      </c>
      <c r="AC30" s="373">
        <f>VLOOKUP(AA30,W30:Z34,3,FALSE)</f>
        <v>7</v>
      </c>
      <c r="AD30" s="373">
        <f>VLOOKUP(AA30,W30:Z34,4,FALSE)</f>
        <v>7</v>
      </c>
      <c r="AE30" s="370" t="str">
        <f>AA30</f>
        <v>España</v>
      </c>
      <c r="AF30" s="373">
        <f>VLOOKUP(AE30,AA30:AD34,2,FALSE)</f>
        <v>9</v>
      </c>
      <c r="AG30" s="373">
        <f>VLOOKUP(AE30,AA30:AD34,3,FALSE)</f>
        <v>7</v>
      </c>
      <c r="AH30" s="373">
        <f>VLOOKUP(AE30,AA30:AD34,4,FALSE)</f>
        <v>7</v>
      </c>
      <c r="AI30" s="370" t="str">
        <f>AE30</f>
        <v>España</v>
      </c>
      <c r="AJ30" s="373">
        <f>VLOOKUP(AI30,AE30:AH34,2,FALSE)</f>
        <v>9</v>
      </c>
      <c r="AK30" s="373">
        <f>VLOOKUP(AI30,AE30:AH34,3,FALSE)</f>
        <v>7</v>
      </c>
      <c r="AL30" s="373">
        <f>VLOOKUP(AI30,AE30:AH34,4,FALSE)</f>
        <v>7</v>
      </c>
      <c r="AM30" s="370"/>
      <c r="AN30" s="373">
        <f>(AJ30*1000)+(AK30*100)+AL30</f>
        <v>9707</v>
      </c>
      <c r="AO30" s="375">
        <f>IF($AN30=$AN31,VLOOKUP($AI30&amp;$AI31,$AN$2:$AO$13,2,0),0)</f>
        <v>0</v>
      </c>
      <c r="AP30" s="370">
        <f>IF(AO30=$AI30,1,0)</f>
        <v>0</v>
      </c>
      <c r="AQ30" s="375"/>
      <c r="AR30" s="370"/>
      <c r="AS30" s="375">
        <f>IF($AN30=$AN32,VLOOKUP($AI30&amp;$AI32,$AN$2:$AO$13,2,0),0)</f>
        <v>0</v>
      </c>
      <c r="AT30" s="370">
        <f>IF(AS30=$AI30,1,0)</f>
        <v>0</v>
      </c>
      <c r="AU30" s="370"/>
      <c r="AV30" s="370">
        <f>SUM(AN30,AP30,AR30,AT30)</f>
        <v>9707</v>
      </c>
      <c r="AW30" s="373">
        <f>RANK(AV30,$AV$30:$AV$33,0)</f>
        <v>1</v>
      </c>
      <c r="AX30" s="370" t="str">
        <f>AI30</f>
        <v>España</v>
      </c>
      <c r="AY30" s="336"/>
      <c r="AZ30" s="336"/>
      <c r="BA30" s="336"/>
      <c r="BB30" s="336"/>
      <c r="BC30" s="336"/>
    </row>
    <row r="31" spans="1:55" x14ac:dyDescent="0.2">
      <c r="A31" s="370"/>
      <c r="B31" s="370"/>
      <c r="C31" s="370"/>
      <c r="D31" s="370"/>
      <c r="E31" s="370"/>
      <c r="F31" s="370" t="str">
        <f>AI24</f>
        <v>Uruguay</v>
      </c>
      <c r="G31" s="370"/>
      <c r="H31" s="370"/>
      <c r="I31" s="370"/>
      <c r="J31" s="373">
        <f>VLOOKUP(F31,$F$16:$M$20,8,FALSE)</f>
        <v>6</v>
      </c>
      <c r="K31" s="373">
        <f>VLOOKUP(F31,$F$16:$M$20,6,FALSE)</f>
        <v>4</v>
      </c>
      <c r="L31" s="373">
        <f>VLOOKUP(F31,$F$16:$M$20,7,FALSE)</f>
        <v>1</v>
      </c>
      <c r="M31" s="373">
        <f>K31-L31</f>
        <v>3</v>
      </c>
      <c r="N31" s="370"/>
      <c r="O31" s="370" t="str">
        <f>IF(AND(J30=J31,M30=M31,K31&gt;K30),F30,F31)</f>
        <v>Uruguay</v>
      </c>
      <c r="P31" s="373">
        <f>VLOOKUP(O31,$F$30:$M$34,5,FALSE)</f>
        <v>6</v>
      </c>
      <c r="Q31" s="373">
        <f>VLOOKUP(O31,$F$30:$M$34,8,FALSE)</f>
        <v>3</v>
      </c>
      <c r="R31" s="373">
        <f>VLOOKUP(O31,$F$30:$M$34,6,FALSE)</f>
        <v>4</v>
      </c>
      <c r="S31" s="370" t="str">
        <f>O31</f>
        <v>Uruguay</v>
      </c>
      <c r="T31" s="373">
        <f>VLOOKUP(S31,$O$30:$R$34,2,FALSE)</f>
        <v>6</v>
      </c>
      <c r="U31" s="373">
        <f>VLOOKUP(S31,$O$30:$R$34,3,FALSE)</f>
        <v>3</v>
      </c>
      <c r="V31" s="373">
        <f>VLOOKUP(S31,$O$30:$R$34,4,FALSE)</f>
        <v>4</v>
      </c>
      <c r="W31" s="370" t="str">
        <f>S31</f>
        <v>Uruguay</v>
      </c>
      <c r="X31" s="373">
        <f>VLOOKUP(W31,$S$30:$V$34,2,FALSE)</f>
        <v>6</v>
      </c>
      <c r="Y31" s="373">
        <f>VLOOKUP(W31,$S$30:$V$34,3,FALSE)</f>
        <v>3</v>
      </c>
      <c r="Z31" s="373">
        <f>VLOOKUP(W31,$S$30:$V$34,4,FALSE)</f>
        <v>4</v>
      </c>
      <c r="AA31" s="370" t="str">
        <f>IF(AND(X31=X32,Y31=Y32,Z32&gt;Z31),W32,W31)</f>
        <v>Uruguay</v>
      </c>
      <c r="AB31" s="373">
        <f>VLOOKUP(AA31,W30:Z34,2,FALSE)</f>
        <v>6</v>
      </c>
      <c r="AC31" s="373">
        <f>VLOOKUP(AA31,W30:Z34,3,FALSE)</f>
        <v>3</v>
      </c>
      <c r="AD31" s="373">
        <f>VLOOKUP(AA31,W30:Z34,4,FALSE)</f>
        <v>4</v>
      </c>
      <c r="AE31" s="370" t="str">
        <f>IF(AND(AB31=AB33,AC31=AC33,AD33&gt;AD31),AA33,AA31)</f>
        <v>Uruguay</v>
      </c>
      <c r="AF31" s="373">
        <f>VLOOKUP(AE31,AA30:AD34,2,FALSE)</f>
        <v>6</v>
      </c>
      <c r="AG31" s="373">
        <f>VLOOKUP(AE31,AA30:AD34,3,FALSE)</f>
        <v>3</v>
      </c>
      <c r="AH31" s="373">
        <f>VLOOKUP(AE31,AA30:AD34,4,FALSE)</f>
        <v>4</v>
      </c>
      <c r="AI31" s="370" t="str">
        <f>AE31</f>
        <v>Uruguay</v>
      </c>
      <c r="AJ31" s="373">
        <f>VLOOKUP(AI31,AE30:AH34,2,FALSE)</f>
        <v>6</v>
      </c>
      <c r="AK31" s="373">
        <f>VLOOKUP(AI31,AE30:AH34,3,FALSE)</f>
        <v>3</v>
      </c>
      <c r="AL31" s="373">
        <f>VLOOKUP(AI31,AE30:AH34,4,FALSE)</f>
        <v>4</v>
      </c>
      <c r="AM31" s="370"/>
      <c r="AN31" s="373">
        <f t="shared" ref="AN31:AN33" si="36">(AJ31*1000)+(AK31*100)+AL31</f>
        <v>6304</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6304</v>
      </c>
      <c r="AW31" s="373">
        <f t="shared" ref="AW31:AW33" si="38">RANK(AV31,$AV$30:$AV$33,0)</f>
        <v>2</v>
      </c>
      <c r="AX31" s="370" t="str">
        <f t="shared" ref="AX31:AX33" si="39">AI31</f>
        <v>Uruguay</v>
      </c>
      <c r="AY31" s="336"/>
      <c r="AZ31" s="336"/>
      <c r="BA31" s="336"/>
      <c r="BB31" s="336"/>
      <c r="BC31" s="336"/>
    </row>
    <row r="32" spans="1:55" x14ac:dyDescent="0.2">
      <c r="A32" s="370"/>
      <c r="B32" s="370"/>
      <c r="C32" s="370"/>
      <c r="D32" s="370"/>
      <c r="E32" s="370"/>
      <c r="F32" s="370" t="str">
        <f>AI25</f>
        <v>Cabo Verde</v>
      </c>
      <c r="G32" s="370"/>
      <c r="H32" s="370"/>
      <c r="I32" s="370"/>
      <c r="J32" s="373">
        <f>VLOOKUP(F32,$F$16:$M$20,8,FALSE)</f>
        <v>3</v>
      </c>
      <c r="K32" s="373">
        <f>VLOOKUP(F32,$F$16:$M$20,6,FALSE)</f>
        <v>2</v>
      </c>
      <c r="L32" s="373">
        <f>VLOOKUP(F32,$F$16:$M$20,7,FALSE)</f>
        <v>8</v>
      </c>
      <c r="M32" s="373">
        <f>K32-L32</f>
        <v>-6</v>
      </c>
      <c r="N32" s="370"/>
      <c r="O32" s="370" t="str">
        <f>F32</f>
        <v>Cabo Verde</v>
      </c>
      <c r="P32" s="373">
        <f>VLOOKUP(O32,$F$30:$M$34,5,FALSE)</f>
        <v>3</v>
      </c>
      <c r="Q32" s="373">
        <f>VLOOKUP(O32,$F$30:$M$34,8,FALSE)</f>
        <v>-6</v>
      </c>
      <c r="R32" s="373">
        <f>VLOOKUP(O32,$F$30:$M$34,6,FALSE)</f>
        <v>2</v>
      </c>
      <c r="S32" s="370" t="str">
        <f>IF(AND(P30=P32,Q30=Q32,R32&gt;R30),O30,O32)</f>
        <v>Cabo Verde</v>
      </c>
      <c r="T32" s="373">
        <f>VLOOKUP(S32,$O$30:$R$34,2,FALSE)</f>
        <v>3</v>
      </c>
      <c r="U32" s="373">
        <f>VLOOKUP(S32,$O$30:$R$34,3,FALSE)</f>
        <v>-6</v>
      </c>
      <c r="V32" s="373">
        <f>VLOOKUP(S32,$O$30:$R$34,4,FALSE)</f>
        <v>2</v>
      </c>
      <c r="W32" s="370" t="str">
        <f>S32</f>
        <v>Cabo Verde</v>
      </c>
      <c r="X32" s="373">
        <f>VLOOKUP(W32,$S$30:$V$34,2,FALSE)</f>
        <v>3</v>
      </c>
      <c r="Y32" s="373">
        <f>VLOOKUP(W32,$S$30:$V$34,3,FALSE)</f>
        <v>-6</v>
      </c>
      <c r="Z32" s="373">
        <f>VLOOKUP(W32,$S$30:$V$34,4,FALSE)</f>
        <v>2</v>
      </c>
      <c r="AA32" s="370" t="str">
        <f>IF(AND(X31=X32,Y31=Y32,Z32&gt;Z31),W31,W32)</f>
        <v>Cabo Verde</v>
      </c>
      <c r="AB32" s="373">
        <f>VLOOKUP(AA32,W30:Z34,2,FALSE)</f>
        <v>3</v>
      </c>
      <c r="AC32" s="373">
        <f>VLOOKUP(AA32,W30:Z34,3,FALSE)</f>
        <v>-6</v>
      </c>
      <c r="AD32" s="373">
        <f>VLOOKUP(AA32,W30:Z34,4,FALSE)</f>
        <v>2</v>
      </c>
      <c r="AE32" s="370" t="str">
        <f>AA32</f>
        <v>Cabo Verde</v>
      </c>
      <c r="AF32" s="373">
        <f>VLOOKUP(AE32,AA30:AD34,2,FALSE)</f>
        <v>3</v>
      </c>
      <c r="AG32" s="373">
        <f>VLOOKUP(AE32,AA30:AD34,3,FALSE)</f>
        <v>-6</v>
      </c>
      <c r="AH32" s="373">
        <f>VLOOKUP(AE32,AA30:AD34,4,FALSE)</f>
        <v>2</v>
      </c>
      <c r="AI32" s="370" t="str">
        <f>IF(AND(AF32=AF33,AG32=AG33,AH33&gt;AH32),AE33,AE32)</f>
        <v>Cabo Verde</v>
      </c>
      <c r="AJ32" s="373">
        <f>VLOOKUP(AI32,AE30:AH34,2,FALSE)</f>
        <v>3</v>
      </c>
      <c r="AK32" s="373">
        <f>VLOOKUP(AI32,AE30:AH34,3,FALSE)</f>
        <v>-6</v>
      </c>
      <c r="AL32" s="373">
        <f>VLOOKUP(AI32,AE30:AH34,4,FALSE)</f>
        <v>2</v>
      </c>
      <c r="AM32" s="370"/>
      <c r="AN32" s="373">
        <f t="shared" si="36"/>
        <v>2402</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2402</v>
      </c>
      <c r="AW32" s="373">
        <f t="shared" si="38"/>
        <v>3</v>
      </c>
      <c r="AX32" s="370" t="str">
        <f t="shared" si="39"/>
        <v>Cabo Verde</v>
      </c>
      <c r="AY32" s="336"/>
      <c r="AZ32" s="336"/>
      <c r="BA32" s="336"/>
      <c r="BB32" s="336"/>
      <c r="BC32" s="336"/>
    </row>
    <row r="33" spans="1:55" x14ac:dyDescent="0.2">
      <c r="A33" s="370"/>
      <c r="B33" s="370"/>
      <c r="C33" s="370"/>
      <c r="D33" s="370"/>
      <c r="E33" s="370"/>
      <c r="F33" s="370" t="str">
        <f>AI26</f>
        <v>Arabia Saudí</v>
      </c>
      <c r="G33" s="370"/>
      <c r="H33" s="370"/>
      <c r="I33" s="370"/>
      <c r="J33" s="373">
        <f>VLOOKUP(F33,$F$16:$M$20,8,FALSE)</f>
        <v>0</v>
      </c>
      <c r="K33" s="373">
        <f>VLOOKUP(F33,$F$16:$M$20,6,FALSE)</f>
        <v>1</v>
      </c>
      <c r="L33" s="373">
        <f>VLOOKUP(F33,$F$16:$M$20,7,FALSE)</f>
        <v>5</v>
      </c>
      <c r="M33" s="373">
        <f>K33-L33</f>
        <v>-4</v>
      </c>
      <c r="N33" s="370"/>
      <c r="O33" s="370" t="str">
        <f>F33</f>
        <v>Arabia Saudí</v>
      </c>
      <c r="P33" s="373">
        <f>VLOOKUP(O33,$F$30:$M$34,5,FALSE)</f>
        <v>0</v>
      </c>
      <c r="Q33" s="373">
        <f>VLOOKUP(O33,$F$30:$M$34,8,FALSE)</f>
        <v>-4</v>
      </c>
      <c r="R33" s="373">
        <f>VLOOKUP(O33,$F$30:$M$34,6,FALSE)</f>
        <v>1</v>
      </c>
      <c r="S33" s="370" t="str">
        <f>O33</f>
        <v>Arabia Saudí</v>
      </c>
      <c r="T33" s="373">
        <f>VLOOKUP(S33,$O$30:$R$34,2,FALSE)</f>
        <v>0</v>
      </c>
      <c r="U33" s="373">
        <f>VLOOKUP(S33,$O$30:$R$34,3,FALSE)</f>
        <v>-4</v>
      </c>
      <c r="V33" s="373">
        <f>VLOOKUP(S33,$O$30:$R$34,4,FALSE)</f>
        <v>1</v>
      </c>
      <c r="W33" s="370" t="str">
        <f>IF(AND(T30=T33,U30=U33,V33&gt;V30),S30,S33)</f>
        <v>Arabia Saudí</v>
      </c>
      <c r="X33" s="373">
        <f>VLOOKUP(W33,$S$30:$V$34,2,FALSE)</f>
        <v>0</v>
      </c>
      <c r="Y33" s="373">
        <f>VLOOKUP(W33,$S$30:$V$34,3,FALSE)</f>
        <v>-4</v>
      </c>
      <c r="Z33" s="373">
        <f>VLOOKUP(W33,$S$30:$V$34,4,FALSE)</f>
        <v>1</v>
      </c>
      <c r="AA33" s="370" t="str">
        <f>W33</f>
        <v>Arabia Saudí</v>
      </c>
      <c r="AB33" s="373">
        <f>VLOOKUP(AA33,W30:Z34,2,FALSE)</f>
        <v>0</v>
      </c>
      <c r="AC33" s="373">
        <f>VLOOKUP(AA33,W30:Z34,3,FALSE)</f>
        <v>-4</v>
      </c>
      <c r="AD33" s="373">
        <f>VLOOKUP(AA33,W30:Z34,4,FALSE)</f>
        <v>1</v>
      </c>
      <c r="AE33" s="370" t="str">
        <f>IF(AND(AB31=AB33,AC31=AC33,AD33&gt;AD31),AA31,AA33)</f>
        <v>Arabia Saudí</v>
      </c>
      <c r="AF33" s="373">
        <f>VLOOKUP(AE33,AA30:AD34,2,FALSE)</f>
        <v>0</v>
      </c>
      <c r="AG33" s="373">
        <f>VLOOKUP(AE33,AA30:AD34,3,FALSE)</f>
        <v>-4</v>
      </c>
      <c r="AH33" s="373">
        <f>VLOOKUP(AE33,AA30:AD34,4,FALSE)</f>
        <v>1</v>
      </c>
      <c r="AI33" s="370" t="str">
        <f>IF(AND(AF32=AF33,AG32=AG33,AH33&gt;AH32),AE32,AE33)</f>
        <v>Arabia Saudí</v>
      </c>
      <c r="AJ33" s="373">
        <f>VLOOKUP(AI33,AE30:AH34,2,FALSE)</f>
        <v>0</v>
      </c>
      <c r="AK33" s="373">
        <f>VLOOKUP(AI33,AE30:AH34,3,FALSE)</f>
        <v>-4</v>
      </c>
      <c r="AL33" s="373">
        <f>VLOOKUP(AI33,AE30:AH34,4,FALSE)</f>
        <v>1</v>
      </c>
      <c r="AM33" s="370"/>
      <c r="AN33" s="373">
        <f t="shared" si="36"/>
        <v>-399</v>
      </c>
      <c r="AO33" s="375"/>
      <c r="AP33" s="370"/>
      <c r="AQ33" s="375"/>
      <c r="AR33" s="370"/>
      <c r="AS33" s="375"/>
      <c r="AT33" s="370"/>
      <c r="AU33" s="370"/>
      <c r="AV33" s="370">
        <f t="shared" si="37"/>
        <v>-399</v>
      </c>
      <c r="AW33" s="373">
        <f t="shared" si="38"/>
        <v>4</v>
      </c>
      <c r="AX33" s="370" t="str">
        <f t="shared" si="39"/>
        <v>Arabia Saudí</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España</v>
      </c>
      <c r="G37" s="373">
        <f>VLOOKUP(F37,$F$16:$M$20,2,FALSE)</f>
        <v>3</v>
      </c>
      <c r="H37" s="373">
        <f>VLOOKUP(F37,$F$16:$M$20,3,FALSE)</f>
        <v>3</v>
      </c>
      <c r="I37" s="373">
        <f>VLOOKUP(F37,$F$16:$M$20,4,FALSE)</f>
        <v>0</v>
      </c>
      <c r="J37" s="373">
        <f>VLOOKUP(F37,$F$16:$M$20,5,FALSE)</f>
        <v>0</v>
      </c>
      <c r="K37" s="373">
        <f>VLOOKUP(F37,$F$16:$M$20,6,FALSE)</f>
        <v>7</v>
      </c>
      <c r="L37" s="373">
        <f>VLOOKUP(F37,$F$16:$M$20,7,FALSE)</f>
        <v>0</v>
      </c>
      <c r="M37" s="373">
        <f>VLOOKUP(F37,$F$16:$M$20,8,FALSE)</f>
        <v>9</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Uruguay</v>
      </c>
      <c r="G38" s="373">
        <f>VLOOKUP(F38,$F$16:$M$20,2,FALSE)</f>
        <v>3</v>
      </c>
      <c r="H38" s="373">
        <f>VLOOKUP(F38,$F$16:$M$20,3,FALSE)</f>
        <v>2</v>
      </c>
      <c r="I38" s="373">
        <f>VLOOKUP(F38,$F$16:$M$20,4,FALSE)</f>
        <v>0</v>
      </c>
      <c r="J38" s="373">
        <f>VLOOKUP(F38,$F$16:$M$20,5,FALSE)</f>
        <v>1</v>
      </c>
      <c r="K38" s="373">
        <f>VLOOKUP(F38,$F$16:$M$20,6,FALSE)</f>
        <v>4</v>
      </c>
      <c r="L38" s="373">
        <f>VLOOKUP(F38,$F$16:$M$20,7,FALSE)</f>
        <v>1</v>
      </c>
      <c r="M38" s="373">
        <f>VLOOKUP(F38,$F$16:$M$20,8,FALSE)</f>
        <v>6</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Cabo Verde</v>
      </c>
      <c r="G39" s="373">
        <f>VLOOKUP(F39,$F$16:$M$20,2,FALSE)</f>
        <v>3</v>
      </c>
      <c r="H39" s="373">
        <f>VLOOKUP(F39,$F$16:$M$20,3,FALSE)</f>
        <v>1</v>
      </c>
      <c r="I39" s="373">
        <f>VLOOKUP(F39,$F$16:$M$20,4,FALSE)</f>
        <v>0</v>
      </c>
      <c r="J39" s="373">
        <f>VLOOKUP(F39,$F$16:$M$20,5,FALSE)</f>
        <v>2</v>
      </c>
      <c r="K39" s="373">
        <f>VLOOKUP(F39,$F$16:$M$20,6,FALSE)</f>
        <v>2</v>
      </c>
      <c r="L39" s="373">
        <f>VLOOKUP(F39,$F$16:$M$20,7,FALSE)</f>
        <v>8</v>
      </c>
      <c r="M39" s="373">
        <f>VLOOKUP(F39,$F$16:$M$20,8,FALSE)</f>
        <v>3</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Arabia Saudí</v>
      </c>
      <c r="G40" s="373">
        <f>VLOOKUP(F40,$F$16:$M$20,2,FALSE)</f>
        <v>3</v>
      </c>
      <c r="H40" s="373">
        <f>VLOOKUP(F40,$F$16:$M$20,3,FALSE)</f>
        <v>0</v>
      </c>
      <c r="I40" s="373">
        <f>VLOOKUP(F40,$F$16:$M$20,4,FALSE)</f>
        <v>0</v>
      </c>
      <c r="J40" s="373">
        <f>VLOOKUP(F40,$F$16:$M$20,5,FALSE)</f>
        <v>3</v>
      </c>
      <c r="K40" s="373">
        <f>VLOOKUP(F40,$F$16:$M$20,6,FALSE)</f>
        <v>1</v>
      </c>
      <c r="L40" s="373">
        <f>VLOOKUP(F40,$F$16:$M$20,7,FALSE)</f>
        <v>5</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8khpywRuJaDndrqy9oiZQKALiQZGcqjcvWqn+nrEIlQmo/pvIXi6a+saVwOY8JZElWyQS35xYLoMdvdE41+Kwg==" saltValue="IRf6FJJ4VuOLOoEm+m0Rww==" spinCount="100000" sheet="1" objects="1" scenarios="1" selectLockedCells="1"/>
  <mergeCells count="1">
    <mergeCell ref="A2:E2"/>
  </mergeCells>
  <phoneticPr fontId="20" type="noConversion"/>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E42ED-57D0-4B46-8DAE-34EC9331E1D4}">
  <sheetPr codeName="Hoja31"/>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I -'!R7&lt;&gt;"",'- I -'!R7,"")</f>
        <v>Francia</v>
      </c>
      <c r="H2" s="370"/>
      <c r="I2" s="370"/>
      <c r="J2" s="370"/>
      <c r="K2" s="370"/>
      <c r="L2" s="370"/>
      <c r="M2" s="370"/>
      <c r="N2" s="370" t="str">
        <f>IF('- I -'!R9&lt;&gt;"",'- I -'!R9,"")</f>
        <v>Senegal</v>
      </c>
      <c r="O2" s="370"/>
      <c r="P2" s="370"/>
      <c r="Q2" s="370"/>
      <c r="R2" s="370"/>
      <c r="S2" s="370"/>
      <c r="T2" s="370"/>
      <c r="U2" s="370" t="str">
        <f>IF('- I -'!R11&lt;&gt;"",'- I -'!R11,"")</f>
        <v>Irak</v>
      </c>
      <c r="V2" s="370"/>
      <c r="W2" s="370"/>
      <c r="X2" s="370"/>
      <c r="Y2" s="370"/>
      <c r="Z2" s="370"/>
      <c r="AA2" s="370"/>
      <c r="AB2" s="370" t="str">
        <f>IF('- I -'!R13&lt;&gt;"",'- I -'!R13,"")</f>
        <v>Noruega</v>
      </c>
      <c r="AC2" s="370"/>
      <c r="AD2" s="370"/>
      <c r="AE2" s="370"/>
      <c r="AF2" s="370"/>
      <c r="AG2" s="370"/>
      <c r="AH2" s="370"/>
      <c r="AI2" s="370"/>
      <c r="AJ2" s="370"/>
      <c r="AK2" s="370"/>
      <c r="AL2" s="370"/>
      <c r="AM2" s="370"/>
      <c r="AN2" s="374" t="str">
        <f t="shared" ref="AN2:AN7" si="0">A4&amp;E4</f>
        <v>FranciaSenegal</v>
      </c>
      <c r="AO2" s="371" t="str">
        <f t="shared" ref="AO2:AO7" si="1">IF(B4=D4,0,IF(B4&gt;D4,A4,E4))</f>
        <v>Francia</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IrakNoruega</v>
      </c>
      <c r="AO3" s="371" t="str">
        <f t="shared" si="1"/>
        <v>Noruega</v>
      </c>
      <c r="AP3" s="370"/>
      <c r="AQ3" s="370"/>
      <c r="AR3" s="370"/>
      <c r="AS3" s="370"/>
      <c r="AT3" s="370"/>
      <c r="AU3" s="370"/>
      <c r="AV3" s="370"/>
      <c r="AW3" s="370"/>
      <c r="AX3" s="370"/>
      <c r="AY3" s="336"/>
      <c r="AZ3" s="336"/>
      <c r="BA3" s="336"/>
      <c r="BB3" s="336"/>
      <c r="BC3" s="336"/>
    </row>
    <row r="4" spans="1:55" x14ac:dyDescent="0.2">
      <c r="A4" s="375" t="str">
        <f>'- I -'!C6</f>
        <v>Francia</v>
      </c>
      <c r="B4" s="373">
        <f>IF('- I -'!D6&lt;&gt;"",'- I -'!D6,"")</f>
        <v>2</v>
      </c>
      <c r="C4" s="373" t="str">
        <f>'- I -'!E6</f>
        <v>-</v>
      </c>
      <c r="D4" s="373">
        <f>IF('- I -'!F6&lt;&gt;"",'- I -'!F6,"")</f>
        <v>0</v>
      </c>
      <c r="E4" s="376" t="str">
        <f>'- I -'!G6</f>
        <v>Senegal</v>
      </c>
      <c r="F4" s="373">
        <f>COUNTBLANK('- I -'!D6:'- I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2</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2</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FranciaIrak</v>
      </c>
      <c r="AO4" s="371" t="str">
        <f t="shared" si="1"/>
        <v>Francia</v>
      </c>
      <c r="AP4" s="370"/>
      <c r="AQ4" s="370"/>
      <c r="AR4" s="370"/>
      <c r="AS4" s="370"/>
      <c r="AT4" s="370"/>
      <c r="AU4" s="370"/>
      <c r="AV4" s="370"/>
      <c r="AW4" s="370"/>
      <c r="AX4" s="370"/>
      <c r="AY4" s="336"/>
      <c r="AZ4" s="336"/>
      <c r="BA4" s="336"/>
      <c r="BB4" s="336"/>
      <c r="BC4" s="336"/>
    </row>
    <row r="5" spans="1:55" x14ac:dyDescent="0.2">
      <c r="A5" s="375" t="str">
        <f>'- I -'!C7</f>
        <v>Irak</v>
      </c>
      <c r="B5" s="373">
        <f>IF('- I -'!D7&lt;&gt;"",'- I -'!D7,"")</f>
        <v>0</v>
      </c>
      <c r="C5" s="373" t="str">
        <f>'- I -'!E7</f>
        <v>-</v>
      </c>
      <c r="D5" s="373">
        <f>IF('- I -'!F7&lt;&gt;"",'- I -'!F7,"")</f>
        <v>2</v>
      </c>
      <c r="E5" s="376" t="str">
        <f>'- I -'!G7</f>
        <v>Noruega</v>
      </c>
      <c r="F5" s="373">
        <f>COUNTBLANK('- I -'!D7:'- I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0</v>
      </c>
      <c r="W5" s="373">
        <f t="shared" si="16"/>
        <v>0</v>
      </c>
      <c r="X5" s="373">
        <f t="shared" si="17"/>
        <v>1</v>
      </c>
      <c r="Y5" s="373">
        <f t="shared" si="18"/>
        <v>0</v>
      </c>
      <c r="Z5" s="373">
        <f t="shared" si="19"/>
        <v>2</v>
      </c>
      <c r="AA5" s="373"/>
      <c r="AB5" s="373">
        <f t="shared" si="20"/>
        <v>1</v>
      </c>
      <c r="AC5" s="373">
        <f t="shared" si="21"/>
        <v>1</v>
      </c>
      <c r="AD5" s="373">
        <f t="shared" si="22"/>
        <v>0</v>
      </c>
      <c r="AE5" s="373">
        <f t="shared" si="23"/>
        <v>0</v>
      </c>
      <c r="AF5" s="373">
        <f t="shared" si="24"/>
        <v>2</v>
      </c>
      <c r="AG5" s="373">
        <f t="shared" si="25"/>
        <v>0</v>
      </c>
      <c r="AH5" s="373"/>
      <c r="AI5" s="370"/>
      <c r="AJ5" s="370"/>
      <c r="AK5" s="370"/>
      <c r="AL5" s="370"/>
      <c r="AM5" s="370"/>
      <c r="AN5" s="374" t="str">
        <f t="shared" si="0"/>
        <v>NoruegaSenegal</v>
      </c>
      <c r="AO5" s="371">
        <f t="shared" si="1"/>
        <v>0</v>
      </c>
      <c r="AP5" s="370"/>
      <c r="AQ5" s="370"/>
      <c r="AR5" s="370"/>
      <c r="AS5" s="370"/>
      <c r="AT5" s="370"/>
      <c r="AU5" s="370"/>
      <c r="AV5" s="370"/>
      <c r="AW5" s="370"/>
      <c r="AX5" s="370"/>
      <c r="AY5" s="336"/>
      <c r="AZ5" s="336"/>
      <c r="BA5" s="336"/>
      <c r="BB5" s="336"/>
      <c r="BC5" s="336"/>
    </row>
    <row r="6" spans="1:55" x14ac:dyDescent="0.2">
      <c r="A6" s="375" t="str">
        <f>'- I -'!C8</f>
        <v>Francia</v>
      </c>
      <c r="B6" s="373">
        <f>IF('- I -'!D8&lt;&gt;"",'- I -'!D8,"")</f>
        <v>4</v>
      </c>
      <c r="C6" s="373" t="str">
        <f>'- I -'!E8</f>
        <v>-</v>
      </c>
      <c r="D6" s="373">
        <f>IF('- I -'!F8&lt;&gt;"",'- I -'!F8,"")</f>
        <v>0</v>
      </c>
      <c r="E6" s="376" t="str">
        <f>'- I -'!G8</f>
        <v>Irak</v>
      </c>
      <c r="F6" s="373">
        <f>COUNTBLANK('- I -'!D8:'- I -'!F8)</f>
        <v>0</v>
      </c>
      <c r="G6" s="373">
        <f t="shared" si="2"/>
        <v>1</v>
      </c>
      <c r="H6" s="373">
        <f t="shared" si="3"/>
        <v>1</v>
      </c>
      <c r="I6" s="373">
        <f t="shared" si="4"/>
        <v>0</v>
      </c>
      <c r="J6" s="373">
        <f t="shared" si="5"/>
        <v>0</v>
      </c>
      <c r="K6" s="373">
        <f t="shared" si="6"/>
        <v>4</v>
      </c>
      <c r="L6" s="373">
        <f t="shared" si="7"/>
        <v>0</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0</v>
      </c>
      <c r="Z6" s="373">
        <f t="shared" si="19"/>
        <v>4</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NoruegaFrancia</v>
      </c>
      <c r="AO6" s="371" t="str">
        <f t="shared" si="1"/>
        <v>Francia</v>
      </c>
      <c r="AP6" s="370"/>
      <c r="AQ6" s="370"/>
      <c r="AR6" s="370"/>
      <c r="AS6" s="370"/>
      <c r="AT6" s="370"/>
      <c r="AU6" s="370"/>
      <c r="AV6" s="370"/>
      <c r="AW6" s="370"/>
      <c r="AX6" s="370"/>
      <c r="AY6" s="336"/>
      <c r="AZ6" s="336"/>
      <c r="BA6" s="336"/>
      <c r="BB6" s="336"/>
      <c r="BC6" s="336"/>
    </row>
    <row r="7" spans="1:55" x14ac:dyDescent="0.2">
      <c r="A7" s="375" t="str">
        <f>'- I -'!C9</f>
        <v>Noruega</v>
      </c>
      <c r="B7" s="373">
        <f>IF('- I -'!D9&lt;&gt;"",'- I -'!D9,"")</f>
        <v>1</v>
      </c>
      <c r="C7" s="373" t="str">
        <f>'- I -'!E9</f>
        <v>-</v>
      </c>
      <c r="D7" s="373">
        <f>IF('- I -'!F9&lt;&gt;"",'- I -'!F9,"")</f>
        <v>1</v>
      </c>
      <c r="E7" s="376" t="str">
        <f>'- I -'!G9</f>
        <v>Senegal</v>
      </c>
      <c r="F7" s="373">
        <f>COUNTBLANK('- I -'!D9:'- I -'!F9)</f>
        <v>0</v>
      </c>
      <c r="G7" s="373">
        <f t="shared" si="2"/>
        <v>0</v>
      </c>
      <c r="H7" s="373">
        <f t="shared" si="3"/>
        <v>0</v>
      </c>
      <c r="I7" s="373">
        <f t="shared" si="4"/>
        <v>0</v>
      </c>
      <c r="J7" s="373">
        <f t="shared" si="5"/>
        <v>0</v>
      </c>
      <c r="K7" s="373">
        <f t="shared" si="6"/>
        <v>0</v>
      </c>
      <c r="L7" s="373">
        <f t="shared" si="7"/>
        <v>0</v>
      </c>
      <c r="M7" s="373"/>
      <c r="N7" s="373">
        <f t="shared" si="8"/>
        <v>1</v>
      </c>
      <c r="O7" s="373">
        <f t="shared" si="9"/>
        <v>0</v>
      </c>
      <c r="P7" s="373">
        <f t="shared" si="10"/>
        <v>1</v>
      </c>
      <c r="Q7" s="373">
        <f t="shared" si="11"/>
        <v>0</v>
      </c>
      <c r="R7" s="373">
        <f t="shared" si="12"/>
        <v>1</v>
      </c>
      <c r="S7" s="373">
        <f t="shared" si="13"/>
        <v>1</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0</v>
      </c>
      <c r="AD7" s="373">
        <f t="shared" si="22"/>
        <v>1</v>
      </c>
      <c r="AE7" s="373">
        <f t="shared" si="23"/>
        <v>0</v>
      </c>
      <c r="AF7" s="373">
        <f t="shared" si="24"/>
        <v>1</v>
      </c>
      <c r="AG7" s="373">
        <f t="shared" si="25"/>
        <v>1</v>
      </c>
      <c r="AH7" s="373"/>
      <c r="AI7" s="370"/>
      <c r="AJ7" s="370"/>
      <c r="AK7" s="370"/>
      <c r="AL7" s="370"/>
      <c r="AM7" s="370"/>
      <c r="AN7" s="374" t="str">
        <f t="shared" si="0"/>
        <v>SenegalIrak</v>
      </c>
      <c r="AO7" s="371" t="str">
        <f t="shared" si="1"/>
        <v>Senegal</v>
      </c>
      <c r="AP7" s="370"/>
      <c r="AQ7" s="370"/>
      <c r="AR7" s="370"/>
      <c r="AS7" s="370"/>
      <c r="AT7" s="370"/>
      <c r="AU7" s="370"/>
      <c r="AV7" s="370"/>
      <c r="AW7" s="370"/>
      <c r="AX7" s="370"/>
      <c r="AY7" s="336"/>
      <c r="AZ7" s="336"/>
      <c r="BA7" s="336"/>
      <c r="BB7" s="336"/>
      <c r="BC7" s="336"/>
    </row>
    <row r="8" spans="1:55" x14ac:dyDescent="0.2">
      <c r="A8" s="375" t="str">
        <f>'- I -'!C10</f>
        <v>Noruega</v>
      </c>
      <c r="B8" s="373">
        <f>IF('- I -'!D10&lt;&gt;"",'- I -'!D10,"")</f>
        <v>1</v>
      </c>
      <c r="C8" s="373" t="str">
        <f>'- I -'!E10</f>
        <v>-</v>
      </c>
      <c r="D8" s="373">
        <f>IF('- I -'!F10&lt;&gt;"",'- I -'!F10,"")</f>
        <v>3</v>
      </c>
      <c r="E8" s="376" t="str">
        <f>'- I -'!G10</f>
        <v>Francia</v>
      </c>
      <c r="F8" s="373">
        <f>COUNTBLANK('- I -'!D10:'- I -'!F10)</f>
        <v>0</v>
      </c>
      <c r="G8" s="373">
        <f t="shared" si="2"/>
        <v>1</v>
      </c>
      <c r="H8" s="373">
        <f t="shared" si="3"/>
        <v>1</v>
      </c>
      <c r="I8" s="373">
        <f t="shared" si="4"/>
        <v>0</v>
      </c>
      <c r="J8" s="373">
        <f t="shared" si="5"/>
        <v>0</v>
      </c>
      <c r="K8" s="373">
        <f t="shared" si="6"/>
        <v>3</v>
      </c>
      <c r="L8" s="373">
        <f t="shared" si="7"/>
        <v>1</v>
      </c>
      <c r="M8" s="373"/>
      <c r="N8" s="373">
        <f t="shared" si="8"/>
        <v>0</v>
      </c>
      <c r="O8" s="373">
        <f t="shared" si="9"/>
        <v>0</v>
      </c>
      <c r="P8" s="373">
        <f t="shared" si="10"/>
        <v>0</v>
      </c>
      <c r="Q8" s="373">
        <f t="shared" si="11"/>
        <v>0</v>
      </c>
      <c r="R8" s="373">
        <f t="shared" si="12"/>
        <v>0</v>
      </c>
      <c r="S8" s="373">
        <f t="shared" si="13"/>
        <v>0</v>
      </c>
      <c r="T8" s="373"/>
      <c r="U8" s="373">
        <f t="shared" si="14"/>
        <v>0</v>
      </c>
      <c r="V8" s="373">
        <f t="shared" si="15"/>
        <v>0</v>
      </c>
      <c r="W8" s="373">
        <f t="shared" si="16"/>
        <v>0</v>
      </c>
      <c r="X8" s="373">
        <f t="shared" si="17"/>
        <v>0</v>
      </c>
      <c r="Y8" s="373">
        <f t="shared" si="18"/>
        <v>0</v>
      </c>
      <c r="Z8" s="373">
        <f t="shared" si="19"/>
        <v>0</v>
      </c>
      <c r="AA8" s="373"/>
      <c r="AB8" s="373">
        <f t="shared" si="20"/>
        <v>1</v>
      </c>
      <c r="AC8" s="373">
        <f t="shared" si="21"/>
        <v>0</v>
      </c>
      <c r="AD8" s="373">
        <f t="shared" si="22"/>
        <v>0</v>
      </c>
      <c r="AE8" s="373">
        <f t="shared" si="23"/>
        <v>1</v>
      </c>
      <c r="AF8" s="373">
        <f t="shared" si="24"/>
        <v>1</v>
      </c>
      <c r="AG8" s="373">
        <f t="shared" si="25"/>
        <v>3</v>
      </c>
      <c r="AH8" s="373"/>
      <c r="AI8" s="370"/>
      <c r="AJ8" s="370"/>
      <c r="AK8" s="370"/>
      <c r="AL8" s="370"/>
      <c r="AM8" s="370"/>
      <c r="AN8" s="374" t="str">
        <f>E4&amp;A4</f>
        <v>SenegalFrancia</v>
      </c>
      <c r="AO8" s="371" t="str">
        <f>IF(B4=D4,0,IF(B4&gt;D4,A4,E4))</f>
        <v>Francia</v>
      </c>
      <c r="AP8" s="370"/>
      <c r="AQ8" s="370"/>
      <c r="AR8" s="370"/>
      <c r="AS8" s="370"/>
      <c r="AT8" s="370"/>
      <c r="AU8" s="370"/>
      <c r="AV8" s="370"/>
      <c r="AW8" s="370"/>
      <c r="AX8" s="370"/>
      <c r="AY8" s="336"/>
      <c r="AZ8" s="336"/>
      <c r="BA8" s="336"/>
      <c r="BB8" s="336"/>
      <c r="BC8" s="336"/>
    </row>
    <row r="9" spans="1:55" x14ac:dyDescent="0.2">
      <c r="A9" s="375" t="str">
        <f>'- I -'!C11</f>
        <v>Senegal</v>
      </c>
      <c r="B9" s="373">
        <f>IF('- I -'!D11&lt;&gt;"",'- I -'!D11,"")</f>
        <v>2</v>
      </c>
      <c r="C9" s="373" t="str">
        <f>'- I -'!E11</f>
        <v>-</v>
      </c>
      <c r="D9" s="373">
        <f>IF('- I -'!F11&lt;&gt;"",'- I -'!F11,"")</f>
        <v>1</v>
      </c>
      <c r="E9" s="376" t="str">
        <f>'- I -'!G11</f>
        <v>Irak</v>
      </c>
      <c r="F9" s="373">
        <f>COUNTBLANK('- I -'!D11:'- I -'!F11)</f>
        <v>0</v>
      </c>
      <c r="G9" s="373">
        <f t="shared" si="2"/>
        <v>0</v>
      </c>
      <c r="H9" s="373">
        <f t="shared" si="3"/>
        <v>0</v>
      </c>
      <c r="I9" s="373">
        <f t="shared" si="4"/>
        <v>0</v>
      </c>
      <c r="J9" s="373">
        <f t="shared" si="5"/>
        <v>0</v>
      </c>
      <c r="K9" s="373">
        <f t="shared" si="6"/>
        <v>0</v>
      </c>
      <c r="L9" s="373">
        <f t="shared" si="7"/>
        <v>0</v>
      </c>
      <c r="M9" s="373"/>
      <c r="N9" s="373">
        <f t="shared" si="8"/>
        <v>1</v>
      </c>
      <c r="O9" s="373">
        <f t="shared" si="9"/>
        <v>1</v>
      </c>
      <c r="P9" s="373">
        <f t="shared" si="10"/>
        <v>0</v>
      </c>
      <c r="Q9" s="373">
        <f t="shared" si="11"/>
        <v>0</v>
      </c>
      <c r="R9" s="373">
        <f t="shared" si="12"/>
        <v>2</v>
      </c>
      <c r="S9" s="373">
        <f t="shared" si="13"/>
        <v>1</v>
      </c>
      <c r="T9" s="373"/>
      <c r="U9" s="373">
        <f t="shared" si="14"/>
        <v>1</v>
      </c>
      <c r="V9" s="373">
        <f t="shared" si="15"/>
        <v>0</v>
      </c>
      <c r="W9" s="373">
        <f t="shared" si="16"/>
        <v>0</v>
      </c>
      <c r="X9" s="373">
        <f t="shared" si="17"/>
        <v>1</v>
      </c>
      <c r="Y9" s="373">
        <f t="shared" si="18"/>
        <v>1</v>
      </c>
      <c r="Z9" s="373">
        <f t="shared" si="19"/>
        <v>2</v>
      </c>
      <c r="AA9" s="373"/>
      <c r="AB9" s="373">
        <f t="shared" si="20"/>
        <v>0</v>
      </c>
      <c r="AC9" s="373">
        <f t="shared" si="21"/>
        <v>0</v>
      </c>
      <c r="AD9" s="373">
        <f t="shared" si="22"/>
        <v>0</v>
      </c>
      <c r="AE9" s="373">
        <f t="shared" si="23"/>
        <v>0</v>
      </c>
      <c r="AF9" s="373">
        <f t="shared" si="24"/>
        <v>0</v>
      </c>
      <c r="AG9" s="373">
        <f t="shared" si="25"/>
        <v>0</v>
      </c>
      <c r="AH9" s="373"/>
      <c r="AI9" s="370"/>
      <c r="AJ9" s="370"/>
      <c r="AK9" s="370"/>
      <c r="AL9" s="370"/>
      <c r="AM9" s="370"/>
      <c r="AN9" s="374" t="str">
        <f t="shared" ref="AN9:AN13" si="26">E5&amp;A5</f>
        <v>NoruegaIrak</v>
      </c>
      <c r="AO9" s="371" t="str">
        <f t="shared" ref="AO9:AO13" si="27">IF(B5=D5,0,IF(B5&gt;D5,A5,E5))</f>
        <v>Noruega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3</v>
      </c>
      <c r="I10" s="373">
        <f t="shared" si="28"/>
        <v>0</v>
      </c>
      <c r="J10" s="373">
        <f t="shared" si="28"/>
        <v>0</v>
      </c>
      <c r="K10" s="373">
        <f t="shared" si="28"/>
        <v>9</v>
      </c>
      <c r="L10" s="373">
        <f t="shared" si="28"/>
        <v>1</v>
      </c>
      <c r="M10" s="373">
        <f>H10*3+I10</f>
        <v>9</v>
      </c>
      <c r="N10" s="373">
        <f t="shared" ref="N10:S10" si="29">SUM(N4:N9)</f>
        <v>3</v>
      </c>
      <c r="O10" s="373">
        <f t="shared" si="29"/>
        <v>1</v>
      </c>
      <c r="P10" s="373">
        <f t="shared" si="29"/>
        <v>1</v>
      </c>
      <c r="Q10" s="373">
        <f t="shared" si="29"/>
        <v>1</v>
      </c>
      <c r="R10" s="373">
        <f t="shared" si="29"/>
        <v>3</v>
      </c>
      <c r="S10" s="373">
        <f t="shared" si="29"/>
        <v>4</v>
      </c>
      <c r="T10" s="373">
        <f>O10*3+P10</f>
        <v>4</v>
      </c>
      <c r="U10" s="373">
        <f t="shared" ref="U10:Z10" si="30">SUM(U4:U9)</f>
        <v>3</v>
      </c>
      <c r="V10" s="373">
        <f t="shared" si="30"/>
        <v>0</v>
      </c>
      <c r="W10" s="373">
        <f t="shared" si="30"/>
        <v>0</v>
      </c>
      <c r="X10" s="373">
        <f t="shared" si="30"/>
        <v>3</v>
      </c>
      <c r="Y10" s="373">
        <f t="shared" si="30"/>
        <v>1</v>
      </c>
      <c r="Z10" s="373">
        <f t="shared" si="30"/>
        <v>8</v>
      </c>
      <c r="AA10" s="373">
        <f>V10*3+W10</f>
        <v>0</v>
      </c>
      <c r="AB10" s="373">
        <f t="shared" ref="AB10:AG10" si="31">SUM(AB4:AB9)</f>
        <v>3</v>
      </c>
      <c r="AC10" s="373">
        <f t="shared" si="31"/>
        <v>1</v>
      </c>
      <c r="AD10" s="373">
        <f t="shared" si="31"/>
        <v>1</v>
      </c>
      <c r="AE10" s="373">
        <f t="shared" si="31"/>
        <v>1</v>
      </c>
      <c r="AF10" s="373">
        <f t="shared" si="31"/>
        <v>4</v>
      </c>
      <c r="AG10" s="373">
        <f t="shared" si="31"/>
        <v>4</v>
      </c>
      <c r="AH10" s="373">
        <f>AC10*3+AD10</f>
        <v>4</v>
      </c>
      <c r="AI10" s="370"/>
      <c r="AJ10" s="370"/>
      <c r="AK10" s="370"/>
      <c r="AL10" s="370"/>
      <c r="AM10" s="370"/>
      <c r="AN10" s="374" t="str">
        <f t="shared" si="26"/>
        <v>IrakFrancia</v>
      </c>
      <c r="AO10" s="371" t="str">
        <f t="shared" si="27"/>
        <v>Francia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SenegalNoruega</v>
      </c>
      <c r="AO11" s="371">
        <f t="shared" si="27"/>
        <v>0</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FranciaNoruega</v>
      </c>
      <c r="AO12" s="371" t="str">
        <f t="shared" si="27"/>
        <v>Francia</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IrakSenegal</v>
      </c>
      <c r="AO13" s="371" t="str">
        <f t="shared" si="27"/>
        <v>Senegal</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Francia</v>
      </c>
      <c r="G16" s="373">
        <f>G10</f>
        <v>3</v>
      </c>
      <c r="H16" s="373">
        <f t="shared" ref="H16:M16" si="32">H10</f>
        <v>3</v>
      </c>
      <c r="I16" s="373">
        <f t="shared" si="32"/>
        <v>0</v>
      </c>
      <c r="J16" s="373">
        <f t="shared" si="32"/>
        <v>0</v>
      </c>
      <c r="K16" s="373">
        <f t="shared" si="32"/>
        <v>9</v>
      </c>
      <c r="L16" s="373">
        <f t="shared" si="32"/>
        <v>1</v>
      </c>
      <c r="M16" s="373">
        <f t="shared" si="32"/>
        <v>9</v>
      </c>
      <c r="N16" s="370"/>
      <c r="O16" s="370" t="str">
        <f>IF($M16&gt;=$M17,$F16,$F17)</f>
        <v>Francia</v>
      </c>
      <c r="P16" s="370">
        <f>VLOOKUP(O16,$F$16:$M$20,8,FALSE)</f>
        <v>9</v>
      </c>
      <c r="Q16" s="370"/>
      <c r="R16" s="370"/>
      <c r="S16" s="370" t="str">
        <f>IF($P16&gt;=$P18,$O16,$O18)</f>
        <v>Francia</v>
      </c>
      <c r="T16" s="370">
        <f>VLOOKUP(S16,$O$16:$P$20,2,FALSE)</f>
        <v>9</v>
      </c>
      <c r="U16" s="370"/>
      <c r="V16" s="370"/>
      <c r="W16" s="370" t="str">
        <f>IF($T16&gt;=$T19,$S16,$S19)</f>
        <v>Francia</v>
      </c>
      <c r="X16" s="370">
        <f>VLOOKUP(W16,$S$16:$T$20,2,FALSE)</f>
        <v>9</v>
      </c>
      <c r="Y16" s="370"/>
      <c r="Z16" s="370"/>
      <c r="AA16" s="370" t="str">
        <f>W16</f>
        <v>Francia</v>
      </c>
      <c r="AB16" s="370">
        <f>VLOOKUP(AA16,W16:X20,2,FALSE)</f>
        <v>9</v>
      </c>
      <c r="AC16" s="370"/>
      <c r="AD16" s="370"/>
      <c r="AE16" s="370" t="str">
        <f>AA16</f>
        <v>Francia</v>
      </c>
      <c r="AF16" s="370">
        <f>VLOOKUP(AE16,AA16:AB20,2,FALSE)</f>
        <v>9</v>
      </c>
      <c r="AG16" s="370"/>
      <c r="AH16" s="370"/>
      <c r="AI16" s="370" t="str">
        <f>AE16</f>
        <v>Francia</v>
      </c>
      <c r="AJ16" s="370">
        <f>VLOOKUP(AI16,AE16:AF20,2,FALSE)</f>
        <v>9</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Senegal</v>
      </c>
      <c r="G17" s="373">
        <f t="shared" ref="G17:M17" si="33">N10</f>
        <v>3</v>
      </c>
      <c r="H17" s="373">
        <f t="shared" si="33"/>
        <v>1</v>
      </c>
      <c r="I17" s="373">
        <f t="shared" si="33"/>
        <v>1</v>
      </c>
      <c r="J17" s="373">
        <f t="shared" si="33"/>
        <v>1</v>
      </c>
      <c r="K17" s="373">
        <f t="shared" si="33"/>
        <v>3</v>
      </c>
      <c r="L17" s="373">
        <f t="shared" si="33"/>
        <v>4</v>
      </c>
      <c r="M17" s="373">
        <f t="shared" si="33"/>
        <v>4</v>
      </c>
      <c r="N17" s="370"/>
      <c r="O17" s="370" t="str">
        <f>IF($M17&lt;=$M16,$F17,$F16)</f>
        <v>Senegal</v>
      </c>
      <c r="P17" s="370">
        <f>VLOOKUP(O17,$F$16:$M$20,8,FALSE)</f>
        <v>4</v>
      </c>
      <c r="Q17" s="370"/>
      <c r="R17" s="370"/>
      <c r="S17" s="370" t="str">
        <f>O17</f>
        <v>Senegal</v>
      </c>
      <c r="T17" s="370">
        <f>VLOOKUP(S17,$O$16:$P$20,2,FALSE)</f>
        <v>4</v>
      </c>
      <c r="U17" s="370"/>
      <c r="V17" s="370"/>
      <c r="W17" s="370" t="str">
        <f>S17</f>
        <v>Senegal</v>
      </c>
      <c r="X17" s="370">
        <f>VLOOKUP(W17,$S$16:$T$20,2,FALSE)</f>
        <v>4</v>
      </c>
      <c r="Y17" s="370"/>
      <c r="Z17" s="370"/>
      <c r="AA17" s="370" t="str">
        <f>IF(X17&gt;=X18,W17,W18)</f>
        <v>Senegal</v>
      </c>
      <c r="AB17" s="370">
        <f>VLOOKUP(AA17,W16:X20,2,FALSE)</f>
        <v>4</v>
      </c>
      <c r="AC17" s="370"/>
      <c r="AD17" s="370"/>
      <c r="AE17" s="370" t="str">
        <f>IF(AB17&gt;=AB19,AA17,AA19)</f>
        <v>Senegal</v>
      </c>
      <c r="AF17" s="370">
        <f>VLOOKUP(AE17,AA16:AB20,2,FALSE)</f>
        <v>4</v>
      </c>
      <c r="AG17" s="370"/>
      <c r="AH17" s="370"/>
      <c r="AI17" s="370" t="str">
        <f>AE17</f>
        <v>Senegal</v>
      </c>
      <c r="AJ17" s="370">
        <f>VLOOKUP(AI17,AE16:AF20,2,FALSE)</f>
        <v>4</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Irak</v>
      </c>
      <c r="G18" s="373">
        <f t="shared" ref="G18:M18" si="34">U10</f>
        <v>3</v>
      </c>
      <c r="H18" s="373">
        <f t="shared" si="34"/>
        <v>0</v>
      </c>
      <c r="I18" s="373">
        <f t="shared" si="34"/>
        <v>0</v>
      </c>
      <c r="J18" s="373">
        <f t="shared" si="34"/>
        <v>3</v>
      </c>
      <c r="K18" s="373">
        <f t="shared" si="34"/>
        <v>1</v>
      </c>
      <c r="L18" s="373">
        <f t="shared" si="34"/>
        <v>8</v>
      </c>
      <c r="M18" s="373">
        <f t="shared" si="34"/>
        <v>0</v>
      </c>
      <c r="N18" s="370"/>
      <c r="O18" s="370" t="str">
        <f>F18</f>
        <v>Irak</v>
      </c>
      <c r="P18" s="370">
        <f>VLOOKUP(O18,$F$16:$M$20,8,FALSE)</f>
        <v>0</v>
      </c>
      <c r="Q18" s="370"/>
      <c r="R18" s="370"/>
      <c r="S18" s="370" t="str">
        <f>IF($P18&lt;=$P16,$O18,$O16)</f>
        <v>Irak</v>
      </c>
      <c r="T18" s="370">
        <f>VLOOKUP(S18,$O$16:$P$20,2,FALSE)</f>
        <v>0</v>
      </c>
      <c r="U18" s="370"/>
      <c r="V18" s="370"/>
      <c r="W18" s="370" t="str">
        <f>S18</f>
        <v>Irak</v>
      </c>
      <c r="X18" s="370">
        <f>VLOOKUP(W18,$S$16:$T$20,2,FALSE)</f>
        <v>0</v>
      </c>
      <c r="Y18" s="370"/>
      <c r="Z18" s="370"/>
      <c r="AA18" s="370" t="str">
        <f>IF(X18&lt;=X17,W18,W17)</f>
        <v>Irak</v>
      </c>
      <c r="AB18" s="370">
        <f>VLOOKUP(AA18,W16:X20,2,FALSE)</f>
        <v>0</v>
      </c>
      <c r="AC18" s="370"/>
      <c r="AD18" s="370"/>
      <c r="AE18" s="370" t="str">
        <f>AA18</f>
        <v>Irak</v>
      </c>
      <c r="AF18" s="370">
        <f>VLOOKUP(AE18,AA16:AB20,2,FALSE)</f>
        <v>0</v>
      </c>
      <c r="AG18" s="370"/>
      <c r="AH18" s="370"/>
      <c r="AI18" s="370" t="str">
        <f>IF(AF18&gt;=AF19,AE18,AE19)</f>
        <v>Noruega</v>
      </c>
      <c r="AJ18" s="370">
        <f>VLOOKUP(AI18,AE16:AF20,2,FALSE)</f>
        <v>4</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Noruega</v>
      </c>
      <c r="G19" s="373">
        <f t="shared" ref="G19:M19" si="35">AB10</f>
        <v>3</v>
      </c>
      <c r="H19" s="373">
        <f t="shared" si="35"/>
        <v>1</v>
      </c>
      <c r="I19" s="373">
        <f t="shared" si="35"/>
        <v>1</v>
      </c>
      <c r="J19" s="373">
        <f t="shared" si="35"/>
        <v>1</v>
      </c>
      <c r="K19" s="373">
        <f t="shared" si="35"/>
        <v>4</v>
      </c>
      <c r="L19" s="373">
        <f t="shared" si="35"/>
        <v>4</v>
      </c>
      <c r="M19" s="373">
        <f t="shared" si="35"/>
        <v>4</v>
      </c>
      <c r="N19" s="370"/>
      <c r="O19" s="370" t="str">
        <f>F19</f>
        <v>Noruega</v>
      </c>
      <c r="P19" s="370">
        <f>VLOOKUP(O19,$F$16:$M$20,8,FALSE)</f>
        <v>4</v>
      </c>
      <c r="Q19" s="370"/>
      <c r="R19" s="370"/>
      <c r="S19" s="370" t="str">
        <f>O19</f>
        <v>Noruega</v>
      </c>
      <c r="T19" s="370">
        <f>VLOOKUP(S19,$O$16:$P$20,2,FALSE)</f>
        <v>4</v>
      </c>
      <c r="U19" s="370"/>
      <c r="V19" s="370"/>
      <c r="W19" s="370" t="str">
        <f>IF($T19&lt;=$T16,$S19,$S16)</f>
        <v>Noruega</v>
      </c>
      <c r="X19" s="370">
        <f>VLOOKUP(W19,$S$16:$T$20,2,FALSE)</f>
        <v>4</v>
      </c>
      <c r="Y19" s="370"/>
      <c r="Z19" s="370"/>
      <c r="AA19" s="370" t="str">
        <f>W19</f>
        <v>Noruega</v>
      </c>
      <c r="AB19" s="370">
        <f>VLOOKUP(AA19,W16:X20,2,FALSE)</f>
        <v>4</v>
      </c>
      <c r="AC19" s="370"/>
      <c r="AD19" s="370"/>
      <c r="AE19" s="370" t="str">
        <f>IF(AB19&lt;=AB17,AA19,AA17)</f>
        <v>Noruega</v>
      </c>
      <c r="AF19" s="370">
        <f>VLOOKUP(AE19,AA16:AB20,2,FALSE)</f>
        <v>4</v>
      </c>
      <c r="AG19" s="370"/>
      <c r="AH19" s="370"/>
      <c r="AI19" s="370" t="str">
        <f>IF(AF19&lt;=AF18,AE19,AE18)</f>
        <v>Irak</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Francia</v>
      </c>
      <c r="G23" s="370"/>
      <c r="H23" s="370"/>
      <c r="I23" s="370"/>
      <c r="J23" s="373">
        <f>AJ16</f>
        <v>9</v>
      </c>
      <c r="K23" s="373">
        <f>VLOOKUP(AI16,$F$16:$M$20,6,FALSE)</f>
        <v>9</v>
      </c>
      <c r="L23" s="373">
        <f>VLOOKUP(AI16,$F$16:$M$20,7,FALSE)</f>
        <v>1</v>
      </c>
      <c r="M23" s="373">
        <f>K23-L23</f>
        <v>8</v>
      </c>
      <c r="N23" s="370"/>
      <c r="O23" s="370" t="str">
        <f>IF(AND($J23=$J24,$M24&gt;$M23),$F24,$F23)</f>
        <v>Francia</v>
      </c>
      <c r="P23" s="373">
        <f>VLOOKUP(O23,$F$23:$M$27,5,FALSE)</f>
        <v>9</v>
      </c>
      <c r="Q23" s="373">
        <f>VLOOKUP(O23,$F$23:$M$27,8,FALSE)</f>
        <v>8</v>
      </c>
      <c r="R23" s="370"/>
      <c r="S23" s="370" t="str">
        <f>IF(AND(P23=P25,Q25&gt;Q23),O25,O23)</f>
        <v>Francia</v>
      </c>
      <c r="T23" s="373">
        <f>VLOOKUP(S23,$O$23:$Q$27,2,FALSE)</f>
        <v>9</v>
      </c>
      <c r="U23" s="373">
        <f>VLOOKUP(S23,$O$23:$Q$27,3,FALSE)</f>
        <v>8</v>
      </c>
      <c r="V23" s="370"/>
      <c r="W23" s="370" t="str">
        <f>IF(AND(T23=T26,U26&gt;U23),S26,S23)</f>
        <v>Francia</v>
      </c>
      <c r="X23" s="373">
        <f>VLOOKUP(W23,$S$23:$U$27,2,FALSE)</f>
        <v>9</v>
      </c>
      <c r="Y23" s="373">
        <f>VLOOKUP(W23,$S$23:$U$27,3,FALSE)</f>
        <v>8</v>
      </c>
      <c r="Z23" s="370"/>
      <c r="AA23" s="370" t="str">
        <f>W23</f>
        <v>Francia</v>
      </c>
      <c r="AB23" s="373">
        <f>VLOOKUP(AA23,W23:Y27,2,FALSE)</f>
        <v>9</v>
      </c>
      <c r="AC23" s="373">
        <f>VLOOKUP(AA23,W23:Y27,3,FALSE)</f>
        <v>8</v>
      </c>
      <c r="AD23" s="370"/>
      <c r="AE23" s="370" t="str">
        <f>AA23</f>
        <v>Francia</v>
      </c>
      <c r="AF23" s="373">
        <f>VLOOKUP(AE23,AA23:AC27,2,FALSE)</f>
        <v>9</v>
      </c>
      <c r="AG23" s="373">
        <f>VLOOKUP(AE23,AA23:AC27,3,FALSE)</f>
        <v>8</v>
      </c>
      <c r="AH23" s="370"/>
      <c r="AI23" s="370" t="str">
        <f>AE23</f>
        <v>Francia</v>
      </c>
      <c r="AJ23" s="373">
        <f>VLOOKUP(AI23,AE23:AG27,2,FALSE)</f>
        <v>9</v>
      </c>
      <c r="AK23" s="373">
        <f>VLOOKUP(AI23,AE23:AG27,3,FALSE)</f>
        <v>8</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Senegal</v>
      </c>
      <c r="G24" s="370"/>
      <c r="H24" s="370"/>
      <c r="I24" s="370"/>
      <c r="J24" s="373">
        <f>AJ17</f>
        <v>4</v>
      </c>
      <c r="K24" s="373">
        <f>VLOOKUP(AI17,$F$16:$M$20,6,FALSE)</f>
        <v>3</v>
      </c>
      <c r="L24" s="373">
        <f>VLOOKUP(AI17,$F$16:$M$20,7,FALSE)</f>
        <v>4</v>
      </c>
      <c r="M24" s="373">
        <f>K24-L24</f>
        <v>-1</v>
      </c>
      <c r="N24" s="370"/>
      <c r="O24" s="370" t="str">
        <f>IF(AND($J23=$J24,$M24&gt;$M23),$F23,$F24)</f>
        <v>Senegal</v>
      </c>
      <c r="P24" s="373">
        <f>VLOOKUP(O24,$F$23:$M$27,5,FALSE)</f>
        <v>4</v>
      </c>
      <c r="Q24" s="373">
        <f>VLOOKUP(O24,$F$23:$M$27,8,FALSE)</f>
        <v>-1</v>
      </c>
      <c r="R24" s="370"/>
      <c r="S24" s="370" t="str">
        <f>O24</f>
        <v>Senegal</v>
      </c>
      <c r="T24" s="373">
        <f>VLOOKUP(S24,$O$23:$Q$27,2,FALSE)</f>
        <v>4</v>
      </c>
      <c r="U24" s="373">
        <f>VLOOKUP(S24,$O$23:$Q$27,3,FALSE)</f>
        <v>-1</v>
      </c>
      <c r="V24" s="370"/>
      <c r="W24" s="370" t="str">
        <f>S24</f>
        <v>Senegal</v>
      </c>
      <c r="X24" s="373">
        <f>VLOOKUP(W24,$S$23:$U$27,2,FALSE)</f>
        <v>4</v>
      </c>
      <c r="Y24" s="373">
        <f>VLOOKUP(W24,$S$23:$U$27,3,FALSE)</f>
        <v>-1</v>
      </c>
      <c r="Z24" s="370"/>
      <c r="AA24" s="370" t="str">
        <f>IF(AND(X24=X25,Y25&gt;Y24),W25,W24)</f>
        <v>Noruega</v>
      </c>
      <c r="AB24" s="373">
        <f>VLOOKUP(AA24,W23:Y27,2,FALSE)</f>
        <v>4</v>
      </c>
      <c r="AC24" s="373">
        <f>VLOOKUP(AA24,W23:Y27,3,FALSE)</f>
        <v>0</v>
      </c>
      <c r="AD24" s="370"/>
      <c r="AE24" s="370" t="str">
        <f>IF(AND(AB24=AB26,AC26&gt;AC24),AA26,AA24)</f>
        <v>Noruega</v>
      </c>
      <c r="AF24" s="373">
        <f>VLOOKUP(AE24,AA23:AC27,2,FALSE)</f>
        <v>4</v>
      </c>
      <c r="AG24" s="373">
        <f>VLOOKUP(AE24,AA23:AC27,3,FALSE)</f>
        <v>0</v>
      </c>
      <c r="AH24" s="370"/>
      <c r="AI24" s="370" t="str">
        <f>AE24</f>
        <v>Noruega</v>
      </c>
      <c r="AJ24" s="373">
        <f>VLOOKUP(AI24,AE23:AG27,2,FALSE)</f>
        <v>4</v>
      </c>
      <c r="AK24" s="373">
        <f>VLOOKUP(AI24,AE23:AG27,3,FALSE)</f>
        <v>0</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Noruega</v>
      </c>
      <c r="G25" s="370"/>
      <c r="H25" s="370"/>
      <c r="I25" s="370"/>
      <c r="J25" s="373">
        <f>AJ18</f>
        <v>4</v>
      </c>
      <c r="K25" s="373">
        <f>VLOOKUP(AI18,$F$16:$M$20,6,FALSE)</f>
        <v>4</v>
      </c>
      <c r="L25" s="373">
        <f>VLOOKUP(AI18,$F$16:$M$20,7,FALSE)</f>
        <v>4</v>
      </c>
      <c r="M25" s="373">
        <f>K25-L25</f>
        <v>0</v>
      </c>
      <c r="N25" s="370"/>
      <c r="O25" s="370" t="str">
        <f>F25</f>
        <v>Noruega</v>
      </c>
      <c r="P25" s="373">
        <f>VLOOKUP(O25,$F$23:$M$27,5,FALSE)</f>
        <v>4</v>
      </c>
      <c r="Q25" s="373">
        <f>VLOOKUP(O25,$F$23:$M$27,8,FALSE)</f>
        <v>0</v>
      </c>
      <c r="R25" s="370"/>
      <c r="S25" s="370" t="str">
        <f>IF(AND($P23=P25,Q25&gt;Q23),O23,O25)</f>
        <v>Noruega</v>
      </c>
      <c r="T25" s="373">
        <f>VLOOKUP(S25,$O$23:$Q$27,2,FALSE)</f>
        <v>4</v>
      </c>
      <c r="U25" s="373">
        <f>VLOOKUP(S25,$O$23:$Q$27,3,FALSE)</f>
        <v>0</v>
      </c>
      <c r="V25" s="370"/>
      <c r="W25" s="370" t="str">
        <f>S25</f>
        <v>Noruega</v>
      </c>
      <c r="X25" s="373">
        <f>VLOOKUP(W25,$S$23:$U$27,2,FALSE)</f>
        <v>4</v>
      </c>
      <c r="Y25" s="373">
        <f>VLOOKUP(W25,$S$23:$U$27,3,FALSE)</f>
        <v>0</v>
      </c>
      <c r="Z25" s="370"/>
      <c r="AA25" s="370" t="str">
        <f>IF(AND(X24=X25,Y25&gt;Y24),W24,W25)</f>
        <v>Senegal</v>
      </c>
      <c r="AB25" s="373">
        <f>VLOOKUP(AA25,W23:Y27,2,FALSE)</f>
        <v>4</v>
      </c>
      <c r="AC25" s="373">
        <f>VLOOKUP(AA25,W23:Y27,3,FALSE)</f>
        <v>-1</v>
      </c>
      <c r="AD25" s="370"/>
      <c r="AE25" s="370" t="str">
        <f>AA25</f>
        <v>Senegal</v>
      </c>
      <c r="AF25" s="373">
        <f>VLOOKUP(AE25,AA23:AC27,2,FALSE)</f>
        <v>4</v>
      </c>
      <c r="AG25" s="373">
        <f>VLOOKUP(AE25,AA23:AC27,3,FALSE)</f>
        <v>-1</v>
      </c>
      <c r="AH25" s="370"/>
      <c r="AI25" s="370" t="str">
        <f>IF(AND(AF25=AF26,AG26&gt;AG25),AE26,AE25)</f>
        <v>Senegal</v>
      </c>
      <c r="AJ25" s="373">
        <f>VLOOKUP(AI25,AE23:AG27,2,FALSE)</f>
        <v>4</v>
      </c>
      <c r="AK25" s="373">
        <f>VLOOKUP(AI25,AE23:AG27,3,FALSE)</f>
        <v>-1</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Irak</v>
      </c>
      <c r="G26" s="370"/>
      <c r="H26" s="370"/>
      <c r="I26" s="370"/>
      <c r="J26" s="373">
        <f>AJ19</f>
        <v>0</v>
      </c>
      <c r="K26" s="373">
        <f>VLOOKUP(AI19,$F$16:$M$20,6,FALSE)</f>
        <v>1</v>
      </c>
      <c r="L26" s="373">
        <f>VLOOKUP(AI19,$F$16:$M$20,7,FALSE)</f>
        <v>8</v>
      </c>
      <c r="M26" s="373">
        <f>K26-L26</f>
        <v>-7</v>
      </c>
      <c r="N26" s="370"/>
      <c r="O26" s="370" t="str">
        <f>F26</f>
        <v>Irak</v>
      </c>
      <c r="P26" s="373">
        <f>VLOOKUP(O26,$F$23:$M$27,5,FALSE)</f>
        <v>0</v>
      </c>
      <c r="Q26" s="373">
        <f>VLOOKUP(O26,$F$23:$M$27,8,FALSE)</f>
        <v>-7</v>
      </c>
      <c r="R26" s="370"/>
      <c r="S26" s="370" t="str">
        <f>O26</f>
        <v>Irak</v>
      </c>
      <c r="T26" s="373">
        <f>VLOOKUP(S26,$O$23:$Q$27,2,FALSE)</f>
        <v>0</v>
      </c>
      <c r="U26" s="373">
        <f>VLOOKUP(S26,$O$23:$Q$27,3,FALSE)</f>
        <v>-7</v>
      </c>
      <c r="V26" s="370"/>
      <c r="W26" s="370" t="str">
        <f>IF(AND(T23=T26,U26&gt;U23),S23,S26)</f>
        <v>Irak</v>
      </c>
      <c r="X26" s="373">
        <f>VLOOKUP(W26,$S$23:$U$27,2,FALSE)</f>
        <v>0</v>
      </c>
      <c r="Y26" s="373">
        <f>VLOOKUP(W26,$S$23:$U$27,3,FALSE)</f>
        <v>-7</v>
      </c>
      <c r="Z26" s="370"/>
      <c r="AA26" s="370" t="str">
        <f>W26</f>
        <v>Irak</v>
      </c>
      <c r="AB26" s="373">
        <f>VLOOKUP(AA26,W23:Y27,2,FALSE)</f>
        <v>0</v>
      </c>
      <c r="AC26" s="373">
        <f>VLOOKUP(AA26,W23:Y27,3,FALSE)</f>
        <v>-7</v>
      </c>
      <c r="AD26" s="370"/>
      <c r="AE26" s="370" t="str">
        <f>IF(AND(AB24=AB26,AC26&gt;AC24),AA24,AA26)</f>
        <v>Irak</v>
      </c>
      <c r="AF26" s="373">
        <f>VLOOKUP(AE26,AA23:AC27,2,FALSE)</f>
        <v>0</v>
      </c>
      <c r="AG26" s="373">
        <f>VLOOKUP(AE26,AA23:AC27,3,FALSE)</f>
        <v>-7</v>
      </c>
      <c r="AH26" s="370"/>
      <c r="AI26" s="370" t="str">
        <f>IF(AND(AF25=AF26,AG26&gt;AG25),AE25,AE26)</f>
        <v>Irak</v>
      </c>
      <c r="AJ26" s="373">
        <f>VLOOKUP(AI26,AE23:AG27,2,FALSE)</f>
        <v>0</v>
      </c>
      <c r="AK26" s="373">
        <f>VLOOKUP(AI26,AE23:AG27,3,FALSE)</f>
        <v>-7</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Francia</v>
      </c>
      <c r="G30" s="370"/>
      <c r="H30" s="370"/>
      <c r="I30" s="370"/>
      <c r="J30" s="373">
        <f>VLOOKUP(F30,$F$16:$M$20,8,FALSE)</f>
        <v>9</v>
      </c>
      <c r="K30" s="373">
        <f>VLOOKUP(F30,$F$16:$M$20,6,FALSE)</f>
        <v>9</v>
      </c>
      <c r="L30" s="373">
        <f>VLOOKUP(F30,$F$16:$M$20,7,FALSE)</f>
        <v>1</v>
      </c>
      <c r="M30" s="373">
        <f>K30-L30</f>
        <v>8</v>
      </c>
      <c r="N30" s="370"/>
      <c r="O30" s="370" t="str">
        <f>IF(AND(J30=J31,M30=M31,K31&gt;K30),F31,F30)</f>
        <v>Francia</v>
      </c>
      <c r="P30" s="373">
        <f>VLOOKUP(O30,$F$30:$M$34,5,FALSE)</f>
        <v>9</v>
      </c>
      <c r="Q30" s="373">
        <f>VLOOKUP(O30,$F$30:$M$34,8,FALSE)</f>
        <v>8</v>
      </c>
      <c r="R30" s="373">
        <f>VLOOKUP(O30,$F$30:$M$34,6,FALSE)</f>
        <v>9</v>
      </c>
      <c r="S30" s="370" t="str">
        <f>IF(AND(P30=P32,Q30=Q32,R32&gt;R30),O32,O30)</f>
        <v>Francia</v>
      </c>
      <c r="T30" s="373">
        <f>VLOOKUP(S30,$O$30:$R$34,2,FALSE)</f>
        <v>9</v>
      </c>
      <c r="U30" s="373">
        <f>VLOOKUP(S30,$O$30:$R$34,3,FALSE)</f>
        <v>8</v>
      </c>
      <c r="V30" s="373">
        <f>VLOOKUP(S30,$O$30:$R$34,4,FALSE)</f>
        <v>9</v>
      </c>
      <c r="W30" s="370" t="str">
        <f>IF(AND(T30=T33,U30=U33,V33&gt;V30),S33,S30)</f>
        <v>Francia</v>
      </c>
      <c r="X30" s="373">
        <f>VLOOKUP(W30,$S$30:$V$34,2,FALSE)</f>
        <v>9</v>
      </c>
      <c r="Y30" s="373">
        <f>VLOOKUP(W30,$S$30:$V$34,3,FALSE)</f>
        <v>8</v>
      </c>
      <c r="Z30" s="373">
        <f>VLOOKUP(W30,$S$30:$V$34,4,FALSE)</f>
        <v>9</v>
      </c>
      <c r="AA30" s="370" t="str">
        <f>W30</f>
        <v>Francia</v>
      </c>
      <c r="AB30" s="373">
        <f>VLOOKUP(AA30,W30:Z34,2,FALSE)</f>
        <v>9</v>
      </c>
      <c r="AC30" s="373">
        <f>VLOOKUP(AA30,W30:Z34,3,FALSE)</f>
        <v>8</v>
      </c>
      <c r="AD30" s="373">
        <f>VLOOKUP(AA30,W30:Z34,4,FALSE)</f>
        <v>9</v>
      </c>
      <c r="AE30" s="370" t="str">
        <f>AA30</f>
        <v>Francia</v>
      </c>
      <c r="AF30" s="373">
        <f>VLOOKUP(AE30,AA30:AD34,2,FALSE)</f>
        <v>9</v>
      </c>
      <c r="AG30" s="373">
        <f>VLOOKUP(AE30,AA30:AD34,3,FALSE)</f>
        <v>8</v>
      </c>
      <c r="AH30" s="373">
        <f>VLOOKUP(AE30,AA30:AD34,4,FALSE)</f>
        <v>9</v>
      </c>
      <c r="AI30" s="370" t="str">
        <f>AE30</f>
        <v>Francia</v>
      </c>
      <c r="AJ30" s="373">
        <f>VLOOKUP(AI30,AE30:AH34,2,FALSE)</f>
        <v>9</v>
      </c>
      <c r="AK30" s="373">
        <f>VLOOKUP(AI30,AE30:AH34,3,FALSE)</f>
        <v>8</v>
      </c>
      <c r="AL30" s="373">
        <f>VLOOKUP(AI30,AE30:AH34,4,FALSE)</f>
        <v>9</v>
      </c>
      <c r="AM30" s="370"/>
      <c r="AN30" s="373">
        <f>(AJ30*1000)+(AK30*100)+AL30</f>
        <v>9809</v>
      </c>
      <c r="AO30" s="375">
        <f>IF($AN30=$AN31,VLOOKUP($AI30&amp;$AI31,$AN$2:$AO$13,2,0),0)</f>
        <v>0</v>
      </c>
      <c r="AP30" s="370">
        <f>IF(AO30=$AI30,1,0)</f>
        <v>0</v>
      </c>
      <c r="AQ30" s="375"/>
      <c r="AR30" s="370"/>
      <c r="AS30" s="375">
        <f>IF($AN30=$AN32,VLOOKUP($AI30&amp;$AI32,$AN$2:$AO$13,2,0),0)</f>
        <v>0</v>
      </c>
      <c r="AT30" s="370">
        <f>IF(AS30=$AI30,1,0)</f>
        <v>0</v>
      </c>
      <c r="AU30" s="370"/>
      <c r="AV30" s="370">
        <f>SUM(AN30,AP30,AR30,AT30)</f>
        <v>9809</v>
      </c>
      <c r="AW30" s="373">
        <f>RANK(AV30,$AV$30:$AV$33,0)</f>
        <v>1</v>
      </c>
      <c r="AX30" s="370" t="str">
        <f>AI30</f>
        <v>Francia</v>
      </c>
      <c r="AY30" s="336"/>
      <c r="AZ30" s="336"/>
      <c r="BA30" s="336"/>
      <c r="BB30" s="336"/>
      <c r="BC30" s="336"/>
    </row>
    <row r="31" spans="1:55" x14ac:dyDescent="0.2">
      <c r="A31" s="370"/>
      <c r="B31" s="370"/>
      <c r="C31" s="370"/>
      <c r="D31" s="370"/>
      <c r="E31" s="370"/>
      <c r="F31" s="370" t="str">
        <f>AI24</f>
        <v>Noruega</v>
      </c>
      <c r="G31" s="370"/>
      <c r="H31" s="370"/>
      <c r="I31" s="370"/>
      <c r="J31" s="373">
        <f>VLOOKUP(F31,$F$16:$M$20,8,FALSE)</f>
        <v>4</v>
      </c>
      <c r="K31" s="373">
        <f>VLOOKUP(F31,$F$16:$M$20,6,FALSE)</f>
        <v>4</v>
      </c>
      <c r="L31" s="373">
        <f>VLOOKUP(F31,$F$16:$M$20,7,FALSE)</f>
        <v>4</v>
      </c>
      <c r="M31" s="373">
        <f>K31-L31</f>
        <v>0</v>
      </c>
      <c r="N31" s="370"/>
      <c r="O31" s="370" t="str">
        <f>IF(AND(J30=J31,M30=M31,K31&gt;K30),F30,F31)</f>
        <v>Noruega</v>
      </c>
      <c r="P31" s="373">
        <f>VLOOKUP(O31,$F$30:$M$34,5,FALSE)</f>
        <v>4</v>
      </c>
      <c r="Q31" s="373">
        <f>VLOOKUP(O31,$F$30:$M$34,8,FALSE)</f>
        <v>0</v>
      </c>
      <c r="R31" s="373">
        <f>VLOOKUP(O31,$F$30:$M$34,6,FALSE)</f>
        <v>4</v>
      </c>
      <c r="S31" s="370" t="str">
        <f>O31</f>
        <v>Noruega</v>
      </c>
      <c r="T31" s="373">
        <f>VLOOKUP(S31,$O$30:$R$34,2,FALSE)</f>
        <v>4</v>
      </c>
      <c r="U31" s="373">
        <f>VLOOKUP(S31,$O$30:$R$34,3,FALSE)</f>
        <v>0</v>
      </c>
      <c r="V31" s="373">
        <f>VLOOKUP(S31,$O$30:$R$34,4,FALSE)</f>
        <v>4</v>
      </c>
      <c r="W31" s="370" t="str">
        <f>S31</f>
        <v>Noruega</v>
      </c>
      <c r="X31" s="373">
        <f>VLOOKUP(W31,$S$30:$V$34,2,FALSE)</f>
        <v>4</v>
      </c>
      <c r="Y31" s="373">
        <f>VLOOKUP(W31,$S$30:$V$34,3,FALSE)</f>
        <v>0</v>
      </c>
      <c r="Z31" s="373">
        <f>VLOOKUP(W31,$S$30:$V$34,4,FALSE)</f>
        <v>4</v>
      </c>
      <c r="AA31" s="370" t="str">
        <f>IF(AND(X31=X32,Y31=Y32,Z32&gt;Z31),W32,W31)</f>
        <v>Noruega</v>
      </c>
      <c r="AB31" s="373">
        <f>VLOOKUP(AA31,W30:Z34,2,FALSE)</f>
        <v>4</v>
      </c>
      <c r="AC31" s="373">
        <f>VLOOKUP(AA31,W30:Z34,3,FALSE)</f>
        <v>0</v>
      </c>
      <c r="AD31" s="373">
        <f>VLOOKUP(AA31,W30:Z34,4,FALSE)</f>
        <v>4</v>
      </c>
      <c r="AE31" s="370" t="str">
        <f>IF(AND(AB31=AB33,AC31=AC33,AD33&gt;AD31),AA33,AA31)</f>
        <v>Noruega</v>
      </c>
      <c r="AF31" s="373">
        <f>VLOOKUP(AE31,AA30:AD34,2,FALSE)</f>
        <v>4</v>
      </c>
      <c r="AG31" s="373">
        <f>VLOOKUP(AE31,AA30:AD34,3,FALSE)</f>
        <v>0</v>
      </c>
      <c r="AH31" s="373">
        <f>VLOOKUP(AE31,AA30:AD34,4,FALSE)</f>
        <v>4</v>
      </c>
      <c r="AI31" s="370" t="str">
        <f>AE31</f>
        <v>Noruega</v>
      </c>
      <c r="AJ31" s="373">
        <f>VLOOKUP(AI31,AE30:AH34,2,FALSE)</f>
        <v>4</v>
      </c>
      <c r="AK31" s="373">
        <f>VLOOKUP(AI31,AE30:AH34,3,FALSE)</f>
        <v>0</v>
      </c>
      <c r="AL31" s="373">
        <f>VLOOKUP(AI31,AE30:AH34,4,FALSE)</f>
        <v>4</v>
      </c>
      <c r="AM31" s="370"/>
      <c r="AN31" s="373">
        <f t="shared" ref="AN31:AN33" si="36">(AJ31*1000)+(AK31*100)+AL31</f>
        <v>4004</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4004</v>
      </c>
      <c r="AW31" s="373">
        <f t="shared" ref="AW31:AW33" si="38">RANK(AV31,$AV$30:$AV$33,0)</f>
        <v>2</v>
      </c>
      <c r="AX31" s="370" t="str">
        <f t="shared" ref="AX31:AX33" si="39">AI31</f>
        <v>Noruega</v>
      </c>
      <c r="AY31" s="336"/>
      <c r="AZ31" s="336"/>
      <c r="BA31" s="336"/>
      <c r="BB31" s="336"/>
      <c r="BC31" s="336"/>
    </row>
    <row r="32" spans="1:55" x14ac:dyDescent="0.2">
      <c r="A32" s="370"/>
      <c r="B32" s="370"/>
      <c r="C32" s="370"/>
      <c r="D32" s="370"/>
      <c r="E32" s="370"/>
      <c r="F32" s="370" t="str">
        <f>AI25</f>
        <v>Senegal</v>
      </c>
      <c r="G32" s="370"/>
      <c r="H32" s="370"/>
      <c r="I32" s="370"/>
      <c r="J32" s="373">
        <f>VLOOKUP(F32,$F$16:$M$20,8,FALSE)</f>
        <v>4</v>
      </c>
      <c r="K32" s="373">
        <f>VLOOKUP(F32,$F$16:$M$20,6,FALSE)</f>
        <v>3</v>
      </c>
      <c r="L32" s="373">
        <f>VLOOKUP(F32,$F$16:$M$20,7,FALSE)</f>
        <v>4</v>
      </c>
      <c r="M32" s="373">
        <f>K32-L32</f>
        <v>-1</v>
      </c>
      <c r="N32" s="370"/>
      <c r="O32" s="370" t="str">
        <f>F32</f>
        <v>Senegal</v>
      </c>
      <c r="P32" s="373">
        <f>VLOOKUP(O32,$F$30:$M$34,5,FALSE)</f>
        <v>4</v>
      </c>
      <c r="Q32" s="373">
        <f>VLOOKUP(O32,$F$30:$M$34,8,FALSE)</f>
        <v>-1</v>
      </c>
      <c r="R32" s="373">
        <f>VLOOKUP(O32,$F$30:$M$34,6,FALSE)</f>
        <v>3</v>
      </c>
      <c r="S32" s="370" t="str">
        <f>IF(AND(P30=P32,Q30=Q32,R32&gt;R30),O30,O32)</f>
        <v>Senegal</v>
      </c>
      <c r="T32" s="373">
        <f>VLOOKUP(S32,$O$30:$R$34,2,FALSE)</f>
        <v>4</v>
      </c>
      <c r="U32" s="373">
        <f>VLOOKUP(S32,$O$30:$R$34,3,FALSE)</f>
        <v>-1</v>
      </c>
      <c r="V32" s="373">
        <f>VLOOKUP(S32,$O$30:$R$34,4,FALSE)</f>
        <v>3</v>
      </c>
      <c r="W32" s="370" t="str">
        <f>S32</f>
        <v>Senegal</v>
      </c>
      <c r="X32" s="373">
        <f>VLOOKUP(W32,$S$30:$V$34,2,FALSE)</f>
        <v>4</v>
      </c>
      <c r="Y32" s="373">
        <f>VLOOKUP(W32,$S$30:$V$34,3,FALSE)</f>
        <v>-1</v>
      </c>
      <c r="Z32" s="373">
        <f>VLOOKUP(W32,$S$30:$V$34,4,FALSE)</f>
        <v>3</v>
      </c>
      <c r="AA32" s="370" t="str">
        <f>IF(AND(X31=X32,Y31=Y32,Z32&gt;Z31),W31,W32)</f>
        <v>Senegal</v>
      </c>
      <c r="AB32" s="373">
        <f>VLOOKUP(AA32,W30:Z34,2,FALSE)</f>
        <v>4</v>
      </c>
      <c r="AC32" s="373">
        <f>VLOOKUP(AA32,W30:Z34,3,FALSE)</f>
        <v>-1</v>
      </c>
      <c r="AD32" s="373">
        <f>VLOOKUP(AA32,W30:Z34,4,FALSE)</f>
        <v>3</v>
      </c>
      <c r="AE32" s="370" t="str">
        <f>AA32</f>
        <v>Senegal</v>
      </c>
      <c r="AF32" s="373">
        <f>VLOOKUP(AE32,AA30:AD34,2,FALSE)</f>
        <v>4</v>
      </c>
      <c r="AG32" s="373">
        <f>VLOOKUP(AE32,AA30:AD34,3,FALSE)</f>
        <v>-1</v>
      </c>
      <c r="AH32" s="373">
        <f>VLOOKUP(AE32,AA30:AD34,4,FALSE)</f>
        <v>3</v>
      </c>
      <c r="AI32" s="370" t="str">
        <f>IF(AND(AF32=AF33,AG32=AG33,AH33&gt;AH32),AE33,AE32)</f>
        <v>Senegal</v>
      </c>
      <c r="AJ32" s="373">
        <f>VLOOKUP(AI32,AE30:AH34,2,FALSE)</f>
        <v>4</v>
      </c>
      <c r="AK32" s="373">
        <f>VLOOKUP(AI32,AE30:AH34,3,FALSE)</f>
        <v>-1</v>
      </c>
      <c r="AL32" s="373">
        <f>VLOOKUP(AI32,AE30:AH34,4,FALSE)</f>
        <v>3</v>
      </c>
      <c r="AM32" s="370"/>
      <c r="AN32" s="373">
        <f t="shared" si="36"/>
        <v>3903</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3903</v>
      </c>
      <c r="AW32" s="373">
        <f t="shared" si="38"/>
        <v>3</v>
      </c>
      <c r="AX32" s="370" t="str">
        <f t="shared" si="39"/>
        <v>Senegal</v>
      </c>
      <c r="AY32" s="336"/>
      <c r="AZ32" s="336"/>
      <c r="BA32" s="336"/>
      <c r="BB32" s="336"/>
      <c r="BC32" s="336"/>
    </row>
    <row r="33" spans="1:55" x14ac:dyDescent="0.2">
      <c r="A33" s="370"/>
      <c r="B33" s="370"/>
      <c r="C33" s="370"/>
      <c r="D33" s="370"/>
      <c r="E33" s="370"/>
      <c r="F33" s="370" t="str">
        <f>AI26</f>
        <v>Irak</v>
      </c>
      <c r="G33" s="370"/>
      <c r="H33" s="370"/>
      <c r="I33" s="370"/>
      <c r="J33" s="373">
        <f>VLOOKUP(F33,$F$16:$M$20,8,FALSE)</f>
        <v>0</v>
      </c>
      <c r="K33" s="373">
        <f>VLOOKUP(F33,$F$16:$M$20,6,FALSE)</f>
        <v>1</v>
      </c>
      <c r="L33" s="373">
        <f>VLOOKUP(F33,$F$16:$M$20,7,FALSE)</f>
        <v>8</v>
      </c>
      <c r="M33" s="373">
        <f>K33-L33</f>
        <v>-7</v>
      </c>
      <c r="N33" s="370"/>
      <c r="O33" s="370" t="str">
        <f>F33</f>
        <v>Irak</v>
      </c>
      <c r="P33" s="373">
        <f>VLOOKUP(O33,$F$30:$M$34,5,FALSE)</f>
        <v>0</v>
      </c>
      <c r="Q33" s="373">
        <f>VLOOKUP(O33,$F$30:$M$34,8,FALSE)</f>
        <v>-7</v>
      </c>
      <c r="R33" s="373">
        <f>VLOOKUP(O33,$F$30:$M$34,6,FALSE)</f>
        <v>1</v>
      </c>
      <c r="S33" s="370" t="str">
        <f>O33</f>
        <v>Irak</v>
      </c>
      <c r="T33" s="373">
        <f>VLOOKUP(S33,$O$30:$R$34,2,FALSE)</f>
        <v>0</v>
      </c>
      <c r="U33" s="373">
        <f>VLOOKUP(S33,$O$30:$R$34,3,FALSE)</f>
        <v>-7</v>
      </c>
      <c r="V33" s="373">
        <f>VLOOKUP(S33,$O$30:$R$34,4,FALSE)</f>
        <v>1</v>
      </c>
      <c r="W33" s="370" t="str">
        <f>IF(AND(T30=T33,U30=U33,V33&gt;V30),S30,S33)</f>
        <v>Irak</v>
      </c>
      <c r="X33" s="373">
        <f>VLOOKUP(W33,$S$30:$V$34,2,FALSE)</f>
        <v>0</v>
      </c>
      <c r="Y33" s="373">
        <f>VLOOKUP(W33,$S$30:$V$34,3,FALSE)</f>
        <v>-7</v>
      </c>
      <c r="Z33" s="373">
        <f>VLOOKUP(W33,$S$30:$V$34,4,FALSE)</f>
        <v>1</v>
      </c>
      <c r="AA33" s="370" t="str">
        <f>W33</f>
        <v>Irak</v>
      </c>
      <c r="AB33" s="373">
        <f>VLOOKUP(AA33,W30:Z34,2,FALSE)</f>
        <v>0</v>
      </c>
      <c r="AC33" s="373">
        <f>VLOOKUP(AA33,W30:Z34,3,FALSE)</f>
        <v>-7</v>
      </c>
      <c r="AD33" s="373">
        <f>VLOOKUP(AA33,W30:Z34,4,FALSE)</f>
        <v>1</v>
      </c>
      <c r="AE33" s="370" t="str">
        <f>IF(AND(AB31=AB33,AC31=AC33,AD33&gt;AD31),AA31,AA33)</f>
        <v>Irak</v>
      </c>
      <c r="AF33" s="373">
        <f>VLOOKUP(AE33,AA30:AD34,2,FALSE)</f>
        <v>0</v>
      </c>
      <c r="AG33" s="373">
        <f>VLOOKUP(AE33,AA30:AD34,3,FALSE)</f>
        <v>-7</v>
      </c>
      <c r="AH33" s="373">
        <f>VLOOKUP(AE33,AA30:AD34,4,FALSE)</f>
        <v>1</v>
      </c>
      <c r="AI33" s="370" t="str">
        <f>IF(AND(AF32=AF33,AG32=AG33,AH33&gt;AH32),AE32,AE33)</f>
        <v>Irak</v>
      </c>
      <c r="AJ33" s="373">
        <f>VLOOKUP(AI33,AE30:AH34,2,FALSE)</f>
        <v>0</v>
      </c>
      <c r="AK33" s="373">
        <f>VLOOKUP(AI33,AE30:AH34,3,FALSE)</f>
        <v>-7</v>
      </c>
      <c r="AL33" s="373">
        <f>VLOOKUP(AI33,AE30:AH34,4,FALSE)</f>
        <v>1</v>
      </c>
      <c r="AM33" s="370"/>
      <c r="AN33" s="373">
        <f t="shared" si="36"/>
        <v>-699</v>
      </c>
      <c r="AO33" s="375"/>
      <c r="AP33" s="370"/>
      <c r="AQ33" s="375"/>
      <c r="AR33" s="370"/>
      <c r="AS33" s="375"/>
      <c r="AT33" s="370"/>
      <c r="AU33" s="370"/>
      <c r="AV33" s="370">
        <f t="shared" si="37"/>
        <v>-699</v>
      </c>
      <c r="AW33" s="373">
        <f t="shared" si="38"/>
        <v>4</v>
      </c>
      <c r="AX33" s="370" t="str">
        <f t="shared" si="39"/>
        <v>Irak</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Francia</v>
      </c>
      <c r="G37" s="373">
        <f>VLOOKUP(F37,$F$16:$M$20,2,FALSE)</f>
        <v>3</v>
      </c>
      <c r="H37" s="373">
        <f>VLOOKUP(F37,$F$16:$M$20,3,FALSE)</f>
        <v>3</v>
      </c>
      <c r="I37" s="373">
        <f>VLOOKUP(F37,$F$16:$M$20,4,FALSE)</f>
        <v>0</v>
      </c>
      <c r="J37" s="373">
        <f>VLOOKUP(F37,$F$16:$M$20,5,FALSE)</f>
        <v>0</v>
      </c>
      <c r="K37" s="373">
        <f>VLOOKUP(F37,$F$16:$M$20,6,FALSE)</f>
        <v>9</v>
      </c>
      <c r="L37" s="373">
        <f>VLOOKUP(F37,$F$16:$M$20,7,FALSE)</f>
        <v>1</v>
      </c>
      <c r="M37" s="373">
        <f>VLOOKUP(F37,$F$16:$M$20,8,FALSE)</f>
        <v>9</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Noruega</v>
      </c>
      <c r="G38" s="373">
        <f>VLOOKUP(F38,$F$16:$M$20,2,FALSE)</f>
        <v>3</v>
      </c>
      <c r="H38" s="373">
        <f>VLOOKUP(F38,$F$16:$M$20,3,FALSE)</f>
        <v>1</v>
      </c>
      <c r="I38" s="373">
        <f>VLOOKUP(F38,$F$16:$M$20,4,FALSE)</f>
        <v>1</v>
      </c>
      <c r="J38" s="373">
        <f>VLOOKUP(F38,$F$16:$M$20,5,FALSE)</f>
        <v>1</v>
      </c>
      <c r="K38" s="373">
        <f>VLOOKUP(F38,$F$16:$M$20,6,FALSE)</f>
        <v>4</v>
      </c>
      <c r="L38" s="373">
        <f>VLOOKUP(F38,$F$16:$M$20,7,FALSE)</f>
        <v>4</v>
      </c>
      <c r="M38" s="373">
        <f>VLOOKUP(F38,$F$16:$M$20,8,FALSE)</f>
        <v>4</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Senegal</v>
      </c>
      <c r="G39" s="373">
        <f>VLOOKUP(F39,$F$16:$M$20,2,FALSE)</f>
        <v>3</v>
      </c>
      <c r="H39" s="373">
        <f>VLOOKUP(F39,$F$16:$M$20,3,FALSE)</f>
        <v>1</v>
      </c>
      <c r="I39" s="373">
        <f>VLOOKUP(F39,$F$16:$M$20,4,FALSE)</f>
        <v>1</v>
      </c>
      <c r="J39" s="373">
        <f>VLOOKUP(F39,$F$16:$M$20,5,FALSE)</f>
        <v>1</v>
      </c>
      <c r="K39" s="373">
        <f>VLOOKUP(F39,$F$16:$M$20,6,FALSE)</f>
        <v>3</v>
      </c>
      <c r="L39" s="373">
        <f>VLOOKUP(F39,$F$16:$M$20,7,FALSE)</f>
        <v>4</v>
      </c>
      <c r="M39" s="373">
        <f>VLOOKUP(F39,$F$16:$M$20,8,FALSE)</f>
        <v>4</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Irak</v>
      </c>
      <c r="G40" s="373">
        <f>VLOOKUP(F40,$F$16:$M$20,2,FALSE)</f>
        <v>3</v>
      </c>
      <c r="H40" s="373">
        <f>VLOOKUP(F40,$F$16:$M$20,3,FALSE)</f>
        <v>0</v>
      </c>
      <c r="I40" s="373">
        <f>VLOOKUP(F40,$F$16:$M$20,4,FALSE)</f>
        <v>0</v>
      </c>
      <c r="J40" s="373">
        <f>VLOOKUP(F40,$F$16:$M$20,5,FALSE)</f>
        <v>3</v>
      </c>
      <c r="K40" s="373">
        <f>VLOOKUP(F40,$F$16:$M$20,6,FALSE)</f>
        <v>1</v>
      </c>
      <c r="L40" s="373">
        <f>VLOOKUP(F40,$F$16:$M$20,7,FALSE)</f>
        <v>8</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zn5HumKBbj27MLy8re92UHFp9Z5FUsZlu3NLtmc0xzcIu+ZgAmPR7Gh6i3A4wwmt13dM/PNy0CretERWxCRZHQ==" saltValue="Y4oxGD33U9Y0mD1TIs6l2Q==" spinCount="100000" sheet="1" objects="1" scenarios="1" selectLockedCells="1"/>
  <mergeCells count="1">
    <mergeCell ref="A2:E2"/>
  </mergeCells>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0A4B-A44F-4CE0-A504-0496C862FC87}">
  <sheetPr codeName="Hoja32"/>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J -'!R7&lt;&gt;"",'- J -'!R7,"")</f>
        <v>Argentina</v>
      </c>
      <c r="H2" s="370"/>
      <c r="I2" s="370"/>
      <c r="J2" s="370"/>
      <c r="K2" s="370"/>
      <c r="L2" s="370"/>
      <c r="M2" s="370"/>
      <c r="N2" s="370" t="str">
        <f>IF('- J -'!R9&lt;&gt;"",'- J -'!R9,"")</f>
        <v>Argelia</v>
      </c>
      <c r="O2" s="370"/>
      <c r="P2" s="370"/>
      <c r="Q2" s="370"/>
      <c r="R2" s="370"/>
      <c r="S2" s="370"/>
      <c r="T2" s="370"/>
      <c r="U2" s="370" t="str">
        <f>IF('- J -'!R11&lt;&gt;"",'- J -'!R11,"")</f>
        <v>Austria</v>
      </c>
      <c r="V2" s="370"/>
      <c r="W2" s="370"/>
      <c r="X2" s="370"/>
      <c r="Y2" s="370"/>
      <c r="Z2" s="370"/>
      <c r="AA2" s="370"/>
      <c r="AB2" s="370" t="str">
        <f>IF('- J -'!R13&lt;&gt;"",'- J -'!R13,"")</f>
        <v>Jordania</v>
      </c>
      <c r="AC2" s="370"/>
      <c r="AD2" s="370"/>
      <c r="AE2" s="370"/>
      <c r="AF2" s="370"/>
      <c r="AG2" s="370"/>
      <c r="AH2" s="370"/>
      <c r="AI2" s="370"/>
      <c r="AJ2" s="370"/>
      <c r="AK2" s="370"/>
      <c r="AL2" s="370"/>
      <c r="AM2" s="370"/>
      <c r="AN2" s="374" t="str">
        <f t="shared" ref="AN2:AN7" si="0">A4&amp;E4</f>
        <v>ArgentinaArgelia</v>
      </c>
      <c r="AO2" s="371" t="str">
        <f t="shared" ref="AO2:AO7" si="1">IF(B4=D4,0,IF(B4&gt;D4,A4,E4))</f>
        <v>Argentina</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AustriaJordania</v>
      </c>
      <c r="AO3" s="371" t="str">
        <f t="shared" si="1"/>
        <v>Austria</v>
      </c>
      <c r="AP3" s="370"/>
      <c r="AQ3" s="370"/>
      <c r="AR3" s="370"/>
      <c r="AS3" s="370"/>
      <c r="AT3" s="370"/>
      <c r="AU3" s="370"/>
      <c r="AV3" s="370"/>
      <c r="AW3" s="370"/>
      <c r="AX3" s="370"/>
      <c r="AY3" s="336"/>
      <c r="AZ3" s="336"/>
      <c r="BA3" s="336"/>
      <c r="BB3" s="336"/>
      <c r="BC3" s="336"/>
    </row>
    <row r="4" spans="1:55" x14ac:dyDescent="0.2">
      <c r="A4" s="375" t="str">
        <f>'- J -'!C6</f>
        <v>Argentina</v>
      </c>
      <c r="B4" s="373">
        <f>IF('- J -'!D6&lt;&gt;"",'- J -'!D6,"")</f>
        <v>2</v>
      </c>
      <c r="C4" s="373" t="str">
        <f>'- J -'!E6</f>
        <v>-</v>
      </c>
      <c r="D4" s="373">
        <f>IF('- J -'!F6&lt;&gt;"",'- J -'!F6,"")</f>
        <v>0</v>
      </c>
      <c r="E4" s="376" t="str">
        <f>'- J -'!G6</f>
        <v>Argelia</v>
      </c>
      <c r="F4" s="373">
        <f>COUNTBLANK('- J -'!D6:'- J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2</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2</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ArgentinaAustria</v>
      </c>
      <c r="AO4" s="371" t="str">
        <f t="shared" si="1"/>
        <v>Argentina</v>
      </c>
      <c r="AP4" s="370"/>
      <c r="AQ4" s="370"/>
      <c r="AR4" s="370"/>
      <c r="AS4" s="370"/>
      <c r="AT4" s="370"/>
      <c r="AU4" s="370"/>
      <c r="AV4" s="370"/>
      <c r="AW4" s="370"/>
      <c r="AX4" s="370"/>
      <c r="AY4" s="336"/>
      <c r="AZ4" s="336"/>
      <c r="BA4" s="336"/>
      <c r="BB4" s="336"/>
      <c r="BC4" s="336"/>
    </row>
    <row r="5" spans="1:55" x14ac:dyDescent="0.2">
      <c r="A5" s="375" t="str">
        <f>'- J -'!C7</f>
        <v>Austria</v>
      </c>
      <c r="B5" s="373">
        <f>IF('- J -'!D7&lt;&gt;"",'- J -'!D7,"")</f>
        <v>2</v>
      </c>
      <c r="C5" s="373" t="str">
        <f>'- J -'!E7</f>
        <v>-</v>
      </c>
      <c r="D5" s="373">
        <f>IF('- J -'!F7&lt;&gt;"",'- J -'!F7,"")</f>
        <v>1</v>
      </c>
      <c r="E5" s="376" t="str">
        <f>'- J -'!G7</f>
        <v>Jordania</v>
      </c>
      <c r="F5" s="373">
        <f>COUNTBLANK('- J -'!D7:'- J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1</v>
      </c>
      <c r="W5" s="373">
        <f t="shared" si="16"/>
        <v>0</v>
      </c>
      <c r="X5" s="373">
        <f t="shared" si="17"/>
        <v>0</v>
      </c>
      <c r="Y5" s="373">
        <f t="shared" si="18"/>
        <v>2</v>
      </c>
      <c r="Z5" s="373">
        <f t="shared" si="19"/>
        <v>1</v>
      </c>
      <c r="AA5" s="373"/>
      <c r="AB5" s="373">
        <f t="shared" si="20"/>
        <v>1</v>
      </c>
      <c r="AC5" s="373">
        <f t="shared" si="21"/>
        <v>0</v>
      </c>
      <c r="AD5" s="373">
        <f t="shared" si="22"/>
        <v>0</v>
      </c>
      <c r="AE5" s="373">
        <f t="shared" si="23"/>
        <v>1</v>
      </c>
      <c r="AF5" s="373">
        <f t="shared" si="24"/>
        <v>1</v>
      </c>
      <c r="AG5" s="373">
        <f t="shared" si="25"/>
        <v>2</v>
      </c>
      <c r="AH5" s="373"/>
      <c r="AI5" s="370"/>
      <c r="AJ5" s="370"/>
      <c r="AK5" s="370"/>
      <c r="AL5" s="370"/>
      <c r="AM5" s="370"/>
      <c r="AN5" s="374" t="str">
        <f t="shared" si="0"/>
        <v>JordaniaArgelia</v>
      </c>
      <c r="AO5" s="371">
        <f t="shared" si="1"/>
        <v>0</v>
      </c>
      <c r="AP5" s="370"/>
      <c r="AQ5" s="370"/>
      <c r="AR5" s="370"/>
      <c r="AS5" s="370"/>
      <c r="AT5" s="370"/>
      <c r="AU5" s="370"/>
      <c r="AV5" s="370"/>
      <c r="AW5" s="370"/>
      <c r="AX5" s="370"/>
      <c r="AY5" s="336"/>
      <c r="AZ5" s="336"/>
      <c r="BA5" s="336"/>
      <c r="BB5" s="336"/>
      <c r="BC5" s="336"/>
    </row>
    <row r="6" spans="1:55" x14ac:dyDescent="0.2">
      <c r="A6" s="375" t="str">
        <f>'- J -'!C8</f>
        <v>Argentina</v>
      </c>
      <c r="B6" s="373">
        <f>IF('- J -'!D8&lt;&gt;"",'- J -'!D8,"")</f>
        <v>1</v>
      </c>
      <c r="C6" s="373" t="str">
        <f>'- J -'!E8</f>
        <v>-</v>
      </c>
      <c r="D6" s="373">
        <f>IF('- J -'!F8&lt;&gt;"",'- J -'!F8,"")</f>
        <v>0</v>
      </c>
      <c r="E6" s="376" t="str">
        <f>'- J -'!G8</f>
        <v>Austria</v>
      </c>
      <c r="F6" s="373">
        <f>COUNTBLANK('- J -'!D8:'- J -'!F8)</f>
        <v>0</v>
      </c>
      <c r="G6" s="373">
        <f t="shared" si="2"/>
        <v>1</v>
      </c>
      <c r="H6" s="373">
        <f t="shared" si="3"/>
        <v>1</v>
      </c>
      <c r="I6" s="373">
        <f t="shared" si="4"/>
        <v>0</v>
      </c>
      <c r="J6" s="373">
        <f t="shared" si="5"/>
        <v>0</v>
      </c>
      <c r="K6" s="373">
        <f t="shared" si="6"/>
        <v>1</v>
      </c>
      <c r="L6" s="373">
        <f t="shared" si="7"/>
        <v>0</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0</v>
      </c>
      <c r="Z6" s="373">
        <f t="shared" si="19"/>
        <v>1</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ArgeliaAustria</v>
      </c>
      <c r="AO6" s="371" t="str">
        <f t="shared" si="1"/>
        <v>Austria</v>
      </c>
      <c r="AP6" s="370"/>
      <c r="AQ6" s="370"/>
      <c r="AR6" s="370"/>
      <c r="AS6" s="370"/>
      <c r="AT6" s="370"/>
      <c r="AU6" s="370"/>
      <c r="AV6" s="370"/>
      <c r="AW6" s="370"/>
      <c r="AX6" s="370"/>
      <c r="AY6" s="336"/>
      <c r="AZ6" s="336"/>
      <c r="BA6" s="336"/>
      <c r="BB6" s="336"/>
      <c r="BC6" s="336"/>
    </row>
    <row r="7" spans="1:55" x14ac:dyDescent="0.2">
      <c r="A7" s="375" t="str">
        <f>'- J -'!C9</f>
        <v>Jordania</v>
      </c>
      <c r="B7" s="373">
        <f>IF('- J -'!D9&lt;&gt;"",'- J -'!D9,"")</f>
        <v>1</v>
      </c>
      <c r="C7" s="373" t="str">
        <f>'- J -'!E9</f>
        <v>-</v>
      </c>
      <c r="D7" s="373">
        <f>IF('- J -'!F9&lt;&gt;"",'- J -'!F9,"")</f>
        <v>1</v>
      </c>
      <c r="E7" s="376" t="str">
        <f>'- J -'!G9</f>
        <v>Argelia</v>
      </c>
      <c r="F7" s="373">
        <f>COUNTBLANK('- J -'!D9:'- J -'!F9)</f>
        <v>0</v>
      </c>
      <c r="G7" s="373">
        <f t="shared" si="2"/>
        <v>0</v>
      </c>
      <c r="H7" s="373">
        <f t="shared" si="3"/>
        <v>0</v>
      </c>
      <c r="I7" s="373">
        <f t="shared" si="4"/>
        <v>0</v>
      </c>
      <c r="J7" s="373">
        <f t="shared" si="5"/>
        <v>0</v>
      </c>
      <c r="K7" s="373">
        <f t="shared" si="6"/>
        <v>0</v>
      </c>
      <c r="L7" s="373">
        <f t="shared" si="7"/>
        <v>0</v>
      </c>
      <c r="M7" s="373"/>
      <c r="N7" s="373">
        <f t="shared" si="8"/>
        <v>1</v>
      </c>
      <c r="O7" s="373">
        <f t="shared" si="9"/>
        <v>0</v>
      </c>
      <c r="P7" s="373">
        <f t="shared" si="10"/>
        <v>1</v>
      </c>
      <c r="Q7" s="373">
        <f t="shared" si="11"/>
        <v>0</v>
      </c>
      <c r="R7" s="373">
        <f t="shared" si="12"/>
        <v>1</v>
      </c>
      <c r="S7" s="373">
        <f t="shared" si="13"/>
        <v>1</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0</v>
      </c>
      <c r="AD7" s="373">
        <f t="shared" si="22"/>
        <v>1</v>
      </c>
      <c r="AE7" s="373">
        <f t="shared" si="23"/>
        <v>0</v>
      </c>
      <c r="AF7" s="373">
        <f t="shared" si="24"/>
        <v>1</v>
      </c>
      <c r="AG7" s="373">
        <f t="shared" si="25"/>
        <v>1</v>
      </c>
      <c r="AH7" s="373"/>
      <c r="AI7" s="370"/>
      <c r="AJ7" s="370"/>
      <c r="AK7" s="370"/>
      <c r="AL7" s="370"/>
      <c r="AM7" s="370"/>
      <c r="AN7" s="374" t="str">
        <f t="shared" si="0"/>
        <v>JordaniaArgentina</v>
      </c>
      <c r="AO7" s="371" t="str">
        <f t="shared" si="1"/>
        <v>Argentina</v>
      </c>
      <c r="AP7" s="370"/>
      <c r="AQ7" s="370"/>
      <c r="AR7" s="370"/>
      <c r="AS7" s="370"/>
      <c r="AT7" s="370"/>
      <c r="AU7" s="370"/>
      <c r="AV7" s="370"/>
      <c r="AW7" s="370"/>
      <c r="AX7" s="370"/>
      <c r="AY7" s="336"/>
      <c r="AZ7" s="336"/>
      <c r="BA7" s="336"/>
      <c r="BB7" s="336"/>
      <c r="BC7" s="336"/>
    </row>
    <row r="8" spans="1:55" x14ac:dyDescent="0.2">
      <c r="A8" s="375" t="str">
        <f>'- J -'!C10</f>
        <v>Argelia</v>
      </c>
      <c r="B8" s="373">
        <f>IF('- J -'!D10&lt;&gt;"",'- J -'!D10,"")</f>
        <v>0</v>
      </c>
      <c r="C8" s="373" t="str">
        <f>'- J -'!E10</f>
        <v>-</v>
      </c>
      <c r="D8" s="373">
        <f>IF('- J -'!F10&lt;&gt;"",'- J -'!F10,"")</f>
        <v>2</v>
      </c>
      <c r="E8" s="376" t="str">
        <f>'- J -'!G10</f>
        <v>Austria</v>
      </c>
      <c r="F8" s="373">
        <f>COUNTBLANK('- J -'!D10:'- J -'!F10)</f>
        <v>0</v>
      </c>
      <c r="G8" s="373">
        <f t="shared" si="2"/>
        <v>0</v>
      </c>
      <c r="H8" s="373">
        <f t="shared" si="3"/>
        <v>0</v>
      </c>
      <c r="I8" s="373">
        <f t="shared" si="4"/>
        <v>0</v>
      </c>
      <c r="J8" s="373">
        <f t="shared" si="5"/>
        <v>0</v>
      </c>
      <c r="K8" s="373">
        <f t="shared" si="6"/>
        <v>0</v>
      </c>
      <c r="L8" s="373">
        <f t="shared" si="7"/>
        <v>0</v>
      </c>
      <c r="M8" s="373"/>
      <c r="N8" s="373">
        <f t="shared" si="8"/>
        <v>1</v>
      </c>
      <c r="O8" s="373">
        <f t="shared" si="9"/>
        <v>0</v>
      </c>
      <c r="P8" s="373">
        <f t="shared" si="10"/>
        <v>0</v>
      </c>
      <c r="Q8" s="373">
        <f t="shared" si="11"/>
        <v>1</v>
      </c>
      <c r="R8" s="373">
        <f t="shared" si="12"/>
        <v>0</v>
      </c>
      <c r="S8" s="373">
        <f t="shared" si="13"/>
        <v>2</v>
      </c>
      <c r="T8" s="373"/>
      <c r="U8" s="373">
        <f t="shared" si="14"/>
        <v>1</v>
      </c>
      <c r="V8" s="373">
        <f t="shared" si="15"/>
        <v>1</v>
      </c>
      <c r="W8" s="373">
        <f t="shared" si="16"/>
        <v>0</v>
      </c>
      <c r="X8" s="373">
        <f t="shared" si="17"/>
        <v>0</v>
      </c>
      <c r="Y8" s="373">
        <f t="shared" si="18"/>
        <v>2</v>
      </c>
      <c r="Z8" s="373">
        <f t="shared" si="19"/>
        <v>0</v>
      </c>
      <c r="AA8" s="373"/>
      <c r="AB8" s="373">
        <f t="shared" si="20"/>
        <v>0</v>
      </c>
      <c r="AC8" s="373">
        <f t="shared" si="21"/>
        <v>0</v>
      </c>
      <c r="AD8" s="373">
        <f t="shared" si="22"/>
        <v>0</v>
      </c>
      <c r="AE8" s="373">
        <f t="shared" si="23"/>
        <v>0</v>
      </c>
      <c r="AF8" s="373">
        <f t="shared" si="24"/>
        <v>0</v>
      </c>
      <c r="AG8" s="373">
        <f t="shared" si="25"/>
        <v>0</v>
      </c>
      <c r="AH8" s="373"/>
      <c r="AI8" s="370"/>
      <c r="AJ8" s="370"/>
      <c r="AK8" s="370"/>
      <c r="AL8" s="370"/>
      <c r="AM8" s="370"/>
      <c r="AN8" s="374" t="str">
        <f>E4&amp;A4</f>
        <v>ArgeliaArgentina</v>
      </c>
      <c r="AO8" s="371" t="str">
        <f>IF(B4=D4,0,IF(B4&gt;D4,A4,E4))</f>
        <v>Argentina</v>
      </c>
      <c r="AP8" s="370"/>
      <c r="AQ8" s="370"/>
      <c r="AR8" s="370"/>
      <c r="AS8" s="370"/>
      <c r="AT8" s="370"/>
      <c r="AU8" s="370"/>
      <c r="AV8" s="370"/>
      <c r="AW8" s="370"/>
      <c r="AX8" s="370"/>
      <c r="AY8" s="336"/>
      <c r="AZ8" s="336"/>
      <c r="BA8" s="336"/>
      <c r="BB8" s="336"/>
      <c r="BC8" s="336"/>
    </row>
    <row r="9" spans="1:55" x14ac:dyDescent="0.2">
      <c r="A9" s="375" t="str">
        <f>'- J -'!C11</f>
        <v>Jordania</v>
      </c>
      <c r="B9" s="373">
        <f>IF('- J -'!D11&lt;&gt;"",'- J -'!D11,"")</f>
        <v>1</v>
      </c>
      <c r="C9" s="373" t="str">
        <f>'- J -'!E11</f>
        <v>-</v>
      </c>
      <c r="D9" s="373">
        <f>IF('- J -'!F11&lt;&gt;"",'- J -'!F11,"")</f>
        <v>3</v>
      </c>
      <c r="E9" s="376" t="str">
        <f>'- J -'!G11</f>
        <v>Argentina</v>
      </c>
      <c r="F9" s="373">
        <f>COUNTBLANK('- J -'!D11:'- J -'!F11)</f>
        <v>0</v>
      </c>
      <c r="G9" s="373">
        <f t="shared" si="2"/>
        <v>1</v>
      </c>
      <c r="H9" s="373">
        <f t="shared" si="3"/>
        <v>1</v>
      </c>
      <c r="I9" s="373">
        <f t="shared" si="4"/>
        <v>0</v>
      </c>
      <c r="J9" s="373">
        <f t="shared" si="5"/>
        <v>0</v>
      </c>
      <c r="K9" s="373">
        <f t="shared" si="6"/>
        <v>3</v>
      </c>
      <c r="L9" s="373">
        <f t="shared" si="7"/>
        <v>1</v>
      </c>
      <c r="M9" s="373"/>
      <c r="N9" s="373">
        <f t="shared" si="8"/>
        <v>0</v>
      </c>
      <c r="O9" s="373">
        <f t="shared" si="9"/>
        <v>0</v>
      </c>
      <c r="P9" s="373">
        <f t="shared" si="10"/>
        <v>0</v>
      </c>
      <c r="Q9" s="373">
        <f t="shared" si="11"/>
        <v>0</v>
      </c>
      <c r="R9" s="373">
        <f t="shared" si="12"/>
        <v>0</v>
      </c>
      <c r="S9" s="373">
        <f t="shared" si="13"/>
        <v>0</v>
      </c>
      <c r="T9" s="373"/>
      <c r="U9" s="373">
        <f t="shared" si="14"/>
        <v>0</v>
      </c>
      <c r="V9" s="373">
        <f t="shared" si="15"/>
        <v>0</v>
      </c>
      <c r="W9" s="373">
        <f t="shared" si="16"/>
        <v>0</v>
      </c>
      <c r="X9" s="373">
        <f t="shared" si="17"/>
        <v>0</v>
      </c>
      <c r="Y9" s="373">
        <f t="shared" si="18"/>
        <v>0</v>
      </c>
      <c r="Z9" s="373">
        <f t="shared" si="19"/>
        <v>0</v>
      </c>
      <c r="AA9" s="373"/>
      <c r="AB9" s="373">
        <f t="shared" si="20"/>
        <v>1</v>
      </c>
      <c r="AC9" s="373">
        <f t="shared" si="21"/>
        <v>0</v>
      </c>
      <c r="AD9" s="373">
        <f t="shared" si="22"/>
        <v>0</v>
      </c>
      <c r="AE9" s="373">
        <f t="shared" si="23"/>
        <v>1</v>
      </c>
      <c r="AF9" s="373">
        <f t="shared" si="24"/>
        <v>1</v>
      </c>
      <c r="AG9" s="373">
        <f t="shared" si="25"/>
        <v>3</v>
      </c>
      <c r="AH9" s="373"/>
      <c r="AI9" s="370"/>
      <c r="AJ9" s="370"/>
      <c r="AK9" s="370"/>
      <c r="AL9" s="370"/>
      <c r="AM9" s="370"/>
      <c r="AN9" s="374" t="str">
        <f t="shared" ref="AN9:AN13" si="26">E5&amp;A5</f>
        <v>JordaniaAustria</v>
      </c>
      <c r="AO9" s="371" t="str">
        <f t="shared" ref="AO9:AO13" si="27">IF(B5=D5,0,IF(B5&gt;D5,A5,E5))</f>
        <v>Austria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3</v>
      </c>
      <c r="I10" s="373">
        <f t="shared" si="28"/>
        <v>0</v>
      </c>
      <c r="J10" s="373">
        <f t="shared" si="28"/>
        <v>0</v>
      </c>
      <c r="K10" s="373">
        <f t="shared" si="28"/>
        <v>6</v>
      </c>
      <c r="L10" s="373">
        <f t="shared" si="28"/>
        <v>1</v>
      </c>
      <c r="M10" s="373">
        <f>H10*3+I10</f>
        <v>9</v>
      </c>
      <c r="N10" s="373">
        <f t="shared" ref="N10:S10" si="29">SUM(N4:N9)</f>
        <v>3</v>
      </c>
      <c r="O10" s="373">
        <f t="shared" si="29"/>
        <v>0</v>
      </c>
      <c r="P10" s="373">
        <f t="shared" si="29"/>
        <v>1</v>
      </c>
      <c r="Q10" s="373">
        <f t="shared" si="29"/>
        <v>2</v>
      </c>
      <c r="R10" s="373">
        <f t="shared" si="29"/>
        <v>1</v>
      </c>
      <c r="S10" s="373">
        <f t="shared" si="29"/>
        <v>5</v>
      </c>
      <c r="T10" s="373">
        <f>O10*3+P10</f>
        <v>1</v>
      </c>
      <c r="U10" s="373">
        <f t="shared" ref="U10:Z10" si="30">SUM(U4:U9)</f>
        <v>3</v>
      </c>
      <c r="V10" s="373">
        <f t="shared" si="30"/>
        <v>2</v>
      </c>
      <c r="W10" s="373">
        <f t="shared" si="30"/>
        <v>0</v>
      </c>
      <c r="X10" s="373">
        <f t="shared" si="30"/>
        <v>1</v>
      </c>
      <c r="Y10" s="373">
        <f t="shared" si="30"/>
        <v>4</v>
      </c>
      <c r="Z10" s="373">
        <f t="shared" si="30"/>
        <v>2</v>
      </c>
      <c r="AA10" s="373">
        <f>V10*3+W10</f>
        <v>6</v>
      </c>
      <c r="AB10" s="373">
        <f t="shared" ref="AB10:AG10" si="31">SUM(AB4:AB9)</f>
        <v>3</v>
      </c>
      <c r="AC10" s="373">
        <f t="shared" si="31"/>
        <v>0</v>
      </c>
      <c r="AD10" s="373">
        <f t="shared" si="31"/>
        <v>1</v>
      </c>
      <c r="AE10" s="373">
        <f t="shared" si="31"/>
        <v>2</v>
      </c>
      <c r="AF10" s="373">
        <f t="shared" si="31"/>
        <v>3</v>
      </c>
      <c r="AG10" s="373">
        <f t="shared" si="31"/>
        <v>6</v>
      </c>
      <c r="AH10" s="373">
        <f>AC10*3+AD10</f>
        <v>1</v>
      </c>
      <c r="AI10" s="370"/>
      <c r="AJ10" s="370"/>
      <c r="AK10" s="370"/>
      <c r="AL10" s="370"/>
      <c r="AM10" s="370"/>
      <c r="AN10" s="374" t="str">
        <f t="shared" si="26"/>
        <v>AustriaArgentina</v>
      </c>
      <c r="AO10" s="371" t="str">
        <f t="shared" si="27"/>
        <v>Argentina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ArgeliaJordania</v>
      </c>
      <c r="AO11" s="371">
        <f t="shared" si="27"/>
        <v>0</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AustriaArgelia</v>
      </c>
      <c r="AO12" s="371" t="str">
        <f t="shared" si="27"/>
        <v>Austria</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ArgentinaJordania</v>
      </c>
      <c r="AO13" s="371" t="str">
        <f t="shared" si="27"/>
        <v>Argentina</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Argentina</v>
      </c>
      <c r="G16" s="373">
        <f>G10</f>
        <v>3</v>
      </c>
      <c r="H16" s="373">
        <f t="shared" ref="H16:M16" si="32">H10</f>
        <v>3</v>
      </c>
      <c r="I16" s="373">
        <f t="shared" si="32"/>
        <v>0</v>
      </c>
      <c r="J16" s="373">
        <f t="shared" si="32"/>
        <v>0</v>
      </c>
      <c r="K16" s="373">
        <f t="shared" si="32"/>
        <v>6</v>
      </c>
      <c r="L16" s="373">
        <f t="shared" si="32"/>
        <v>1</v>
      </c>
      <c r="M16" s="373">
        <f t="shared" si="32"/>
        <v>9</v>
      </c>
      <c r="N16" s="370"/>
      <c r="O16" s="370" t="str">
        <f>IF($M16&gt;=$M17,$F16,$F17)</f>
        <v>Argentina</v>
      </c>
      <c r="P16" s="370">
        <f>VLOOKUP(O16,$F$16:$M$20,8,FALSE)</f>
        <v>9</v>
      </c>
      <c r="Q16" s="370"/>
      <c r="R16" s="370"/>
      <c r="S16" s="370" t="str">
        <f>IF($P16&gt;=$P18,$O16,$O18)</f>
        <v>Argentina</v>
      </c>
      <c r="T16" s="370">
        <f>VLOOKUP(S16,$O$16:$P$20,2,FALSE)</f>
        <v>9</v>
      </c>
      <c r="U16" s="370"/>
      <c r="V16" s="370"/>
      <c r="W16" s="370" t="str">
        <f>IF($T16&gt;=$T19,$S16,$S19)</f>
        <v>Argentina</v>
      </c>
      <c r="X16" s="370">
        <f>VLOOKUP(W16,$S$16:$T$20,2,FALSE)</f>
        <v>9</v>
      </c>
      <c r="Y16" s="370"/>
      <c r="Z16" s="370"/>
      <c r="AA16" s="370" t="str">
        <f>W16</f>
        <v>Argentina</v>
      </c>
      <c r="AB16" s="370">
        <f>VLOOKUP(AA16,W16:X20,2,FALSE)</f>
        <v>9</v>
      </c>
      <c r="AC16" s="370"/>
      <c r="AD16" s="370"/>
      <c r="AE16" s="370" t="str">
        <f>AA16</f>
        <v>Argentina</v>
      </c>
      <c r="AF16" s="370">
        <f>VLOOKUP(AE16,AA16:AB20,2,FALSE)</f>
        <v>9</v>
      </c>
      <c r="AG16" s="370"/>
      <c r="AH16" s="370"/>
      <c r="AI16" s="370" t="str">
        <f>AE16</f>
        <v>Argentina</v>
      </c>
      <c r="AJ16" s="370">
        <f>VLOOKUP(AI16,AE16:AF20,2,FALSE)</f>
        <v>9</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Argelia</v>
      </c>
      <c r="G17" s="373">
        <f t="shared" ref="G17:M17" si="33">N10</f>
        <v>3</v>
      </c>
      <c r="H17" s="373">
        <f t="shared" si="33"/>
        <v>0</v>
      </c>
      <c r="I17" s="373">
        <f t="shared" si="33"/>
        <v>1</v>
      </c>
      <c r="J17" s="373">
        <f t="shared" si="33"/>
        <v>2</v>
      </c>
      <c r="K17" s="373">
        <f t="shared" si="33"/>
        <v>1</v>
      </c>
      <c r="L17" s="373">
        <f t="shared" si="33"/>
        <v>5</v>
      </c>
      <c r="M17" s="373">
        <f t="shared" si="33"/>
        <v>1</v>
      </c>
      <c r="N17" s="370"/>
      <c r="O17" s="370" t="str">
        <f>IF($M17&lt;=$M16,$F17,$F16)</f>
        <v>Argelia</v>
      </c>
      <c r="P17" s="370">
        <f>VLOOKUP(O17,$F$16:$M$20,8,FALSE)</f>
        <v>1</v>
      </c>
      <c r="Q17" s="370"/>
      <c r="R17" s="370"/>
      <c r="S17" s="370" t="str">
        <f>O17</f>
        <v>Argelia</v>
      </c>
      <c r="T17" s="370">
        <f>VLOOKUP(S17,$O$16:$P$20,2,FALSE)</f>
        <v>1</v>
      </c>
      <c r="U17" s="370"/>
      <c r="V17" s="370"/>
      <c r="W17" s="370" t="str">
        <f>S17</f>
        <v>Argelia</v>
      </c>
      <c r="X17" s="370">
        <f>VLOOKUP(W17,$S$16:$T$20,2,FALSE)</f>
        <v>1</v>
      </c>
      <c r="Y17" s="370"/>
      <c r="Z17" s="370"/>
      <c r="AA17" s="370" t="str">
        <f>IF(X17&gt;=X18,W17,W18)</f>
        <v>Austria</v>
      </c>
      <c r="AB17" s="370">
        <f>VLOOKUP(AA17,W16:X20,2,FALSE)</f>
        <v>6</v>
      </c>
      <c r="AC17" s="370"/>
      <c r="AD17" s="370"/>
      <c r="AE17" s="370" t="str">
        <f>IF(AB17&gt;=AB19,AA17,AA19)</f>
        <v>Austria</v>
      </c>
      <c r="AF17" s="370">
        <f>VLOOKUP(AE17,AA16:AB20,2,FALSE)</f>
        <v>6</v>
      </c>
      <c r="AG17" s="370"/>
      <c r="AH17" s="370"/>
      <c r="AI17" s="370" t="str">
        <f>AE17</f>
        <v>Austria</v>
      </c>
      <c r="AJ17" s="370">
        <f>VLOOKUP(AI17,AE16:AF20,2,FALSE)</f>
        <v>6</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Austria</v>
      </c>
      <c r="G18" s="373">
        <f t="shared" ref="G18:M18" si="34">U10</f>
        <v>3</v>
      </c>
      <c r="H18" s="373">
        <f t="shared" si="34"/>
        <v>2</v>
      </c>
      <c r="I18" s="373">
        <f t="shared" si="34"/>
        <v>0</v>
      </c>
      <c r="J18" s="373">
        <f t="shared" si="34"/>
        <v>1</v>
      </c>
      <c r="K18" s="373">
        <f t="shared" si="34"/>
        <v>4</v>
      </c>
      <c r="L18" s="373">
        <f t="shared" si="34"/>
        <v>2</v>
      </c>
      <c r="M18" s="373">
        <f t="shared" si="34"/>
        <v>6</v>
      </c>
      <c r="N18" s="370"/>
      <c r="O18" s="370" t="str">
        <f>F18</f>
        <v>Austria</v>
      </c>
      <c r="P18" s="370">
        <f>VLOOKUP(O18,$F$16:$M$20,8,FALSE)</f>
        <v>6</v>
      </c>
      <c r="Q18" s="370"/>
      <c r="R18" s="370"/>
      <c r="S18" s="370" t="str">
        <f>IF($P18&lt;=$P16,$O18,$O16)</f>
        <v>Austria</v>
      </c>
      <c r="T18" s="370">
        <f>VLOOKUP(S18,$O$16:$P$20,2,FALSE)</f>
        <v>6</v>
      </c>
      <c r="U18" s="370"/>
      <c r="V18" s="370"/>
      <c r="W18" s="370" t="str">
        <f>S18</f>
        <v>Austria</v>
      </c>
      <c r="X18" s="370">
        <f>VLOOKUP(W18,$S$16:$T$20,2,FALSE)</f>
        <v>6</v>
      </c>
      <c r="Y18" s="370"/>
      <c r="Z18" s="370"/>
      <c r="AA18" s="370" t="str">
        <f>IF(X18&lt;=X17,W18,W17)</f>
        <v>Argelia</v>
      </c>
      <c r="AB18" s="370">
        <f>VLOOKUP(AA18,W16:X20,2,FALSE)</f>
        <v>1</v>
      </c>
      <c r="AC18" s="370"/>
      <c r="AD18" s="370"/>
      <c r="AE18" s="370" t="str">
        <f>AA18</f>
        <v>Argelia</v>
      </c>
      <c r="AF18" s="370">
        <f>VLOOKUP(AE18,AA16:AB20,2,FALSE)</f>
        <v>1</v>
      </c>
      <c r="AG18" s="370"/>
      <c r="AH18" s="370"/>
      <c r="AI18" s="370" t="str">
        <f>IF(AF18&gt;=AF19,AE18,AE19)</f>
        <v>Argelia</v>
      </c>
      <c r="AJ18" s="370">
        <f>VLOOKUP(AI18,AE16:AF20,2,FALSE)</f>
        <v>1</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Jordania</v>
      </c>
      <c r="G19" s="373">
        <f t="shared" ref="G19:M19" si="35">AB10</f>
        <v>3</v>
      </c>
      <c r="H19" s="373">
        <f t="shared" si="35"/>
        <v>0</v>
      </c>
      <c r="I19" s="373">
        <f t="shared" si="35"/>
        <v>1</v>
      </c>
      <c r="J19" s="373">
        <f t="shared" si="35"/>
        <v>2</v>
      </c>
      <c r="K19" s="373">
        <f t="shared" si="35"/>
        <v>3</v>
      </c>
      <c r="L19" s="373">
        <f t="shared" si="35"/>
        <v>6</v>
      </c>
      <c r="M19" s="373">
        <f t="shared" si="35"/>
        <v>1</v>
      </c>
      <c r="N19" s="370"/>
      <c r="O19" s="370" t="str">
        <f>F19</f>
        <v>Jordania</v>
      </c>
      <c r="P19" s="370">
        <f>VLOOKUP(O19,$F$16:$M$20,8,FALSE)</f>
        <v>1</v>
      </c>
      <c r="Q19" s="370"/>
      <c r="R19" s="370"/>
      <c r="S19" s="370" t="str">
        <f>O19</f>
        <v>Jordania</v>
      </c>
      <c r="T19" s="370">
        <f>VLOOKUP(S19,$O$16:$P$20,2,FALSE)</f>
        <v>1</v>
      </c>
      <c r="U19" s="370"/>
      <c r="V19" s="370"/>
      <c r="W19" s="370" t="str">
        <f>IF($T19&lt;=$T16,$S19,$S16)</f>
        <v>Jordania</v>
      </c>
      <c r="X19" s="370">
        <f>VLOOKUP(W19,$S$16:$T$20,2,FALSE)</f>
        <v>1</v>
      </c>
      <c r="Y19" s="370"/>
      <c r="Z19" s="370"/>
      <c r="AA19" s="370" t="str">
        <f>W19</f>
        <v>Jordania</v>
      </c>
      <c r="AB19" s="370">
        <f>VLOOKUP(AA19,W16:X20,2,FALSE)</f>
        <v>1</v>
      </c>
      <c r="AC19" s="370"/>
      <c r="AD19" s="370"/>
      <c r="AE19" s="370" t="str">
        <f>IF(AB19&lt;=AB17,AA19,AA17)</f>
        <v>Jordania</v>
      </c>
      <c r="AF19" s="370">
        <f>VLOOKUP(AE19,AA16:AB20,2,FALSE)</f>
        <v>1</v>
      </c>
      <c r="AG19" s="370"/>
      <c r="AH19" s="370"/>
      <c r="AI19" s="370" t="str">
        <f>IF(AF19&lt;=AF18,AE19,AE18)</f>
        <v>Jordania</v>
      </c>
      <c r="AJ19" s="370">
        <f>VLOOKUP(AI19,AE16:AF20,2,FALSE)</f>
        <v>1</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Argentina</v>
      </c>
      <c r="G23" s="370"/>
      <c r="H23" s="370"/>
      <c r="I23" s="370"/>
      <c r="J23" s="373">
        <f>AJ16</f>
        <v>9</v>
      </c>
      <c r="K23" s="373">
        <f>VLOOKUP(AI16,$F$16:$M$20,6,FALSE)</f>
        <v>6</v>
      </c>
      <c r="L23" s="373">
        <f>VLOOKUP(AI16,$F$16:$M$20,7,FALSE)</f>
        <v>1</v>
      </c>
      <c r="M23" s="373">
        <f>K23-L23</f>
        <v>5</v>
      </c>
      <c r="N23" s="370"/>
      <c r="O23" s="370" t="str">
        <f>IF(AND($J23=$J24,$M24&gt;$M23),$F24,$F23)</f>
        <v>Argentina</v>
      </c>
      <c r="P23" s="373">
        <f>VLOOKUP(O23,$F$23:$M$27,5,FALSE)</f>
        <v>9</v>
      </c>
      <c r="Q23" s="373">
        <f>VLOOKUP(O23,$F$23:$M$27,8,FALSE)</f>
        <v>5</v>
      </c>
      <c r="R23" s="370"/>
      <c r="S23" s="370" t="str">
        <f>IF(AND(P23=P25,Q25&gt;Q23),O25,O23)</f>
        <v>Argentina</v>
      </c>
      <c r="T23" s="373">
        <f>VLOOKUP(S23,$O$23:$Q$27,2,FALSE)</f>
        <v>9</v>
      </c>
      <c r="U23" s="373">
        <f>VLOOKUP(S23,$O$23:$Q$27,3,FALSE)</f>
        <v>5</v>
      </c>
      <c r="V23" s="370"/>
      <c r="W23" s="370" t="str">
        <f>IF(AND(T23=T26,U26&gt;U23),S26,S23)</f>
        <v>Argentina</v>
      </c>
      <c r="X23" s="373">
        <f>VLOOKUP(W23,$S$23:$U$27,2,FALSE)</f>
        <v>9</v>
      </c>
      <c r="Y23" s="373">
        <f>VLOOKUP(W23,$S$23:$U$27,3,FALSE)</f>
        <v>5</v>
      </c>
      <c r="Z23" s="370"/>
      <c r="AA23" s="370" t="str">
        <f>W23</f>
        <v>Argentina</v>
      </c>
      <c r="AB23" s="373">
        <f>VLOOKUP(AA23,W23:Y27,2,FALSE)</f>
        <v>9</v>
      </c>
      <c r="AC23" s="373">
        <f>VLOOKUP(AA23,W23:Y27,3,FALSE)</f>
        <v>5</v>
      </c>
      <c r="AD23" s="370"/>
      <c r="AE23" s="370" t="str">
        <f>AA23</f>
        <v>Argentina</v>
      </c>
      <c r="AF23" s="373">
        <f>VLOOKUP(AE23,AA23:AC27,2,FALSE)</f>
        <v>9</v>
      </c>
      <c r="AG23" s="373">
        <f>VLOOKUP(AE23,AA23:AC27,3,FALSE)</f>
        <v>5</v>
      </c>
      <c r="AH23" s="370"/>
      <c r="AI23" s="370" t="str">
        <f>AE23</f>
        <v>Argentina</v>
      </c>
      <c r="AJ23" s="373">
        <f>VLOOKUP(AI23,AE23:AG27,2,FALSE)</f>
        <v>9</v>
      </c>
      <c r="AK23" s="373">
        <f>VLOOKUP(AI23,AE23:AG27,3,FALSE)</f>
        <v>5</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Austria</v>
      </c>
      <c r="G24" s="370"/>
      <c r="H24" s="370"/>
      <c r="I24" s="370"/>
      <c r="J24" s="373">
        <f>AJ17</f>
        <v>6</v>
      </c>
      <c r="K24" s="373">
        <f>VLOOKUP(AI17,$F$16:$M$20,6,FALSE)</f>
        <v>4</v>
      </c>
      <c r="L24" s="373">
        <f>VLOOKUP(AI17,$F$16:$M$20,7,FALSE)</f>
        <v>2</v>
      </c>
      <c r="M24" s="373">
        <f>K24-L24</f>
        <v>2</v>
      </c>
      <c r="N24" s="370"/>
      <c r="O24" s="370" t="str">
        <f>IF(AND($J23=$J24,$M24&gt;$M23),$F23,$F24)</f>
        <v>Austria</v>
      </c>
      <c r="P24" s="373">
        <f>VLOOKUP(O24,$F$23:$M$27,5,FALSE)</f>
        <v>6</v>
      </c>
      <c r="Q24" s="373">
        <f>VLOOKUP(O24,$F$23:$M$27,8,FALSE)</f>
        <v>2</v>
      </c>
      <c r="R24" s="370"/>
      <c r="S24" s="370" t="str">
        <f>O24</f>
        <v>Austria</v>
      </c>
      <c r="T24" s="373">
        <f>VLOOKUP(S24,$O$23:$Q$27,2,FALSE)</f>
        <v>6</v>
      </c>
      <c r="U24" s="373">
        <f>VLOOKUP(S24,$O$23:$Q$27,3,FALSE)</f>
        <v>2</v>
      </c>
      <c r="V24" s="370"/>
      <c r="W24" s="370" t="str">
        <f>S24</f>
        <v>Austria</v>
      </c>
      <c r="X24" s="373">
        <f>VLOOKUP(W24,$S$23:$U$27,2,FALSE)</f>
        <v>6</v>
      </c>
      <c r="Y24" s="373">
        <f>VLOOKUP(W24,$S$23:$U$27,3,FALSE)</f>
        <v>2</v>
      </c>
      <c r="Z24" s="370"/>
      <c r="AA24" s="370" t="str">
        <f>IF(AND(X24=X25,Y25&gt;Y24),W25,W24)</f>
        <v>Austria</v>
      </c>
      <c r="AB24" s="373">
        <f>VLOOKUP(AA24,W23:Y27,2,FALSE)</f>
        <v>6</v>
      </c>
      <c r="AC24" s="373">
        <f>VLOOKUP(AA24,W23:Y27,3,FALSE)</f>
        <v>2</v>
      </c>
      <c r="AD24" s="370"/>
      <c r="AE24" s="370" t="str">
        <f>IF(AND(AB24=AB26,AC26&gt;AC24),AA26,AA24)</f>
        <v>Austria</v>
      </c>
      <c r="AF24" s="373">
        <f>VLOOKUP(AE24,AA23:AC27,2,FALSE)</f>
        <v>6</v>
      </c>
      <c r="AG24" s="373">
        <f>VLOOKUP(AE24,AA23:AC27,3,FALSE)</f>
        <v>2</v>
      </c>
      <c r="AH24" s="370"/>
      <c r="AI24" s="370" t="str">
        <f>AE24</f>
        <v>Austria</v>
      </c>
      <c r="AJ24" s="373">
        <f>VLOOKUP(AI24,AE23:AG27,2,FALSE)</f>
        <v>6</v>
      </c>
      <c r="AK24" s="373">
        <f>VLOOKUP(AI24,AE23:AG27,3,FALSE)</f>
        <v>2</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Argelia</v>
      </c>
      <c r="G25" s="370"/>
      <c r="H25" s="370"/>
      <c r="I25" s="370"/>
      <c r="J25" s="373">
        <f>AJ18</f>
        <v>1</v>
      </c>
      <c r="K25" s="373">
        <f>VLOOKUP(AI18,$F$16:$M$20,6,FALSE)</f>
        <v>1</v>
      </c>
      <c r="L25" s="373">
        <f>VLOOKUP(AI18,$F$16:$M$20,7,FALSE)</f>
        <v>5</v>
      </c>
      <c r="M25" s="373">
        <f>K25-L25</f>
        <v>-4</v>
      </c>
      <c r="N25" s="370"/>
      <c r="O25" s="370" t="str">
        <f>F25</f>
        <v>Argelia</v>
      </c>
      <c r="P25" s="373">
        <f>VLOOKUP(O25,$F$23:$M$27,5,FALSE)</f>
        <v>1</v>
      </c>
      <c r="Q25" s="373">
        <f>VLOOKUP(O25,$F$23:$M$27,8,FALSE)</f>
        <v>-4</v>
      </c>
      <c r="R25" s="370"/>
      <c r="S25" s="370" t="str">
        <f>IF(AND($P23=P25,Q25&gt;Q23),O23,O25)</f>
        <v>Argelia</v>
      </c>
      <c r="T25" s="373">
        <f>VLOOKUP(S25,$O$23:$Q$27,2,FALSE)</f>
        <v>1</v>
      </c>
      <c r="U25" s="373">
        <f>VLOOKUP(S25,$O$23:$Q$27,3,FALSE)</f>
        <v>-4</v>
      </c>
      <c r="V25" s="370"/>
      <c r="W25" s="370" t="str">
        <f>S25</f>
        <v>Argelia</v>
      </c>
      <c r="X25" s="373">
        <f>VLOOKUP(W25,$S$23:$U$27,2,FALSE)</f>
        <v>1</v>
      </c>
      <c r="Y25" s="373">
        <f>VLOOKUP(W25,$S$23:$U$27,3,FALSE)</f>
        <v>-4</v>
      </c>
      <c r="Z25" s="370"/>
      <c r="AA25" s="370" t="str">
        <f>IF(AND(X24=X25,Y25&gt;Y24),W24,W25)</f>
        <v>Argelia</v>
      </c>
      <c r="AB25" s="373">
        <f>VLOOKUP(AA25,W23:Y27,2,FALSE)</f>
        <v>1</v>
      </c>
      <c r="AC25" s="373">
        <f>VLOOKUP(AA25,W23:Y27,3,FALSE)</f>
        <v>-4</v>
      </c>
      <c r="AD25" s="370"/>
      <c r="AE25" s="370" t="str">
        <f>AA25</f>
        <v>Argelia</v>
      </c>
      <c r="AF25" s="373">
        <f>VLOOKUP(AE25,AA23:AC27,2,FALSE)</f>
        <v>1</v>
      </c>
      <c r="AG25" s="373">
        <f>VLOOKUP(AE25,AA23:AC27,3,FALSE)</f>
        <v>-4</v>
      </c>
      <c r="AH25" s="370"/>
      <c r="AI25" s="370" t="str">
        <f>IF(AND(AF25=AF26,AG26&gt;AG25),AE26,AE25)</f>
        <v>Jordania</v>
      </c>
      <c r="AJ25" s="373">
        <f>VLOOKUP(AI25,AE23:AG27,2,FALSE)</f>
        <v>1</v>
      </c>
      <c r="AK25" s="373">
        <f>VLOOKUP(AI25,AE23:AG27,3,FALSE)</f>
        <v>-3</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Jordania</v>
      </c>
      <c r="G26" s="370"/>
      <c r="H26" s="370"/>
      <c r="I26" s="370"/>
      <c r="J26" s="373">
        <f>AJ19</f>
        <v>1</v>
      </c>
      <c r="K26" s="373">
        <f>VLOOKUP(AI19,$F$16:$M$20,6,FALSE)</f>
        <v>3</v>
      </c>
      <c r="L26" s="373">
        <f>VLOOKUP(AI19,$F$16:$M$20,7,FALSE)</f>
        <v>6</v>
      </c>
      <c r="M26" s="373">
        <f>K26-L26</f>
        <v>-3</v>
      </c>
      <c r="N26" s="370"/>
      <c r="O26" s="370" t="str">
        <f>F26</f>
        <v>Jordania</v>
      </c>
      <c r="P26" s="373">
        <f>VLOOKUP(O26,$F$23:$M$27,5,FALSE)</f>
        <v>1</v>
      </c>
      <c r="Q26" s="373">
        <f>VLOOKUP(O26,$F$23:$M$27,8,FALSE)</f>
        <v>-3</v>
      </c>
      <c r="R26" s="370"/>
      <c r="S26" s="370" t="str">
        <f>O26</f>
        <v>Jordania</v>
      </c>
      <c r="T26" s="373">
        <f>VLOOKUP(S26,$O$23:$Q$27,2,FALSE)</f>
        <v>1</v>
      </c>
      <c r="U26" s="373">
        <f>VLOOKUP(S26,$O$23:$Q$27,3,FALSE)</f>
        <v>-3</v>
      </c>
      <c r="V26" s="370"/>
      <c r="W26" s="370" t="str">
        <f>IF(AND(T23=T26,U26&gt;U23),S23,S26)</f>
        <v>Jordania</v>
      </c>
      <c r="X26" s="373">
        <f>VLOOKUP(W26,$S$23:$U$27,2,FALSE)</f>
        <v>1</v>
      </c>
      <c r="Y26" s="373">
        <f>VLOOKUP(W26,$S$23:$U$27,3,FALSE)</f>
        <v>-3</v>
      </c>
      <c r="Z26" s="370"/>
      <c r="AA26" s="370" t="str">
        <f>W26</f>
        <v>Jordania</v>
      </c>
      <c r="AB26" s="373">
        <f>VLOOKUP(AA26,W23:Y27,2,FALSE)</f>
        <v>1</v>
      </c>
      <c r="AC26" s="373">
        <f>VLOOKUP(AA26,W23:Y27,3,FALSE)</f>
        <v>-3</v>
      </c>
      <c r="AD26" s="370"/>
      <c r="AE26" s="370" t="str">
        <f>IF(AND(AB24=AB26,AC26&gt;AC24),AA24,AA26)</f>
        <v>Jordania</v>
      </c>
      <c r="AF26" s="373">
        <f>VLOOKUP(AE26,AA23:AC27,2,FALSE)</f>
        <v>1</v>
      </c>
      <c r="AG26" s="373">
        <f>VLOOKUP(AE26,AA23:AC27,3,FALSE)</f>
        <v>-3</v>
      </c>
      <c r="AH26" s="370"/>
      <c r="AI26" s="370" t="str">
        <f>IF(AND(AF25=AF26,AG26&gt;AG25),AE25,AE26)</f>
        <v>Argelia</v>
      </c>
      <c r="AJ26" s="373">
        <f>VLOOKUP(AI26,AE23:AG27,2,FALSE)</f>
        <v>1</v>
      </c>
      <c r="AK26" s="373">
        <f>VLOOKUP(AI26,AE23:AG27,3,FALSE)</f>
        <v>-4</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Argentina</v>
      </c>
      <c r="G30" s="370"/>
      <c r="H30" s="370"/>
      <c r="I30" s="370"/>
      <c r="J30" s="373">
        <f>VLOOKUP(F30,$F$16:$M$20,8,FALSE)</f>
        <v>9</v>
      </c>
      <c r="K30" s="373">
        <f>VLOOKUP(F30,$F$16:$M$20,6,FALSE)</f>
        <v>6</v>
      </c>
      <c r="L30" s="373">
        <f>VLOOKUP(F30,$F$16:$M$20,7,FALSE)</f>
        <v>1</v>
      </c>
      <c r="M30" s="373">
        <f>K30-L30</f>
        <v>5</v>
      </c>
      <c r="N30" s="370"/>
      <c r="O30" s="370" t="str">
        <f>IF(AND(J30=J31,M30=M31,K31&gt;K30),F31,F30)</f>
        <v>Argentina</v>
      </c>
      <c r="P30" s="373">
        <f>VLOOKUP(O30,$F$30:$M$34,5,FALSE)</f>
        <v>9</v>
      </c>
      <c r="Q30" s="373">
        <f>VLOOKUP(O30,$F$30:$M$34,8,FALSE)</f>
        <v>5</v>
      </c>
      <c r="R30" s="373">
        <f>VLOOKUP(O30,$F$30:$M$34,6,FALSE)</f>
        <v>6</v>
      </c>
      <c r="S30" s="370" t="str">
        <f>IF(AND(P30=P32,Q30=Q32,R32&gt;R30),O32,O30)</f>
        <v>Argentina</v>
      </c>
      <c r="T30" s="373">
        <f>VLOOKUP(S30,$O$30:$R$34,2,FALSE)</f>
        <v>9</v>
      </c>
      <c r="U30" s="373">
        <f>VLOOKUP(S30,$O$30:$R$34,3,FALSE)</f>
        <v>5</v>
      </c>
      <c r="V30" s="373">
        <f>VLOOKUP(S30,$O$30:$R$34,4,FALSE)</f>
        <v>6</v>
      </c>
      <c r="W30" s="370" t="str">
        <f>IF(AND(T30=T33,U30=U33,V33&gt;V30),S33,S30)</f>
        <v>Argentina</v>
      </c>
      <c r="X30" s="373">
        <f>VLOOKUP(W30,$S$30:$V$34,2,FALSE)</f>
        <v>9</v>
      </c>
      <c r="Y30" s="373">
        <f>VLOOKUP(W30,$S$30:$V$34,3,FALSE)</f>
        <v>5</v>
      </c>
      <c r="Z30" s="373">
        <f>VLOOKUP(W30,$S$30:$V$34,4,FALSE)</f>
        <v>6</v>
      </c>
      <c r="AA30" s="370" t="str">
        <f>W30</f>
        <v>Argentina</v>
      </c>
      <c r="AB30" s="373">
        <f>VLOOKUP(AA30,W30:Z34,2,FALSE)</f>
        <v>9</v>
      </c>
      <c r="AC30" s="373">
        <f>VLOOKUP(AA30,W30:Z34,3,FALSE)</f>
        <v>5</v>
      </c>
      <c r="AD30" s="373">
        <f>VLOOKUP(AA30,W30:Z34,4,FALSE)</f>
        <v>6</v>
      </c>
      <c r="AE30" s="370" t="str">
        <f>AA30</f>
        <v>Argentina</v>
      </c>
      <c r="AF30" s="373">
        <f>VLOOKUP(AE30,AA30:AD34,2,FALSE)</f>
        <v>9</v>
      </c>
      <c r="AG30" s="373">
        <f>VLOOKUP(AE30,AA30:AD34,3,FALSE)</f>
        <v>5</v>
      </c>
      <c r="AH30" s="373">
        <f>VLOOKUP(AE30,AA30:AD34,4,FALSE)</f>
        <v>6</v>
      </c>
      <c r="AI30" s="370" t="str">
        <f>AE30</f>
        <v>Argentina</v>
      </c>
      <c r="AJ30" s="373">
        <f>VLOOKUP(AI30,AE30:AH34,2,FALSE)</f>
        <v>9</v>
      </c>
      <c r="AK30" s="373">
        <f>VLOOKUP(AI30,AE30:AH34,3,FALSE)</f>
        <v>5</v>
      </c>
      <c r="AL30" s="373">
        <f>VLOOKUP(AI30,AE30:AH34,4,FALSE)</f>
        <v>6</v>
      </c>
      <c r="AM30" s="370"/>
      <c r="AN30" s="373">
        <f>(AJ30*1000)+(AK30*100)+AL30</f>
        <v>9506</v>
      </c>
      <c r="AO30" s="375">
        <f>IF($AN30=$AN31,VLOOKUP($AI30&amp;$AI31,$AN$2:$AO$13,2,0),0)</f>
        <v>0</v>
      </c>
      <c r="AP30" s="370">
        <f>IF(AO30=$AI30,1,0)</f>
        <v>0</v>
      </c>
      <c r="AQ30" s="375"/>
      <c r="AR30" s="370"/>
      <c r="AS30" s="375">
        <f>IF($AN30=$AN32,VLOOKUP($AI30&amp;$AI32,$AN$2:$AO$13,2,0),0)</f>
        <v>0</v>
      </c>
      <c r="AT30" s="370">
        <f>IF(AS30=$AI30,1,0)</f>
        <v>0</v>
      </c>
      <c r="AU30" s="370"/>
      <c r="AV30" s="370">
        <f>SUM(AN30,AP30,AR30,AT30)</f>
        <v>9506</v>
      </c>
      <c r="AW30" s="373">
        <f>RANK(AV30,$AV$30:$AV$33,0)</f>
        <v>1</v>
      </c>
      <c r="AX30" s="370" t="str">
        <f>AI30</f>
        <v>Argentina</v>
      </c>
      <c r="AY30" s="336"/>
      <c r="AZ30" s="336"/>
      <c r="BA30" s="336"/>
      <c r="BB30" s="336"/>
      <c r="BC30" s="336"/>
    </row>
    <row r="31" spans="1:55" x14ac:dyDescent="0.2">
      <c r="A31" s="370"/>
      <c r="B31" s="370"/>
      <c r="C31" s="370"/>
      <c r="D31" s="370"/>
      <c r="E31" s="370"/>
      <c r="F31" s="370" t="str">
        <f>AI24</f>
        <v>Austria</v>
      </c>
      <c r="G31" s="370"/>
      <c r="H31" s="370"/>
      <c r="I31" s="370"/>
      <c r="J31" s="373">
        <f>VLOOKUP(F31,$F$16:$M$20,8,FALSE)</f>
        <v>6</v>
      </c>
      <c r="K31" s="373">
        <f>VLOOKUP(F31,$F$16:$M$20,6,FALSE)</f>
        <v>4</v>
      </c>
      <c r="L31" s="373">
        <f>VLOOKUP(F31,$F$16:$M$20,7,FALSE)</f>
        <v>2</v>
      </c>
      <c r="M31" s="373">
        <f>K31-L31</f>
        <v>2</v>
      </c>
      <c r="N31" s="370"/>
      <c r="O31" s="370" t="str">
        <f>IF(AND(J30=J31,M30=M31,K31&gt;K30),F30,F31)</f>
        <v>Austria</v>
      </c>
      <c r="P31" s="373">
        <f>VLOOKUP(O31,$F$30:$M$34,5,FALSE)</f>
        <v>6</v>
      </c>
      <c r="Q31" s="373">
        <f>VLOOKUP(O31,$F$30:$M$34,8,FALSE)</f>
        <v>2</v>
      </c>
      <c r="R31" s="373">
        <f>VLOOKUP(O31,$F$30:$M$34,6,FALSE)</f>
        <v>4</v>
      </c>
      <c r="S31" s="370" t="str">
        <f>O31</f>
        <v>Austria</v>
      </c>
      <c r="T31" s="373">
        <f>VLOOKUP(S31,$O$30:$R$34,2,FALSE)</f>
        <v>6</v>
      </c>
      <c r="U31" s="373">
        <f>VLOOKUP(S31,$O$30:$R$34,3,FALSE)</f>
        <v>2</v>
      </c>
      <c r="V31" s="373">
        <f>VLOOKUP(S31,$O$30:$R$34,4,FALSE)</f>
        <v>4</v>
      </c>
      <c r="W31" s="370" t="str">
        <f>S31</f>
        <v>Austria</v>
      </c>
      <c r="X31" s="373">
        <f>VLOOKUP(W31,$S$30:$V$34,2,FALSE)</f>
        <v>6</v>
      </c>
      <c r="Y31" s="373">
        <f>VLOOKUP(W31,$S$30:$V$34,3,FALSE)</f>
        <v>2</v>
      </c>
      <c r="Z31" s="373">
        <f>VLOOKUP(W31,$S$30:$V$34,4,FALSE)</f>
        <v>4</v>
      </c>
      <c r="AA31" s="370" t="str">
        <f>IF(AND(X31=X32,Y31=Y32,Z32&gt;Z31),W32,W31)</f>
        <v>Austria</v>
      </c>
      <c r="AB31" s="373">
        <f>VLOOKUP(AA31,W30:Z34,2,FALSE)</f>
        <v>6</v>
      </c>
      <c r="AC31" s="373">
        <f>VLOOKUP(AA31,W30:Z34,3,FALSE)</f>
        <v>2</v>
      </c>
      <c r="AD31" s="373">
        <f>VLOOKUP(AA31,W30:Z34,4,FALSE)</f>
        <v>4</v>
      </c>
      <c r="AE31" s="370" t="str">
        <f>IF(AND(AB31=AB33,AC31=AC33,AD33&gt;AD31),AA33,AA31)</f>
        <v>Austria</v>
      </c>
      <c r="AF31" s="373">
        <f>VLOOKUP(AE31,AA30:AD34,2,FALSE)</f>
        <v>6</v>
      </c>
      <c r="AG31" s="373">
        <f>VLOOKUP(AE31,AA30:AD34,3,FALSE)</f>
        <v>2</v>
      </c>
      <c r="AH31" s="373">
        <f>VLOOKUP(AE31,AA30:AD34,4,FALSE)</f>
        <v>4</v>
      </c>
      <c r="AI31" s="370" t="str">
        <f>AE31</f>
        <v>Austria</v>
      </c>
      <c r="AJ31" s="373">
        <f>VLOOKUP(AI31,AE30:AH34,2,FALSE)</f>
        <v>6</v>
      </c>
      <c r="AK31" s="373">
        <f>VLOOKUP(AI31,AE30:AH34,3,FALSE)</f>
        <v>2</v>
      </c>
      <c r="AL31" s="373">
        <f>VLOOKUP(AI31,AE30:AH34,4,FALSE)</f>
        <v>4</v>
      </c>
      <c r="AM31" s="370"/>
      <c r="AN31" s="373">
        <f t="shared" ref="AN31:AN33" si="36">(AJ31*1000)+(AK31*100)+AL31</f>
        <v>6204</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6204</v>
      </c>
      <c r="AW31" s="373">
        <f t="shared" ref="AW31:AW33" si="38">RANK(AV31,$AV$30:$AV$33,0)</f>
        <v>2</v>
      </c>
      <c r="AX31" s="370" t="str">
        <f t="shared" ref="AX31:AX33" si="39">AI31</f>
        <v>Austria</v>
      </c>
      <c r="AY31" s="336"/>
      <c r="AZ31" s="336"/>
      <c r="BA31" s="336"/>
      <c r="BB31" s="336"/>
      <c r="BC31" s="336"/>
    </row>
    <row r="32" spans="1:55" x14ac:dyDescent="0.2">
      <c r="A32" s="370"/>
      <c r="B32" s="370"/>
      <c r="C32" s="370"/>
      <c r="D32" s="370"/>
      <c r="E32" s="370"/>
      <c r="F32" s="370" t="str">
        <f>AI25</f>
        <v>Jordania</v>
      </c>
      <c r="G32" s="370"/>
      <c r="H32" s="370"/>
      <c r="I32" s="370"/>
      <c r="J32" s="373">
        <f>VLOOKUP(F32,$F$16:$M$20,8,FALSE)</f>
        <v>1</v>
      </c>
      <c r="K32" s="373">
        <f>VLOOKUP(F32,$F$16:$M$20,6,FALSE)</f>
        <v>3</v>
      </c>
      <c r="L32" s="373">
        <f>VLOOKUP(F32,$F$16:$M$20,7,FALSE)</f>
        <v>6</v>
      </c>
      <c r="M32" s="373">
        <f>K32-L32</f>
        <v>-3</v>
      </c>
      <c r="N32" s="370"/>
      <c r="O32" s="370" t="str">
        <f>F32</f>
        <v>Jordania</v>
      </c>
      <c r="P32" s="373">
        <f>VLOOKUP(O32,$F$30:$M$34,5,FALSE)</f>
        <v>1</v>
      </c>
      <c r="Q32" s="373">
        <f>VLOOKUP(O32,$F$30:$M$34,8,FALSE)</f>
        <v>-3</v>
      </c>
      <c r="R32" s="373">
        <f>VLOOKUP(O32,$F$30:$M$34,6,FALSE)</f>
        <v>3</v>
      </c>
      <c r="S32" s="370" t="str">
        <f>IF(AND(P30=P32,Q30=Q32,R32&gt;R30),O30,O32)</f>
        <v>Jordania</v>
      </c>
      <c r="T32" s="373">
        <f>VLOOKUP(S32,$O$30:$R$34,2,FALSE)</f>
        <v>1</v>
      </c>
      <c r="U32" s="373">
        <f>VLOOKUP(S32,$O$30:$R$34,3,FALSE)</f>
        <v>-3</v>
      </c>
      <c r="V32" s="373">
        <f>VLOOKUP(S32,$O$30:$R$34,4,FALSE)</f>
        <v>3</v>
      </c>
      <c r="W32" s="370" t="str">
        <f>S32</f>
        <v>Jordania</v>
      </c>
      <c r="X32" s="373">
        <f>VLOOKUP(W32,$S$30:$V$34,2,FALSE)</f>
        <v>1</v>
      </c>
      <c r="Y32" s="373">
        <f>VLOOKUP(W32,$S$30:$V$34,3,FALSE)</f>
        <v>-3</v>
      </c>
      <c r="Z32" s="373">
        <f>VLOOKUP(W32,$S$30:$V$34,4,FALSE)</f>
        <v>3</v>
      </c>
      <c r="AA32" s="370" t="str">
        <f>IF(AND(X31=X32,Y31=Y32,Z32&gt;Z31),W31,W32)</f>
        <v>Jordania</v>
      </c>
      <c r="AB32" s="373">
        <f>VLOOKUP(AA32,W30:Z34,2,FALSE)</f>
        <v>1</v>
      </c>
      <c r="AC32" s="373">
        <f>VLOOKUP(AA32,W30:Z34,3,FALSE)</f>
        <v>-3</v>
      </c>
      <c r="AD32" s="373">
        <f>VLOOKUP(AA32,W30:Z34,4,FALSE)</f>
        <v>3</v>
      </c>
      <c r="AE32" s="370" t="str">
        <f>AA32</f>
        <v>Jordania</v>
      </c>
      <c r="AF32" s="373">
        <f>VLOOKUP(AE32,AA30:AD34,2,FALSE)</f>
        <v>1</v>
      </c>
      <c r="AG32" s="373">
        <f>VLOOKUP(AE32,AA30:AD34,3,FALSE)</f>
        <v>-3</v>
      </c>
      <c r="AH32" s="373">
        <f>VLOOKUP(AE32,AA30:AD34,4,FALSE)</f>
        <v>3</v>
      </c>
      <c r="AI32" s="370" t="str">
        <f>IF(AND(AF32=AF33,AG32=AG33,AH33&gt;AH32),AE33,AE32)</f>
        <v>Jordania</v>
      </c>
      <c r="AJ32" s="373">
        <f>VLOOKUP(AI32,AE30:AH34,2,FALSE)</f>
        <v>1</v>
      </c>
      <c r="AK32" s="373">
        <f>VLOOKUP(AI32,AE30:AH34,3,FALSE)</f>
        <v>-3</v>
      </c>
      <c r="AL32" s="373">
        <f>VLOOKUP(AI32,AE30:AH34,4,FALSE)</f>
        <v>3</v>
      </c>
      <c r="AM32" s="370"/>
      <c r="AN32" s="373">
        <f t="shared" si="36"/>
        <v>703</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703</v>
      </c>
      <c r="AW32" s="373">
        <f t="shared" si="38"/>
        <v>3</v>
      </c>
      <c r="AX32" s="370" t="str">
        <f t="shared" si="39"/>
        <v>Jordania</v>
      </c>
      <c r="AY32" s="336"/>
      <c r="AZ32" s="336"/>
      <c r="BA32" s="336"/>
      <c r="BB32" s="336"/>
      <c r="BC32" s="336"/>
    </row>
    <row r="33" spans="1:55" x14ac:dyDescent="0.2">
      <c r="A33" s="370"/>
      <c r="B33" s="370"/>
      <c r="C33" s="370"/>
      <c r="D33" s="370"/>
      <c r="E33" s="370"/>
      <c r="F33" s="370" t="str">
        <f>AI26</f>
        <v>Argelia</v>
      </c>
      <c r="G33" s="370"/>
      <c r="H33" s="370"/>
      <c r="I33" s="370"/>
      <c r="J33" s="373">
        <f>VLOOKUP(F33,$F$16:$M$20,8,FALSE)</f>
        <v>1</v>
      </c>
      <c r="K33" s="373">
        <f>VLOOKUP(F33,$F$16:$M$20,6,FALSE)</f>
        <v>1</v>
      </c>
      <c r="L33" s="373">
        <f>VLOOKUP(F33,$F$16:$M$20,7,FALSE)</f>
        <v>5</v>
      </c>
      <c r="M33" s="373">
        <f>K33-L33</f>
        <v>-4</v>
      </c>
      <c r="N33" s="370"/>
      <c r="O33" s="370" t="str">
        <f>F33</f>
        <v>Argelia</v>
      </c>
      <c r="P33" s="373">
        <f>VLOOKUP(O33,$F$30:$M$34,5,FALSE)</f>
        <v>1</v>
      </c>
      <c r="Q33" s="373">
        <f>VLOOKUP(O33,$F$30:$M$34,8,FALSE)</f>
        <v>-4</v>
      </c>
      <c r="R33" s="373">
        <f>VLOOKUP(O33,$F$30:$M$34,6,FALSE)</f>
        <v>1</v>
      </c>
      <c r="S33" s="370" t="str">
        <f>O33</f>
        <v>Argelia</v>
      </c>
      <c r="T33" s="373">
        <f>VLOOKUP(S33,$O$30:$R$34,2,FALSE)</f>
        <v>1</v>
      </c>
      <c r="U33" s="373">
        <f>VLOOKUP(S33,$O$30:$R$34,3,FALSE)</f>
        <v>-4</v>
      </c>
      <c r="V33" s="373">
        <f>VLOOKUP(S33,$O$30:$R$34,4,FALSE)</f>
        <v>1</v>
      </c>
      <c r="W33" s="370" t="str">
        <f>IF(AND(T30=T33,U30=U33,V33&gt;V30),S30,S33)</f>
        <v>Argelia</v>
      </c>
      <c r="X33" s="373">
        <f>VLOOKUP(W33,$S$30:$V$34,2,FALSE)</f>
        <v>1</v>
      </c>
      <c r="Y33" s="373">
        <f>VLOOKUP(W33,$S$30:$V$34,3,FALSE)</f>
        <v>-4</v>
      </c>
      <c r="Z33" s="373">
        <f>VLOOKUP(W33,$S$30:$V$34,4,FALSE)</f>
        <v>1</v>
      </c>
      <c r="AA33" s="370" t="str">
        <f>W33</f>
        <v>Argelia</v>
      </c>
      <c r="AB33" s="373">
        <f>VLOOKUP(AA33,W30:Z34,2,FALSE)</f>
        <v>1</v>
      </c>
      <c r="AC33" s="373">
        <f>VLOOKUP(AA33,W30:Z34,3,FALSE)</f>
        <v>-4</v>
      </c>
      <c r="AD33" s="373">
        <f>VLOOKUP(AA33,W30:Z34,4,FALSE)</f>
        <v>1</v>
      </c>
      <c r="AE33" s="370" t="str">
        <f>IF(AND(AB31=AB33,AC31=AC33,AD33&gt;AD31),AA31,AA33)</f>
        <v>Argelia</v>
      </c>
      <c r="AF33" s="373">
        <f>VLOOKUP(AE33,AA30:AD34,2,FALSE)</f>
        <v>1</v>
      </c>
      <c r="AG33" s="373">
        <f>VLOOKUP(AE33,AA30:AD34,3,FALSE)</f>
        <v>-4</v>
      </c>
      <c r="AH33" s="373">
        <f>VLOOKUP(AE33,AA30:AD34,4,FALSE)</f>
        <v>1</v>
      </c>
      <c r="AI33" s="370" t="str">
        <f>IF(AND(AF32=AF33,AG32=AG33,AH33&gt;AH32),AE32,AE33)</f>
        <v>Argelia</v>
      </c>
      <c r="AJ33" s="373">
        <f>VLOOKUP(AI33,AE30:AH34,2,FALSE)</f>
        <v>1</v>
      </c>
      <c r="AK33" s="373">
        <f>VLOOKUP(AI33,AE30:AH34,3,FALSE)</f>
        <v>-4</v>
      </c>
      <c r="AL33" s="373">
        <f>VLOOKUP(AI33,AE30:AH34,4,FALSE)</f>
        <v>1</v>
      </c>
      <c r="AM33" s="370"/>
      <c r="AN33" s="373">
        <f t="shared" si="36"/>
        <v>601</v>
      </c>
      <c r="AO33" s="375"/>
      <c r="AP33" s="370"/>
      <c r="AQ33" s="375"/>
      <c r="AR33" s="370"/>
      <c r="AS33" s="375"/>
      <c r="AT33" s="370"/>
      <c r="AU33" s="370"/>
      <c r="AV33" s="370">
        <f t="shared" si="37"/>
        <v>601</v>
      </c>
      <c r="AW33" s="373">
        <f t="shared" si="38"/>
        <v>4</v>
      </c>
      <c r="AX33" s="370" t="str">
        <f t="shared" si="39"/>
        <v>Argelia</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Argentina</v>
      </c>
      <c r="G37" s="373">
        <f>VLOOKUP(F37,$F$16:$M$20,2,FALSE)</f>
        <v>3</v>
      </c>
      <c r="H37" s="373">
        <f>VLOOKUP(F37,$F$16:$M$20,3,FALSE)</f>
        <v>3</v>
      </c>
      <c r="I37" s="373">
        <f>VLOOKUP(F37,$F$16:$M$20,4,FALSE)</f>
        <v>0</v>
      </c>
      <c r="J37" s="373">
        <f>VLOOKUP(F37,$F$16:$M$20,5,FALSE)</f>
        <v>0</v>
      </c>
      <c r="K37" s="373">
        <f>VLOOKUP(F37,$F$16:$M$20,6,FALSE)</f>
        <v>6</v>
      </c>
      <c r="L37" s="373">
        <f>VLOOKUP(F37,$F$16:$M$20,7,FALSE)</f>
        <v>1</v>
      </c>
      <c r="M37" s="373">
        <f>VLOOKUP(F37,$F$16:$M$20,8,FALSE)</f>
        <v>9</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Austria</v>
      </c>
      <c r="G38" s="373">
        <f>VLOOKUP(F38,$F$16:$M$20,2,FALSE)</f>
        <v>3</v>
      </c>
      <c r="H38" s="373">
        <f>VLOOKUP(F38,$F$16:$M$20,3,FALSE)</f>
        <v>2</v>
      </c>
      <c r="I38" s="373">
        <f>VLOOKUP(F38,$F$16:$M$20,4,FALSE)</f>
        <v>0</v>
      </c>
      <c r="J38" s="373">
        <f>VLOOKUP(F38,$F$16:$M$20,5,FALSE)</f>
        <v>1</v>
      </c>
      <c r="K38" s="373">
        <f>VLOOKUP(F38,$F$16:$M$20,6,FALSE)</f>
        <v>4</v>
      </c>
      <c r="L38" s="373">
        <f>VLOOKUP(F38,$F$16:$M$20,7,FALSE)</f>
        <v>2</v>
      </c>
      <c r="M38" s="373">
        <f>VLOOKUP(F38,$F$16:$M$20,8,FALSE)</f>
        <v>6</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Jordania</v>
      </c>
      <c r="G39" s="373">
        <f>VLOOKUP(F39,$F$16:$M$20,2,FALSE)</f>
        <v>3</v>
      </c>
      <c r="H39" s="373">
        <f>VLOOKUP(F39,$F$16:$M$20,3,FALSE)</f>
        <v>0</v>
      </c>
      <c r="I39" s="373">
        <f>VLOOKUP(F39,$F$16:$M$20,4,FALSE)</f>
        <v>1</v>
      </c>
      <c r="J39" s="373">
        <f>VLOOKUP(F39,$F$16:$M$20,5,FALSE)</f>
        <v>2</v>
      </c>
      <c r="K39" s="373">
        <f>VLOOKUP(F39,$F$16:$M$20,6,FALSE)</f>
        <v>3</v>
      </c>
      <c r="L39" s="373">
        <f>VLOOKUP(F39,$F$16:$M$20,7,FALSE)</f>
        <v>6</v>
      </c>
      <c r="M39" s="373">
        <f>VLOOKUP(F39,$F$16:$M$20,8,FALSE)</f>
        <v>1</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Argelia</v>
      </c>
      <c r="G40" s="373">
        <f>VLOOKUP(F40,$F$16:$M$20,2,FALSE)</f>
        <v>3</v>
      </c>
      <c r="H40" s="373">
        <f>VLOOKUP(F40,$F$16:$M$20,3,FALSE)</f>
        <v>0</v>
      </c>
      <c r="I40" s="373">
        <f>VLOOKUP(F40,$F$16:$M$20,4,FALSE)</f>
        <v>1</v>
      </c>
      <c r="J40" s="373">
        <f>VLOOKUP(F40,$F$16:$M$20,5,FALSE)</f>
        <v>2</v>
      </c>
      <c r="K40" s="373">
        <f>VLOOKUP(F40,$F$16:$M$20,6,FALSE)</f>
        <v>1</v>
      </c>
      <c r="L40" s="373">
        <f>VLOOKUP(F40,$F$16:$M$20,7,FALSE)</f>
        <v>5</v>
      </c>
      <c r="M40" s="373">
        <f>VLOOKUP(F40,$F$16:$M$20,8,FALSE)</f>
        <v>1</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MfdM45JUBVYYkWvtfP3Pk59yoDUCLS1Wliw8rukRRi9z4JOaJUTI1XFh2OcA0Q+0I+63xv1aVwmITqETRRE9hw==" saltValue="C+0UEocVfJ4ZZXXlK/iBXw==" spinCount="100000" sheet="1" objects="1" scenarios="1" selectLockedCells="1"/>
  <mergeCells count="1">
    <mergeCell ref="A2:E2"/>
  </mergeCells>
  <pageMargins left="0.75" right="0.75" top="1" bottom="1" header="0.5" footer="0.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803D-8348-40E6-BD53-A55B63592D85}">
  <sheetPr codeName="Hoja33"/>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K -'!R7&lt;&gt;"",'- K -'!R7,"")</f>
        <v>Portugal</v>
      </c>
      <c r="H2" s="370"/>
      <c r="I2" s="370"/>
      <c r="J2" s="370"/>
      <c r="K2" s="370"/>
      <c r="L2" s="370"/>
      <c r="M2" s="370"/>
      <c r="N2" s="370" t="str">
        <f>IF('- K -'!R9&lt;&gt;"",'- K -'!R9,"")</f>
        <v>RD Congo</v>
      </c>
      <c r="O2" s="370"/>
      <c r="P2" s="370"/>
      <c r="Q2" s="370"/>
      <c r="R2" s="370"/>
      <c r="S2" s="370"/>
      <c r="T2" s="370"/>
      <c r="U2" s="370" t="str">
        <f>IF('- K -'!R11&lt;&gt;"",'- K -'!R11,"")</f>
        <v>Uzbekistán</v>
      </c>
      <c r="V2" s="370"/>
      <c r="W2" s="370"/>
      <c r="X2" s="370"/>
      <c r="Y2" s="370"/>
      <c r="Z2" s="370"/>
      <c r="AA2" s="370"/>
      <c r="AB2" s="370" t="str">
        <f>IF('- K -'!R13&lt;&gt;"",'- K -'!R13,"")</f>
        <v>Colombia</v>
      </c>
      <c r="AC2" s="370"/>
      <c r="AD2" s="370"/>
      <c r="AE2" s="370"/>
      <c r="AF2" s="370"/>
      <c r="AG2" s="370"/>
      <c r="AH2" s="370"/>
      <c r="AI2" s="370"/>
      <c r="AJ2" s="370"/>
      <c r="AK2" s="370"/>
      <c r="AL2" s="370"/>
      <c r="AM2" s="370"/>
      <c r="AN2" s="374" t="str">
        <f t="shared" ref="AN2:AN7" si="0">A4&amp;E4</f>
        <v>PortugalRD Congo</v>
      </c>
      <c r="AO2" s="371" t="str">
        <f t="shared" ref="AO2:AO7" si="1">IF(B4=D4,0,IF(B4&gt;D4,A4,E4))</f>
        <v>Portugal</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UzbekistánColombia</v>
      </c>
      <c r="AO3" s="371" t="str">
        <f t="shared" si="1"/>
        <v>Colombia</v>
      </c>
      <c r="AP3" s="370"/>
      <c r="AQ3" s="370"/>
      <c r="AR3" s="370"/>
      <c r="AS3" s="370"/>
      <c r="AT3" s="370"/>
      <c r="AU3" s="370"/>
      <c r="AV3" s="370"/>
      <c r="AW3" s="370"/>
      <c r="AX3" s="370"/>
      <c r="AY3" s="336"/>
      <c r="AZ3" s="336"/>
      <c r="BA3" s="336"/>
      <c r="BB3" s="336"/>
      <c r="BC3" s="336"/>
    </row>
    <row r="4" spans="1:55" x14ac:dyDescent="0.2">
      <c r="A4" s="375" t="str">
        <f>'- K -'!C6</f>
        <v>Portugal</v>
      </c>
      <c r="B4" s="373">
        <f>IF('- K -'!D6&lt;&gt;"",'- K -'!D6,"")</f>
        <v>4</v>
      </c>
      <c r="C4" s="373" t="str">
        <f>'- K -'!E6</f>
        <v>-</v>
      </c>
      <c r="D4" s="373">
        <f>IF('- K -'!F6&lt;&gt;"",'- K -'!F6,"")</f>
        <v>0</v>
      </c>
      <c r="E4" s="376" t="str">
        <f>'- K -'!G6</f>
        <v>RD Congo</v>
      </c>
      <c r="F4" s="373">
        <f>COUNTBLANK('- K -'!D6:'- K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4</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4</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PortugalUzbekistán</v>
      </c>
      <c r="AO4" s="371" t="str">
        <f t="shared" si="1"/>
        <v>Portugal</v>
      </c>
      <c r="AP4" s="370"/>
      <c r="AQ4" s="370"/>
      <c r="AR4" s="370"/>
      <c r="AS4" s="370"/>
      <c r="AT4" s="370"/>
      <c r="AU4" s="370"/>
      <c r="AV4" s="370"/>
      <c r="AW4" s="370"/>
      <c r="AX4" s="370"/>
      <c r="AY4" s="336"/>
      <c r="AZ4" s="336"/>
      <c r="BA4" s="336"/>
      <c r="BB4" s="336"/>
      <c r="BC4" s="336"/>
    </row>
    <row r="5" spans="1:55" x14ac:dyDescent="0.2">
      <c r="A5" s="375" t="str">
        <f>'- K -'!C7</f>
        <v>Uzbekistán</v>
      </c>
      <c r="B5" s="373">
        <f>IF('- K -'!D7&lt;&gt;"",'- K -'!D7,"")</f>
        <v>0</v>
      </c>
      <c r="C5" s="373" t="str">
        <f>'- K -'!E7</f>
        <v>-</v>
      </c>
      <c r="D5" s="373">
        <f>IF('- K -'!F7&lt;&gt;"",'- K -'!F7,"")</f>
        <v>3</v>
      </c>
      <c r="E5" s="376" t="str">
        <f>'- K -'!G7</f>
        <v>Colombia</v>
      </c>
      <c r="F5" s="373">
        <f>COUNTBLANK('- K -'!D7:'- K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0</v>
      </c>
      <c r="W5" s="373">
        <f t="shared" si="16"/>
        <v>0</v>
      </c>
      <c r="X5" s="373">
        <f t="shared" si="17"/>
        <v>1</v>
      </c>
      <c r="Y5" s="373">
        <f t="shared" si="18"/>
        <v>0</v>
      </c>
      <c r="Z5" s="373">
        <f t="shared" si="19"/>
        <v>3</v>
      </c>
      <c r="AA5" s="373"/>
      <c r="AB5" s="373">
        <f t="shared" si="20"/>
        <v>1</v>
      </c>
      <c r="AC5" s="373">
        <f t="shared" si="21"/>
        <v>1</v>
      </c>
      <c r="AD5" s="373">
        <f t="shared" si="22"/>
        <v>0</v>
      </c>
      <c r="AE5" s="373">
        <f t="shared" si="23"/>
        <v>0</v>
      </c>
      <c r="AF5" s="373">
        <f t="shared" si="24"/>
        <v>3</v>
      </c>
      <c r="AG5" s="373">
        <f t="shared" si="25"/>
        <v>0</v>
      </c>
      <c r="AH5" s="373"/>
      <c r="AI5" s="370"/>
      <c r="AJ5" s="370"/>
      <c r="AK5" s="370"/>
      <c r="AL5" s="370"/>
      <c r="AM5" s="370"/>
      <c r="AN5" s="374" t="str">
        <f t="shared" si="0"/>
        <v>ColombiaRD Congo</v>
      </c>
      <c r="AO5" s="371" t="str">
        <f t="shared" si="1"/>
        <v>Colombia</v>
      </c>
      <c r="AP5" s="370"/>
      <c r="AQ5" s="370"/>
      <c r="AR5" s="370"/>
      <c r="AS5" s="370"/>
      <c r="AT5" s="370"/>
      <c r="AU5" s="370"/>
      <c r="AV5" s="370"/>
      <c r="AW5" s="370"/>
      <c r="AX5" s="370"/>
      <c r="AY5" s="336"/>
      <c r="AZ5" s="336"/>
      <c r="BA5" s="336"/>
      <c r="BB5" s="336"/>
      <c r="BC5" s="336"/>
    </row>
    <row r="6" spans="1:55" x14ac:dyDescent="0.2">
      <c r="A6" s="375" t="str">
        <f>'- K -'!C8</f>
        <v>Portugal</v>
      </c>
      <c r="B6" s="373">
        <f>IF('- K -'!D8&lt;&gt;"",'- K -'!D8,"")</f>
        <v>3</v>
      </c>
      <c r="C6" s="373" t="str">
        <f>'- K -'!E8</f>
        <v>-</v>
      </c>
      <c r="D6" s="373">
        <f>IF('- K -'!F8&lt;&gt;"",'- K -'!F8,"")</f>
        <v>0</v>
      </c>
      <c r="E6" s="376" t="str">
        <f>'- K -'!G8</f>
        <v>Uzbekistán</v>
      </c>
      <c r="F6" s="373">
        <f>COUNTBLANK('- K -'!D8:'- K -'!F8)</f>
        <v>0</v>
      </c>
      <c r="G6" s="373">
        <f t="shared" si="2"/>
        <v>1</v>
      </c>
      <c r="H6" s="373">
        <f t="shared" si="3"/>
        <v>1</v>
      </c>
      <c r="I6" s="373">
        <f t="shared" si="4"/>
        <v>0</v>
      </c>
      <c r="J6" s="373">
        <f t="shared" si="5"/>
        <v>0</v>
      </c>
      <c r="K6" s="373">
        <f t="shared" si="6"/>
        <v>3</v>
      </c>
      <c r="L6" s="373">
        <f t="shared" si="7"/>
        <v>0</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0</v>
      </c>
      <c r="Z6" s="373">
        <f t="shared" si="19"/>
        <v>3</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ColombiaPortugal</v>
      </c>
      <c r="AO6" s="371" t="str">
        <f t="shared" si="1"/>
        <v>Portugal</v>
      </c>
      <c r="AP6" s="370"/>
      <c r="AQ6" s="370"/>
      <c r="AR6" s="370"/>
      <c r="AS6" s="370"/>
      <c r="AT6" s="370"/>
      <c r="AU6" s="370"/>
      <c r="AV6" s="370"/>
      <c r="AW6" s="370"/>
      <c r="AX6" s="370"/>
      <c r="AY6" s="336"/>
      <c r="AZ6" s="336"/>
      <c r="BA6" s="336"/>
      <c r="BB6" s="336"/>
      <c r="BC6" s="336"/>
    </row>
    <row r="7" spans="1:55" x14ac:dyDescent="0.2">
      <c r="A7" s="375" t="str">
        <f>'- K -'!C9</f>
        <v>Colombia</v>
      </c>
      <c r="B7" s="373">
        <f>IF('- K -'!D9&lt;&gt;"",'- K -'!D9,"")</f>
        <v>2</v>
      </c>
      <c r="C7" s="373" t="str">
        <f>'- K -'!E9</f>
        <v>-</v>
      </c>
      <c r="D7" s="373">
        <f>IF('- K -'!F9&lt;&gt;"",'- K -'!F9,"")</f>
        <v>0</v>
      </c>
      <c r="E7" s="376" t="str">
        <f>'- K -'!G9</f>
        <v>RD Congo</v>
      </c>
      <c r="F7" s="373">
        <f>COUNTBLANK('- K -'!D9:'- K -'!F9)</f>
        <v>0</v>
      </c>
      <c r="G7" s="373">
        <f t="shared" si="2"/>
        <v>0</v>
      </c>
      <c r="H7" s="373">
        <f t="shared" si="3"/>
        <v>0</v>
      </c>
      <c r="I7" s="373">
        <f t="shared" si="4"/>
        <v>0</v>
      </c>
      <c r="J7" s="373">
        <f t="shared" si="5"/>
        <v>0</v>
      </c>
      <c r="K7" s="373">
        <f t="shared" si="6"/>
        <v>0</v>
      </c>
      <c r="L7" s="373">
        <f t="shared" si="7"/>
        <v>0</v>
      </c>
      <c r="M7" s="373"/>
      <c r="N7" s="373">
        <f t="shared" si="8"/>
        <v>1</v>
      </c>
      <c r="O7" s="373">
        <f t="shared" si="9"/>
        <v>0</v>
      </c>
      <c r="P7" s="373">
        <f t="shared" si="10"/>
        <v>0</v>
      </c>
      <c r="Q7" s="373">
        <f t="shared" si="11"/>
        <v>1</v>
      </c>
      <c r="R7" s="373">
        <f t="shared" si="12"/>
        <v>0</v>
      </c>
      <c r="S7" s="373">
        <f t="shared" si="13"/>
        <v>2</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1</v>
      </c>
      <c r="AD7" s="373">
        <f t="shared" si="22"/>
        <v>0</v>
      </c>
      <c r="AE7" s="373">
        <f t="shared" si="23"/>
        <v>0</v>
      </c>
      <c r="AF7" s="373">
        <f t="shared" si="24"/>
        <v>2</v>
      </c>
      <c r="AG7" s="373">
        <f t="shared" si="25"/>
        <v>0</v>
      </c>
      <c r="AH7" s="373"/>
      <c r="AI7" s="370"/>
      <c r="AJ7" s="370"/>
      <c r="AK7" s="370"/>
      <c r="AL7" s="370"/>
      <c r="AM7" s="370"/>
      <c r="AN7" s="374" t="str">
        <f t="shared" si="0"/>
        <v>RD CongoUzbekistán</v>
      </c>
      <c r="AO7" s="371" t="str">
        <f t="shared" si="1"/>
        <v>RD Congo</v>
      </c>
      <c r="AP7" s="370"/>
      <c r="AQ7" s="370"/>
      <c r="AR7" s="370"/>
      <c r="AS7" s="370"/>
      <c r="AT7" s="370"/>
      <c r="AU7" s="370"/>
      <c r="AV7" s="370"/>
      <c r="AW7" s="370"/>
      <c r="AX7" s="370"/>
      <c r="AY7" s="336"/>
      <c r="AZ7" s="336"/>
      <c r="BA7" s="336"/>
      <c r="BB7" s="336"/>
      <c r="BC7" s="336"/>
    </row>
    <row r="8" spans="1:55" x14ac:dyDescent="0.2">
      <c r="A8" s="375" t="str">
        <f>'- K -'!C10</f>
        <v>Colombia</v>
      </c>
      <c r="B8" s="373">
        <f>IF('- K -'!D10&lt;&gt;"",'- K -'!D10,"")</f>
        <v>1</v>
      </c>
      <c r="C8" s="373" t="str">
        <f>'- K -'!E10</f>
        <v>-</v>
      </c>
      <c r="D8" s="373">
        <f>IF('- K -'!F10&lt;&gt;"",'- K -'!F10,"")</f>
        <v>2</v>
      </c>
      <c r="E8" s="376" t="str">
        <f>'- K -'!G10</f>
        <v>Portugal</v>
      </c>
      <c r="F8" s="373">
        <f>COUNTBLANK('- K -'!D10:'- K -'!F10)</f>
        <v>0</v>
      </c>
      <c r="G8" s="373">
        <f t="shared" si="2"/>
        <v>1</v>
      </c>
      <c r="H8" s="373">
        <f t="shared" si="3"/>
        <v>1</v>
      </c>
      <c r="I8" s="373">
        <f t="shared" si="4"/>
        <v>0</v>
      </c>
      <c r="J8" s="373">
        <f t="shared" si="5"/>
        <v>0</v>
      </c>
      <c r="K8" s="373">
        <f t="shared" si="6"/>
        <v>2</v>
      </c>
      <c r="L8" s="373">
        <f t="shared" si="7"/>
        <v>1</v>
      </c>
      <c r="M8" s="373"/>
      <c r="N8" s="373">
        <f t="shared" si="8"/>
        <v>0</v>
      </c>
      <c r="O8" s="373">
        <f t="shared" si="9"/>
        <v>0</v>
      </c>
      <c r="P8" s="373">
        <f t="shared" si="10"/>
        <v>0</v>
      </c>
      <c r="Q8" s="373">
        <f t="shared" si="11"/>
        <v>0</v>
      </c>
      <c r="R8" s="373">
        <f t="shared" si="12"/>
        <v>0</v>
      </c>
      <c r="S8" s="373">
        <f t="shared" si="13"/>
        <v>0</v>
      </c>
      <c r="T8" s="373"/>
      <c r="U8" s="373">
        <f t="shared" si="14"/>
        <v>0</v>
      </c>
      <c r="V8" s="373">
        <f t="shared" si="15"/>
        <v>0</v>
      </c>
      <c r="W8" s="373">
        <f t="shared" si="16"/>
        <v>0</v>
      </c>
      <c r="X8" s="373">
        <f t="shared" si="17"/>
        <v>0</v>
      </c>
      <c r="Y8" s="373">
        <f t="shared" si="18"/>
        <v>0</v>
      </c>
      <c r="Z8" s="373">
        <f t="shared" si="19"/>
        <v>0</v>
      </c>
      <c r="AA8" s="373"/>
      <c r="AB8" s="373">
        <f t="shared" si="20"/>
        <v>1</v>
      </c>
      <c r="AC8" s="373">
        <f t="shared" si="21"/>
        <v>0</v>
      </c>
      <c r="AD8" s="373">
        <f t="shared" si="22"/>
        <v>0</v>
      </c>
      <c r="AE8" s="373">
        <f t="shared" si="23"/>
        <v>1</v>
      </c>
      <c r="AF8" s="373">
        <f t="shared" si="24"/>
        <v>1</v>
      </c>
      <c r="AG8" s="373">
        <f t="shared" si="25"/>
        <v>2</v>
      </c>
      <c r="AH8" s="373"/>
      <c r="AI8" s="370"/>
      <c r="AJ8" s="370"/>
      <c r="AK8" s="370"/>
      <c r="AL8" s="370"/>
      <c r="AM8" s="370"/>
      <c r="AN8" s="374" t="str">
        <f>E4&amp;A4</f>
        <v>RD CongoPortugal</v>
      </c>
      <c r="AO8" s="371" t="str">
        <f>IF(B4=D4,0,IF(B4&gt;D4,A4,E4))</f>
        <v>Portugal</v>
      </c>
      <c r="AP8" s="370"/>
      <c r="AQ8" s="370"/>
      <c r="AR8" s="370"/>
      <c r="AS8" s="370"/>
      <c r="AT8" s="370"/>
      <c r="AU8" s="370"/>
      <c r="AV8" s="370"/>
      <c r="AW8" s="370"/>
      <c r="AX8" s="370"/>
      <c r="AY8" s="336"/>
      <c r="AZ8" s="336"/>
      <c r="BA8" s="336"/>
      <c r="BB8" s="336"/>
      <c r="BC8" s="336"/>
    </row>
    <row r="9" spans="1:55" x14ac:dyDescent="0.2">
      <c r="A9" s="375" t="str">
        <f>'- K -'!C11</f>
        <v>RD Congo</v>
      </c>
      <c r="B9" s="373">
        <f>IF('- K -'!D11&lt;&gt;"",'- K -'!D11,"")</f>
        <v>1</v>
      </c>
      <c r="C9" s="373" t="str">
        <f>'- K -'!E11</f>
        <v>-</v>
      </c>
      <c r="D9" s="373">
        <f>IF('- K -'!F11&lt;&gt;"",'- K -'!F11,"")</f>
        <v>0</v>
      </c>
      <c r="E9" s="376" t="str">
        <f>'- K -'!G11</f>
        <v>Uzbekistán</v>
      </c>
      <c r="F9" s="373">
        <f>COUNTBLANK('- K -'!D11:'- K -'!F11)</f>
        <v>0</v>
      </c>
      <c r="G9" s="373">
        <f t="shared" si="2"/>
        <v>0</v>
      </c>
      <c r="H9" s="373">
        <f t="shared" si="3"/>
        <v>0</v>
      </c>
      <c r="I9" s="373">
        <f t="shared" si="4"/>
        <v>0</v>
      </c>
      <c r="J9" s="373">
        <f t="shared" si="5"/>
        <v>0</v>
      </c>
      <c r="K9" s="373">
        <f t="shared" si="6"/>
        <v>0</v>
      </c>
      <c r="L9" s="373">
        <f t="shared" si="7"/>
        <v>0</v>
      </c>
      <c r="M9" s="373"/>
      <c r="N9" s="373">
        <f t="shared" si="8"/>
        <v>1</v>
      </c>
      <c r="O9" s="373">
        <f t="shared" si="9"/>
        <v>1</v>
      </c>
      <c r="P9" s="373">
        <f t="shared" si="10"/>
        <v>0</v>
      </c>
      <c r="Q9" s="373">
        <f t="shared" si="11"/>
        <v>0</v>
      </c>
      <c r="R9" s="373">
        <f t="shared" si="12"/>
        <v>1</v>
      </c>
      <c r="S9" s="373">
        <f t="shared" si="13"/>
        <v>0</v>
      </c>
      <c r="T9" s="373"/>
      <c r="U9" s="373">
        <f t="shared" si="14"/>
        <v>1</v>
      </c>
      <c r="V9" s="373">
        <f t="shared" si="15"/>
        <v>0</v>
      </c>
      <c r="W9" s="373">
        <f t="shared" si="16"/>
        <v>0</v>
      </c>
      <c r="X9" s="373">
        <f t="shared" si="17"/>
        <v>1</v>
      </c>
      <c r="Y9" s="373">
        <f t="shared" si="18"/>
        <v>0</v>
      </c>
      <c r="Z9" s="373">
        <f t="shared" si="19"/>
        <v>1</v>
      </c>
      <c r="AA9" s="373"/>
      <c r="AB9" s="373">
        <f t="shared" si="20"/>
        <v>0</v>
      </c>
      <c r="AC9" s="373">
        <f t="shared" si="21"/>
        <v>0</v>
      </c>
      <c r="AD9" s="373">
        <f t="shared" si="22"/>
        <v>0</v>
      </c>
      <c r="AE9" s="373">
        <f t="shared" si="23"/>
        <v>0</v>
      </c>
      <c r="AF9" s="373">
        <f t="shared" si="24"/>
        <v>0</v>
      </c>
      <c r="AG9" s="373">
        <f t="shared" si="25"/>
        <v>0</v>
      </c>
      <c r="AH9" s="373"/>
      <c r="AI9" s="370"/>
      <c r="AJ9" s="370"/>
      <c r="AK9" s="370"/>
      <c r="AL9" s="370"/>
      <c r="AM9" s="370"/>
      <c r="AN9" s="374" t="str">
        <f t="shared" ref="AN9:AN13" si="26">E5&amp;A5</f>
        <v>ColombiaUzbekistán</v>
      </c>
      <c r="AO9" s="371" t="str">
        <f t="shared" ref="AO9:AO13" si="27">IF(B5=D5,0,IF(B5&gt;D5,A5,E5))</f>
        <v>Colombia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3</v>
      </c>
      <c r="I10" s="373">
        <f t="shared" si="28"/>
        <v>0</v>
      </c>
      <c r="J10" s="373">
        <f t="shared" si="28"/>
        <v>0</v>
      </c>
      <c r="K10" s="373">
        <f t="shared" si="28"/>
        <v>9</v>
      </c>
      <c r="L10" s="373">
        <f t="shared" si="28"/>
        <v>1</v>
      </c>
      <c r="M10" s="373">
        <f>H10*3+I10</f>
        <v>9</v>
      </c>
      <c r="N10" s="373">
        <f t="shared" ref="N10:S10" si="29">SUM(N4:N9)</f>
        <v>3</v>
      </c>
      <c r="O10" s="373">
        <f t="shared" si="29"/>
        <v>1</v>
      </c>
      <c r="P10" s="373">
        <f t="shared" si="29"/>
        <v>0</v>
      </c>
      <c r="Q10" s="373">
        <f t="shared" si="29"/>
        <v>2</v>
      </c>
      <c r="R10" s="373">
        <f t="shared" si="29"/>
        <v>1</v>
      </c>
      <c r="S10" s="373">
        <f t="shared" si="29"/>
        <v>6</v>
      </c>
      <c r="T10" s="373">
        <f>O10*3+P10</f>
        <v>3</v>
      </c>
      <c r="U10" s="373">
        <f t="shared" ref="U10:Z10" si="30">SUM(U4:U9)</f>
        <v>3</v>
      </c>
      <c r="V10" s="373">
        <f t="shared" si="30"/>
        <v>0</v>
      </c>
      <c r="W10" s="373">
        <f t="shared" si="30"/>
        <v>0</v>
      </c>
      <c r="X10" s="373">
        <f t="shared" si="30"/>
        <v>3</v>
      </c>
      <c r="Y10" s="373">
        <f t="shared" si="30"/>
        <v>0</v>
      </c>
      <c r="Z10" s="373">
        <f t="shared" si="30"/>
        <v>7</v>
      </c>
      <c r="AA10" s="373">
        <f>V10*3+W10</f>
        <v>0</v>
      </c>
      <c r="AB10" s="373">
        <f t="shared" ref="AB10:AG10" si="31">SUM(AB4:AB9)</f>
        <v>3</v>
      </c>
      <c r="AC10" s="373">
        <f t="shared" si="31"/>
        <v>2</v>
      </c>
      <c r="AD10" s="373">
        <f t="shared" si="31"/>
        <v>0</v>
      </c>
      <c r="AE10" s="373">
        <f t="shared" si="31"/>
        <v>1</v>
      </c>
      <c r="AF10" s="373">
        <f t="shared" si="31"/>
        <v>6</v>
      </c>
      <c r="AG10" s="373">
        <f t="shared" si="31"/>
        <v>2</v>
      </c>
      <c r="AH10" s="373">
        <f>AC10*3+AD10</f>
        <v>6</v>
      </c>
      <c r="AI10" s="370"/>
      <c r="AJ10" s="370"/>
      <c r="AK10" s="370"/>
      <c r="AL10" s="370"/>
      <c r="AM10" s="370"/>
      <c r="AN10" s="374" t="str">
        <f t="shared" si="26"/>
        <v>UzbekistánPortugal</v>
      </c>
      <c r="AO10" s="371" t="str">
        <f t="shared" si="27"/>
        <v>Portugal</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RD CongoColombia</v>
      </c>
      <c r="AO11" s="371" t="str">
        <f t="shared" si="27"/>
        <v>Colombia</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PortugalColombia</v>
      </c>
      <c r="AO12" s="371" t="str">
        <f t="shared" si="27"/>
        <v>Portugal</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UzbekistánRD Congo</v>
      </c>
      <c r="AO13" s="371" t="str">
        <f t="shared" si="27"/>
        <v>RD Congo</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Portugal</v>
      </c>
      <c r="G16" s="373">
        <f>G10</f>
        <v>3</v>
      </c>
      <c r="H16" s="373">
        <f t="shared" ref="H16:M16" si="32">H10</f>
        <v>3</v>
      </c>
      <c r="I16" s="373">
        <f t="shared" si="32"/>
        <v>0</v>
      </c>
      <c r="J16" s="373">
        <f t="shared" si="32"/>
        <v>0</v>
      </c>
      <c r="K16" s="373">
        <f t="shared" si="32"/>
        <v>9</v>
      </c>
      <c r="L16" s="373">
        <f t="shared" si="32"/>
        <v>1</v>
      </c>
      <c r="M16" s="373">
        <f t="shared" si="32"/>
        <v>9</v>
      </c>
      <c r="N16" s="370"/>
      <c r="O16" s="370" t="str">
        <f>IF($M16&gt;=$M17,$F16,$F17)</f>
        <v>Portugal</v>
      </c>
      <c r="P16" s="370">
        <f>VLOOKUP(O16,$F$16:$M$20,8,FALSE)</f>
        <v>9</v>
      </c>
      <c r="Q16" s="370"/>
      <c r="R16" s="370"/>
      <c r="S16" s="370" t="str">
        <f>IF($P16&gt;=$P18,$O16,$O18)</f>
        <v>Portugal</v>
      </c>
      <c r="T16" s="370">
        <f>VLOOKUP(S16,$O$16:$P$20,2,FALSE)</f>
        <v>9</v>
      </c>
      <c r="U16" s="370"/>
      <c r="V16" s="370"/>
      <c r="W16" s="370" t="str">
        <f>IF($T16&gt;=$T19,$S16,$S19)</f>
        <v>Portugal</v>
      </c>
      <c r="X16" s="370">
        <f>VLOOKUP(W16,$S$16:$T$20,2,FALSE)</f>
        <v>9</v>
      </c>
      <c r="Y16" s="370"/>
      <c r="Z16" s="370"/>
      <c r="AA16" s="370" t="str">
        <f>W16</f>
        <v>Portugal</v>
      </c>
      <c r="AB16" s="370">
        <f>VLOOKUP(AA16,W16:X20,2,FALSE)</f>
        <v>9</v>
      </c>
      <c r="AC16" s="370"/>
      <c r="AD16" s="370"/>
      <c r="AE16" s="370" t="str">
        <f>AA16</f>
        <v>Portugal</v>
      </c>
      <c r="AF16" s="370">
        <f>VLOOKUP(AE16,AA16:AB20,2,FALSE)</f>
        <v>9</v>
      </c>
      <c r="AG16" s="370"/>
      <c r="AH16" s="370"/>
      <c r="AI16" s="370" t="str">
        <f>AE16</f>
        <v>Portugal</v>
      </c>
      <c r="AJ16" s="370">
        <f>VLOOKUP(AI16,AE16:AF20,2,FALSE)</f>
        <v>9</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RD Congo</v>
      </c>
      <c r="G17" s="373">
        <f t="shared" ref="G17:M17" si="33">N10</f>
        <v>3</v>
      </c>
      <c r="H17" s="373">
        <f t="shared" si="33"/>
        <v>1</v>
      </c>
      <c r="I17" s="373">
        <f t="shared" si="33"/>
        <v>0</v>
      </c>
      <c r="J17" s="373">
        <f t="shared" si="33"/>
        <v>2</v>
      </c>
      <c r="K17" s="373">
        <f t="shared" si="33"/>
        <v>1</v>
      </c>
      <c r="L17" s="373">
        <f t="shared" si="33"/>
        <v>6</v>
      </c>
      <c r="M17" s="373">
        <f t="shared" si="33"/>
        <v>3</v>
      </c>
      <c r="N17" s="370"/>
      <c r="O17" s="370" t="str">
        <f>IF($M17&lt;=$M16,$F17,$F16)</f>
        <v>RD Congo</v>
      </c>
      <c r="P17" s="370">
        <f>VLOOKUP(O17,$F$16:$M$20,8,FALSE)</f>
        <v>3</v>
      </c>
      <c r="Q17" s="370"/>
      <c r="R17" s="370"/>
      <c r="S17" s="370" t="str">
        <f>O17</f>
        <v>RD Congo</v>
      </c>
      <c r="T17" s="370">
        <f>VLOOKUP(S17,$O$16:$P$20,2,FALSE)</f>
        <v>3</v>
      </c>
      <c r="U17" s="370"/>
      <c r="V17" s="370"/>
      <c r="W17" s="370" t="str">
        <f>S17</f>
        <v>RD Congo</v>
      </c>
      <c r="X17" s="370">
        <f>VLOOKUP(W17,$S$16:$T$20,2,FALSE)</f>
        <v>3</v>
      </c>
      <c r="Y17" s="370"/>
      <c r="Z17" s="370"/>
      <c r="AA17" s="370" t="str">
        <f>IF(X17&gt;=X18,W17,W18)</f>
        <v>RD Congo</v>
      </c>
      <c r="AB17" s="370">
        <f>VLOOKUP(AA17,W16:X20,2,FALSE)</f>
        <v>3</v>
      </c>
      <c r="AC17" s="370"/>
      <c r="AD17" s="370"/>
      <c r="AE17" s="370" t="str">
        <f>IF(AB17&gt;=AB19,AA17,AA19)</f>
        <v>Colombia</v>
      </c>
      <c r="AF17" s="370">
        <f>VLOOKUP(AE17,AA16:AB20,2,FALSE)</f>
        <v>6</v>
      </c>
      <c r="AG17" s="370"/>
      <c r="AH17" s="370"/>
      <c r="AI17" s="370" t="str">
        <f>AE17</f>
        <v>Colombia</v>
      </c>
      <c r="AJ17" s="370">
        <f>VLOOKUP(AI17,AE16:AF20,2,FALSE)</f>
        <v>6</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Uzbekistán</v>
      </c>
      <c r="G18" s="373">
        <f t="shared" ref="G18:M18" si="34">U10</f>
        <v>3</v>
      </c>
      <c r="H18" s="373">
        <f t="shared" si="34"/>
        <v>0</v>
      </c>
      <c r="I18" s="373">
        <f t="shared" si="34"/>
        <v>0</v>
      </c>
      <c r="J18" s="373">
        <f t="shared" si="34"/>
        <v>3</v>
      </c>
      <c r="K18" s="373">
        <f t="shared" si="34"/>
        <v>0</v>
      </c>
      <c r="L18" s="373">
        <f t="shared" si="34"/>
        <v>7</v>
      </c>
      <c r="M18" s="373">
        <f t="shared" si="34"/>
        <v>0</v>
      </c>
      <c r="N18" s="370"/>
      <c r="O18" s="370" t="str">
        <f>F18</f>
        <v>Uzbekistán</v>
      </c>
      <c r="P18" s="370">
        <f>VLOOKUP(O18,$F$16:$M$20,8,FALSE)</f>
        <v>0</v>
      </c>
      <c r="Q18" s="370"/>
      <c r="R18" s="370"/>
      <c r="S18" s="370" t="str">
        <f>IF($P18&lt;=$P16,$O18,$O16)</f>
        <v>Uzbekistán</v>
      </c>
      <c r="T18" s="370">
        <f>VLOOKUP(S18,$O$16:$P$20,2,FALSE)</f>
        <v>0</v>
      </c>
      <c r="U18" s="370"/>
      <c r="V18" s="370"/>
      <c r="W18" s="370" t="str">
        <f>S18</f>
        <v>Uzbekistán</v>
      </c>
      <c r="X18" s="370">
        <f>VLOOKUP(W18,$S$16:$T$20,2,FALSE)</f>
        <v>0</v>
      </c>
      <c r="Y18" s="370"/>
      <c r="Z18" s="370"/>
      <c r="AA18" s="370" t="str">
        <f>IF(X18&lt;=X17,W18,W17)</f>
        <v>Uzbekistán</v>
      </c>
      <c r="AB18" s="370">
        <f>VLOOKUP(AA18,W16:X20,2,FALSE)</f>
        <v>0</v>
      </c>
      <c r="AC18" s="370"/>
      <c r="AD18" s="370"/>
      <c r="AE18" s="370" t="str">
        <f>AA18</f>
        <v>Uzbekistán</v>
      </c>
      <c r="AF18" s="370">
        <f>VLOOKUP(AE18,AA16:AB20,2,FALSE)</f>
        <v>0</v>
      </c>
      <c r="AG18" s="370"/>
      <c r="AH18" s="370"/>
      <c r="AI18" s="370" t="str">
        <f>IF(AF18&gt;=AF19,AE18,AE19)</f>
        <v>RD Congo</v>
      </c>
      <c r="AJ18" s="370">
        <f>VLOOKUP(AI18,AE16:AF20,2,FALSE)</f>
        <v>3</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Colombia</v>
      </c>
      <c r="G19" s="373">
        <f t="shared" ref="G19:M19" si="35">AB10</f>
        <v>3</v>
      </c>
      <c r="H19" s="373">
        <f t="shared" si="35"/>
        <v>2</v>
      </c>
      <c r="I19" s="373">
        <f t="shared" si="35"/>
        <v>0</v>
      </c>
      <c r="J19" s="373">
        <f t="shared" si="35"/>
        <v>1</v>
      </c>
      <c r="K19" s="373">
        <f t="shared" si="35"/>
        <v>6</v>
      </c>
      <c r="L19" s="373">
        <f t="shared" si="35"/>
        <v>2</v>
      </c>
      <c r="M19" s="373">
        <f t="shared" si="35"/>
        <v>6</v>
      </c>
      <c r="N19" s="370"/>
      <c r="O19" s="370" t="str">
        <f>F19</f>
        <v>Colombia</v>
      </c>
      <c r="P19" s="370">
        <f>VLOOKUP(O19,$F$16:$M$20,8,FALSE)</f>
        <v>6</v>
      </c>
      <c r="Q19" s="370"/>
      <c r="R19" s="370"/>
      <c r="S19" s="370" t="str">
        <f>O19</f>
        <v>Colombia</v>
      </c>
      <c r="T19" s="370">
        <f>VLOOKUP(S19,$O$16:$P$20,2,FALSE)</f>
        <v>6</v>
      </c>
      <c r="U19" s="370"/>
      <c r="V19" s="370"/>
      <c r="W19" s="370" t="str">
        <f>IF($T19&lt;=$T16,$S19,$S16)</f>
        <v>Colombia</v>
      </c>
      <c r="X19" s="370">
        <f>VLOOKUP(W19,$S$16:$T$20,2,FALSE)</f>
        <v>6</v>
      </c>
      <c r="Y19" s="370"/>
      <c r="Z19" s="370"/>
      <c r="AA19" s="370" t="str">
        <f>W19</f>
        <v>Colombia</v>
      </c>
      <c r="AB19" s="370">
        <f>VLOOKUP(AA19,W16:X20,2,FALSE)</f>
        <v>6</v>
      </c>
      <c r="AC19" s="370"/>
      <c r="AD19" s="370"/>
      <c r="AE19" s="370" t="str">
        <f>IF(AB19&lt;=AB17,AA19,AA17)</f>
        <v>RD Congo</v>
      </c>
      <c r="AF19" s="370">
        <f>VLOOKUP(AE19,AA16:AB20,2,FALSE)</f>
        <v>3</v>
      </c>
      <c r="AG19" s="370"/>
      <c r="AH19" s="370"/>
      <c r="AI19" s="370" t="str">
        <f>IF(AF19&lt;=AF18,AE19,AE18)</f>
        <v>Uzbekistán</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Portugal</v>
      </c>
      <c r="G23" s="370"/>
      <c r="H23" s="370"/>
      <c r="I23" s="370"/>
      <c r="J23" s="373">
        <f>AJ16</f>
        <v>9</v>
      </c>
      <c r="K23" s="373">
        <f>VLOOKUP(AI16,$F$16:$M$20,6,FALSE)</f>
        <v>9</v>
      </c>
      <c r="L23" s="373">
        <f>VLOOKUP(AI16,$F$16:$M$20,7,FALSE)</f>
        <v>1</v>
      </c>
      <c r="M23" s="373">
        <f>K23-L23</f>
        <v>8</v>
      </c>
      <c r="N23" s="370"/>
      <c r="O23" s="370" t="str">
        <f>IF(AND($J23=$J24,$M24&gt;$M23),$F24,$F23)</f>
        <v>Portugal</v>
      </c>
      <c r="P23" s="373">
        <f>VLOOKUP(O23,$F$23:$M$27,5,FALSE)</f>
        <v>9</v>
      </c>
      <c r="Q23" s="373">
        <f>VLOOKUP(O23,$F$23:$M$27,8,FALSE)</f>
        <v>8</v>
      </c>
      <c r="R23" s="370"/>
      <c r="S23" s="370" t="str">
        <f>IF(AND(P23=P25,Q25&gt;Q23),O25,O23)</f>
        <v>Portugal</v>
      </c>
      <c r="T23" s="373">
        <f>VLOOKUP(S23,$O$23:$Q$27,2,FALSE)</f>
        <v>9</v>
      </c>
      <c r="U23" s="373">
        <f>VLOOKUP(S23,$O$23:$Q$27,3,FALSE)</f>
        <v>8</v>
      </c>
      <c r="V23" s="370"/>
      <c r="W23" s="370" t="str">
        <f>IF(AND(T23=T26,U26&gt;U23),S26,S23)</f>
        <v>Portugal</v>
      </c>
      <c r="X23" s="373">
        <f>VLOOKUP(W23,$S$23:$U$27,2,FALSE)</f>
        <v>9</v>
      </c>
      <c r="Y23" s="373">
        <f>VLOOKUP(W23,$S$23:$U$27,3,FALSE)</f>
        <v>8</v>
      </c>
      <c r="Z23" s="370"/>
      <c r="AA23" s="370" t="str">
        <f>W23</f>
        <v>Portugal</v>
      </c>
      <c r="AB23" s="373">
        <f>VLOOKUP(AA23,W23:Y27,2,FALSE)</f>
        <v>9</v>
      </c>
      <c r="AC23" s="373">
        <f>VLOOKUP(AA23,W23:Y27,3,FALSE)</f>
        <v>8</v>
      </c>
      <c r="AD23" s="370"/>
      <c r="AE23" s="370" t="str">
        <f>AA23</f>
        <v>Portugal</v>
      </c>
      <c r="AF23" s="373">
        <f>VLOOKUP(AE23,AA23:AC27,2,FALSE)</f>
        <v>9</v>
      </c>
      <c r="AG23" s="373">
        <f>VLOOKUP(AE23,AA23:AC27,3,FALSE)</f>
        <v>8</v>
      </c>
      <c r="AH23" s="370"/>
      <c r="AI23" s="370" t="str">
        <f>AE23</f>
        <v>Portugal</v>
      </c>
      <c r="AJ23" s="373">
        <f>VLOOKUP(AI23,AE23:AG27,2,FALSE)</f>
        <v>9</v>
      </c>
      <c r="AK23" s="373">
        <f>VLOOKUP(AI23,AE23:AG27,3,FALSE)</f>
        <v>8</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Colombia</v>
      </c>
      <c r="G24" s="370"/>
      <c r="H24" s="370"/>
      <c r="I24" s="370"/>
      <c r="J24" s="373">
        <f>AJ17</f>
        <v>6</v>
      </c>
      <c r="K24" s="373">
        <f>VLOOKUP(AI17,$F$16:$M$20,6,FALSE)</f>
        <v>6</v>
      </c>
      <c r="L24" s="373">
        <f>VLOOKUP(AI17,$F$16:$M$20,7,FALSE)</f>
        <v>2</v>
      </c>
      <c r="M24" s="373">
        <f>K24-L24</f>
        <v>4</v>
      </c>
      <c r="N24" s="370"/>
      <c r="O24" s="370" t="str">
        <f>IF(AND($J23=$J24,$M24&gt;$M23),$F23,$F24)</f>
        <v>Colombia</v>
      </c>
      <c r="P24" s="373">
        <f>VLOOKUP(O24,$F$23:$M$27,5,FALSE)</f>
        <v>6</v>
      </c>
      <c r="Q24" s="373">
        <f>VLOOKUP(O24,$F$23:$M$27,8,FALSE)</f>
        <v>4</v>
      </c>
      <c r="R24" s="370"/>
      <c r="S24" s="370" t="str">
        <f>O24</f>
        <v>Colombia</v>
      </c>
      <c r="T24" s="373">
        <f>VLOOKUP(S24,$O$23:$Q$27,2,FALSE)</f>
        <v>6</v>
      </c>
      <c r="U24" s="373">
        <f>VLOOKUP(S24,$O$23:$Q$27,3,FALSE)</f>
        <v>4</v>
      </c>
      <c r="V24" s="370"/>
      <c r="W24" s="370" t="str">
        <f>S24</f>
        <v>Colombia</v>
      </c>
      <c r="X24" s="373">
        <f>VLOOKUP(W24,$S$23:$U$27,2,FALSE)</f>
        <v>6</v>
      </c>
      <c r="Y24" s="373">
        <f>VLOOKUP(W24,$S$23:$U$27,3,FALSE)</f>
        <v>4</v>
      </c>
      <c r="Z24" s="370"/>
      <c r="AA24" s="370" t="str">
        <f>IF(AND(X24=X25,Y25&gt;Y24),W25,W24)</f>
        <v>Colombia</v>
      </c>
      <c r="AB24" s="373">
        <f>VLOOKUP(AA24,W23:Y27,2,FALSE)</f>
        <v>6</v>
      </c>
      <c r="AC24" s="373">
        <f>VLOOKUP(AA24,W23:Y27,3,FALSE)</f>
        <v>4</v>
      </c>
      <c r="AD24" s="370"/>
      <c r="AE24" s="370" t="str">
        <f>IF(AND(AB24=AB26,AC26&gt;AC24),AA26,AA24)</f>
        <v>Colombia</v>
      </c>
      <c r="AF24" s="373">
        <f>VLOOKUP(AE24,AA23:AC27,2,FALSE)</f>
        <v>6</v>
      </c>
      <c r="AG24" s="373">
        <f>VLOOKUP(AE24,AA23:AC27,3,FALSE)</f>
        <v>4</v>
      </c>
      <c r="AH24" s="370"/>
      <c r="AI24" s="370" t="str">
        <f>AE24</f>
        <v>Colombia</v>
      </c>
      <c r="AJ24" s="373">
        <f>VLOOKUP(AI24,AE23:AG27,2,FALSE)</f>
        <v>6</v>
      </c>
      <c r="AK24" s="373">
        <f>VLOOKUP(AI24,AE23:AG27,3,FALSE)</f>
        <v>4</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RD Congo</v>
      </c>
      <c r="G25" s="370"/>
      <c r="H25" s="370"/>
      <c r="I25" s="370"/>
      <c r="J25" s="373">
        <f>AJ18</f>
        <v>3</v>
      </c>
      <c r="K25" s="373">
        <f>VLOOKUP(AI18,$F$16:$M$20,6,FALSE)</f>
        <v>1</v>
      </c>
      <c r="L25" s="373">
        <f>VLOOKUP(AI18,$F$16:$M$20,7,FALSE)</f>
        <v>6</v>
      </c>
      <c r="M25" s="373">
        <f>K25-L25</f>
        <v>-5</v>
      </c>
      <c r="N25" s="370"/>
      <c r="O25" s="370" t="str">
        <f>F25</f>
        <v>RD Congo</v>
      </c>
      <c r="P25" s="373">
        <f>VLOOKUP(O25,$F$23:$M$27,5,FALSE)</f>
        <v>3</v>
      </c>
      <c r="Q25" s="373">
        <f>VLOOKUP(O25,$F$23:$M$27,8,FALSE)</f>
        <v>-5</v>
      </c>
      <c r="R25" s="370"/>
      <c r="S25" s="370" t="str">
        <f>IF(AND($P23=P25,Q25&gt;Q23),O23,O25)</f>
        <v>RD Congo</v>
      </c>
      <c r="T25" s="373">
        <f>VLOOKUP(S25,$O$23:$Q$27,2,FALSE)</f>
        <v>3</v>
      </c>
      <c r="U25" s="373">
        <f>VLOOKUP(S25,$O$23:$Q$27,3,FALSE)</f>
        <v>-5</v>
      </c>
      <c r="V25" s="370"/>
      <c r="W25" s="370" t="str">
        <f>S25</f>
        <v>RD Congo</v>
      </c>
      <c r="X25" s="373">
        <f>VLOOKUP(W25,$S$23:$U$27,2,FALSE)</f>
        <v>3</v>
      </c>
      <c r="Y25" s="373">
        <f>VLOOKUP(W25,$S$23:$U$27,3,FALSE)</f>
        <v>-5</v>
      </c>
      <c r="Z25" s="370"/>
      <c r="AA25" s="370" t="str">
        <f>IF(AND(X24=X25,Y25&gt;Y24),W24,W25)</f>
        <v>RD Congo</v>
      </c>
      <c r="AB25" s="373">
        <f>VLOOKUP(AA25,W23:Y27,2,FALSE)</f>
        <v>3</v>
      </c>
      <c r="AC25" s="373">
        <f>VLOOKUP(AA25,W23:Y27,3,FALSE)</f>
        <v>-5</v>
      </c>
      <c r="AD25" s="370"/>
      <c r="AE25" s="370" t="str">
        <f>AA25</f>
        <v>RD Congo</v>
      </c>
      <c r="AF25" s="373">
        <f>VLOOKUP(AE25,AA23:AC27,2,FALSE)</f>
        <v>3</v>
      </c>
      <c r="AG25" s="373">
        <f>VLOOKUP(AE25,AA23:AC27,3,FALSE)</f>
        <v>-5</v>
      </c>
      <c r="AH25" s="370"/>
      <c r="AI25" s="370" t="str">
        <f>IF(AND(AF25=AF26,AG26&gt;AG25),AE26,AE25)</f>
        <v>RD Congo</v>
      </c>
      <c r="AJ25" s="373">
        <f>VLOOKUP(AI25,AE23:AG27,2,FALSE)</f>
        <v>3</v>
      </c>
      <c r="AK25" s="373">
        <f>VLOOKUP(AI25,AE23:AG27,3,FALSE)</f>
        <v>-5</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Uzbekistán</v>
      </c>
      <c r="G26" s="370"/>
      <c r="H26" s="370"/>
      <c r="I26" s="370"/>
      <c r="J26" s="373">
        <f>AJ19</f>
        <v>0</v>
      </c>
      <c r="K26" s="373">
        <f>VLOOKUP(AI19,$F$16:$M$20,6,FALSE)</f>
        <v>0</v>
      </c>
      <c r="L26" s="373">
        <f>VLOOKUP(AI19,$F$16:$M$20,7,FALSE)</f>
        <v>7</v>
      </c>
      <c r="M26" s="373">
        <f>K26-L26</f>
        <v>-7</v>
      </c>
      <c r="N26" s="370"/>
      <c r="O26" s="370" t="str">
        <f>F26</f>
        <v>Uzbekistán</v>
      </c>
      <c r="P26" s="373">
        <f>VLOOKUP(O26,$F$23:$M$27,5,FALSE)</f>
        <v>0</v>
      </c>
      <c r="Q26" s="373">
        <f>VLOOKUP(O26,$F$23:$M$27,8,FALSE)</f>
        <v>-7</v>
      </c>
      <c r="R26" s="370"/>
      <c r="S26" s="370" t="str">
        <f>O26</f>
        <v>Uzbekistán</v>
      </c>
      <c r="T26" s="373">
        <f>VLOOKUP(S26,$O$23:$Q$27,2,FALSE)</f>
        <v>0</v>
      </c>
      <c r="U26" s="373">
        <f>VLOOKUP(S26,$O$23:$Q$27,3,FALSE)</f>
        <v>-7</v>
      </c>
      <c r="V26" s="370"/>
      <c r="W26" s="370" t="str">
        <f>IF(AND(T23=T26,U26&gt;U23),S23,S26)</f>
        <v>Uzbekistán</v>
      </c>
      <c r="X26" s="373">
        <f>VLOOKUP(W26,$S$23:$U$27,2,FALSE)</f>
        <v>0</v>
      </c>
      <c r="Y26" s="373">
        <f>VLOOKUP(W26,$S$23:$U$27,3,FALSE)</f>
        <v>-7</v>
      </c>
      <c r="Z26" s="370"/>
      <c r="AA26" s="370" t="str">
        <f>W26</f>
        <v>Uzbekistán</v>
      </c>
      <c r="AB26" s="373">
        <f>VLOOKUP(AA26,W23:Y27,2,FALSE)</f>
        <v>0</v>
      </c>
      <c r="AC26" s="373">
        <f>VLOOKUP(AA26,W23:Y27,3,FALSE)</f>
        <v>-7</v>
      </c>
      <c r="AD26" s="370"/>
      <c r="AE26" s="370" t="str">
        <f>IF(AND(AB24=AB26,AC26&gt;AC24),AA24,AA26)</f>
        <v>Uzbekistán</v>
      </c>
      <c r="AF26" s="373">
        <f>VLOOKUP(AE26,AA23:AC27,2,FALSE)</f>
        <v>0</v>
      </c>
      <c r="AG26" s="373">
        <f>VLOOKUP(AE26,AA23:AC27,3,FALSE)</f>
        <v>-7</v>
      </c>
      <c r="AH26" s="370"/>
      <c r="AI26" s="370" t="str">
        <f>IF(AND(AF25=AF26,AG26&gt;AG25),AE25,AE26)</f>
        <v>Uzbekistán</v>
      </c>
      <c r="AJ26" s="373">
        <f>VLOOKUP(AI26,AE23:AG27,2,FALSE)</f>
        <v>0</v>
      </c>
      <c r="AK26" s="373">
        <f>VLOOKUP(AI26,AE23:AG27,3,FALSE)</f>
        <v>-7</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Portugal</v>
      </c>
      <c r="G30" s="370"/>
      <c r="H30" s="370"/>
      <c r="I30" s="370"/>
      <c r="J30" s="373">
        <f>VLOOKUP(F30,$F$16:$M$20,8,FALSE)</f>
        <v>9</v>
      </c>
      <c r="K30" s="373">
        <f>VLOOKUP(F30,$F$16:$M$20,6,FALSE)</f>
        <v>9</v>
      </c>
      <c r="L30" s="373">
        <f>VLOOKUP(F30,$F$16:$M$20,7,FALSE)</f>
        <v>1</v>
      </c>
      <c r="M30" s="373">
        <f>K30-L30</f>
        <v>8</v>
      </c>
      <c r="N30" s="370"/>
      <c r="O30" s="370" t="str">
        <f>IF(AND(J30=J31,M30=M31,K31&gt;K30),F31,F30)</f>
        <v>Portugal</v>
      </c>
      <c r="P30" s="373">
        <f>VLOOKUP(O30,$F$30:$M$34,5,FALSE)</f>
        <v>9</v>
      </c>
      <c r="Q30" s="373">
        <f>VLOOKUP(O30,$F$30:$M$34,8,FALSE)</f>
        <v>8</v>
      </c>
      <c r="R30" s="373">
        <f>VLOOKUP(O30,$F$30:$M$34,6,FALSE)</f>
        <v>9</v>
      </c>
      <c r="S30" s="370" t="str">
        <f>IF(AND(P30=P32,Q30=Q32,R32&gt;R30),O32,O30)</f>
        <v>Portugal</v>
      </c>
      <c r="T30" s="373">
        <f>VLOOKUP(S30,$O$30:$R$34,2,FALSE)</f>
        <v>9</v>
      </c>
      <c r="U30" s="373">
        <f>VLOOKUP(S30,$O$30:$R$34,3,FALSE)</f>
        <v>8</v>
      </c>
      <c r="V30" s="373">
        <f>VLOOKUP(S30,$O$30:$R$34,4,FALSE)</f>
        <v>9</v>
      </c>
      <c r="W30" s="370" t="str">
        <f>IF(AND(T30=T33,U30=U33,V33&gt;V30),S33,S30)</f>
        <v>Portugal</v>
      </c>
      <c r="X30" s="373">
        <f>VLOOKUP(W30,$S$30:$V$34,2,FALSE)</f>
        <v>9</v>
      </c>
      <c r="Y30" s="373">
        <f>VLOOKUP(W30,$S$30:$V$34,3,FALSE)</f>
        <v>8</v>
      </c>
      <c r="Z30" s="373">
        <f>VLOOKUP(W30,$S$30:$V$34,4,FALSE)</f>
        <v>9</v>
      </c>
      <c r="AA30" s="370" t="str">
        <f>W30</f>
        <v>Portugal</v>
      </c>
      <c r="AB30" s="373">
        <f>VLOOKUP(AA30,W30:Z34,2,FALSE)</f>
        <v>9</v>
      </c>
      <c r="AC30" s="373">
        <f>VLOOKUP(AA30,W30:Z34,3,FALSE)</f>
        <v>8</v>
      </c>
      <c r="AD30" s="373">
        <f>VLOOKUP(AA30,W30:Z34,4,FALSE)</f>
        <v>9</v>
      </c>
      <c r="AE30" s="370" t="str">
        <f>AA30</f>
        <v>Portugal</v>
      </c>
      <c r="AF30" s="373">
        <f>VLOOKUP(AE30,AA30:AD34,2,FALSE)</f>
        <v>9</v>
      </c>
      <c r="AG30" s="373">
        <f>VLOOKUP(AE30,AA30:AD34,3,FALSE)</f>
        <v>8</v>
      </c>
      <c r="AH30" s="373">
        <f>VLOOKUP(AE30,AA30:AD34,4,FALSE)</f>
        <v>9</v>
      </c>
      <c r="AI30" s="370" t="str">
        <f>AE30</f>
        <v>Portugal</v>
      </c>
      <c r="AJ30" s="373">
        <f>VLOOKUP(AI30,AE30:AH34,2,FALSE)</f>
        <v>9</v>
      </c>
      <c r="AK30" s="373">
        <f>VLOOKUP(AI30,AE30:AH34,3,FALSE)</f>
        <v>8</v>
      </c>
      <c r="AL30" s="373">
        <f>VLOOKUP(AI30,AE30:AH34,4,FALSE)</f>
        <v>9</v>
      </c>
      <c r="AM30" s="370"/>
      <c r="AN30" s="373">
        <f>(AJ30*1000)+(AK30*100)+AL30</f>
        <v>9809</v>
      </c>
      <c r="AO30" s="375">
        <f>IF($AN30=$AN31,VLOOKUP($AI30&amp;$AI31,$AN$2:$AO$13,2,0),0)</f>
        <v>0</v>
      </c>
      <c r="AP30" s="370">
        <f>IF(AO30=$AI30,1,0)</f>
        <v>0</v>
      </c>
      <c r="AQ30" s="375"/>
      <c r="AR30" s="370"/>
      <c r="AS30" s="375">
        <f>IF($AN30=$AN32,VLOOKUP($AI30&amp;$AI32,$AN$2:$AO$13,2,0),0)</f>
        <v>0</v>
      </c>
      <c r="AT30" s="370">
        <f>IF(AS30=$AI30,1,0)</f>
        <v>0</v>
      </c>
      <c r="AU30" s="370"/>
      <c r="AV30" s="370">
        <f>SUM(AN30,AP30,AR30,AT30)</f>
        <v>9809</v>
      </c>
      <c r="AW30" s="373">
        <f>RANK(AV30,$AV$30:$AV$33,0)</f>
        <v>1</v>
      </c>
      <c r="AX30" s="370" t="str">
        <f>AI30</f>
        <v>Portugal</v>
      </c>
      <c r="AY30" s="336"/>
      <c r="AZ30" s="336"/>
      <c r="BA30" s="336"/>
      <c r="BB30" s="336"/>
      <c r="BC30" s="336"/>
    </row>
    <row r="31" spans="1:55" x14ac:dyDescent="0.2">
      <c r="A31" s="370"/>
      <c r="B31" s="370"/>
      <c r="C31" s="370"/>
      <c r="D31" s="370"/>
      <c r="E31" s="370"/>
      <c r="F31" s="370" t="str">
        <f>AI24</f>
        <v>Colombia</v>
      </c>
      <c r="G31" s="370"/>
      <c r="H31" s="370"/>
      <c r="I31" s="370"/>
      <c r="J31" s="373">
        <f>VLOOKUP(F31,$F$16:$M$20,8,FALSE)</f>
        <v>6</v>
      </c>
      <c r="K31" s="373">
        <f>VLOOKUP(F31,$F$16:$M$20,6,FALSE)</f>
        <v>6</v>
      </c>
      <c r="L31" s="373">
        <f>VLOOKUP(F31,$F$16:$M$20,7,FALSE)</f>
        <v>2</v>
      </c>
      <c r="M31" s="373">
        <f>K31-L31</f>
        <v>4</v>
      </c>
      <c r="N31" s="370"/>
      <c r="O31" s="370" t="str">
        <f>IF(AND(J30=J31,M30=M31,K31&gt;K30),F30,F31)</f>
        <v>Colombia</v>
      </c>
      <c r="P31" s="373">
        <f>VLOOKUP(O31,$F$30:$M$34,5,FALSE)</f>
        <v>6</v>
      </c>
      <c r="Q31" s="373">
        <f>VLOOKUP(O31,$F$30:$M$34,8,FALSE)</f>
        <v>4</v>
      </c>
      <c r="R31" s="373">
        <f>VLOOKUP(O31,$F$30:$M$34,6,FALSE)</f>
        <v>6</v>
      </c>
      <c r="S31" s="370" t="str">
        <f>O31</f>
        <v>Colombia</v>
      </c>
      <c r="T31" s="373">
        <f>VLOOKUP(S31,$O$30:$R$34,2,FALSE)</f>
        <v>6</v>
      </c>
      <c r="U31" s="373">
        <f>VLOOKUP(S31,$O$30:$R$34,3,FALSE)</f>
        <v>4</v>
      </c>
      <c r="V31" s="373">
        <f>VLOOKUP(S31,$O$30:$R$34,4,FALSE)</f>
        <v>6</v>
      </c>
      <c r="W31" s="370" t="str">
        <f>S31</f>
        <v>Colombia</v>
      </c>
      <c r="X31" s="373">
        <f>VLOOKUP(W31,$S$30:$V$34,2,FALSE)</f>
        <v>6</v>
      </c>
      <c r="Y31" s="373">
        <f>VLOOKUP(W31,$S$30:$V$34,3,FALSE)</f>
        <v>4</v>
      </c>
      <c r="Z31" s="373">
        <f>VLOOKUP(W31,$S$30:$V$34,4,FALSE)</f>
        <v>6</v>
      </c>
      <c r="AA31" s="370" t="str">
        <f>IF(AND(X31=X32,Y31=Y32,Z32&gt;Z31),W32,W31)</f>
        <v>Colombia</v>
      </c>
      <c r="AB31" s="373">
        <f>VLOOKUP(AA31,W30:Z34,2,FALSE)</f>
        <v>6</v>
      </c>
      <c r="AC31" s="373">
        <f>VLOOKUP(AA31,W30:Z34,3,FALSE)</f>
        <v>4</v>
      </c>
      <c r="AD31" s="373">
        <f>VLOOKUP(AA31,W30:Z34,4,FALSE)</f>
        <v>6</v>
      </c>
      <c r="AE31" s="370" t="str">
        <f>IF(AND(AB31=AB33,AC31=AC33,AD33&gt;AD31),AA33,AA31)</f>
        <v>Colombia</v>
      </c>
      <c r="AF31" s="373">
        <f>VLOOKUP(AE31,AA30:AD34,2,FALSE)</f>
        <v>6</v>
      </c>
      <c r="AG31" s="373">
        <f>VLOOKUP(AE31,AA30:AD34,3,FALSE)</f>
        <v>4</v>
      </c>
      <c r="AH31" s="373">
        <f>VLOOKUP(AE31,AA30:AD34,4,FALSE)</f>
        <v>6</v>
      </c>
      <c r="AI31" s="370" t="str">
        <f>AE31</f>
        <v>Colombia</v>
      </c>
      <c r="AJ31" s="373">
        <f>VLOOKUP(AI31,AE30:AH34,2,FALSE)</f>
        <v>6</v>
      </c>
      <c r="AK31" s="373">
        <f>VLOOKUP(AI31,AE30:AH34,3,FALSE)</f>
        <v>4</v>
      </c>
      <c r="AL31" s="373">
        <f>VLOOKUP(AI31,AE30:AH34,4,FALSE)</f>
        <v>6</v>
      </c>
      <c r="AM31" s="370"/>
      <c r="AN31" s="373">
        <f t="shared" ref="AN31:AN33" si="36">(AJ31*1000)+(AK31*100)+AL31</f>
        <v>6406</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6406</v>
      </c>
      <c r="AW31" s="373">
        <f t="shared" ref="AW31:AW33" si="38">RANK(AV31,$AV$30:$AV$33,0)</f>
        <v>2</v>
      </c>
      <c r="AX31" s="370" t="str">
        <f t="shared" ref="AX31:AX33" si="39">AI31</f>
        <v>Colombia</v>
      </c>
      <c r="AY31" s="336"/>
      <c r="AZ31" s="336"/>
      <c r="BA31" s="336"/>
      <c r="BB31" s="336"/>
      <c r="BC31" s="336"/>
    </row>
    <row r="32" spans="1:55" x14ac:dyDescent="0.2">
      <c r="A32" s="370"/>
      <c r="B32" s="370"/>
      <c r="C32" s="370"/>
      <c r="D32" s="370"/>
      <c r="E32" s="370"/>
      <c r="F32" s="370" t="str">
        <f>AI25</f>
        <v>RD Congo</v>
      </c>
      <c r="G32" s="370"/>
      <c r="H32" s="370"/>
      <c r="I32" s="370"/>
      <c r="J32" s="373">
        <f>VLOOKUP(F32,$F$16:$M$20,8,FALSE)</f>
        <v>3</v>
      </c>
      <c r="K32" s="373">
        <f>VLOOKUP(F32,$F$16:$M$20,6,FALSE)</f>
        <v>1</v>
      </c>
      <c r="L32" s="373">
        <f>VLOOKUP(F32,$F$16:$M$20,7,FALSE)</f>
        <v>6</v>
      </c>
      <c r="M32" s="373">
        <f>K32-L32</f>
        <v>-5</v>
      </c>
      <c r="N32" s="370"/>
      <c r="O32" s="370" t="str">
        <f>F32</f>
        <v>RD Congo</v>
      </c>
      <c r="P32" s="373">
        <f>VLOOKUP(O32,$F$30:$M$34,5,FALSE)</f>
        <v>3</v>
      </c>
      <c r="Q32" s="373">
        <f>VLOOKUP(O32,$F$30:$M$34,8,FALSE)</f>
        <v>-5</v>
      </c>
      <c r="R32" s="373">
        <f>VLOOKUP(O32,$F$30:$M$34,6,FALSE)</f>
        <v>1</v>
      </c>
      <c r="S32" s="370" t="str">
        <f>IF(AND(P30=P32,Q30=Q32,R32&gt;R30),O30,O32)</f>
        <v>RD Congo</v>
      </c>
      <c r="T32" s="373">
        <f>VLOOKUP(S32,$O$30:$R$34,2,FALSE)</f>
        <v>3</v>
      </c>
      <c r="U32" s="373">
        <f>VLOOKUP(S32,$O$30:$R$34,3,FALSE)</f>
        <v>-5</v>
      </c>
      <c r="V32" s="373">
        <f>VLOOKUP(S32,$O$30:$R$34,4,FALSE)</f>
        <v>1</v>
      </c>
      <c r="W32" s="370" t="str">
        <f>S32</f>
        <v>RD Congo</v>
      </c>
      <c r="X32" s="373">
        <f>VLOOKUP(W32,$S$30:$V$34,2,FALSE)</f>
        <v>3</v>
      </c>
      <c r="Y32" s="373">
        <f>VLOOKUP(W32,$S$30:$V$34,3,FALSE)</f>
        <v>-5</v>
      </c>
      <c r="Z32" s="373">
        <f>VLOOKUP(W32,$S$30:$V$34,4,FALSE)</f>
        <v>1</v>
      </c>
      <c r="AA32" s="370" t="str">
        <f>IF(AND(X31=X32,Y31=Y32,Z32&gt;Z31),W31,W32)</f>
        <v>RD Congo</v>
      </c>
      <c r="AB32" s="373">
        <f>VLOOKUP(AA32,W30:Z34,2,FALSE)</f>
        <v>3</v>
      </c>
      <c r="AC32" s="373">
        <f>VLOOKUP(AA32,W30:Z34,3,FALSE)</f>
        <v>-5</v>
      </c>
      <c r="AD32" s="373">
        <f>VLOOKUP(AA32,W30:Z34,4,FALSE)</f>
        <v>1</v>
      </c>
      <c r="AE32" s="370" t="str">
        <f>AA32</f>
        <v>RD Congo</v>
      </c>
      <c r="AF32" s="373">
        <f>VLOOKUP(AE32,AA30:AD34,2,FALSE)</f>
        <v>3</v>
      </c>
      <c r="AG32" s="373">
        <f>VLOOKUP(AE32,AA30:AD34,3,FALSE)</f>
        <v>-5</v>
      </c>
      <c r="AH32" s="373">
        <f>VLOOKUP(AE32,AA30:AD34,4,FALSE)</f>
        <v>1</v>
      </c>
      <c r="AI32" s="370" t="str">
        <f>IF(AND(AF32=AF33,AG32=AG33,AH33&gt;AH32),AE33,AE32)</f>
        <v>RD Congo</v>
      </c>
      <c r="AJ32" s="373">
        <f>VLOOKUP(AI32,AE30:AH34,2,FALSE)</f>
        <v>3</v>
      </c>
      <c r="AK32" s="373">
        <f>VLOOKUP(AI32,AE30:AH34,3,FALSE)</f>
        <v>-5</v>
      </c>
      <c r="AL32" s="373">
        <f>VLOOKUP(AI32,AE30:AH34,4,FALSE)</f>
        <v>1</v>
      </c>
      <c r="AM32" s="370"/>
      <c r="AN32" s="373">
        <f t="shared" si="36"/>
        <v>2501</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2501</v>
      </c>
      <c r="AW32" s="373">
        <f t="shared" si="38"/>
        <v>3</v>
      </c>
      <c r="AX32" s="370" t="str">
        <f t="shared" si="39"/>
        <v>RD Congo</v>
      </c>
      <c r="AY32" s="336"/>
      <c r="AZ32" s="336"/>
      <c r="BA32" s="336"/>
      <c r="BB32" s="336"/>
      <c r="BC32" s="336"/>
    </row>
    <row r="33" spans="1:55" x14ac:dyDescent="0.2">
      <c r="A33" s="370"/>
      <c r="B33" s="370"/>
      <c r="C33" s="370"/>
      <c r="D33" s="370"/>
      <c r="E33" s="370"/>
      <c r="F33" s="370" t="str">
        <f>AI26</f>
        <v>Uzbekistán</v>
      </c>
      <c r="G33" s="370"/>
      <c r="H33" s="370"/>
      <c r="I33" s="370"/>
      <c r="J33" s="373">
        <f>VLOOKUP(F33,$F$16:$M$20,8,FALSE)</f>
        <v>0</v>
      </c>
      <c r="K33" s="373">
        <f>VLOOKUP(F33,$F$16:$M$20,6,FALSE)</f>
        <v>0</v>
      </c>
      <c r="L33" s="373">
        <f>VLOOKUP(F33,$F$16:$M$20,7,FALSE)</f>
        <v>7</v>
      </c>
      <c r="M33" s="373">
        <f>K33-L33</f>
        <v>-7</v>
      </c>
      <c r="N33" s="370"/>
      <c r="O33" s="370" t="str">
        <f>F33</f>
        <v>Uzbekistán</v>
      </c>
      <c r="P33" s="373">
        <f>VLOOKUP(O33,$F$30:$M$34,5,FALSE)</f>
        <v>0</v>
      </c>
      <c r="Q33" s="373">
        <f>VLOOKUP(O33,$F$30:$M$34,8,FALSE)</f>
        <v>-7</v>
      </c>
      <c r="R33" s="373">
        <f>VLOOKUP(O33,$F$30:$M$34,6,FALSE)</f>
        <v>0</v>
      </c>
      <c r="S33" s="370" t="str">
        <f>O33</f>
        <v>Uzbekistán</v>
      </c>
      <c r="T33" s="373">
        <f>VLOOKUP(S33,$O$30:$R$34,2,FALSE)</f>
        <v>0</v>
      </c>
      <c r="U33" s="373">
        <f>VLOOKUP(S33,$O$30:$R$34,3,FALSE)</f>
        <v>-7</v>
      </c>
      <c r="V33" s="373">
        <f>VLOOKUP(S33,$O$30:$R$34,4,FALSE)</f>
        <v>0</v>
      </c>
      <c r="W33" s="370" t="str">
        <f>IF(AND(T30=T33,U30=U33,V33&gt;V30),S30,S33)</f>
        <v>Uzbekistán</v>
      </c>
      <c r="X33" s="373">
        <f>VLOOKUP(W33,$S$30:$V$34,2,FALSE)</f>
        <v>0</v>
      </c>
      <c r="Y33" s="373">
        <f>VLOOKUP(W33,$S$30:$V$34,3,FALSE)</f>
        <v>-7</v>
      </c>
      <c r="Z33" s="373">
        <f>VLOOKUP(W33,$S$30:$V$34,4,FALSE)</f>
        <v>0</v>
      </c>
      <c r="AA33" s="370" t="str">
        <f>W33</f>
        <v>Uzbekistán</v>
      </c>
      <c r="AB33" s="373">
        <f>VLOOKUP(AA33,W30:Z34,2,FALSE)</f>
        <v>0</v>
      </c>
      <c r="AC33" s="373">
        <f>VLOOKUP(AA33,W30:Z34,3,FALSE)</f>
        <v>-7</v>
      </c>
      <c r="AD33" s="373">
        <f>VLOOKUP(AA33,W30:Z34,4,FALSE)</f>
        <v>0</v>
      </c>
      <c r="AE33" s="370" t="str">
        <f>IF(AND(AB31=AB33,AC31=AC33,AD33&gt;AD31),AA31,AA33)</f>
        <v>Uzbekistán</v>
      </c>
      <c r="AF33" s="373">
        <f>VLOOKUP(AE33,AA30:AD34,2,FALSE)</f>
        <v>0</v>
      </c>
      <c r="AG33" s="373">
        <f>VLOOKUP(AE33,AA30:AD34,3,FALSE)</f>
        <v>-7</v>
      </c>
      <c r="AH33" s="373">
        <f>VLOOKUP(AE33,AA30:AD34,4,FALSE)</f>
        <v>0</v>
      </c>
      <c r="AI33" s="370" t="str">
        <f>IF(AND(AF32=AF33,AG32=AG33,AH33&gt;AH32),AE32,AE33)</f>
        <v>Uzbekistán</v>
      </c>
      <c r="AJ33" s="373">
        <f>VLOOKUP(AI33,AE30:AH34,2,FALSE)</f>
        <v>0</v>
      </c>
      <c r="AK33" s="373">
        <f>VLOOKUP(AI33,AE30:AH34,3,FALSE)</f>
        <v>-7</v>
      </c>
      <c r="AL33" s="373">
        <f>VLOOKUP(AI33,AE30:AH34,4,FALSE)</f>
        <v>0</v>
      </c>
      <c r="AM33" s="370"/>
      <c r="AN33" s="373">
        <f t="shared" si="36"/>
        <v>-700</v>
      </c>
      <c r="AO33" s="375"/>
      <c r="AP33" s="370"/>
      <c r="AQ33" s="375"/>
      <c r="AR33" s="370"/>
      <c r="AS33" s="375"/>
      <c r="AT33" s="370"/>
      <c r="AU33" s="370"/>
      <c r="AV33" s="370">
        <f t="shared" si="37"/>
        <v>-700</v>
      </c>
      <c r="AW33" s="373">
        <f t="shared" si="38"/>
        <v>4</v>
      </c>
      <c r="AX33" s="370" t="str">
        <f t="shared" si="39"/>
        <v>Uzbekistán</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Portugal</v>
      </c>
      <c r="G37" s="373">
        <f>VLOOKUP(F37,$F$16:$M$20,2,FALSE)</f>
        <v>3</v>
      </c>
      <c r="H37" s="373">
        <f>VLOOKUP(F37,$F$16:$M$20,3,FALSE)</f>
        <v>3</v>
      </c>
      <c r="I37" s="373">
        <f>VLOOKUP(F37,$F$16:$M$20,4,FALSE)</f>
        <v>0</v>
      </c>
      <c r="J37" s="373">
        <f>VLOOKUP(F37,$F$16:$M$20,5,FALSE)</f>
        <v>0</v>
      </c>
      <c r="K37" s="373">
        <f>VLOOKUP(F37,$F$16:$M$20,6,FALSE)</f>
        <v>9</v>
      </c>
      <c r="L37" s="373">
        <f>VLOOKUP(F37,$F$16:$M$20,7,FALSE)</f>
        <v>1</v>
      </c>
      <c r="M37" s="373">
        <f>VLOOKUP(F37,$F$16:$M$20,8,FALSE)</f>
        <v>9</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Colombia</v>
      </c>
      <c r="G38" s="373">
        <f>VLOOKUP(F38,$F$16:$M$20,2,FALSE)</f>
        <v>3</v>
      </c>
      <c r="H38" s="373">
        <f>VLOOKUP(F38,$F$16:$M$20,3,FALSE)</f>
        <v>2</v>
      </c>
      <c r="I38" s="373">
        <f>VLOOKUP(F38,$F$16:$M$20,4,FALSE)</f>
        <v>0</v>
      </c>
      <c r="J38" s="373">
        <f>VLOOKUP(F38,$F$16:$M$20,5,FALSE)</f>
        <v>1</v>
      </c>
      <c r="K38" s="373">
        <f>VLOOKUP(F38,$F$16:$M$20,6,FALSE)</f>
        <v>6</v>
      </c>
      <c r="L38" s="373">
        <f>VLOOKUP(F38,$F$16:$M$20,7,FALSE)</f>
        <v>2</v>
      </c>
      <c r="M38" s="373">
        <f>VLOOKUP(F38,$F$16:$M$20,8,FALSE)</f>
        <v>6</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RD Congo</v>
      </c>
      <c r="G39" s="373">
        <f>VLOOKUP(F39,$F$16:$M$20,2,FALSE)</f>
        <v>3</v>
      </c>
      <c r="H39" s="373">
        <f>VLOOKUP(F39,$F$16:$M$20,3,FALSE)</f>
        <v>1</v>
      </c>
      <c r="I39" s="373">
        <f>VLOOKUP(F39,$F$16:$M$20,4,FALSE)</f>
        <v>0</v>
      </c>
      <c r="J39" s="373">
        <f>VLOOKUP(F39,$F$16:$M$20,5,FALSE)</f>
        <v>2</v>
      </c>
      <c r="K39" s="373">
        <f>VLOOKUP(F39,$F$16:$M$20,6,FALSE)</f>
        <v>1</v>
      </c>
      <c r="L39" s="373">
        <f>VLOOKUP(F39,$F$16:$M$20,7,FALSE)</f>
        <v>6</v>
      </c>
      <c r="M39" s="373">
        <f>VLOOKUP(F39,$F$16:$M$20,8,FALSE)</f>
        <v>3</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Uzbekistán</v>
      </c>
      <c r="G40" s="373">
        <f>VLOOKUP(F40,$F$16:$M$20,2,FALSE)</f>
        <v>3</v>
      </c>
      <c r="H40" s="373">
        <f>VLOOKUP(F40,$F$16:$M$20,3,FALSE)</f>
        <v>0</v>
      </c>
      <c r="I40" s="373">
        <f>VLOOKUP(F40,$F$16:$M$20,4,FALSE)</f>
        <v>0</v>
      </c>
      <c r="J40" s="373">
        <f>VLOOKUP(F40,$F$16:$M$20,5,FALSE)</f>
        <v>3</v>
      </c>
      <c r="K40" s="373">
        <f>VLOOKUP(F40,$F$16:$M$20,6,FALSE)</f>
        <v>0</v>
      </c>
      <c r="L40" s="373">
        <f>VLOOKUP(F40,$F$16:$M$20,7,FALSE)</f>
        <v>7</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algorithmName="SHA-512" hashValue="U/vnUM+eWdqBM33OWbCm4CG6jRH9XoKcqVrtOC3Ec6An01PrCQTQ4OJYnE49cpr81XhYt3RytQVC7tp5kneAXw==" saltValue="QeX1yp91PP42FwYXMftCfA==" spinCount="100000" sheet="1" objects="1" scenarios="1" selectLockedCells="1"/>
  <mergeCells count="1">
    <mergeCell ref="A2:E2"/>
  </mergeCells>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89F9B-D1AB-4739-8509-390AE5105BA0}">
  <sheetPr codeName="Hoja34"/>
  <dimension ref="A1:BC49"/>
  <sheetViews>
    <sheetView zoomScale="70" zoomScaleNormal="70" workbookViewId="0">
      <pane xSplit="5" topLeftCell="XDA1" activePane="topRight" state="frozen"/>
      <selection activeCell="XFD1" sqref="XFD1"/>
      <selection pane="topRight" activeCell="XFD1" sqref="XFD1"/>
    </sheetView>
  </sheetViews>
  <sheetFormatPr defaultColWidth="3.7109375" defaultRowHeight="12.75" x14ac:dyDescent="0.2"/>
  <cols>
    <col min="1" max="1" width="12.7109375" customWidth="1"/>
    <col min="2" max="2" width="2.7109375" customWidth="1"/>
    <col min="3" max="3" width="1.42578125" customWidth="1"/>
    <col min="4" max="4" width="2.7109375" customWidth="1"/>
    <col min="5" max="5" width="12.7109375" customWidth="1"/>
    <col min="6" max="6" width="11.42578125" customWidth="1"/>
    <col min="40" max="40" width="10.7109375" customWidth="1"/>
    <col min="41" max="41" width="8.7109375" customWidth="1"/>
    <col min="43" max="43" width="8.7109375" customWidth="1"/>
    <col min="45" max="45" width="8.7109375" customWidth="1"/>
    <col min="48" max="48" width="12.7109375" customWidth="1"/>
    <col min="50" max="50" width="12.7109375" customWidth="1"/>
  </cols>
  <sheetData>
    <row r="1" spans="1:55" x14ac:dyDescent="0.2">
      <c r="A1" s="370"/>
      <c r="B1" s="370"/>
      <c r="C1" s="370"/>
      <c r="D1" s="370"/>
      <c r="E1" s="370"/>
      <c r="F1" s="370"/>
      <c r="G1" s="371"/>
      <c r="H1" s="371"/>
      <c r="I1" s="371"/>
      <c r="J1" s="371"/>
      <c r="K1" s="371"/>
      <c r="L1" s="371"/>
      <c r="M1" s="371"/>
      <c r="N1" s="371"/>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2" t="s">
        <v>49</v>
      </c>
      <c r="AO1" s="372" t="s">
        <v>50</v>
      </c>
      <c r="AP1" s="370"/>
      <c r="AQ1" s="370"/>
      <c r="AR1" s="370"/>
      <c r="AS1" s="370"/>
      <c r="AT1" s="370"/>
      <c r="AU1" s="370"/>
      <c r="AV1" s="370"/>
      <c r="AW1" s="370"/>
      <c r="AX1" s="370"/>
      <c r="AY1" s="336"/>
      <c r="AZ1" s="336"/>
      <c r="BA1" s="336"/>
      <c r="BB1" s="336"/>
      <c r="BC1" s="336"/>
    </row>
    <row r="2" spans="1:55" x14ac:dyDescent="0.2">
      <c r="A2" s="457" t="s">
        <v>24</v>
      </c>
      <c r="B2" s="457"/>
      <c r="C2" s="457"/>
      <c r="D2" s="457"/>
      <c r="E2" s="457"/>
      <c r="F2" s="370"/>
      <c r="G2" s="370" t="str">
        <f>IF('- L -'!R7&lt;&gt;"",'- L -'!R7,"")</f>
        <v>Inglaterra</v>
      </c>
      <c r="H2" s="370"/>
      <c r="I2" s="370"/>
      <c r="J2" s="370"/>
      <c r="K2" s="370"/>
      <c r="L2" s="370"/>
      <c r="M2" s="370"/>
      <c r="N2" s="370" t="str">
        <f>IF('- L -'!R9&lt;&gt;"",'- L -'!R9,"")</f>
        <v>Croacia</v>
      </c>
      <c r="O2" s="370"/>
      <c r="P2" s="370"/>
      <c r="Q2" s="370"/>
      <c r="R2" s="370"/>
      <c r="S2" s="370"/>
      <c r="T2" s="370"/>
      <c r="U2" s="370" t="str">
        <f>IF('- L -'!R11&lt;&gt;"",'- L -'!R11,"")</f>
        <v>Ghana</v>
      </c>
      <c r="V2" s="370"/>
      <c r="W2" s="370"/>
      <c r="X2" s="370"/>
      <c r="Y2" s="370"/>
      <c r="Z2" s="370"/>
      <c r="AA2" s="370"/>
      <c r="AB2" s="370" t="str">
        <f>IF('- L -'!R13&lt;&gt;"",'- L -'!R13,"")</f>
        <v>Panamá</v>
      </c>
      <c r="AC2" s="370"/>
      <c r="AD2" s="370"/>
      <c r="AE2" s="370"/>
      <c r="AF2" s="370"/>
      <c r="AG2" s="370"/>
      <c r="AH2" s="370"/>
      <c r="AI2" s="370"/>
      <c r="AJ2" s="370"/>
      <c r="AK2" s="370"/>
      <c r="AL2" s="370"/>
      <c r="AM2" s="370"/>
      <c r="AN2" s="374" t="str">
        <f t="shared" ref="AN2:AN7" si="0">A4&amp;E4</f>
        <v>InglaterraCroacia</v>
      </c>
      <c r="AO2" s="371" t="str">
        <f t="shared" ref="AO2:AO7" si="1">IF(B4=D4,0,IF(B4&gt;D4,A4,E4))</f>
        <v>Inglaterra</v>
      </c>
      <c r="AP2" s="370"/>
      <c r="AQ2" s="370"/>
      <c r="AR2" s="370"/>
      <c r="AS2" s="370"/>
      <c r="AT2" s="370"/>
      <c r="AU2" s="370"/>
      <c r="AV2" s="370"/>
      <c r="AW2" s="370"/>
      <c r="AX2" s="370"/>
      <c r="AY2" s="336"/>
      <c r="AZ2" s="336"/>
      <c r="BA2" s="336"/>
      <c r="BB2" s="336"/>
      <c r="BC2" s="336"/>
    </row>
    <row r="3" spans="1:55" x14ac:dyDescent="0.2">
      <c r="A3" s="370"/>
      <c r="B3" s="370"/>
      <c r="C3" s="370"/>
      <c r="D3" s="370"/>
      <c r="E3" s="370"/>
      <c r="F3" s="370" t="s">
        <v>38</v>
      </c>
      <c r="G3" s="371" t="s">
        <v>13</v>
      </c>
      <c r="H3" s="371" t="s">
        <v>14</v>
      </c>
      <c r="I3" s="371" t="s">
        <v>15</v>
      </c>
      <c r="J3" s="371" t="s">
        <v>16</v>
      </c>
      <c r="K3" s="371" t="s">
        <v>17</v>
      </c>
      <c r="L3" s="371" t="s">
        <v>18</v>
      </c>
      <c r="M3" s="373"/>
      <c r="N3" s="371" t="s">
        <v>13</v>
      </c>
      <c r="O3" s="371" t="s">
        <v>14</v>
      </c>
      <c r="P3" s="371" t="s">
        <v>15</v>
      </c>
      <c r="Q3" s="371" t="s">
        <v>16</v>
      </c>
      <c r="R3" s="371" t="s">
        <v>17</v>
      </c>
      <c r="S3" s="371" t="s">
        <v>18</v>
      </c>
      <c r="T3" s="373"/>
      <c r="U3" s="371" t="s">
        <v>13</v>
      </c>
      <c r="V3" s="371" t="s">
        <v>14</v>
      </c>
      <c r="W3" s="371" t="s">
        <v>15</v>
      </c>
      <c r="X3" s="371" t="s">
        <v>16</v>
      </c>
      <c r="Y3" s="371" t="s">
        <v>17</v>
      </c>
      <c r="Z3" s="371" t="s">
        <v>18</v>
      </c>
      <c r="AA3" s="373"/>
      <c r="AB3" s="371" t="s">
        <v>13</v>
      </c>
      <c r="AC3" s="371" t="s">
        <v>14</v>
      </c>
      <c r="AD3" s="371" t="s">
        <v>15</v>
      </c>
      <c r="AE3" s="371" t="s">
        <v>16</v>
      </c>
      <c r="AF3" s="371" t="s">
        <v>17</v>
      </c>
      <c r="AG3" s="371" t="s">
        <v>18</v>
      </c>
      <c r="AH3" s="373"/>
      <c r="AI3" s="370"/>
      <c r="AJ3" s="370"/>
      <c r="AK3" s="370"/>
      <c r="AL3" s="370"/>
      <c r="AM3" s="370"/>
      <c r="AN3" s="374" t="str">
        <f t="shared" si="0"/>
        <v>GhanaPanamá</v>
      </c>
      <c r="AO3" s="371" t="str">
        <f t="shared" si="1"/>
        <v>Ghana</v>
      </c>
      <c r="AP3" s="370"/>
      <c r="AQ3" s="370"/>
      <c r="AR3" s="370"/>
      <c r="AS3" s="370"/>
      <c r="AT3" s="370"/>
      <c r="AU3" s="370"/>
      <c r="AV3" s="370"/>
      <c r="AW3" s="370"/>
      <c r="AX3" s="370"/>
      <c r="AY3" s="336"/>
      <c r="AZ3" s="336"/>
      <c r="BA3" s="336"/>
      <c r="BB3" s="336"/>
      <c r="BC3" s="336"/>
    </row>
    <row r="4" spans="1:55" x14ac:dyDescent="0.2">
      <c r="A4" s="375" t="str">
        <f>'- L -'!C6</f>
        <v>Inglaterra</v>
      </c>
      <c r="B4" s="373">
        <f>IF('- L -'!D6&lt;&gt;"",'- L -'!D6,"")</f>
        <v>1</v>
      </c>
      <c r="C4" s="373" t="str">
        <f>'- L -'!E6</f>
        <v>-</v>
      </c>
      <c r="D4" s="373">
        <f>IF('- L -'!F6&lt;&gt;"",'- L -'!F6,"")</f>
        <v>0</v>
      </c>
      <c r="E4" s="376" t="str">
        <f>'- L -'!G6</f>
        <v>Croacia</v>
      </c>
      <c r="F4" s="373">
        <f>COUNTBLANK('- L -'!D6:'- L -'!F6)</f>
        <v>0</v>
      </c>
      <c r="G4" s="373">
        <f t="shared" ref="G4:G9" si="2">IF(AND(F4=0,OR($A4=$G$2,$E4=$G$2)),1,0)</f>
        <v>1</v>
      </c>
      <c r="H4" s="373">
        <f t="shared" ref="H4:H9" si="3">IF(AND(F4=0,OR(AND($A4=$G$2,$B4&gt;$D4),AND($E4=$G$2,$D4&gt;$B4))),1,0)</f>
        <v>1</v>
      </c>
      <c r="I4" s="373">
        <f t="shared" ref="I4:I9" si="4">IF(AND(F4=0,G4=1,$B4=$D4),1,0)</f>
        <v>0</v>
      </c>
      <c r="J4" s="373">
        <f t="shared" ref="J4:J9" si="5">IF(AND(F4=0,OR(AND($A4=$G$2,$B4&lt;$D4),AND($E4=$G$2,$D4&lt;$B4))),1,0)</f>
        <v>0</v>
      </c>
      <c r="K4" s="373">
        <f t="shared" ref="K4:K9" si="6">IF(F4&gt;0,0,IF($A4=$G$2,$B4,IF($E4=$G$2,$D4,0)))</f>
        <v>1</v>
      </c>
      <c r="L4" s="373">
        <f t="shared" ref="L4:L9" si="7">IF(F4&gt;0,0,IF($A4=$G$2,$D4,IF($E4=$G$2,$B4,0)))</f>
        <v>0</v>
      </c>
      <c r="M4" s="373"/>
      <c r="N4" s="373">
        <f t="shared" ref="N4:N9" si="8">IF(AND(F4=0,OR($A4=$N$2,$E4=$N$2)),1,0)</f>
        <v>1</v>
      </c>
      <c r="O4" s="373">
        <f t="shared" ref="O4:O9" si="9">IF(AND(F4=0,OR(AND($A4=$N$2,$B4&gt;$D4),AND($E4=$N$2,$D4&gt;$B4))),1,0)</f>
        <v>0</v>
      </c>
      <c r="P4" s="373">
        <f t="shared" ref="P4:P9" si="10">IF(AND(F4=0,N4=1,$B4=$D4),1,0)</f>
        <v>0</v>
      </c>
      <c r="Q4" s="373">
        <f t="shared" ref="Q4:Q9" si="11">IF(AND(F4=0,OR(AND($A4=$N$2,$B4&lt;$D4),AND($E4=$N$2,$D4&lt;$B4))),1,0)</f>
        <v>1</v>
      </c>
      <c r="R4" s="373">
        <f t="shared" ref="R4:R9" si="12">IF(F4&gt;0,0,IF($A4=$N$2,$B4,IF($E4=$N$2,$D4,0)))</f>
        <v>0</v>
      </c>
      <c r="S4" s="373">
        <f t="shared" ref="S4:S9" si="13">IF(F4&gt;0,0,IF($A4=$N$2,$D4,IF($E4=$N$2,$B4,0)))</f>
        <v>1</v>
      </c>
      <c r="T4" s="373"/>
      <c r="U4" s="373">
        <f t="shared" ref="U4:U9" si="14">IF(AND(F4=0,OR($A4=$U$2,$E4=$U$2)),1,0)</f>
        <v>0</v>
      </c>
      <c r="V4" s="373">
        <f t="shared" ref="V4:V9" si="15">IF(AND(F4=0,OR(AND($A4=$U$2,$B4&gt;$D4),AND($E4=$U$2,$D4&gt;$B4))),1,0)</f>
        <v>0</v>
      </c>
      <c r="W4" s="373">
        <f t="shared" ref="W4:W9" si="16">IF(AND(F4=0,U4=1,$B4=$D4),1,0)</f>
        <v>0</v>
      </c>
      <c r="X4" s="373">
        <f t="shared" ref="X4:X9" si="17">IF(AND(F4=0,OR(AND($A4=$U$2,$B4&lt;$D4),AND($E4=$U$2,$D4&lt;$B4))),1,0)</f>
        <v>0</v>
      </c>
      <c r="Y4" s="373">
        <f t="shared" ref="Y4:Y9" si="18">IF(F4&gt;0,0,IF($A4=$U$2,$B4,IF($E4=$U$2,$D4,0)))</f>
        <v>0</v>
      </c>
      <c r="Z4" s="373">
        <f t="shared" ref="Z4:Z9" si="19">IF(F4&gt;0,0,IF($A4=$U$2,$D4,IF($E4=$U$2,$B4,0)))</f>
        <v>0</v>
      </c>
      <c r="AA4" s="373"/>
      <c r="AB4" s="373">
        <f t="shared" ref="AB4:AB9" si="20">IF(AND(F4=0,OR($A4=$AB$2,$E4=$AB$2)),1,0)</f>
        <v>0</v>
      </c>
      <c r="AC4" s="373">
        <f t="shared" ref="AC4:AC9" si="21">IF(AND(F4=0,OR(AND($A4=$AB$2,$B4&gt;$D4),AND($E4=$AB$2,$D4&gt;$B4))),1,0)</f>
        <v>0</v>
      </c>
      <c r="AD4" s="373">
        <f t="shared" ref="AD4:AD9" si="22">IF(AND(F4=0,AB4=1,$B4=$D4),1,0)</f>
        <v>0</v>
      </c>
      <c r="AE4" s="373">
        <f t="shared" ref="AE4:AE9" si="23">IF(AND(F4=0,OR(AND($A4=$AB$2,$B4&lt;$D4),AND($E4=$AB$2,$D4&lt;$B4))),1,0)</f>
        <v>0</v>
      </c>
      <c r="AF4" s="373">
        <f t="shared" ref="AF4:AF9" si="24">IF(F4&gt;0,0,IF($A4=$AB$2,$B4,IF($E4=$AB$2,$D4,0)))</f>
        <v>0</v>
      </c>
      <c r="AG4" s="373">
        <f t="shared" ref="AG4:AG9" si="25">IF(F4&gt;0,0,IF($A4=$AB$2,$D4,IF($E4=$AB$2,$B4,0)))</f>
        <v>0</v>
      </c>
      <c r="AH4" s="373"/>
      <c r="AI4" s="370"/>
      <c r="AJ4" s="370"/>
      <c r="AK4" s="370"/>
      <c r="AL4" s="370"/>
      <c r="AM4" s="370"/>
      <c r="AN4" s="374" t="str">
        <f t="shared" si="0"/>
        <v>InglaterraGhana</v>
      </c>
      <c r="AO4" s="371" t="str">
        <f t="shared" si="1"/>
        <v>Inglaterra</v>
      </c>
      <c r="AP4" s="370"/>
      <c r="AQ4" s="370"/>
      <c r="AR4" s="370"/>
      <c r="AS4" s="370"/>
      <c r="AT4" s="370"/>
      <c r="AU4" s="370"/>
      <c r="AV4" s="370"/>
      <c r="AW4" s="370"/>
      <c r="AX4" s="370"/>
      <c r="AY4" s="336"/>
      <c r="AZ4" s="336"/>
      <c r="BA4" s="336"/>
      <c r="BB4" s="336"/>
      <c r="BC4" s="336"/>
    </row>
    <row r="5" spans="1:55" x14ac:dyDescent="0.2">
      <c r="A5" s="375" t="str">
        <f>'- L -'!C7</f>
        <v>Ghana</v>
      </c>
      <c r="B5" s="373">
        <f>IF('- L -'!D7&lt;&gt;"",'- L -'!D7,"")</f>
        <v>1</v>
      </c>
      <c r="C5" s="373" t="str">
        <f>'- L -'!E7</f>
        <v>-</v>
      </c>
      <c r="D5" s="373">
        <f>IF('- L -'!F7&lt;&gt;"",'- L -'!F7,"")</f>
        <v>0</v>
      </c>
      <c r="E5" s="376" t="str">
        <f>'- L -'!G7</f>
        <v>Panamá</v>
      </c>
      <c r="F5" s="373">
        <f>COUNTBLANK('- L -'!D7:'- L -'!F7)</f>
        <v>0</v>
      </c>
      <c r="G5" s="373">
        <f t="shared" si="2"/>
        <v>0</v>
      </c>
      <c r="H5" s="373">
        <f t="shared" si="3"/>
        <v>0</v>
      </c>
      <c r="I5" s="373">
        <f t="shared" si="4"/>
        <v>0</v>
      </c>
      <c r="J5" s="373">
        <f t="shared" si="5"/>
        <v>0</v>
      </c>
      <c r="K5" s="373">
        <f t="shared" si="6"/>
        <v>0</v>
      </c>
      <c r="L5" s="373">
        <f t="shared" si="7"/>
        <v>0</v>
      </c>
      <c r="M5" s="373"/>
      <c r="N5" s="373">
        <f t="shared" si="8"/>
        <v>0</v>
      </c>
      <c r="O5" s="373">
        <f t="shared" si="9"/>
        <v>0</v>
      </c>
      <c r="P5" s="373">
        <f t="shared" si="10"/>
        <v>0</v>
      </c>
      <c r="Q5" s="373">
        <f t="shared" si="11"/>
        <v>0</v>
      </c>
      <c r="R5" s="373">
        <f t="shared" si="12"/>
        <v>0</v>
      </c>
      <c r="S5" s="373">
        <f t="shared" si="13"/>
        <v>0</v>
      </c>
      <c r="T5" s="373"/>
      <c r="U5" s="373">
        <f t="shared" si="14"/>
        <v>1</v>
      </c>
      <c r="V5" s="373">
        <f t="shared" si="15"/>
        <v>1</v>
      </c>
      <c r="W5" s="373">
        <f t="shared" si="16"/>
        <v>0</v>
      </c>
      <c r="X5" s="373">
        <f t="shared" si="17"/>
        <v>0</v>
      </c>
      <c r="Y5" s="373">
        <f t="shared" si="18"/>
        <v>1</v>
      </c>
      <c r="Z5" s="373">
        <f t="shared" si="19"/>
        <v>0</v>
      </c>
      <c r="AA5" s="373"/>
      <c r="AB5" s="373">
        <f t="shared" si="20"/>
        <v>1</v>
      </c>
      <c r="AC5" s="373">
        <f t="shared" si="21"/>
        <v>0</v>
      </c>
      <c r="AD5" s="373">
        <f t="shared" si="22"/>
        <v>0</v>
      </c>
      <c r="AE5" s="373">
        <f t="shared" si="23"/>
        <v>1</v>
      </c>
      <c r="AF5" s="373">
        <f t="shared" si="24"/>
        <v>0</v>
      </c>
      <c r="AG5" s="373">
        <f t="shared" si="25"/>
        <v>1</v>
      </c>
      <c r="AH5" s="373"/>
      <c r="AI5" s="370"/>
      <c r="AJ5" s="370"/>
      <c r="AK5" s="370"/>
      <c r="AL5" s="370"/>
      <c r="AM5" s="370"/>
      <c r="AN5" s="374" t="str">
        <f t="shared" si="0"/>
        <v>PanamáCroacia</v>
      </c>
      <c r="AO5" s="371" t="str">
        <f t="shared" si="1"/>
        <v>Croacia</v>
      </c>
      <c r="AP5" s="370"/>
      <c r="AQ5" s="370"/>
      <c r="AR5" s="370"/>
      <c r="AS5" s="370"/>
      <c r="AT5" s="370"/>
      <c r="AU5" s="370"/>
      <c r="AV5" s="370"/>
      <c r="AW5" s="370"/>
      <c r="AX5" s="370"/>
      <c r="AY5" s="336"/>
      <c r="AZ5" s="336"/>
      <c r="BA5" s="336"/>
      <c r="BB5" s="336"/>
      <c r="BC5" s="336"/>
    </row>
    <row r="6" spans="1:55" x14ac:dyDescent="0.2">
      <c r="A6" s="375" t="str">
        <f>'- L -'!C8</f>
        <v>Inglaterra</v>
      </c>
      <c r="B6" s="373">
        <f>IF('- L -'!D8&lt;&gt;"",'- L -'!D8,"")</f>
        <v>2</v>
      </c>
      <c r="C6" s="373" t="str">
        <f>'- L -'!E8</f>
        <v>-</v>
      </c>
      <c r="D6" s="373">
        <f>IF('- L -'!F8&lt;&gt;"",'- L -'!F8,"")</f>
        <v>0</v>
      </c>
      <c r="E6" s="376" t="str">
        <f>'- L -'!G8</f>
        <v>Ghana</v>
      </c>
      <c r="F6" s="373">
        <f>COUNTBLANK('- L -'!D8:'- L -'!F8)</f>
        <v>0</v>
      </c>
      <c r="G6" s="373">
        <f t="shared" si="2"/>
        <v>1</v>
      </c>
      <c r="H6" s="373">
        <f t="shared" si="3"/>
        <v>1</v>
      </c>
      <c r="I6" s="373">
        <f t="shared" si="4"/>
        <v>0</v>
      </c>
      <c r="J6" s="373">
        <f t="shared" si="5"/>
        <v>0</v>
      </c>
      <c r="K6" s="373">
        <f t="shared" si="6"/>
        <v>2</v>
      </c>
      <c r="L6" s="373">
        <f t="shared" si="7"/>
        <v>0</v>
      </c>
      <c r="M6" s="373"/>
      <c r="N6" s="373">
        <f t="shared" si="8"/>
        <v>0</v>
      </c>
      <c r="O6" s="373">
        <f t="shared" si="9"/>
        <v>0</v>
      </c>
      <c r="P6" s="373">
        <f t="shared" si="10"/>
        <v>0</v>
      </c>
      <c r="Q6" s="373">
        <f t="shared" si="11"/>
        <v>0</v>
      </c>
      <c r="R6" s="373">
        <f t="shared" si="12"/>
        <v>0</v>
      </c>
      <c r="S6" s="373">
        <f t="shared" si="13"/>
        <v>0</v>
      </c>
      <c r="T6" s="373"/>
      <c r="U6" s="373">
        <f t="shared" si="14"/>
        <v>1</v>
      </c>
      <c r="V6" s="373">
        <f t="shared" si="15"/>
        <v>0</v>
      </c>
      <c r="W6" s="373">
        <f t="shared" si="16"/>
        <v>0</v>
      </c>
      <c r="X6" s="373">
        <f t="shared" si="17"/>
        <v>1</v>
      </c>
      <c r="Y6" s="373">
        <f t="shared" si="18"/>
        <v>0</v>
      </c>
      <c r="Z6" s="373">
        <f t="shared" si="19"/>
        <v>2</v>
      </c>
      <c r="AA6" s="373"/>
      <c r="AB6" s="373">
        <f t="shared" si="20"/>
        <v>0</v>
      </c>
      <c r="AC6" s="373">
        <f t="shared" si="21"/>
        <v>0</v>
      </c>
      <c r="AD6" s="373">
        <f t="shared" si="22"/>
        <v>0</v>
      </c>
      <c r="AE6" s="373">
        <f t="shared" si="23"/>
        <v>0</v>
      </c>
      <c r="AF6" s="373">
        <f t="shared" si="24"/>
        <v>0</v>
      </c>
      <c r="AG6" s="373">
        <f t="shared" si="25"/>
        <v>0</v>
      </c>
      <c r="AH6" s="373"/>
      <c r="AI6" s="370"/>
      <c r="AJ6" s="370"/>
      <c r="AK6" s="370"/>
      <c r="AL6" s="370"/>
      <c r="AM6" s="370"/>
      <c r="AN6" s="374" t="str">
        <f t="shared" si="0"/>
        <v>PanamáInglaterra</v>
      </c>
      <c r="AO6" s="371" t="str">
        <f t="shared" si="1"/>
        <v>Inglaterra</v>
      </c>
      <c r="AP6" s="370"/>
      <c r="AQ6" s="370"/>
      <c r="AR6" s="370"/>
      <c r="AS6" s="370"/>
      <c r="AT6" s="370"/>
      <c r="AU6" s="370"/>
      <c r="AV6" s="370"/>
      <c r="AW6" s="370"/>
      <c r="AX6" s="370"/>
      <c r="AY6" s="336"/>
      <c r="AZ6" s="336"/>
      <c r="BA6" s="336"/>
      <c r="BB6" s="336"/>
      <c r="BC6" s="336"/>
    </row>
    <row r="7" spans="1:55" x14ac:dyDescent="0.2">
      <c r="A7" s="375" t="str">
        <f>'- L -'!C9</f>
        <v>Panamá</v>
      </c>
      <c r="B7" s="373">
        <f>IF('- L -'!D9&lt;&gt;"",'- L -'!D9,"")</f>
        <v>1</v>
      </c>
      <c r="C7" s="373" t="str">
        <f>'- L -'!E9</f>
        <v>-</v>
      </c>
      <c r="D7" s="373">
        <f>IF('- L -'!F9&lt;&gt;"",'- L -'!F9,"")</f>
        <v>3</v>
      </c>
      <c r="E7" s="376" t="str">
        <f>'- L -'!G9</f>
        <v>Croacia</v>
      </c>
      <c r="F7" s="373">
        <f>COUNTBLANK('- L -'!D9:'- L -'!F9)</f>
        <v>0</v>
      </c>
      <c r="G7" s="373">
        <f t="shared" si="2"/>
        <v>0</v>
      </c>
      <c r="H7" s="373">
        <f t="shared" si="3"/>
        <v>0</v>
      </c>
      <c r="I7" s="373">
        <f t="shared" si="4"/>
        <v>0</v>
      </c>
      <c r="J7" s="373">
        <f t="shared" si="5"/>
        <v>0</v>
      </c>
      <c r="K7" s="373">
        <f t="shared" si="6"/>
        <v>0</v>
      </c>
      <c r="L7" s="373">
        <f t="shared" si="7"/>
        <v>0</v>
      </c>
      <c r="M7" s="373"/>
      <c r="N7" s="373">
        <f t="shared" si="8"/>
        <v>1</v>
      </c>
      <c r="O7" s="373">
        <f t="shared" si="9"/>
        <v>1</v>
      </c>
      <c r="P7" s="373">
        <f t="shared" si="10"/>
        <v>0</v>
      </c>
      <c r="Q7" s="373">
        <f t="shared" si="11"/>
        <v>0</v>
      </c>
      <c r="R7" s="373">
        <f t="shared" si="12"/>
        <v>3</v>
      </c>
      <c r="S7" s="373">
        <f t="shared" si="13"/>
        <v>1</v>
      </c>
      <c r="T7" s="373"/>
      <c r="U7" s="373">
        <f t="shared" si="14"/>
        <v>0</v>
      </c>
      <c r="V7" s="373">
        <f t="shared" si="15"/>
        <v>0</v>
      </c>
      <c r="W7" s="373">
        <f t="shared" si="16"/>
        <v>0</v>
      </c>
      <c r="X7" s="373">
        <f t="shared" si="17"/>
        <v>0</v>
      </c>
      <c r="Y7" s="373">
        <f t="shared" si="18"/>
        <v>0</v>
      </c>
      <c r="Z7" s="373">
        <f t="shared" si="19"/>
        <v>0</v>
      </c>
      <c r="AA7" s="373"/>
      <c r="AB7" s="373">
        <f t="shared" si="20"/>
        <v>1</v>
      </c>
      <c r="AC7" s="373">
        <f t="shared" si="21"/>
        <v>0</v>
      </c>
      <c r="AD7" s="373">
        <f t="shared" si="22"/>
        <v>0</v>
      </c>
      <c r="AE7" s="373">
        <f t="shared" si="23"/>
        <v>1</v>
      </c>
      <c r="AF7" s="373">
        <f t="shared" si="24"/>
        <v>1</v>
      </c>
      <c r="AG7" s="373">
        <f t="shared" si="25"/>
        <v>3</v>
      </c>
      <c r="AH7" s="373"/>
      <c r="AI7" s="370"/>
      <c r="AJ7" s="370"/>
      <c r="AK7" s="370"/>
      <c r="AL7" s="370"/>
      <c r="AM7" s="370"/>
      <c r="AN7" s="374" t="str">
        <f t="shared" si="0"/>
        <v>CroaciaGhana</v>
      </c>
      <c r="AO7" s="371" t="str">
        <f t="shared" si="1"/>
        <v>Croacia</v>
      </c>
      <c r="AP7" s="370"/>
      <c r="AQ7" s="370"/>
      <c r="AR7" s="370"/>
      <c r="AS7" s="370"/>
      <c r="AT7" s="370"/>
      <c r="AU7" s="370"/>
      <c r="AV7" s="370"/>
      <c r="AW7" s="370"/>
      <c r="AX7" s="370"/>
      <c r="AY7" s="336"/>
      <c r="AZ7" s="336"/>
      <c r="BA7" s="336"/>
      <c r="BB7" s="336"/>
      <c r="BC7" s="336"/>
    </row>
    <row r="8" spans="1:55" x14ac:dyDescent="0.2">
      <c r="A8" s="375" t="str">
        <f>'- L -'!C10</f>
        <v>Panamá</v>
      </c>
      <c r="B8" s="373">
        <f>IF('- L -'!D10&lt;&gt;"",'- L -'!D10,"")</f>
        <v>0</v>
      </c>
      <c r="C8" s="373" t="str">
        <f>'- L -'!E10</f>
        <v>-</v>
      </c>
      <c r="D8" s="373">
        <f>IF('- L -'!F10&lt;&gt;"",'- L -'!F10,"")</f>
        <v>3</v>
      </c>
      <c r="E8" s="376" t="str">
        <f>'- L -'!G10</f>
        <v>Inglaterra</v>
      </c>
      <c r="F8" s="373">
        <f>COUNTBLANK('- L -'!D10:'- L -'!F10)</f>
        <v>0</v>
      </c>
      <c r="G8" s="373">
        <f t="shared" si="2"/>
        <v>1</v>
      </c>
      <c r="H8" s="373">
        <f t="shared" si="3"/>
        <v>1</v>
      </c>
      <c r="I8" s="373">
        <f t="shared" si="4"/>
        <v>0</v>
      </c>
      <c r="J8" s="373">
        <f t="shared" si="5"/>
        <v>0</v>
      </c>
      <c r="K8" s="373">
        <f t="shared" si="6"/>
        <v>3</v>
      </c>
      <c r="L8" s="373">
        <f t="shared" si="7"/>
        <v>0</v>
      </c>
      <c r="M8" s="373"/>
      <c r="N8" s="373">
        <f t="shared" si="8"/>
        <v>0</v>
      </c>
      <c r="O8" s="373">
        <f t="shared" si="9"/>
        <v>0</v>
      </c>
      <c r="P8" s="373">
        <f t="shared" si="10"/>
        <v>0</v>
      </c>
      <c r="Q8" s="373">
        <f t="shared" si="11"/>
        <v>0</v>
      </c>
      <c r="R8" s="373">
        <f t="shared" si="12"/>
        <v>0</v>
      </c>
      <c r="S8" s="373">
        <f t="shared" si="13"/>
        <v>0</v>
      </c>
      <c r="T8" s="373"/>
      <c r="U8" s="373">
        <f t="shared" si="14"/>
        <v>0</v>
      </c>
      <c r="V8" s="373">
        <f t="shared" si="15"/>
        <v>0</v>
      </c>
      <c r="W8" s="373">
        <f t="shared" si="16"/>
        <v>0</v>
      </c>
      <c r="X8" s="373">
        <f t="shared" si="17"/>
        <v>0</v>
      </c>
      <c r="Y8" s="373">
        <f t="shared" si="18"/>
        <v>0</v>
      </c>
      <c r="Z8" s="373">
        <f t="shared" si="19"/>
        <v>0</v>
      </c>
      <c r="AA8" s="373"/>
      <c r="AB8" s="373">
        <f t="shared" si="20"/>
        <v>1</v>
      </c>
      <c r="AC8" s="373">
        <f t="shared" si="21"/>
        <v>0</v>
      </c>
      <c r="AD8" s="373">
        <f t="shared" si="22"/>
        <v>0</v>
      </c>
      <c r="AE8" s="373">
        <f t="shared" si="23"/>
        <v>1</v>
      </c>
      <c r="AF8" s="373">
        <f t="shared" si="24"/>
        <v>0</v>
      </c>
      <c r="AG8" s="373">
        <f t="shared" si="25"/>
        <v>3</v>
      </c>
      <c r="AH8" s="373"/>
      <c r="AI8" s="370"/>
      <c r="AJ8" s="370"/>
      <c r="AK8" s="370"/>
      <c r="AL8" s="370"/>
      <c r="AM8" s="370"/>
      <c r="AN8" s="374" t="str">
        <f>E4&amp;A4</f>
        <v>CroaciaInglaterra</v>
      </c>
      <c r="AO8" s="371" t="str">
        <f>IF(B4=D4,0,IF(B4&gt;D4,A4,E4))</f>
        <v>Inglaterra</v>
      </c>
      <c r="AP8" s="370"/>
      <c r="AQ8" s="370"/>
      <c r="AR8" s="370"/>
      <c r="AS8" s="370"/>
      <c r="AT8" s="370"/>
      <c r="AU8" s="370"/>
      <c r="AV8" s="370"/>
      <c r="AW8" s="370"/>
      <c r="AX8" s="370"/>
      <c r="AY8" s="336"/>
      <c r="AZ8" s="336"/>
      <c r="BA8" s="336"/>
      <c r="BB8" s="336"/>
      <c r="BC8" s="336"/>
    </row>
    <row r="9" spans="1:55" x14ac:dyDescent="0.2">
      <c r="A9" s="375" t="str">
        <f>'- L -'!C11</f>
        <v>Croacia</v>
      </c>
      <c r="B9" s="373">
        <f>IF('- L -'!D11&lt;&gt;"",'- L -'!D11,"")</f>
        <v>2</v>
      </c>
      <c r="C9" s="373" t="str">
        <f>'- L -'!E11</f>
        <v>-</v>
      </c>
      <c r="D9" s="373">
        <f>IF('- L -'!F11&lt;&gt;"",'- L -'!F11,"")</f>
        <v>1</v>
      </c>
      <c r="E9" s="376" t="str">
        <f>'- L -'!G11</f>
        <v>Ghana</v>
      </c>
      <c r="F9" s="373">
        <f>COUNTBLANK('- L -'!D11:'- L -'!F11)</f>
        <v>0</v>
      </c>
      <c r="G9" s="373">
        <f t="shared" si="2"/>
        <v>0</v>
      </c>
      <c r="H9" s="373">
        <f t="shared" si="3"/>
        <v>0</v>
      </c>
      <c r="I9" s="373">
        <f t="shared" si="4"/>
        <v>0</v>
      </c>
      <c r="J9" s="373">
        <f t="shared" si="5"/>
        <v>0</v>
      </c>
      <c r="K9" s="373">
        <f t="shared" si="6"/>
        <v>0</v>
      </c>
      <c r="L9" s="373">
        <f t="shared" si="7"/>
        <v>0</v>
      </c>
      <c r="M9" s="373"/>
      <c r="N9" s="373">
        <f t="shared" si="8"/>
        <v>1</v>
      </c>
      <c r="O9" s="373">
        <f t="shared" si="9"/>
        <v>1</v>
      </c>
      <c r="P9" s="373">
        <f t="shared" si="10"/>
        <v>0</v>
      </c>
      <c r="Q9" s="373">
        <f t="shared" si="11"/>
        <v>0</v>
      </c>
      <c r="R9" s="373">
        <f t="shared" si="12"/>
        <v>2</v>
      </c>
      <c r="S9" s="373">
        <f t="shared" si="13"/>
        <v>1</v>
      </c>
      <c r="T9" s="373"/>
      <c r="U9" s="373">
        <f t="shared" si="14"/>
        <v>1</v>
      </c>
      <c r="V9" s="373">
        <f t="shared" si="15"/>
        <v>0</v>
      </c>
      <c r="W9" s="373">
        <f t="shared" si="16"/>
        <v>0</v>
      </c>
      <c r="X9" s="373">
        <f t="shared" si="17"/>
        <v>1</v>
      </c>
      <c r="Y9" s="373">
        <f t="shared" si="18"/>
        <v>1</v>
      </c>
      <c r="Z9" s="373">
        <f t="shared" si="19"/>
        <v>2</v>
      </c>
      <c r="AA9" s="373"/>
      <c r="AB9" s="373">
        <f t="shared" si="20"/>
        <v>0</v>
      </c>
      <c r="AC9" s="373">
        <f t="shared" si="21"/>
        <v>0</v>
      </c>
      <c r="AD9" s="373">
        <f t="shared" si="22"/>
        <v>0</v>
      </c>
      <c r="AE9" s="373">
        <f t="shared" si="23"/>
        <v>0</v>
      </c>
      <c r="AF9" s="373">
        <f t="shared" si="24"/>
        <v>0</v>
      </c>
      <c r="AG9" s="373">
        <f t="shared" si="25"/>
        <v>0</v>
      </c>
      <c r="AH9" s="373"/>
      <c r="AI9" s="370"/>
      <c r="AJ9" s="370"/>
      <c r="AK9" s="370"/>
      <c r="AL9" s="370"/>
      <c r="AM9" s="370"/>
      <c r="AN9" s="374" t="str">
        <f t="shared" ref="AN9:AN13" si="26">E5&amp;A5</f>
        <v>PanamáGhana</v>
      </c>
      <c r="AO9" s="371" t="str">
        <f t="shared" ref="AO9:AO13" si="27">IF(B5=D5,0,IF(B5&gt;D5,A5,E5))</f>
        <v>Ghana</v>
      </c>
      <c r="AP9" s="370"/>
      <c r="AQ9" s="370"/>
      <c r="AR9" s="370"/>
      <c r="AS9" s="370"/>
      <c r="AT9" s="370"/>
      <c r="AU9" s="370"/>
      <c r="AV9" s="370"/>
      <c r="AW9" s="370"/>
      <c r="AX9" s="370"/>
      <c r="AY9" s="336"/>
      <c r="AZ9" s="336"/>
      <c r="BA9" s="336"/>
      <c r="BB9" s="336"/>
      <c r="BC9" s="336"/>
    </row>
    <row r="10" spans="1:55" x14ac:dyDescent="0.2">
      <c r="A10" s="370"/>
      <c r="B10" s="370"/>
      <c r="C10" s="370"/>
      <c r="D10" s="370"/>
      <c r="E10" s="370"/>
      <c r="F10" s="370"/>
      <c r="G10" s="373">
        <f t="shared" ref="G10:L10" si="28">SUM(G4:G9)</f>
        <v>3</v>
      </c>
      <c r="H10" s="373">
        <f t="shared" si="28"/>
        <v>3</v>
      </c>
      <c r="I10" s="373">
        <f t="shared" si="28"/>
        <v>0</v>
      </c>
      <c r="J10" s="373">
        <f t="shared" si="28"/>
        <v>0</v>
      </c>
      <c r="K10" s="373">
        <f t="shared" si="28"/>
        <v>6</v>
      </c>
      <c r="L10" s="373">
        <f t="shared" si="28"/>
        <v>0</v>
      </c>
      <c r="M10" s="373">
        <f>H10*3+I10</f>
        <v>9</v>
      </c>
      <c r="N10" s="373">
        <f t="shared" ref="N10:S10" si="29">SUM(N4:N9)</f>
        <v>3</v>
      </c>
      <c r="O10" s="373">
        <f t="shared" si="29"/>
        <v>2</v>
      </c>
      <c r="P10" s="373">
        <f t="shared" si="29"/>
        <v>0</v>
      </c>
      <c r="Q10" s="373">
        <f t="shared" si="29"/>
        <v>1</v>
      </c>
      <c r="R10" s="373">
        <f t="shared" si="29"/>
        <v>5</v>
      </c>
      <c r="S10" s="373">
        <f t="shared" si="29"/>
        <v>3</v>
      </c>
      <c r="T10" s="373">
        <f>O10*3+P10</f>
        <v>6</v>
      </c>
      <c r="U10" s="373">
        <f t="shared" ref="U10:Z10" si="30">SUM(U4:U9)</f>
        <v>3</v>
      </c>
      <c r="V10" s="373">
        <f t="shared" si="30"/>
        <v>1</v>
      </c>
      <c r="W10" s="373">
        <f t="shared" si="30"/>
        <v>0</v>
      </c>
      <c r="X10" s="373">
        <f t="shared" si="30"/>
        <v>2</v>
      </c>
      <c r="Y10" s="373">
        <f t="shared" si="30"/>
        <v>2</v>
      </c>
      <c r="Z10" s="373">
        <f t="shared" si="30"/>
        <v>4</v>
      </c>
      <c r="AA10" s="373">
        <f>V10*3+W10</f>
        <v>3</v>
      </c>
      <c r="AB10" s="373">
        <f t="shared" ref="AB10:AG10" si="31">SUM(AB4:AB9)</f>
        <v>3</v>
      </c>
      <c r="AC10" s="373">
        <f t="shared" si="31"/>
        <v>0</v>
      </c>
      <c r="AD10" s="373">
        <f t="shared" si="31"/>
        <v>0</v>
      </c>
      <c r="AE10" s="373">
        <f t="shared" si="31"/>
        <v>3</v>
      </c>
      <c r="AF10" s="373">
        <f t="shared" si="31"/>
        <v>1</v>
      </c>
      <c r="AG10" s="373">
        <f t="shared" si="31"/>
        <v>7</v>
      </c>
      <c r="AH10" s="373">
        <f>AC10*3+AD10</f>
        <v>0</v>
      </c>
      <c r="AI10" s="370"/>
      <c r="AJ10" s="370"/>
      <c r="AK10" s="370"/>
      <c r="AL10" s="370"/>
      <c r="AM10" s="370"/>
      <c r="AN10" s="374" t="str">
        <f t="shared" si="26"/>
        <v>GhanaInglaterra</v>
      </c>
      <c r="AO10" s="371" t="str">
        <f t="shared" si="27"/>
        <v>Inglaterra</v>
      </c>
      <c r="AP10" s="370"/>
      <c r="AQ10" s="370"/>
      <c r="AR10" s="370"/>
      <c r="AS10" s="370"/>
      <c r="AT10" s="370"/>
      <c r="AU10" s="370"/>
      <c r="AV10" s="370"/>
      <c r="AW10" s="370"/>
      <c r="AX10" s="370"/>
      <c r="AY10" s="336"/>
      <c r="AZ10" s="336"/>
      <c r="BA10" s="336"/>
      <c r="BB10" s="336"/>
      <c r="BC10" s="336"/>
    </row>
    <row r="11" spans="1:55" x14ac:dyDescent="0.2">
      <c r="A11" s="370"/>
      <c r="B11" s="370"/>
      <c r="C11" s="370"/>
      <c r="D11" s="370"/>
      <c r="E11" s="370"/>
      <c r="F11" s="370"/>
      <c r="G11" s="370"/>
      <c r="H11" s="370"/>
      <c r="I11" s="370"/>
      <c r="J11" s="370"/>
      <c r="K11" s="370"/>
      <c r="L11" s="370"/>
      <c r="M11" s="371" t="s">
        <v>42</v>
      </c>
      <c r="N11" s="370"/>
      <c r="O11" s="370"/>
      <c r="P11" s="370"/>
      <c r="Q11" s="370"/>
      <c r="R11" s="370"/>
      <c r="S11" s="370"/>
      <c r="T11" s="371" t="s">
        <v>42</v>
      </c>
      <c r="U11" s="370"/>
      <c r="V11" s="370"/>
      <c r="W11" s="370"/>
      <c r="X11" s="370"/>
      <c r="Y11" s="370"/>
      <c r="Z11" s="370"/>
      <c r="AA11" s="371" t="s">
        <v>42</v>
      </c>
      <c r="AB11" s="370"/>
      <c r="AC11" s="370"/>
      <c r="AD11" s="370"/>
      <c r="AE11" s="370"/>
      <c r="AF11" s="370"/>
      <c r="AG11" s="370"/>
      <c r="AH11" s="371" t="s">
        <v>42</v>
      </c>
      <c r="AI11" s="370"/>
      <c r="AJ11" s="370"/>
      <c r="AK11" s="370"/>
      <c r="AL11" s="370"/>
      <c r="AM11" s="370"/>
      <c r="AN11" s="374" t="str">
        <f t="shared" si="26"/>
        <v>CroaciaPanamá</v>
      </c>
      <c r="AO11" s="371" t="str">
        <f t="shared" si="27"/>
        <v>Croacia</v>
      </c>
      <c r="AP11" s="370"/>
      <c r="AQ11" s="370"/>
      <c r="AR11" s="370"/>
      <c r="AS11" s="370"/>
      <c r="AT11" s="370"/>
      <c r="AU11" s="370"/>
      <c r="AV11" s="370"/>
      <c r="AW11" s="370"/>
      <c r="AX11" s="370"/>
      <c r="AY11" s="336"/>
      <c r="AZ11" s="336"/>
      <c r="BA11" s="336"/>
      <c r="BB11" s="336"/>
      <c r="BC11" s="336"/>
    </row>
    <row r="12" spans="1:55" x14ac:dyDescent="0.2">
      <c r="A12" s="370"/>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4" t="str">
        <f t="shared" si="26"/>
        <v>InglaterraPanamá</v>
      </c>
      <c r="AO12" s="371" t="str">
        <f t="shared" si="27"/>
        <v>Inglaterra</v>
      </c>
      <c r="AP12" s="370"/>
      <c r="AQ12" s="370"/>
      <c r="AR12" s="370"/>
      <c r="AS12" s="370"/>
      <c r="AT12" s="370"/>
      <c r="AU12" s="370"/>
      <c r="AV12" s="370"/>
      <c r="AW12" s="370"/>
      <c r="AX12" s="370"/>
      <c r="AY12" s="336"/>
      <c r="AZ12" s="336"/>
      <c r="BA12" s="336"/>
      <c r="BB12" s="336"/>
      <c r="BC12" s="336"/>
    </row>
    <row r="13" spans="1:55" x14ac:dyDescent="0.2">
      <c r="A13" s="370"/>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4" t="str">
        <f t="shared" si="26"/>
        <v>GhanaCroacia</v>
      </c>
      <c r="AO13" s="371" t="str">
        <f t="shared" si="27"/>
        <v>Croacia</v>
      </c>
      <c r="AP13" s="370"/>
      <c r="AQ13" s="370"/>
      <c r="AR13" s="370"/>
      <c r="AS13" s="370"/>
      <c r="AT13" s="370"/>
      <c r="AU13" s="370"/>
      <c r="AV13" s="370"/>
      <c r="AW13" s="370"/>
      <c r="AX13" s="370"/>
      <c r="AY13" s="336"/>
      <c r="AZ13" s="336"/>
      <c r="BA13" s="336"/>
      <c r="BB13" s="336"/>
      <c r="BC13" s="336"/>
    </row>
    <row r="14" spans="1:55" x14ac:dyDescent="0.2">
      <c r="A14" s="370"/>
      <c r="B14" s="370"/>
      <c r="C14" s="370"/>
      <c r="D14" s="370"/>
      <c r="E14" s="370"/>
      <c r="F14" s="370" t="s">
        <v>23</v>
      </c>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36"/>
      <c r="AZ14" s="336"/>
      <c r="BA14" s="336"/>
      <c r="BB14" s="336"/>
      <c r="BC14" s="336"/>
    </row>
    <row r="15" spans="1:55" x14ac:dyDescent="0.2">
      <c r="A15" s="377" t="s">
        <v>44</v>
      </c>
      <c r="B15" s="377"/>
      <c r="C15" s="377"/>
      <c r="D15" s="377"/>
      <c r="E15" s="377"/>
      <c r="F15" s="370"/>
      <c r="G15" s="371" t="s">
        <v>13</v>
      </c>
      <c r="H15" s="371" t="s">
        <v>14</v>
      </c>
      <c r="I15" s="371" t="s">
        <v>15</v>
      </c>
      <c r="J15" s="371" t="s">
        <v>16</v>
      </c>
      <c r="K15" s="371" t="s">
        <v>17</v>
      </c>
      <c r="L15" s="371" t="s">
        <v>18</v>
      </c>
      <c r="M15" s="371" t="s">
        <v>42</v>
      </c>
      <c r="N15" s="370"/>
      <c r="O15" s="370" t="s">
        <v>5</v>
      </c>
      <c r="P15" s="370"/>
      <c r="Q15" s="370"/>
      <c r="R15" s="370"/>
      <c r="S15" s="370" t="s">
        <v>6</v>
      </c>
      <c r="T15" s="370"/>
      <c r="U15" s="370"/>
      <c r="V15" s="370"/>
      <c r="W15" s="370" t="s">
        <v>7</v>
      </c>
      <c r="X15" s="370"/>
      <c r="Y15" s="370"/>
      <c r="Z15" s="370"/>
      <c r="AA15" s="370" t="s">
        <v>8</v>
      </c>
      <c r="AB15" s="370"/>
      <c r="AC15" s="370"/>
      <c r="AD15" s="370"/>
      <c r="AE15" s="370" t="s">
        <v>9</v>
      </c>
      <c r="AF15" s="370"/>
      <c r="AG15" s="370"/>
      <c r="AH15" s="370"/>
      <c r="AI15" s="370" t="s">
        <v>10</v>
      </c>
      <c r="AJ15" s="370"/>
      <c r="AK15" s="370"/>
      <c r="AL15" s="370"/>
      <c r="AM15" s="370"/>
      <c r="AN15" s="370"/>
      <c r="AO15" s="370"/>
      <c r="AP15" s="370"/>
      <c r="AQ15" s="370"/>
      <c r="AR15" s="370"/>
      <c r="AS15" s="370"/>
      <c r="AT15" s="370"/>
      <c r="AU15" s="370"/>
      <c r="AV15" s="370"/>
      <c r="AW15" s="370"/>
      <c r="AX15" s="370"/>
      <c r="AY15" s="336"/>
      <c r="AZ15" s="336"/>
      <c r="BA15" s="336"/>
      <c r="BB15" s="336"/>
      <c r="BC15" s="336"/>
    </row>
    <row r="16" spans="1:55" x14ac:dyDescent="0.2">
      <c r="A16" s="370"/>
      <c r="B16" s="370"/>
      <c r="C16" s="370"/>
      <c r="D16" s="370"/>
      <c r="E16" s="370"/>
      <c r="F16" s="370" t="str">
        <f>G2</f>
        <v>Inglaterra</v>
      </c>
      <c r="G16" s="373">
        <f>G10</f>
        <v>3</v>
      </c>
      <c r="H16" s="373">
        <f t="shared" ref="H16:M16" si="32">H10</f>
        <v>3</v>
      </c>
      <c r="I16" s="373">
        <f t="shared" si="32"/>
        <v>0</v>
      </c>
      <c r="J16" s="373">
        <f t="shared" si="32"/>
        <v>0</v>
      </c>
      <c r="K16" s="373">
        <f t="shared" si="32"/>
        <v>6</v>
      </c>
      <c r="L16" s="373">
        <f t="shared" si="32"/>
        <v>0</v>
      </c>
      <c r="M16" s="373">
        <f t="shared" si="32"/>
        <v>9</v>
      </c>
      <c r="N16" s="370"/>
      <c r="O16" s="370" t="str">
        <f>IF($M16&gt;=$M17,$F16,$F17)</f>
        <v>Inglaterra</v>
      </c>
      <c r="P16" s="370">
        <f>VLOOKUP(O16,$F$16:$M$20,8,FALSE)</f>
        <v>9</v>
      </c>
      <c r="Q16" s="370"/>
      <c r="R16" s="370"/>
      <c r="S16" s="370" t="str">
        <f>IF($P16&gt;=$P18,$O16,$O18)</f>
        <v>Inglaterra</v>
      </c>
      <c r="T16" s="370">
        <f>VLOOKUP(S16,$O$16:$P$20,2,FALSE)</f>
        <v>9</v>
      </c>
      <c r="U16" s="370"/>
      <c r="V16" s="370"/>
      <c r="W16" s="370" t="str">
        <f>IF($T16&gt;=$T19,$S16,$S19)</f>
        <v>Inglaterra</v>
      </c>
      <c r="X16" s="370">
        <f>VLOOKUP(W16,$S$16:$T$20,2,FALSE)</f>
        <v>9</v>
      </c>
      <c r="Y16" s="370"/>
      <c r="Z16" s="370"/>
      <c r="AA16" s="370" t="str">
        <f>W16</f>
        <v>Inglaterra</v>
      </c>
      <c r="AB16" s="370">
        <f>VLOOKUP(AA16,W16:X20,2,FALSE)</f>
        <v>9</v>
      </c>
      <c r="AC16" s="370"/>
      <c r="AD16" s="370"/>
      <c r="AE16" s="370" t="str">
        <f>AA16</f>
        <v>Inglaterra</v>
      </c>
      <c r="AF16" s="370">
        <f>VLOOKUP(AE16,AA16:AB20,2,FALSE)</f>
        <v>9</v>
      </c>
      <c r="AG16" s="370"/>
      <c r="AH16" s="370"/>
      <c r="AI16" s="370" t="str">
        <f>AE16</f>
        <v>Inglaterra</v>
      </c>
      <c r="AJ16" s="370">
        <f>VLOOKUP(AI16,AE16:AF20,2,FALSE)</f>
        <v>9</v>
      </c>
      <c r="AK16" s="370"/>
      <c r="AL16" s="370"/>
      <c r="AM16" s="370"/>
      <c r="AN16" s="370"/>
      <c r="AO16" s="370"/>
      <c r="AP16" s="370"/>
      <c r="AQ16" s="370"/>
      <c r="AR16" s="370"/>
      <c r="AS16" s="370"/>
      <c r="AT16" s="370"/>
      <c r="AU16" s="370"/>
      <c r="AV16" s="370"/>
      <c r="AW16" s="370"/>
      <c r="AX16" s="370"/>
      <c r="AY16" s="336"/>
      <c r="AZ16" s="336"/>
      <c r="BA16" s="336"/>
      <c r="BB16" s="336"/>
      <c r="BC16" s="336"/>
    </row>
    <row r="17" spans="1:55" x14ac:dyDescent="0.2">
      <c r="A17" s="370"/>
      <c r="B17" s="370"/>
      <c r="C17" s="370"/>
      <c r="D17" s="370"/>
      <c r="E17" s="370"/>
      <c r="F17" s="370" t="str">
        <f>N2</f>
        <v>Croacia</v>
      </c>
      <c r="G17" s="373">
        <f t="shared" ref="G17:M17" si="33">N10</f>
        <v>3</v>
      </c>
      <c r="H17" s="373">
        <f t="shared" si="33"/>
        <v>2</v>
      </c>
      <c r="I17" s="373">
        <f t="shared" si="33"/>
        <v>0</v>
      </c>
      <c r="J17" s="373">
        <f t="shared" si="33"/>
        <v>1</v>
      </c>
      <c r="K17" s="373">
        <f t="shared" si="33"/>
        <v>5</v>
      </c>
      <c r="L17" s="373">
        <f t="shared" si="33"/>
        <v>3</v>
      </c>
      <c r="M17" s="373">
        <f t="shared" si="33"/>
        <v>6</v>
      </c>
      <c r="N17" s="370"/>
      <c r="O17" s="370" t="str">
        <f>IF($M17&lt;=$M16,$F17,$F16)</f>
        <v>Croacia</v>
      </c>
      <c r="P17" s="370">
        <f>VLOOKUP(O17,$F$16:$M$20,8,FALSE)</f>
        <v>6</v>
      </c>
      <c r="Q17" s="370"/>
      <c r="R17" s="370"/>
      <c r="S17" s="370" t="str">
        <f>O17</f>
        <v>Croacia</v>
      </c>
      <c r="T17" s="370">
        <f>VLOOKUP(S17,$O$16:$P$20,2,FALSE)</f>
        <v>6</v>
      </c>
      <c r="U17" s="370"/>
      <c r="V17" s="370"/>
      <c r="W17" s="370" t="str">
        <f>S17</f>
        <v>Croacia</v>
      </c>
      <c r="X17" s="370">
        <f>VLOOKUP(W17,$S$16:$T$20,2,FALSE)</f>
        <v>6</v>
      </c>
      <c r="Y17" s="370"/>
      <c r="Z17" s="370"/>
      <c r="AA17" s="370" t="str">
        <f>IF(X17&gt;=X18,W17,W18)</f>
        <v>Croacia</v>
      </c>
      <c r="AB17" s="370">
        <f>VLOOKUP(AA17,W16:X20,2,FALSE)</f>
        <v>6</v>
      </c>
      <c r="AC17" s="370"/>
      <c r="AD17" s="370"/>
      <c r="AE17" s="370" t="str">
        <f>IF(AB17&gt;=AB19,AA17,AA19)</f>
        <v>Croacia</v>
      </c>
      <c r="AF17" s="370">
        <f>VLOOKUP(AE17,AA16:AB20,2,FALSE)</f>
        <v>6</v>
      </c>
      <c r="AG17" s="370"/>
      <c r="AH17" s="370"/>
      <c r="AI17" s="370" t="str">
        <f>AE17</f>
        <v>Croacia</v>
      </c>
      <c r="AJ17" s="370">
        <f>VLOOKUP(AI17,AE16:AF20,2,FALSE)</f>
        <v>6</v>
      </c>
      <c r="AK17" s="370"/>
      <c r="AL17" s="370"/>
      <c r="AM17" s="370"/>
      <c r="AN17" s="370"/>
      <c r="AO17" s="370"/>
      <c r="AP17" s="370"/>
      <c r="AQ17" s="370"/>
      <c r="AR17" s="370"/>
      <c r="AS17" s="370"/>
      <c r="AT17" s="370"/>
      <c r="AU17" s="370"/>
      <c r="AV17" s="370"/>
      <c r="AW17" s="370"/>
      <c r="AX17" s="370"/>
      <c r="AY17" s="336"/>
      <c r="AZ17" s="336"/>
      <c r="BA17" s="336"/>
      <c r="BB17" s="336"/>
      <c r="BC17" s="336"/>
    </row>
    <row r="18" spans="1:55" x14ac:dyDescent="0.2">
      <c r="A18" s="370"/>
      <c r="B18" s="370"/>
      <c r="C18" s="370"/>
      <c r="D18" s="370"/>
      <c r="E18" s="370"/>
      <c r="F18" s="370" t="str">
        <f>U2</f>
        <v>Ghana</v>
      </c>
      <c r="G18" s="373">
        <f t="shared" ref="G18:M18" si="34">U10</f>
        <v>3</v>
      </c>
      <c r="H18" s="373">
        <f t="shared" si="34"/>
        <v>1</v>
      </c>
      <c r="I18" s="373">
        <f t="shared" si="34"/>
        <v>0</v>
      </c>
      <c r="J18" s="373">
        <f t="shared" si="34"/>
        <v>2</v>
      </c>
      <c r="K18" s="373">
        <f t="shared" si="34"/>
        <v>2</v>
      </c>
      <c r="L18" s="373">
        <f t="shared" si="34"/>
        <v>4</v>
      </c>
      <c r="M18" s="373">
        <f t="shared" si="34"/>
        <v>3</v>
      </c>
      <c r="N18" s="370"/>
      <c r="O18" s="370" t="str">
        <f>F18</f>
        <v>Ghana</v>
      </c>
      <c r="P18" s="370">
        <f>VLOOKUP(O18,$F$16:$M$20,8,FALSE)</f>
        <v>3</v>
      </c>
      <c r="Q18" s="370"/>
      <c r="R18" s="370"/>
      <c r="S18" s="370" t="str">
        <f>IF($P18&lt;=$P16,$O18,$O16)</f>
        <v>Ghana</v>
      </c>
      <c r="T18" s="370">
        <f>VLOOKUP(S18,$O$16:$P$20,2,FALSE)</f>
        <v>3</v>
      </c>
      <c r="U18" s="370"/>
      <c r="V18" s="370"/>
      <c r="W18" s="370" t="str">
        <f>S18</f>
        <v>Ghana</v>
      </c>
      <c r="X18" s="370">
        <f>VLOOKUP(W18,$S$16:$T$20,2,FALSE)</f>
        <v>3</v>
      </c>
      <c r="Y18" s="370"/>
      <c r="Z18" s="370"/>
      <c r="AA18" s="370" t="str">
        <f>IF(X18&lt;=X17,W18,W17)</f>
        <v>Ghana</v>
      </c>
      <c r="AB18" s="370">
        <f>VLOOKUP(AA18,W16:X20,2,FALSE)</f>
        <v>3</v>
      </c>
      <c r="AC18" s="370"/>
      <c r="AD18" s="370"/>
      <c r="AE18" s="370" t="str">
        <f>AA18</f>
        <v>Ghana</v>
      </c>
      <c r="AF18" s="370">
        <f>VLOOKUP(AE18,AA16:AB20,2,FALSE)</f>
        <v>3</v>
      </c>
      <c r="AG18" s="370"/>
      <c r="AH18" s="370"/>
      <c r="AI18" s="370" t="str">
        <f>IF(AF18&gt;=AF19,AE18,AE19)</f>
        <v>Ghana</v>
      </c>
      <c r="AJ18" s="370">
        <f>VLOOKUP(AI18,AE16:AF20,2,FALSE)</f>
        <v>3</v>
      </c>
      <c r="AK18" s="370"/>
      <c r="AL18" s="370"/>
      <c r="AM18" s="370"/>
      <c r="AN18" s="370"/>
      <c r="AO18" s="370"/>
      <c r="AP18" s="370"/>
      <c r="AQ18" s="370"/>
      <c r="AR18" s="370"/>
      <c r="AS18" s="370"/>
      <c r="AT18" s="370"/>
      <c r="AU18" s="370"/>
      <c r="AV18" s="370"/>
      <c r="AW18" s="370"/>
      <c r="AX18" s="370"/>
      <c r="AY18" s="336"/>
      <c r="AZ18" s="336"/>
      <c r="BA18" s="336"/>
      <c r="BB18" s="336"/>
      <c r="BC18" s="336"/>
    </row>
    <row r="19" spans="1:55" x14ac:dyDescent="0.2">
      <c r="A19" s="370"/>
      <c r="B19" s="370"/>
      <c r="C19" s="370"/>
      <c r="D19" s="370"/>
      <c r="E19" s="370"/>
      <c r="F19" s="370" t="str">
        <f>AB2</f>
        <v>Panamá</v>
      </c>
      <c r="G19" s="373">
        <f t="shared" ref="G19:M19" si="35">AB10</f>
        <v>3</v>
      </c>
      <c r="H19" s="373">
        <f t="shared" si="35"/>
        <v>0</v>
      </c>
      <c r="I19" s="373">
        <f t="shared" si="35"/>
        <v>0</v>
      </c>
      <c r="J19" s="373">
        <f t="shared" si="35"/>
        <v>3</v>
      </c>
      <c r="K19" s="373">
        <f t="shared" si="35"/>
        <v>1</v>
      </c>
      <c r="L19" s="373">
        <f t="shared" si="35"/>
        <v>7</v>
      </c>
      <c r="M19" s="373">
        <f t="shared" si="35"/>
        <v>0</v>
      </c>
      <c r="N19" s="370"/>
      <c r="O19" s="370" t="str">
        <f>F19</f>
        <v>Panamá</v>
      </c>
      <c r="P19" s="370">
        <f>VLOOKUP(O19,$F$16:$M$20,8,FALSE)</f>
        <v>0</v>
      </c>
      <c r="Q19" s="370"/>
      <c r="R19" s="370"/>
      <c r="S19" s="370" t="str">
        <f>O19</f>
        <v>Panamá</v>
      </c>
      <c r="T19" s="370">
        <f>VLOOKUP(S19,$O$16:$P$20,2,FALSE)</f>
        <v>0</v>
      </c>
      <c r="U19" s="370"/>
      <c r="V19" s="370"/>
      <c r="W19" s="370" t="str">
        <f>IF($T19&lt;=$T16,$S19,$S16)</f>
        <v>Panamá</v>
      </c>
      <c r="X19" s="370">
        <f>VLOOKUP(W19,$S$16:$T$20,2,FALSE)</f>
        <v>0</v>
      </c>
      <c r="Y19" s="370"/>
      <c r="Z19" s="370"/>
      <c r="AA19" s="370" t="str">
        <f>W19</f>
        <v>Panamá</v>
      </c>
      <c r="AB19" s="370">
        <f>VLOOKUP(AA19,W16:X20,2,FALSE)</f>
        <v>0</v>
      </c>
      <c r="AC19" s="370"/>
      <c r="AD19" s="370"/>
      <c r="AE19" s="370" t="str">
        <f>IF(AB19&lt;=AB17,AA19,AA17)</f>
        <v>Panamá</v>
      </c>
      <c r="AF19" s="370">
        <f>VLOOKUP(AE19,AA16:AB20,2,FALSE)</f>
        <v>0</v>
      </c>
      <c r="AG19" s="370"/>
      <c r="AH19" s="370"/>
      <c r="AI19" s="370" t="str">
        <f>IF(AF19&lt;=AF18,AE19,AE18)</f>
        <v>Panamá</v>
      </c>
      <c r="AJ19" s="370">
        <f>VLOOKUP(AI19,AE16:AF20,2,FALSE)</f>
        <v>0</v>
      </c>
      <c r="AK19" s="370"/>
      <c r="AL19" s="370"/>
      <c r="AM19" s="370"/>
      <c r="AN19" s="370"/>
      <c r="AO19" s="370"/>
      <c r="AP19" s="370"/>
      <c r="AQ19" s="370"/>
      <c r="AR19" s="370"/>
      <c r="AS19" s="370"/>
      <c r="AT19" s="370"/>
      <c r="AU19" s="370"/>
      <c r="AV19" s="370"/>
      <c r="AW19" s="370"/>
      <c r="AX19" s="370"/>
      <c r="AY19" s="336"/>
      <c r="AZ19" s="336"/>
      <c r="BA19" s="336"/>
      <c r="BB19" s="336"/>
      <c r="BC19" s="336"/>
    </row>
    <row r="20" spans="1:55" x14ac:dyDescent="0.2">
      <c r="A20" s="370"/>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36"/>
      <c r="AZ20" s="336"/>
      <c r="BA20" s="336"/>
      <c r="BB20" s="336"/>
      <c r="BC20" s="336"/>
    </row>
    <row r="21" spans="1:55" x14ac:dyDescent="0.2">
      <c r="A21" s="370"/>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36"/>
      <c r="AZ21" s="336"/>
      <c r="BA21" s="336"/>
      <c r="BB21" s="336"/>
      <c r="BC21" s="336"/>
    </row>
    <row r="22" spans="1:55" x14ac:dyDescent="0.2">
      <c r="A22" s="377" t="s">
        <v>45</v>
      </c>
      <c r="B22" s="377"/>
      <c r="C22" s="377"/>
      <c r="D22" s="377"/>
      <c r="E22" s="377"/>
      <c r="F22" s="370"/>
      <c r="G22" s="370"/>
      <c r="H22" s="370"/>
      <c r="I22" s="370"/>
      <c r="J22" s="371" t="s">
        <v>42</v>
      </c>
      <c r="K22" s="371" t="s">
        <v>17</v>
      </c>
      <c r="L22" s="371" t="s">
        <v>18</v>
      </c>
      <c r="M22" s="371" t="s">
        <v>43</v>
      </c>
      <c r="N22" s="370"/>
      <c r="O22" s="370"/>
      <c r="P22" s="371" t="s">
        <v>42</v>
      </c>
      <c r="Q22" s="371" t="s">
        <v>43</v>
      </c>
      <c r="R22" s="370"/>
      <c r="S22" s="370"/>
      <c r="T22" s="371" t="s">
        <v>42</v>
      </c>
      <c r="U22" s="371" t="s">
        <v>43</v>
      </c>
      <c r="V22" s="370"/>
      <c r="W22" s="370"/>
      <c r="X22" s="371" t="s">
        <v>42</v>
      </c>
      <c r="Y22" s="371" t="s">
        <v>43</v>
      </c>
      <c r="Z22" s="370"/>
      <c r="AA22" s="370"/>
      <c r="AB22" s="371" t="s">
        <v>42</v>
      </c>
      <c r="AC22" s="371" t="s">
        <v>43</v>
      </c>
      <c r="AD22" s="370"/>
      <c r="AE22" s="370"/>
      <c r="AF22" s="371" t="s">
        <v>42</v>
      </c>
      <c r="AG22" s="371" t="s">
        <v>43</v>
      </c>
      <c r="AH22" s="370"/>
      <c r="AI22" s="370"/>
      <c r="AJ22" s="371" t="s">
        <v>42</v>
      </c>
      <c r="AK22" s="371" t="s">
        <v>43</v>
      </c>
      <c r="AL22" s="370"/>
      <c r="AM22" s="370"/>
      <c r="AN22" s="370"/>
      <c r="AO22" s="370"/>
      <c r="AP22" s="370"/>
      <c r="AQ22" s="370"/>
      <c r="AR22" s="370"/>
      <c r="AS22" s="370"/>
      <c r="AT22" s="370"/>
      <c r="AU22" s="370"/>
      <c r="AV22" s="370"/>
      <c r="AW22" s="370"/>
      <c r="AX22" s="370"/>
      <c r="AY22" s="336"/>
      <c r="AZ22" s="336"/>
      <c r="BA22" s="336"/>
      <c r="BB22" s="336"/>
      <c r="BC22" s="336"/>
    </row>
    <row r="23" spans="1:55" x14ac:dyDescent="0.2">
      <c r="A23" s="370"/>
      <c r="B23" s="370"/>
      <c r="C23" s="370"/>
      <c r="D23" s="370"/>
      <c r="E23" s="370"/>
      <c r="F23" s="370" t="str">
        <f>AI16</f>
        <v>Inglaterra</v>
      </c>
      <c r="G23" s="370"/>
      <c r="H23" s="370"/>
      <c r="I23" s="370"/>
      <c r="J23" s="373">
        <f>AJ16</f>
        <v>9</v>
      </c>
      <c r="K23" s="373">
        <f>VLOOKUP(AI16,$F$16:$M$20,6,FALSE)</f>
        <v>6</v>
      </c>
      <c r="L23" s="373">
        <f>VLOOKUP(AI16,$F$16:$M$20,7,FALSE)</f>
        <v>0</v>
      </c>
      <c r="M23" s="373">
        <f>K23-L23</f>
        <v>6</v>
      </c>
      <c r="N23" s="370"/>
      <c r="O23" s="370" t="str">
        <f>IF(AND($J23=$J24,$M24&gt;$M23),$F24,$F23)</f>
        <v>Inglaterra</v>
      </c>
      <c r="P23" s="373">
        <f>VLOOKUP(O23,$F$23:$M$27,5,FALSE)</f>
        <v>9</v>
      </c>
      <c r="Q23" s="373">
        <f>VLOOKUP(O23,$F$23:$M$27,8,FALSE)</f>
        <v>6</v>
      </c>
      <c r="R23" s="370"/>
      <c r="S23" s="370" t="str">
        <f>IF(AND(P23=P25,Q25&gt;Q23),O25,O23)</f>
        <v>Inglaterra</v>
      </c>
      <c r="T23" s="373">
        <f>VLOOKUP(S23,$O$23:$Q$27,2,FALSE)</f>
        <v>9</v>
      </c>
      <c r="U23" s="373">
        <f>VLOOKUP(S23,$O$23:$Q$27,3,FALSE)</f>
        <v>6</v>
      </c>
      <c r="V23" s="370"/>
      <c r="W23" s="370" t="str">
        <f>IF(AND(T23=T26,U26&gt;U23),S26,S23)</f>
        <v>Inglaterra</v>
      </c>
      <c r="X23" s="373">
        <f>VLOOKUP(W23,$S$23:$U$27,2,FALSE)</f>
        <v>9</v>
      </c>
      <c r="Y23" s="373">
        <f>VLOOKUP(W23,$S$23:$U$27,3,FALSE)</f>
        <v>6</v>
      </c>
      <c r="Z23" s="370"/>
      <c r="AA23" s="370" t="str">
        <f>W23</f>
        <v>Inglaterra</v>
      </c>
      <c r="AB23" s="373">
        <f>VLOOKUP(AA23,W23:Y27,2,FALSE)</f>
        <v>9</v>
      </c>
      <c r="AC23" s="373">
        <f>VLOOKUP(AA23,W23:Y27,3,FALSE)</f>
        <v>6</v>
      </c>
      <c r="AD23" s="370"/>
      <c r="AE23" s="370" t="str">
        <f>AA23</f>
        <v>Inglaterra</v>
      </c>
      <c r="AF23" s="373">
        <f>VLOOKUP(AE23,AA23:AC27,2,FALSE)</f>
        <v>9</v>
      </c>
      <c r="AG23" s="373">
        <f>VLOOKUP(AE23,AA23:AC27,3,FALSE)</f>
        <v>6</v>
      </c>
      <c r="AH23" s="370"/>
      <c r="AI23" s="370" t="str">
        <f>AE23</f>
        <v>Inglaterra</v>
      </c>
      <c r="AJ23" s="373">
        <f>VLOOKUP(AI23,AE23:AG27,2,FALSE)</f>
        <v>9</v>
      </c>
      <c r="AK23" s="373">
        <f>VLOOKUP(AI23,AE23:AG27,3,FALSE)</f>
        <v>6</v>
      </c>
      <c r="AL23" s="370"/>
      <c r="AM23" s="370"/>
      <c r="AN23" s="370"/>
      <c r="AO23" s="370"/>
      <c r="AP23" s="370"/>
      <c r="AQ23" s="370"/>
      <c r="AR23" s="370"/>
      <c r="AS23" s="370"/>
      <c r="AT23" s="370"/>
      <c r="AU23" s="370"/>
      <c r="AV23" s="370"/>
      <c r="AW23" s="370"/>
      <c r="AX23" s="370"/>
      <c r="AY23" s="336"/>
      <c r="AZ23" s="336"/>
      <c r="BA23" s="336"/>
      <c r="BB23" s="336"/>
      <c r="BC23" s="336"/>
    </row>
    <row r="24" spans="1:55" x14ac:dyDescent="0.2">
      <c r="A24" s="370"/>
      <c r="B24" s="370"/>
      <c r="C24" s="370"/>
      <c r="D24" s="370"/>
      <c r="E24" s="370"/>
      <c r="F24" s="370" t="str">
        <f>AI17</f>
        <v>Croacia</v>
      </c>
      <c r="G24" s="370"/>
      <c r="H24" s="370"/>
      <c r="I24" s="370"/>
      <c r="J24" s="373">
        <f>AJ17</f>
        <v>6</v>
      </c>
      <c r="K24" s="373">
        <f>VLOOKUP(AI17,$F$16:$M$20,6,FALSE)</f>
        <v>5</v>
      </c>
      <c r="L24" s="373">
        <f>VLOOKUP(AI17,$F$16:$M$20,7,FALSE)</f>
        <v>3</v>
      </c>
      <c r="M24" s="373">
        <f>K24-L24</f>
        <v>2</v>
      </c>
      <c r="N24" s="370"/>
      <c r="O24" s="370" t="str">
        <f>IF(AND($J23=$J24,$M24&gt;$M23),$F23,$F24)</f>
        <v>Croacia</v>
      </c>
      <c r="P24" s="373">
        <f>VLOOKUP(O24,$F$23:$M$27,5,FALSE)</f>
        <v>6</v>
      </c>
      <c r="Q24" s="373">
        <f>VLOOKUP(O24,$F$23:$M$27,8,FALSE)</f>
        <v>2</v>
      </c>
      <c r="R24" s="370"/>
      <c r="S24" s="370" t="str">
        <f>O24</f>
        <v>Croacia</v>
      </c>
      <c r="T24" s="373">
        <f>VLOOKUP(S24,$O$23:$Q$27,2,FALSE)</f>
        <v>6</v>
      </c>
      <c r="U24" s="373">
        <f>VLOOKUP(S24,$O$23:$Q$27,3,FALSE)</f>
        <v>2</v>
      </c>
      <c r="V24" s="370"/>
      <c r="W24" s="370" t="str">
        <f>S24</f>
        <v>Croacia</v>
      </c>
      <c r="X24" s="373">
        <f>VLOOKUP(W24,$S$23:$U$27,2,FALSE)</f>
        <v>6</v>
      </c>
      <c r="Y24" s="373">
        <f>VLOOKUP(W24,$S$23:$U$27,3,FALSE)</f>
        <v>2</v>
      </c>
      <c r="Z24" s="370"/>
      <c r="AA24" s="370" t="str">
        <f>IF(AND(X24=X25,Y25&gt;Y24),W25,W24)</f>
        <v>Croacia</v>
      </c>
      <c r="AB24" s="373">
        <f>VLOOKUP(AA24,W23:Y27,2,FALSE)</f>
        <v>6</v>
      </c>
      <c r="AC24" s="373">
        <f>VLOOKUP(AA24,W23:Y27,3,FALSE)</f>
        <v>2</v>
      </c>
      <c r="AD24" s="370"/>
      <c r="AE24" s="370" t="str">
        <f>IF(AND(AB24=AB26,AC26&gt;AC24),AA26,AA24)</f>
        <v>Croacia</v>
      </c>
      <c r="AF24" s="373">
        <f>VLOOKUP(AE24,AA23:AC27,2,FALSE)</f>
        <v>6</v>
      </c>
      <c r="AG24" s="373">
        <f>VLOOKUP(AE24,AA23:AC27,3,FALSE)</f>
        <v>2</v>
      </c>
      <c r="AH24" s="370"/>
      <c r="AI24" s="370" t="str">
        <f>AE24</f>
        <v>Croacia</v>
      </c>
      <c r="AJ24" s="373">
        <f>VLOOKUP(AI24,AE23:AG27,2,FALSE)</f>
        <v>6</v>
      </c>
      <c r="AK24" s="373">
        <f>VLOOKUP(AI24,AE23:AG27,3,FALSE)</f>
        <v>2</v>
      </c>
      <c r="AL24" s="370"/>
      <c r="AM24" s="370"/>
      <c r="AN24" s="370"/>
      <c r="AO24" s="370"/>
      <c r="AP24" s="370"/>
      <c r="AQ24" s="370"/>
      <c r="AR24" s="370"/>
      <c r="AS24" s="370"/>
      <c r="AT24" s="370"/>
      <c r="AU24" s="370"/>
      <c r="AV24" s="370"/>
      <c r="AW24" s="370"/>
      <c r="AX24" s="370"/>
      <c r="AY24" s="336"/>
      <c r="AZ24" s="336"/>
      <c r="BA24" s="336"/>
      <c r="BB24" s="336"/>
      <c r="BC24" s="336"/>
    </row>
    <row r="25" spans="1:55" x14ac:dyDescent="0.2">
      <c r="A25" s="370"/>
      <c r="B25" s="370"/>
      <c r="C25" s="370"/>
      <c r="D25" s="370"/>
      <c r="E25" s="370"/>
      <c r="F25" s="370" t="str">
        <f>AI18</f>
        <v>Ghana</v>
      </c>
      <c r="G25" s="370"/>
      <c r="H25" s="370"/>
      <c r="I25" s="370"/>
      <c r="J25" s="373">
        <f>AJ18</f>
        <v>3</v>
      </c>
      <c r="K25" s="373">
        <f>VLOOKUP(AI18,$F$16:$M$20,6,FALSE)</f>
        <v>2</v>
      </c>
      <c r="L25" s="373">
        <f>VLOOKUP(AI18,$F$16:$M$20,7,FALSE)</f>
        <v>4</v>
      </c>
      <c r="M25" s="373">
        <f>K25-L25</f>
        <v>-2</v>
      </c>
      <c r="N25" s="370"/>
      <c r="O25" s="370" t="str">
        <f>F25</f>
        <v>Ghana</v>
      </c>
      <c r="P25" s="373">
        <f>VLOOKUP(O25,$F$23:$M$27,5,FALSE)</f>
        <v>3</v>
      </c>
      <c r="Q25" s="373">
        <f>VLOOKUP(O25,$F$23:$M$27,8,FALSE)</f>
        <v>-2</v>
      </c>
      <c r="R25" s="370"/>
      <c r="S25" s="370" t="str">
        <f>IF(AND($P23=P25,Q25&gt;Q23),O23,O25)</f>
        <v>Ghana</v>
      </c>
      <c r="T25" s="373">
        <f>VLOOKUP(S25,$O$23:$Q$27,2,FALSE)</f>
        <v>3</v>
      </c>
      <c r="U25" s="373">
        <f>VLOOKUP(S25,$O$23:$Q$27,3,FALSE)</f>
        <v>-2</v>
      </c>
      <c r="V25" s="370"/>
      <c r="W25" s="370" t="str">
        <f>S25</f>
        <v>Ghana</v>
      </c>
      <c r="X25" s="373">
        <f>VLOOKUP(W25,$S$23:$U$27,2,FALSE)</f>
        <v>3</v>
      </c>
      <c r="Y25" s="373">
        <f>VLOOKUP(W25,$S$23:$U$27,3,FALSE)</f>
        <v>-2</v>
      </c>
      <c r="Z25" s="370"/>
      <c r="AA25" s="370" t="str">
        <f>IF(AND(X24=X25,Y25&gt;Y24),W24,W25)</f>
        <v>Ghana</v>
      </c>
      <c r="AB25" s="373">
        <f>VLOOKUP(AA25,W23:Y27,2,FALSE)</f>
        <v>3</v>
      </c>
      <c r="AC25" s="373">
        <f>VLOOKUP(AA25,W23:Y27,3,FALSE)</f>
        <v>-2</v>
      </c>
      <c r="AD25" s="370"/>
      <c r="AE25" s="370" t="str">
        <f>AA25</f>
        <v>Ghana</v>
      </c>
      <c r="AF25" s="373">
        <f>VLOOKUP(AE25,AA23:AC27,2,FALSE)</f>
        <v>3</v>
      </c>
      <c r="AG25" s="373">
        <f>VLOOKUP(AE25,AA23:AC27,3,FALSE)</f>
        <v>-2</v>
      </c>
      <c r="AH25" s="370"/>
      <c r="AI25" s="370" t="str">
        <f>IF(AND(AF25=AF26,AG26&gt;AG25),AE26,AE25)</f>
        <v>Ghana</v>
      </c>
      <c r="AJ25" s="373">
        <f>VLOOKUP(AI25,AE23:AG27,2,FALSE)</f>
        <v>3</v>
      </c>
      <c r="AK25" s="373">
        <f>VLOOKUP(AI25,AE23:AG27,3,FALSE)</f>
        <v>-2</v>
      </c>
      <c r="AL25" s="370"/>
      <c r="AM25" s="370"/>
      <c r="AN25" s="370"/>
      <c r="AO25" s="370"/>
      <c r="AP25" s="370"/>
      <c r="AQ25" s="370"/>
      <c r="AR25" s="370"/>
      <c r="AS25" s="370"/>
      <c r="AT25" s="370"/>
      <c r="AU25" s="370"/>
      <c r="AV25" s="370"/>
      <c r="AW25" s="370"/>
      <c r="AX25" s="370"/>
      <c r="AY25" s="336"/>
      <c r="AZ25" s="336"/>
      <c r="BA25" s="336"/>
      <c r="BB25" s="336"/>
      <c r="BC25" s="336"/>
    </row>
    <row r="26" spans="1:55" x14ac:dyDescent="0.2">
      <c r="A26" s="370"/>
      <c r="B26" s="370"/>
      <c r="C26" s="370"/>
      <c r="D26" s="370"/>
      <c r="E26" s="370"/>
      <c r="F26" s="370" t="str">
        <f>AI19</f>
        <v>Panamá</v>
      </c>
      <c r="G26" s="370"/>
      <c r="H26" s="370"/>
      <c r="I26" s="370"/>
      <c r="J26" s="373">
        <f>AJ19</f>
        <v>0</v>
      </c>
      <c r="K26" s="373">
        <f>VLOOKUP(AI19,$F$16:$M$20,6,FALSE)</f>
        <v>1</v>
      </c>
      <c r="L26" s="373">
        <f>VLOOKUP(AI19,$F$16:$M$20,7,FALSE)</f>
        <v>7</v>
      </c>
      <c r="M26" s="373">
        <f>K26-L26</f>
        <v>-6</v>
      </c>
      <c r="N26" s="370"/>
      <c r="O26" s="370" t="str">
        <f>F26</f>
        <v>Panamá</v>
      </c>
      <c r="P26" s="373">
        <f>VLOOKUP(O26,$F$23:$M$27,5,FALSE)</f>
        <v>0</v>
      </c>
      <c r="Q26" s="373">
        <f>VLOOKUP(O26,$F$23:$M$27,8,FALSE)</f>
        <v>-6</v>
      </c>
      <c r="R26" s="370"/>
      <c r="S26" s="370" t="str">
        <f>O26</f>
        <v>Panamá</v>
      </c>
      <c r="T26" s="373">
        <f>VLOOKUP(S26,$O$23:$Q$27,2,FALSE)</f>
        <v>0</v>
      </c>
      <c r="U26" s="373">
        <f>VLOOKUP(S26,$O$23:$Q$27,3,FALSE)</f>
        <v>-6</v>
      </c>
      <c r="V26" s="370"/>
      <c r="W26" s="370" t="str">
        <f>IF(AND(T23=T26,U26&gt;U23),S23,S26)</f>
        <v>Panamá</v>
      </c>
      <c r="X26" s="373">
        <f>VLOOKUP(W26,$S$23:$U$27,2,FALSE)</f>
        <v>0</v>
      </c>
      <c r="Y26" s="373">
        <f>VLOOKUP(W26,$S$23:$U$27,3,FALSE)</f>
        <v>-6</v>
      </c>
      <c r="Z26" s="370"/>
      <c r="AA26" s="370" t="str">
        <f>W26</f>
        <v>Panamá</v>
      </c>
      <c r="AB26" s="373">
        <f>VLOOKUP(AA26,W23:Y27,2,FALSE)</f>
        <v>0</v>
      </c>
      <c r="AC26" s="373">
        <f>VLOOKUP(AA26,W23:Y27,3,FALSE)</f>
        <v>-6</v>
      </c>
      <c r="AD26" s="370"/>
      <c r="AE26" s="370" t="str">
        <f>IF(AND(AB24=AB26,AC26&gt;AC24),AA24,AA26)</f>
        <v>Panamá</v>
      </c>
      <c r="AF26" s="373">
        <f>VLOOKUP(AE26,AA23:AC27,2,FALSE)</f>
        <v>0</v>
      </c>
      <c r="AG26" s="373">
        <f>VLOOKUP(AE26,AA23:AC27,3,FALSE)</f>
        <v>-6</v>
      </c>
      <c r="AH26" s="370"/>
      <c r="AI26" s="370" t="str">
        <f>IF(AND(AF25=AF26,AG26&gt;AG25),AE25,AE26)</f>
        <v>Panamá</v>
      </c>
      <c r="AJ26" s="373">
        <f>VLOOKUP(AI26,AE23:AG27,2,FALSE)</f>
        <v>0</v>
      </c>
      <c r="AK26" s="373">
        <f>VLOOKUP(AI26,AE23:AG27,3,FALSE)</f>
        <v>-6</v>
      </c>
      <c r="AL26" s="370"/>
      <c r="AM26" s="370"/>
      <c r="AN26" s="370"/>
      <c r="AO26" s="370"/>
      <c r="AP26" s="370"/>
      <c r="AQ26" s="370"/>
      <c r="AR26" s="370"/>
      <c r="AS26" s="370"/>
      <c r="AT26" s="370"/>
      <c r="AU26" s="370"/>
      <c r="AV26" s="370"/>
      <c r="AW26" s="370"/>
      <c r="AX26" s="370"/>
      <c r="AY26" s="336"/>
      <c r="AZ26" s="336"/>
      <c r="BA26" s="336"/>
      <c r="BB26" s="336"/>
      <c r="BC26" s="336"/>
    </row>
    <row r="27" spans="1:55" x14ac:dyDescent="0.2">
      <c r="A27" s="370"/>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36"/>
      <c r="AZ27" s="336"/>
      <c r="BA27" s="336"/>
      <c r="BB27" s="336"/>
      <c r="BC27" s="336"/>
    </row>
    <row r="28" spans="1:55" x14ac:dyDescent="0.2">
      <c r="A28" s="370"/>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36"/>
      <c r="AZ28" s="336"/>
      <c r="BA28" s="336"/>
      <c r="BB28" s="336"/>
      <c r="BC28" s="336"/>
    </row>
    <row r="29" spans="1:55" x14ac:dyDescent="0.2">
      <c r="A29" s="377" t="s">
        <v>46</v>
      </c>
      <c r="B29" s="377"/>
      <c r="C29" s="377"/>
      <c r="D29" s="377"/>
      <c r="E29" s="377"/>
      <c r="F29" s="370"/>
      <c r="G29" s="370"/>
      <c r="H29" s="370"/>
      <c r="I29" s="370"/>
      <c r="J29" s="371" t="s">
        <v>42</v>
      </c>
      <c r="K29" s="371" t="s">
        <v>17</v>
      </c>
      <c r="L29" s="371" t="s">
        <v>18</v>
      </c>
      <c r="M29" s="371" t="s">
        <v>43</v>
      </c>
      <c r="N29" s="370"/>
      <c r="O29" s="370"/>
      <c r="P29" s="371" t="s">
        <v>42</v>
      </c>
      <c r="Q29" s="371" t="s">
        <v>43</v>
      </c>
      <c r="R29" s="371" t="s">
        <v>17</v>
      </c>
      <c r="S29" s="370"/>
      <c r="T29" s="371" t="s">
        <v>42</v>
      </c>
      <c r="U29" s="371" t="s">
        <v>43</v>
      </c>
      <c r="V29" s="371" t="s">
        <v>17</v>
      </c>
      <c r="W29" s="370"/>
      <c r="X29" s="371" t="s">
        <v>42</v>
      </c>
      <c r="Y29" s="371" t="s">
        <v>43</v>
      </c>
      <c r="Z29" s="371" t="s">
        <v>17</v>
      </c>
      <c r="AA29" s="370"/>
      <c r="AB29" s="371" t="s">
        <v>42</v>
      </c>
      <c r="AC29" s="371" t="s">
        <v>43</v>
      </c>
      <c r="AD29" s="371" t="s">
        <v>17</v>
      </c>
      <c r="AE29" s="370"/>
      <c r="AF29" s="371" t="s">
        <v>42</v>
      </c>
      <c r="AG29" s="371" t="s">
        <v>43</v>
      </c>
      <c r="AH29" s="371" t="s">
        <v>17</v>
      </c>
      <c r="AI29" s="370"/>
      <c r="AJ29" s="371" t="s">
        <v>42</v>
      </c>
      <c r="AK29" s="371" t="s">
        <v>43</v>
      </c>
      <c r="AL29" s="371" t="s">
        <v>17</v>
      </c>
      <c r="AM29" s="370"/>
      <c r="AN29" s="371" t="s">
        <v>48</v>
      </c>
      <c r="AO29" s="375" t="s">
        <v>51</v>
      </c>
      <c r="AP29" s="375"/>
      <c r="AQ29" s="375" t="s">
        <v>52</v>
      </c>
      <c r="AR29" s="370"/>
      <c r="AS29" s="375" t="s">
        <v>55</v>
      </c>
      <c r="AT29" s="370"/>
      <c r="AU29" s="370"/>
      <c r="AV29" s="371" t="s">
        <v>53</v>
      </c>
      <c r="AW29" s="378" t="s">
        <v>54</v>
      </c>
      <c r="AX29" s="370"/>
      <c r="AY29" s="336"/>
      <c r="AZ29" s="336"/>
      <c r="BA29" s="336"/>
      <c r="BB29" s="336"/>
      <c r="BC29" s="336"/>
    </row>
    <row r="30" spans="1:55" x14ac:dyDescent="0.2">
      <c r="A30" s="370"/>
      <c r="B30" s="370"/>
      <c r="C30" s="370"/>
      <c r="D30" s="370"/>
      <c r="E30" s="370"/>
      <c r="F30" s="370" t="str">
        <f>AI23</f>
        <v>Inglaterra</v>
      </c>
      <c r="G30" s="370"/>
      <c r="H30" s="370"/>
      <c r="I30" s="370"/>
      <c r="J30" s="373">
        <f>VLOOKUP(F30,$F$16:$M$20,8,FALSE)</f>
        <v>9</v>
      </c>
      <c r="K30" s="373">
        <f>VLOOKUP(F30,$F$16:$M$20,6,FALSE)</f>
        <v>6</v>
      </c>
      <c r="L30" s="373">
        <f>VLOOKUP(F30,$F$16:$M$20,7,FALSE)</f>
        <v>0</v>
      </c>
      <c r="M30" s="373">
        <f>K30-L30</f>
        <v>6</v>
      </c>
      <c r="N30" s="370"/>
      <c r="O30" s="370" t="str">
        <f>IF(AND(J30=J31,M30=M31,K31&gt;K30),F31,F30)</f>
        <v>Inglaterra</v>
      </c>
      <c r="P30" s="373">
        <f>VLOOKUP(O30,$F$30:$M$34,5,FALSE)</f>
        <v>9</v>
      </c>
      <c r="Q30" s="373">
        <f>VLOOKUP(O30,$F$30:$M$34,8,FALSE)</f>
        <v>6</v>
      </c>
      <c r="R30" s="373">
        <f>VLOOKUP(O30,$F$30:$M$34,6,FALSE)</f>
        <v>6</v>
      </c>
      <c r="S30" s="370" t="str">
        <f>IF(AND(P30=P32,Q30=Q32,R32&gt;R30),O32,O30)</f>
        <v>Inglaterra</v>
      </c>
      <c r="T30" s="373">
        <f>VLOOKUP(S30,$O$30:$R$34,2,FALSE)</f>
        <v>9</v>
      </c>
      <c r="U30" s="373">
        <f>VLOOKUP(S30,$O$30:$R$34,3,FALSE)</f>
        <v>6</v>
      </c>
      <c r="V30" s="373">
        <f>VLOOKUP(S30,$O$30:$R$34,4,FALSE)</f>
        <v>6</v>
      </c>
      <c r="W30" s="370" t="str">
        <f>IF(AND(T30=T33,U30=U33,V33&gt;V30),S33,S30)</f>
        <v>Inglaterra</v>
      </c>
      <c r="X30" s="373">
        <f>VLOOKUP(W30,$S$30:$V$34,2,FALSE)</f>
        <v>9</v>
      </c>
      <c r="Y30" s="373">
        <f>VLOOKUP(W30,$S$30:$V$34,3,FALSE)</f>
        <v>6</v>
      </c>
      <c r="Z30" s="373">
        <f>VLOOKUP(W30,$S$30:$V$34,4,FALSE)</f>
        <v>6</v>
      </c>
      <c r="AA30" s="370" t="str">
        <f>W30</f>
        <v>Inglaterra</v>
      </c>
      <c r="AB30" s="373">
        <f>VLOOKUP(AA30,W30:Z34,2,FALSE)</f>
        <v>9</v>
      </c>
      <c r="AC30" s="373">
        <f>VLOOKUP(AA30,W30:Z34,3,FALSE)</f>
        <v>6</v>
      </c>
      <c r="AD30" s="373">
        <f>VLOOKUP(AA30,W30:Z34,4,FALSE)</f>
        <v>6</v>
      </c>
      <c r="AE30" s="370" t="str">
        <f>AA30</f>
        <v>Inglaterra</v>
      </c>
      <c r="AF30" s="373">
        <f>VLOOKUP(AE30,AA30:AD34,2,FALSE)</f>
        <v>9</v>
      </c>
      <c r="AG30" s="373">
        <f>VLOOKUP(AE30,AA30:AD34,3,FALSE)</f>
        <v>6</v>
      </c>
      <c r="AH30" s="373">
        <f>VLOOKUP(AE30,AA30:AD34,4,FALSE)</f>
        <v>6</v>
      </c>
      <c r="AI30" s="370" t="str">
        <f>AE30</f>
        <v>Inglaterra</v>
      </c>
      <c r="AJ30" s="373">
        <f>VLOOKUP(AI30,AE30:AH34,2,FALSE)</f>
        <v>9</v>
      </c>
      <c r="AK30" s="373">
        <f>VLOOKUP(AI30,AE30:AH34,3,FALSE)</f>
        <v>6</v>
      </c>
      <c r="AL30" s="373">
        <f>VLOOKUP(AI30,AE30:AH34,4,FALSE)</f>
        <v>6</v>
      </c>
      <c r="AM30" s="370"/>
      <c r="AN30" s="373">
        <f>(AJ30*1000)+(AK30*100)+AL30</f>
        <v>9606</v>
      </c>
      <c r="AO30" s="375">
        <f>IF($AN30=$AN31,VLOOKUP($AI30&amp;$AI31,$AN$2:$AO$13,2,0),0)</f>
        <v>0</v>
      </c>
      <c r="AP30" s="370">
        <f>IF(AO30=$AI30,1,0)</f>
        <v>0</v>
      </c>
      <c r="AQ30" s="375"/>
      <c r="AR30" s="370"/>
      <c r="AS30" s="375">
        <f>IF($AN30=$AN32,VLOOKUP($AI30&amp;$AI32,$AN$2:$AO$13,2,0),0)</f>
        <v>0</v>
      </c>
      <c r="AT30" s="370">
        <f>IF(AS30=$AI30,1,0)</f>
        <v>0</v>
      </c>
      <c r="AU30" s="370"/>
      <c r="AV30" s="370">
        <f>SUM(AN30,AP30,AR30,AT30)</f>
        <v>9606</v>
      </c>
      <c r="AW30" s="373">
        <f>RANK(AV30,$AV$30:$AV$33,0)</f>
        <v>1</v>
      </c>
      <c r="AX30" s="370" t="str">
        <f>AI30</f>
        <v>Inglaterra</v>
      </c>
      <c r="AY30" s="336"/>
      <c r="AZ30" s="336"/>
      <c r="BA30" s="336"/>
      <c r="BB30" s="336"/>
      <c r="BC30" s="336"/>
    </row>
    <row r="31" spans="1:55" x14ac:dyDescent="0.2">
      <c r="A31" s="370"/>
      <c r="B31" s="370"/>
      <c r="C31" s="370"/>
      <c r="D31" s="370"/>
      <c r="E31" s="370"/>
      <c r="F31" s="370" t="str">
        <f>AI24</f>
        <v>Croacia</v>
      </c>
      <c r="G31" s="370"/>
      <c r="H31" s="370"/>
      <c r="I31" s="370"/>
      <c r="J31" s="373">
        <f>VLOOKUP(F31,$F$16:$M$20,8,FALSE)</f>
        <v>6</v>
      </c>
      <c r="K31" s="373">
        <f>VLOOKUP(F31,$F$16:$M$20,6,FALSE)</f>
        <v>5</v>
      </c>
      <c r="L31" s="373">
        <f>VLOOKUP(F31,$F$16:$M$20,7,FALSE)</f>
        <v>3</v>
      </c>
      <c r="M31" s="373">
        <f>K31-L31</f>
        <v>2</v>
      </c>
      <c r="N31" s="370"/>
      <c r="O31" s="370" t="str">
        <f>IF(AND(J30=J31,M30=M31,K31&gt;K30),F30,F31)</f>
        <v>Croacia</v>
      </c>
      <c r="P31" s="373">
        <f>VLOOKUP(O31,$F$30:$M$34,5,FALSE)</f>
        <v>6</v>
      </c>
      <c r="Q31" s="373">
        <f>VLOOKUP(O31,$F$30:$M$34,8,FALSE)</f>
        <v>2</v>
      </c>
      <c r="R31" s="373">
        <f>VLOOKUP(O31,$F$30:$M$34,6,FALSE)</f>
        <v>5</v>
      </c>
      <c r="S31" s="370" t="str">
        <f>O31</f>
        <v>Croacia</v>
      </c>
      <c r="T31" s="373">
        <f>VLOOKUP(S31,$O$30:$R$34,2,FALSE)</f>
        <v>6</v>
      </c>
      <c r="U31" s="373">
        <f>VLOOKUP(S31,$O$30:$R$34,3,FALSE)</f>
        <v>2</v>
      </c>
      <c r="V31" s="373">
        <f>VLOOKUP(S31,$O$30:$R$34,4,FALSE)</f>
        <v>5</v>
      </c>
      <c r="W31" s="370" t="str">
        <f>S31</f>
        <v>Croacia</v>
      </c>
      <c r="X31" s="373">
        <f>VLOOKUP(W31,$S$30:$V$34,2,FALSE)</f>
        <v>6</v>
      </c>
      <c r="Y31" s="373">
        <f>VLOOKUP(W31,$S$30:$V$34,3,FALSE)</f>
        <v>2</v>
      </c>
      <c r="Z31" s="373">
        <f>VLOOKUP(W31,$S$30:$V$34,4,FALSE)</f>
        <v>5</v>
      </c>
      <c r="AA31" s="370" t="str">
        <f>IF(AND(X31=X32,Y31=Y32,Z32&gt;Z31),W32,W31)</f>
        <v>Croacia</v>
      </c>
      <c r="AB31" s="373">
        <f>VLOOKUP(AA31,W30:Z34,2,FALSE)</f>
        <v>6</v>
      </c>
      <c r="AC31" s="373">
        <f>VLOOKUP(AA31,W30:Z34,3,FALSE)</f>
        <v>2</v>
      </c>
      <c r="AD31" s="373">
        <f>VLOOKUP(AA31,W30:Z34,4,FALSE)</f>
        <v>5</v>
      </c>
      <c r="AE31" s="370" t="str">
        <f>IF(AND(AB31=AB33,AC31=AC33,AD33&gt;AD31),AA33,AA31)</f>
        <v>Croacia</v>
      </c>
      <c r="AF31" s="373">
        <f>VLOOKUP(AE31,AA30:AD34,2,FALSE)</f>
        <v>6</v>
      </c>
      <c r="AG31" s="373">
        <f>VLOOKUP(AE31,AA30:AD34,3,FALSE)</f>
        <v>2</v>
      </c>
      <c r="AH31" s="373">
        <f>VLOOKUP(AE31,AA30:AD34,4,FALSE)</f>
        <v>5</v>
      </c>
      <c r="AI31" s="370" t="str">
        <f>AE31</f>
        <v>Croacia</v>
      </c>
      <c r="AJ31" s="373">
        <f>VLOOKUP(AI31,AE30:AH34,2,FALSE)</f>
        <v>6</v>
      </c>
      <c r="AK31" s="373">
        <f>VLOOKUP(AI31,AE30:AH34,3,FALSE)</f>
        <v>2</v>
      </c>
      <c r="AL31" s="373">
        <f>VLOOKUP(AI31,AE30:AH34,4,FALSE)</f>
        <v>5</v>
      </c>
      <c r="AM31" s="370"/>
      <c r="AN31" s="373">
        <f t="shared" ref="AN31:AN33" si="36">(AJ31*1000)+(AK31*100)+AL31</f>
        <v>6205</v>
      </c>
      <c r="AO31" s="375">
        <f>IF($AN31=$AN30,VLOOKUP($AI31&amp;$AI30,$AN$2:$AO$13,2,0),0)</f>
        <v>0</v>
      </c>
      <c r="AP31" s="370">
        <f>IF(AO31=$AI31,1,0)</f>
        <v>0</v>
      </c>
      <c r="AQ31" s="375">
        <f>IF($AN31=$AN32,VLOOKUP($AI31&amp;$AI32,$AN$2:$AO$13,2,0),0)</f>
        <v>0</v>
      </c>
      <c r="AR31" s="370">
        <f>IF(AQ31=$AI31,1,0)</f>
        <v>0</v>
      </c>
      <c r="AS31" s="375"/>
      <c r="AT31" s="370"/>
      <c r="AU31" s="370"/>
      <c r="AV31" s="370">
        <f t="shared" ref="AV31:AV33" si="37">SUM(AN31,AP31,AR31,AT31)</f>
        <v>6205</v>
      </c>
      <c r="AW31" s="373">
        <f t="shared" ref="AW31:AW33" si="38">RANK(AV31,$AV$30:$AV$33,0)</f>
        <v>2</v>
      </c>
      <c r="AX31" s="370" t="str">
        <f t="shared" ref="AX31:AX33" si="39">AI31</f>
        <v>Croacia</v>
      </c>
      <c r="AY31" s="336"/>
      <c r="AZ31" s="336"/>
      <c r="BA31" s="336"/>
      <c r="BB31" s="336"/>
      <c r="BC31" s="336"/>
    </row>
    <row r="32" spans="1:55" x14ac:dyDescent="0.2">
      <c r="A32" s="370"/>
      <c r="B32" s="370"/>
      <c r="C32" s="370"/>
      <c r="D32" s="370"/>
      <c r="E32" s="370"/>
      <c r="F32" s="370" t="str">
        <f>AI25</f>
        <v>Ghana</v>
      </c>
      <c r="G32" s="370"/>
      <c r="H32" s="370"/>
      <c r="I32" s="370"/>
      <c r="J32" s="373">
        <f>VLOOKUP(F32,$F$16:$M$20,8,FALSE)</f>
        <v>3</v>
      </c>
      <c r="K32" s="373">
        <f>VLOOKUP(F32,$F$16:$M$20,6,FALSE)</f>
        <v>2</v>
      </c>
      <c r="L32" s="373">
        <f>VLOOKUP(F32,$F$16:$M$20,7,FALSE)</f>
        <v>4</v>
      </c>
      <c r="M32" s="373">
        <f>K32-L32</f>
        <v>-2</v>
      </c>
      <c r="N32" s="370"/>
      <c r="O32" s="370" t="str">
        <f>F32</f>
        <v>Ghana</v>
      </c>
      <c r="P32" s="373">
        <f>VLOOKUP(O32,$F$30:$M$34,5,FALSE)</f>
        <v>3</v>
      </c>
      <c r="Q32" s="373">
        <f>VLOOKUP(O32,$F$30:$M$34,8,FALSE)</f>
        <v>-2</v>
      </c>
      <c r="R32" s="373">
        <f>VLOOKUP(O32,$F$30:$M$34,6,FALSE)</f>
        <v>2</v>
      </c>
      <c r="S32" s="370" t="str">
        <f>IF(AND(P30=P32,Q30=Q32,R32&gt;R30),O30,O32)</f>
        <v>Ghana</v>
      </c>
      <c r="T32" s="373">
        <f>VLOOKUP(S32,$O$30:$R$34,2,FALSE)</f>
        <v>3</v>
      </c>
      <c r="U32" s="373">
        <f>VLOOKUP(S32,$O$30:$R$34,3,FALSE)</f>
        <v>-2</v>
      </c>
      <c r="V32" s="373">
        <f>VLOOKUP(S32,$O$30:$R$34,4,FALSE)</f>
        <v>2</v>
      </c>
      <c r="W32" s="370" t="str">
        <f>S32</f>
        <v>Ghana</v>
      </c>
      <c r="X32" s="373">
        <f>VLOOKUP(W32,$S$30:$V$34,2,FALSE)</f>
        <v>3</v>
      </c>
      <c r="Y32" s="373">
        <f>VLOOKUP(W32,$S$30:$V$34,3,FALSE)</f>
        <v>-2</v>
      </c>
      <c r="Z32" s="373">
        <f>VLOOKUP(W32,$S$30:$V$34,4,FALSE)</f>
        <v>2</v>
      </c>
      <c r="AA32" s="370" t="str">
        <f>IF(AND(X31=X32,Y31=Y32,Z32&gt;Z31),W31,W32)</f>
        <v>Ghana</v>
      </c>
      <c r="AB32" s="373">
        <f>VLOOKUP(AA32,W30:Z34,2,FALSE)</f>
        <v>3</v>
      </c>
      <c r="AC32" s="373">
        <f>VLOOKUP(AA32,W30:Z34,3,FALSE)</f>
        <v>-2</v>
      </c>
      <c r="AD32" s="373">
        <f>VLOOKUP(AA32,W30:Z34,4,FALSE)</f>
        <v>2</v>
      </c>
      <c r="AE32" s="370" t="str">
        <f>AA32</f>
        <v>Ghana</v>
      </c>
      <c r="AF32" s="373">
        <f>VLOOKUP(AE32,AA30:AD34,2,FALSE)</f>
        <v>3</v>
      </c>
      <c r="AG32" s="373">
        <f>VLOOKUP(AE32,AA30:AD34,3,FALSE)</f>
        <v>-2</v>
      </c>
      <c r="AH32" s="373">
        <f>VLOOKUP(AE32,AA30:AD34,4,FALSE)</f>
        <v>2</v>
      </c>
      <c r="AI32" s="370" t="str">
        <f>IF(AND(AF32=AF33,AG32=AG33,AH33&gt;AH32),AE33,AE32)</f>
        <v>Ghana</v>
      </c>
      <c r="AJ32" s="373">
        <f>VLOOKUP(AI32,AE30:AH34,2,FALSE)</f>
        <v>3</v>
      </c>
      <c r="AK32" s="373">
        <f>VLOOKUP(AI32,AE30:AH34,3,FALSE)</f>
        <v>-2</v>
      </c>
      <c r="AL32" s="373">
        <f>VLOOKUP(AI32,AE30:AH34,4,FALSE)</f>
        <v>2</v>
      </c>
      <c r="AM32" s="370"/>
      <c r="AN32" s="373">
        <f t="shared" si="36"/>
        <v>2802</v>
      </c>
      <c r="AO32" s="375"/>
      <c r="AP32" s="370"/>
      <c r="AQ32" s="375">
        <f>IF($AN32=$AN31,VLOOKUP($AI32&amp;$AI31,$AN$2:$AO$13,2,0),0)</f>
        <v>0</v>
      </c>
      <c r="AR32" s="370">
        <f t="shared" ref="AR32:AT32" si="40">IF(AQ32=$AI32,1,0)</f>
        <v>0</v>
      </c>
      <c r="AS32" s="375">
        <f>IF($AN32=$AN30,VLOOKUP($AI32&amp;$AI30,$AN$2:$AO$13,2,0),0)</f>
        <v>0</v>
      </c>
      <c r="AT32" s="370">
        <f t="shared" si="40"/>
        <v>0</v>
      </c>
      <c r="AU32" s="370"/>
      <c r="AV32" s="370">
        <f t="shared" si="37"/>
        <v>2802</v>
      </c>
      <c r="AW32" s="373">
        <f t="shared" si="38"/>
        <v>3</v>
      </c>
      <c r="AX32" s="370" t="str">
        <f t="shared" si="39"/>
        <v>Ghana</v>
      </c>
      <c r="AY32" s="336"/>
      <c r="AZ32" s="336"/>
      <c r="BA32" s="336"/>
      <c r="BB32" s="336"/>
      <c r="BC32" s="336"/>
    </row>
    <row r="33" spans="1:55" x14ac:dyDescent="0.2">
      <c r="A33" s="370"/>
      <c r="B33" s="370"/>
      <c r="C33" s="370"/>
      <c r="D33" s="370"/>
      <c r="E33" s="370"/>
      <c r="F33" s="370" t="str">
        <f>AI26</f>
        <v>Panamá</v>
      </c>
      <c r="G33" s="370"/>
      <c r="H33" s="370"/>
      <c r="I33" s="370"/>
      <c r="J33" s="373">
        <f>VLOOKUP(F33,$F$16:$M$20,8,FALSE)</f>
        <v>0</v>
      </c>
      <c r="K33" s="373">
        <f>VLOOKUP(F33,$F$16:$M$20,6,FALSE)</f>
        <v>1</v>
      </c>
      <c r="L33" s="373">
        <f>VLOOKUP(F33,$F$16:$M$20,7,FALSE)</f>
        <v>7</v>
      </c>
      <c r="M33" s="373">
        <f>K33-L33</f>
        <v>-6</v>
      </c>
      <c r="N33" s="370"/>
      <c r="O33" s="370" t="str">
        <f>F33</f>
        <v>Panamá</v>
      </c>
      <c r="P33" s="373">
        <f>VLOOKUP(O33,$F$30:$M$34,5,FALSE)</f>
        <v>0</v>
      </c>
      <c r="Q33" s="373">
        <f>VLOOKUP(O33,$F$30:$M$34,8,FALSE)</f>
        <v>-6</v>
      </c>
      <c r="R33" s="373">
        <f>VLOOKUP(O33,$F$30:$M$34,6,FALSE)</f>
        <v>1</v>
      </c>
      <c r="S33" s="370" t="str">
        <f>O33</f>
        <v>Panamá</v>
      </c>
      <c r="T33" s="373">
        <f>VLOOKUP(S33,$O$30:$R$34,2,FALSE)</f>
        <v>0</v>
      </c>
      <c r="U33" s="373">
        <f>VLOOKUP(S33,$O$30:$R$34,3,FALSE)</f>
        <v>-6</v>
      </c>
      <c r="V33" s="373">
        <f>VLOOKUP(S33,$O$30:$R$34,4,FALSE)</f>
        <v>1</v>
      </c>
      <c r="W33" s="370" t="str">
        <f>IF(AND(T30=T33,U30=U33,V33&gt;V30),S30,S33)</f>
        <v>Panamá</v>
      </c>
      <c r="X33" s="373">
        <f>VLOOKUP(W33,$S$30:$V$34,2,FALSE)</f>
        <v>0</v>
      </c>
      <c r="Y33" s="373">
        <f>VLOOKUP(W33,$S$30:$V$34,3,FALSE)</f>
        <v>-6</v>
      </c>
      <c r="Z33" s="373">
        <f>VLOOKUP(W33,$S$30:$V$34,4,FALSE)</f>
        <v>1</v>
      </c>
      <c r="AA33" s="370" t="str">
        <f>W33</f>
        <v>Panamá</v>
      </c>
      <c r="AB33" s="373">
        <f>VLOOKUP(AA33,W30:Z34,2,FALSE)</f>
        <v>0</v>
      </c>
      <c r="AC33" s="373">
        <f>VLOOKUP(AA33,W30:Z34,3,FALSE)</f>
        <v>-6</v>
      </c>
      <c r="AD33" s="373">
        <f>VLOOKUP(AA33,W30:Z34,4,FALSE)</f>
        <v>1</v>
      </c>
      <c r="AE33" s="370" t="str">
        <f>IF(AND(AB31=AB33,AC31=AC33,AD33&gt;AD31),AA31,AA33)</f>
        <v>Panamá</v>
      </c>
      <c r="AF33" s="373">
        <f>VLOOKUP(AE33,AA30:AD34,2,FALSE)</f>
        <v>0</v>
      </c>
      <c r="AG33" s="373">
        <f>VLOOKUP(AE33,AA30:AD34,3,FALSE)</f>
        <v>-6</v>
      </c>
      <c r="AH33" s="373">
        <f>VLOOKUP(AE33,AA30:AD34,4,FALSE)</f>
        <v>1</v>
      </c>
      <c r="AI33" s="370" t="str">
        <f>IF(AND(AF32=AF33,AG32=AG33,AH33&gt;AH32),AE32,AE33)</f>
        <v>Panamá</v>
      </c>
      <c r="AJ33" s="373">
        <f>VLOOKUP(AI33,AE30:AH34,2,FALSE)</f>
        <v>0</v>
      </c>
      <c r="AK33" s="373">
        <f>VLOOKUP(AI33,AE30:AH34,3,FALSE)</f>
        <v>-6</v>
      </c>
      <c r="AL33" s="373">
        <f>VLOOKUP(AI33,AE30:AH34,4,FALSE)</f>
        <v>1</v>
      </c>
      <c r="AM33" s="370"/>
      <c r="AN33" s="373">
        <f t="shared" si="36"/>
        <v>-599</v>
      </c>
      <c r="AO33" s="375"/>
      <c r="AP33" s="370"/>
      <c r="AQ33" s="375"/>
      <c r="AR33" s="370"/>
      <c r="AS33" s="375"/>
      <c r="AT33" s="370"/>
      <c r="AU33" s="370"/>
      <c r="AV33" s="370">
        <f t="shared" si="37"/>
        <v>-599</v>
      </c>
      <c r="AW33" s="373">
        <f t="shared" si="38"/>
        <v>4</v>
      </c>
      <c r="AX33" s="370" t="str">
        <f t="shared" si="39"/>
        <v>Panamá</v>
      </c>
      <c r="AY33" s="336"/>
      <c r="AZ33" s="336"/>
      <c r="BA33" s="336"/>
      <c r="BB33" s="336"/>
      <c r="BC33" s="336"/>
    </row>
    <row r="34" spans="1:55" x14ac:dyDescent="0.2">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36"/>
      <c r="AZ34" s="336"/>
      <c r="BA34" s="336"/>
      <c r="BB34" s="336"/>
      <c r="BC34" s="336"/>
    </row>
    <row r="35" spans="1:55" x14ac:dyDescent="0.2">
      <c r="A35" s="370"/>
      <c r="B35" s="370"/>
      <c r="C35" s="370"/>
      <c r="D35" s="370"/>
      <c r="E35" s="370"/>
      <c r="F35" s="370"/>
      <c r="G35" s="371"/>
      <c r="H35" s="371"/>
      <c r="I35" s="371"/>
      <c r="J35" s="371"/>
      <c r="K35" s="371"/>
      <c r="L35" s="371"/>
      <c r="M35" s="371"/>
      <c r="N35" s="371"/>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f>VLOOKUP(AW35,$AW$30:$AW$33,1,0)</f>
        <v>1</v>
      </c>
      <c r="AW35" s="370">
        <v>1</v>
      </c>
      <c r="AX35" s="370"/>
      <c r="AY35" s="336"/>
      <c r="AZ35" s="336"/>
      <c r="BA35" s="336"/>
      <c r="BB35" s="336"/>
      <c r="BC35" s="336"/>
    </row>
    <row r="36" spans="1:55" x14ac:dyDescent="0.2">
      <c r="A36" s="372" t="s">
        <v>47</v>
      </c>
      <c r="B36" s="377"/>
      <c r="C36" s="377"/>
      <c r="D36" s="377"/>
      <c r="E36" s="377"/>
      <c r="F36" s="370"/>
      <c r="G36" s="371" t="s">
        <v>13</v>
      </c>
      <c r="H36" s="371" t="s">
        <v>14</v>
      </c>
      <c r="I36" s="371" t="s">
        <v>15</v>
      </c>
      <c r="J36" s="371" t="s">
        <v>16</v>
      </c>
      <c r="K36" s="371" t="s">
        <v>17</v>
      </c>
      <c r="L36" s="371" t="s">
        <v>18</v>
      </c>
      <c r="M36" s="371" t="s">
        <v>42</v>
      </c>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f t="shared" ref="AV36:AV38" si="41">VLOOKUP(AW36,$AW$30:$AW$33,1,0)</f>
        <v>2</v>
      </c>
      <c r="AW36" s="370">
        <v>2</v>
      </c>
      <c r="AX36" s="370"/>
      <c r="AY36" s="336"/>
      <c r="AZ36" s="336"/>
      <c r="BA36" s="336"/>
      <c r="BB36" s="336"/>
      <c r="BC36" s="336"/>
    </row>
    <row r="37" spans="1:55" x14ac:dyDescent="0.2">
      <c r="A37" s="370"/>
      <c r="B37" s="370"/>
      <c r="C37" s="370"/>
      <c r="D37" s="370"/>
      <c r="E37" s="370">
        <v>1</v>
      </c>
      <c r="F37" s="370" t="str">
        <f>IF(ISERROR($AV$39),AI30,VLOOKUP(E37,$AW$30:$AX$33,2,0))</f>
        <v>Inglaterra</v>
      </c>
      <c r="G37" s="373">
        <f>VLOOKUP(F37,$F$16:$M$20,2,FALSE)</f>
        <v>3</v>
      </c>
      <c r="H37" s="373">
        <f>VLOOKUP(F37,$F$16:$M$20,3,FALSE)</f>
        <v>3</v>
      </c>
      <c r="I37" s="373">
        <f>VLOOKUP(F37,$F$16:$M$20,4,FALSE)</f>
        <v>0</v>
      </c>
      <c r="J37" s="373">
        <f>VLOOKUP(F37,$F$16:$M$20,5,FALSE)</f>
        <v>0</v>
      </c>
      <c r="K37" s="373">
        <f>VLOOKUP(F37,$F$16:$M$20,6,FALSE)</f>
        <v>6</v>
      </c>
      <c r="L37" s="373">
        <f>VLOOKUP(F37,$F$16:$M$20,7,FALSE)</f>
        <v>0</v>
      </c>
      <c r="M37" s="373">
        <f>VLOOKUP(F37,$F$16:$M$20,8,FALSE)</f>
        <v>9</v>
      </c>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f t="shared" si="41"/>
        <v>3</v>
      </c>
      <c r="AW37" s="370">
        <v>3</v>
      </c>
      <c r="AX37" s="370"/>
      <c r="AY37" s="336"/>
      <c r="AZ37" s="336"/>
      <c r="BA37" s="336"/>
      <c r="BB37" s="336"/>
      <c r="BC37" s="336"/>
    </row>
    <row r="38" spans="1:55" x14ac:dyDescent="0.2">
      <c r="A38" s="370"/>
      <c r="B38" s="370"/>
      <c r="C38" s="370"/>
      <c r="D38" s="370"/>
      <c r="E38" s="370">
        <v>2</v>
      </c>
      <c r="F38" s="370" t="str">
        <f t="shared" ref="F38:F40" si="42">IF(ISERROR($AV$39),AI31,VLOOKUP(E38,$AW$30:$AX$33,2,0))</f>
        <v>Croacia</v>
      </c>
      <c r="G38" s="373">
        <f>VLOOKUP(F38,$F$16:$M$20,2,FALSE)</f>
        <v>3</v>
      </c>
      <c r="H38" s="373">
        <f>VLOOKUP(F38,$F$16:$M$20,3,FALSE)</f>
        <v>2</v>
      </c>
      <c r="I38" s="373">
        <f>VLOOKUP(F38,$F$16:$M$20,4,FALSE)</f>
        <v>0</v>
      </c>
      <c r="J38" s="373">
        <f>VLOOKUP(F38,$F$16:$M$20,5,FALSE)</f>
        <v>1</v>
      </c>
      <c r="K38" s="373">
        <f>VLOOKUP(F38,$F$16:$M$20,6,FALSE)</f>
        <v>5</v>
      </c>
      <c r="L38" s="373">
        <f>VLOOKUP(F38,$F$16:$M$20,7,FALSE)</f>
        <v>3</v>
      </c>
      <c r="M38" s="373">
        <f>VLOOKUP(F38,$F$16:$M$20,8,FALSE)</f>
        <v>6</v>
      </c>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f t="shared" si="41"/>
        <v>4</v>
      </c>
      <c r="AW38" s="370">
        <v>4</v>
      </c>
      <c r="AX38" s="370"/>
      <c r="AY38" s="336"/>
      <c r="AZ38" s="336"/>
      <c r="BA38" s="336"/>
      <c r="BB38" s="336"/>
      <c r="BC38" s="336"/>
    </row>
    <row r="39" spans="1:55" x14ac:dyDescent="0.2">
      <c r="A39" s="370"/>
      <c r="B39" s="370"/>
      <c r="C39" s="370"/>
      <c r="D39" s="370"/>
      <c r="E39" s="370">
        <v>3</v>
      </c>
      <c r="F39" s="370" t="str">
        <f t="shared" si="42"/>
        <v>Ghana</v>
      </c>
      <c r="G39" s="373">
        <f>VLOOKUP(F39,$F$16:$M$20,2,FALSE)</f>
        <v>3</v>
      </c>
      <c r="H39" s="373">
        <f>VLOOKUP(F39,$F$16:$M$20,3,FALSE)</f>
        <v>1</v>
      </c>
      <c r="I39" s="373">
        <f>VLOOKUP(F39,$F$16:$M$20,4,FALSE)</f>
        <v>0</v>
      </c>
      <c r="J39" s="373">
        <f>VLOOKUP(F39,$F$16:$M$20,5,FALSE)</f>
        <v>2</v>
      </c>
      <c r="K39" s="373">
        <f>VLOOKUP(F39,$F$16:$M$20,6,FALSE)</f>
        <v>2</v>
      </c>
      <c r="L39" s="373">
        <f>VLOOKUP(F39,$F$16:$M$20,7,FALSE)</f>
        <v>4</v>
      </c>
      <c r="M39" s="373">
        <f>VLOOKUP(F39,$F$16:$M$20,8,FALSE)</f>
        <v>3</v>
      </c>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f>SUM(AV35:AV38)</f>
        <v>10</v>
      </c>
      <c r="AW39" s="370"/>
      <c r="AX39" s="370"/>
      <c r="AY39" s="336"/>
      <c r="AZ39" s="336"/>
      <c r="BA39" s="336"/>
      <c r="BB39" s="336"/>
      <c r="BC39" s="336"/>
    </row>
    <row r="40" spans="1:55" x14ac:dyDescent="0.2">
      <c r="A40" s="370"/>
      <c r="B40" s="370"/>
      <c r="C40" s="370"/>
      <c r="D40" s="370"/>
      <c r="E40" s="370">
        <v>4</v>
      </c>
      <c r="F40" s="370" t="str">
        <f t="shared" si="42"/>
        <v>Panamá</v>
      </c>
      <c r="G40" s="373">
        <f>VLOOKUP(F40,$F$16:$M$20,2,FALSE)</f>
        <v>3</v>
      </c>
      <c r="H40" s="373">
        <f>VLOOKUP(F40,$F$16:$M$20,3,FALSE)</f>
        <v>0</v>
      </c>
      <c r="I40" s="373">
        <f>VLOOKUP(F40,$F$16:$M$20,4,FALSE)</f>
        <v>0</v>
      </c>
      <c r="J40" s="373">
        <f>VLOOKUP(F40,$F$16:$M$20,5,FALSE)</f>
        <v>3</v>
      </c>
      <c r="K40" s="373">
        <f>VLOOKUP(F40,$F$16:$M$20,6,FALSE)</f>
        <v>1</v>
      </c>
      <c r="L40" s="373">
        <f>VLOOKUP(F40,$F$16:$M$20,7,FALSE)</f>
        <v>7</v>
      </c>
      <c r="M40" s="373">
        <f>VLOOKUP(F40,$F$16:$M$20,8,FALSE)</f>
        <v>0</v>
      </c>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36"/>
      <c r="AZ40" s="336"/>
      <c r="BA40" s="336"/>
      <c r="BB40" s="336"/>
      <c r="BC40" s="336"/>
    </row>
    <row r="41" spans="1:55" x14ac:dyDescent="0.2">
      <c r="A41" s="370"/>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c r="AO41" s="370"/>
      <c r="AP41" s="370"/>
      <c r="AQ41" s="370"/>
      <c r="AR41" s="370"/>
      <c r="AS41" s="370"/>
      <c r="AT41" s="370"/>
      <c r="AU41" s="370"/>
      <c r="AV41" s="370"/>
      <c r="AW41" s="370"/>
      <c r="AX41" s="370"/>
      <c r="AY41" s="336"/>
      <c r="AZ41" s="336"/>
      <c r="BA41" s="336"/>
      <c r="BB41" s="336"/>
      <c r="BC41" s="336"/>
    </row>
    <row r="42" spans="1:55" x14ac:dyDescent="0.2">
      <c r="A42" s="370"/>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36"/>
      <c r="AZ42" s="336"/>
      <c r="BA42" s="336"/>
      <c r="BB42" s="336"/>
      <c r="BC42" s="336"/>
    </row>
    <row r="43" spans="1:55" x14ac:dyDescent="0.2">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0"/>
      <c r="AS43" s="370"/>
      <c r="AT43" s="370"/>
      <c r="AU43" s="370"/>
      <c r="AV43" s="370"/>
      <c r="AW43" s="370"/>
      <c r="AX43" s="370"/>
      <c r="AY43" s="336"/>
      <c r="AZ43" s="336"/>
      <c r="BA43" s="336"/>
      <c r="BB43" s="336"/>
      <c r="BC43" s="336"/>
    </row>
    <row r="44" spans="1:55" x14ac:dyDescent="0.2">
      <c r="A44" s="370"/>
      <c r="B44" s="370"/>
      <c r="C44" s="370"/>
      <c r="D44" s="370"/>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0"/>
      <c r="AO44" s="370"/>
      <c r="AP44" s="370"/>
      <c r="AQ44" s="370"/>
      <c r="AR44" s="370"/>
      <c r="AS44" s="370"/>
      <c r="AT44" s="370"/>
      <c r="AU44" s="370"/>
      <c r="AV44" s="370"/>
      <c r="AW44" s="370"/>
      <c r="AX44" s="370"/>
      <c r="AY44" s="336"/>
      <c r="AZ44" s="336"/>
      <c r="BA44" s="336"/>
      <c r="BB44" s="336"/>
      <c r="BC44" s="336"/>
    </row>
    <row r="45" spans="1:55" x14ac:dyDescent="0.2">
      <c r="A45" s="370"/>
      <c r="B45" s="370"/>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36"/>
      <c r="AZ45" s="336"/>
      <c r="BA45" s="336"/>
      <c r="BB45" s="336"/>
      <c r="BC45" s="336"/>
    </row>
    <row r="46" spans="1:55" x14ac:dyDescent="0.2">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36"/>
      <c r="AZ46" s="336"/>
      <c r="BA46" s="336"/>
      <c r="BB46" s="336"/>
      <c r="BC46" s="336"/>
    </row>
    <row r="47" spans="1:55" x14ac:dyDescent="0.2">
      <c r="A47" s="336"/>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row>
    <row r="48" spans="1:55" x14ac:dyDescent="0.2">
      <c r="A48" s="336"/>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row>
    <row r="49" spans="1:55" x14ac:dyDescent="0.2">
      <c r="A49" s="336"/>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row>
  </sheetData>
  <sheetProtection sheet="1" objects="1" scenarios="1" selectLockedCells="1"/>
  <mergeCells count="1">
    <mergeCell ref="A2:E2"/>
  </mergeCells>
  <pageMargins left="0.75" right="0.75" top="1" bottom="1" header="0.5" footer="0.5"/>
  <headerFooter alignWithMargins="0"/>
</worksheet>
</file>

<file path=docMetadata/LabelInfo.xml><?xml version="1.0" encoding="utf-8"?>
<clbl:labelList xmlns:clbl="http://schemas.microsoft.com/office/2020/mipLabelMetadata">
  <clbl:label id="{42cc3295-cd0e-449c-b98e-5ce5b560c1d3}" enabled="0" method="" siteId="{42cc3295-cd0e-449c-b98e-5ce5b560c1d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vt:i4>
      </vt:variant>
    </vt:vector>
  </HeadingPairs>
  <TitlesOfParts>
    <vt:vector size="47" baseType="lpstr">
      <vt:lpstr>menu</vt:lpstr>
      <vt:lpstr>- A -</vt:lpstr>
      <vt:lpstr>- B -</vt:lpstr>
      <vt:lpstr>- C -</vt:lpstr>
      <vt:lpstr>- D -</vt:lpstr>
      <vt:lpstr>- E -</vt:lpstr>
      <vt:lpstr>- F -</vt:lpstr>
      <vt:lpstr>- G -</vt:lpstr>
      <vt:lpstr>- H -</vt:lpstr>
      <vt:lpstr>- I -</vt:lpstr>
      <vt:lpstr>- J -</vt:lpstr>
      <vt:lpstr>- K -</vt:lpstr>
      <vt:lpstr>- L -</vt:lpstr>
      <vt:lpstr>- 3ros -</vt:lpstr>
      <vt:lpstr>16vos de Final</vt:lpstr>
      <vt:lpstr>Octavos de Final</vt:lpstr>
      <vt:lpstr>Cuartos de Final</vt:lpstr>
      <vt:lpstr>Semifinal</vt:lpstr>
      <vt:lpstr>FINAL</vt:lpstr>
      <vt:lpstr>Resumen</vt:lpstr>
      <vt:lpstr>Hoja1</vt:lpstr>
      <vt:lpstr>mejores3</vt:lpstr>
      <vt:lpstr>calculoA</vt:lpstr>
      <vt:lpstr>calculoB</vt:lpstr>
      <vt:lpstr>calculoC</vt:lpstr>
      <vt:lpstr>calculoD</vt:lpstr>
      <vt:lpstr>calculoE</vt:lpstr>
      <vt:lpstr>calculoF</vt:lpstr>
      <vt:lpstr>calculoG</vt:lpstr>
      <vt:lpstr>calculoH</vt:lpstr>
      <vt:lpstr>calculoI</vt:lpstr>
      <vt:lpstr>calculoJ</vt:lpstr>
      <vt:lpstr>calculoK</vt:lpstr>
      <vt:lpstr>calculoL</vt:lpstr>
      <vt:lpstr>'- 3ros -'!Print_Area</vt:lpstr>
      <vt:lpstr>'- H -'!Print_Area</vt:lpstr>
      <vt:lpstr>'- I -'!Print_Area</vt:lpstr>
      <vt:lpstr>'- J -'!Print_Area</vt:lpstr>
      <vt:lpstr>'- K -'!Print_Area</vt:lpstr>
      <vt:lpstr>'- L -'!Print_Area</vt:lpstr>
      <vt:lpstr>'16vos de Final'!Print_Area</vt:lpstr>
      <vt:lpstr>'Cuartos de Final'!Print_Area</vt:lpstr>
      <vt:lpstr>FINAL!Print_Area</vt:lpstr>
      <vt:lpstr>menu!Print_Area</vt:lpstr>
      <vt:lpstr>'Octavos de Final'!Print_Area</vt:lpstr>
      <vt:lpstr>Resumen!Print_Area</vt:lpstr>
      <vt:lpstr>Semifinal!Print_Area</vt:lpstr>
    </vt:vector>
  </TitlesOfParts>
  <Manager>Pablo Camino</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Seguí paso a paso la Copa del Mundo 2002</dc:title>
  <dc:creator>Velasquez, Yesid {PI}</dc:creator>
  <cp:lastModifiedBy>Freider David de la Cruz Teheran</cp:lastModifiedBy>
  <cp:lastPrinted>2026-05-20T20:24:09Z</cp:lastPrinted>
  <dcterms:created xsi:type="dcterms:W3CDTF">2001-10-15T19:26:14Z</dcterms:created>
  <dcterms:modified xsi:type="dcterms:W3CDTF">2026-06-05T20:52:13Z</dcterms:modified>
</cp:coreProperties>
</file>