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FA6369EB-9BB9-4AAE-A027-38BE15E0C8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Z216" i="1" l="1"/>
  <c r="Z360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7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BP93" i="1"/>
  <c r="BN93" i="1"/>
  <c r="Z93" i="1"/>
  <c r="BP102" i="1"/>
  <c r="BN102" i="1"/>
  <c r="Z102" i="1"/>
  <c r="BP114" i="1"/>
  <c r="BN114" i="1"/>
  <c r="Z114" i="1"/>
  <c r="Z117" i="1" s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Z96" i="1" s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Z30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Z375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Y376" i="1"/>
  <c r="Y381" i="1"/>
  <c r="BP378" i="1"/>
  <c r="BN378" i="1"/>
  <c r="Z378" i="1"/>
  <c r="Z380" i="1" s="1"/>
  <c r="Y395" i="1"/>
  <c r="BP388" i="1"/>
  <c r="BN388" i="1"/>
  <c r="Z388" i="1"/>
  <c r="Z395" i="1" s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34" i="1" l="1"/>
  <c r="Y493" i="1"/>
  <c r="Z199" i="1"/>
  <c r="Y491" i="1"/>
  <c r="Z455" i="1"/>
  <c r="Z270" i="1"/>
  <c r="Z43" i="1"/>
  <c r="Z31" i="1"/>
  <c r="Z496" i="1" s="1"/>
  <c r="Y495" i="1"/>
  <c r="Y492" i="1"/>
  <c r="Y494" i="1" s="1"/>
  <c r="Z230" i="1"/>
  <c r="Z167" i="1"/>
</calcChain>
</file>

<file path=xl/sharedStrings.xml><?xml version="1.0" encoding="utf-8"?>
<sst xmlns="http://schemas.openxmlformats.org/spreadsheetml/2006/main" count="2296" uniqueCount="768">
  <si>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</si>
  <si>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</si>
  <si>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</si>
  <si>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</si>
  <si>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</si>
  <si>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</si>
  <si>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</si>
  <si>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</si>
  <si>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</si>
  <si>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</si>
  <si>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</si>
  <si>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</si>
  <si>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</si>
  <si>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</si>
  <si>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</si>
  <si>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</si>
  <si>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</si>
  <si>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</si>
  <si>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</si>
  <si>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</si>
  <si>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</si>
  <si>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</si>
  <si>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</si>
  <si>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</si>
  <si>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</si>
  <si>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</si>
  <si>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</si>
  <si>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</si>
  <si>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</si>
  <si>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</si>
  <si>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</si>
  <si>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</si>
  <si>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</si>
  <si>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</si>
  <si>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</si>
  <si>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</si>
  <si>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</si>
  <si>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</si>
  <si>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</si>
  <si>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</si>
  <si>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</si>
  <si>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</si>
  <si>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</si>
  <si>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</si>
  <si>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</si>
  <si>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</si>
  <si>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</si>
  <si>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</si>
  <si>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</si>
  <si>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</si>
  <si>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</si>
  <si>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</si>
  <si>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</si>
  <si>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</si>
  <si>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</si>
  <si>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</si>
  <si>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</si>
  <si>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</si>
  <si>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</si>
  <si>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</si>
  <si>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</si>
  <si>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</si>
  <si>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</si>
  <si>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</si>
  <si>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</si>
  <si>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</si>
  <si>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</si>
  <si>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</si>
  <si>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</si>
  <si>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</si>
  <si>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</si>
  <si>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</si>
  <si>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</si>
  <si>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</si>
  <si>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</si>
  <si>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</si>
  <si>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</si>
  <si>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</si>
  <si>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</si>
  <si>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</si>
  <si>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</si>
  <si>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</si>
  <si>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</si>
  <si>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</si>
  <si>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</si>
  <si>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</si>
  <si>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</si>
  <si>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</si>
  <si>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</si>
  <si>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</si>
  <si>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</si>
  <si>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</si>
  <si>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</si>
  <si>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</si>
  <si>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</si>
  <si>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</si>
  <si>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</si>
  <si>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</si>
  <si>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</si>
  <si>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</si>
  <si>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</si>
  <si>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</si>
  <si>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</si>
  <si>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</si>
  <si>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</si>
  <si>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</si>
  <si>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</si>
  <si>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</si>
  <si>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</si>
  <si>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</si>
  <si>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830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</si>
  <si>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</si>
  <si>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</si>
  <si>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</si>
  <si>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</si>
  <si>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</si>
  <si>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</si>
  <si>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</si>
  <si>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</si>
  <si>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</si>
  <si>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</si>
  <si>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</si>
  <si>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</si>
  <si>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</si>
  <si>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</si>
  <si>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</si>
  <si>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</si>
  <si>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</si>
  <si>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</si>
  <si>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</si>
  <si>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</si>
  <si>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</si>
  <si>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</si>
  <si>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</si>
  <si>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</si>
  <si>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</si>
  <si>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</si>
  <si>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</si>
  <si>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</si>
  <si>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</si>
  <si>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</si>
  <si>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</si>
  <si>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</si>
  <si>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</si>
  <si>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</si>
  <si>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</si>
  <si>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</si>
  <si>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</si>
  <si>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</si>
  <si>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</si>
  <si>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</si>
  <si>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</si>
  <si>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</si>
  <si>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</si>
  <si>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</si>
  <si>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</si>
  <si>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</si>
  <si>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</si>
  <si>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</si>
  <si>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</si>
  <si>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</si>
  <si>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</si>
  <si>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</si>
  <si>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</si>
  <si>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</si>
  <si>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</si>
  <si>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</si>
  <si>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</si>
  <si>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</si>
  <si>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</si>
  <si>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</si>
  <si>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</si>
  <si>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</si>
  <si>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</si>
  <si>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</si>
  <si>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</si>
  <si>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</si>
  <si>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</si>
  <si>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</si>
  <si>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</si>
  <si>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</si>
  <si>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</si>
  <si>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</si>
  <si>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</si>
  <si>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</si>
  <si>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</si>
  <si>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</si>
  <si>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</si>
  <si>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</si>
  <si>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</si>
  <si>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</si>
  <si>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</si>
  <si>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</si>
  <si>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</si>
  <si>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</si>
  <si>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</si>
  <si>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</si>
  <si>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</si>
  <si>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</si>
  <si>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</si>
  <si>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</si>
  <si>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</si>
  <si>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</si>
  <si>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</si>
  <si>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</si>
  <si>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</si>
  <si>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</si>
  <si>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</si>
  <si>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</si>
  <si>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</si>
  <si>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</si>
  <si>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</si>
  <si>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</si>
  <si>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</si>
  <si>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</si>
  <si>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</si>
  <si>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</si>
  <si>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</si>
  <si>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</si>
  <si>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</si>
  <si>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</si>
  <si>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</si>
  <si>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</si>
  <si>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</si>
  <si>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</si>
  <si>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</si>
  <si>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</si>
  <si>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</si>
  <si>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</si>
  <si>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</si>
  <si>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</si>
  <si>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</si>
  <si>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</si>
  <si>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</si>
  <si>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</si>
  <si>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</si>
  <si>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</si>
  <si>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</si>
  <si>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</si>
  <si>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</si>
  <si>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</si>
  <si>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</si>
  <si>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</si>
  <si>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</si>
  <si>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</si>
  <si>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</si>
  <si>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</si>
  <si>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</si>
  <si>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</si>
  <si>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</si>
  <si>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</si>
  <si>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</si>
  <si>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</si>
  <si>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</si>
  <si>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</si>
  <si>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</si>
  <si>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</si>
  <si>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</si>
  <si>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</si>
  <si>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</si>
  <si>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</si>
  <si>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</si>
  <si>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</si>
  <si>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</si>
  <si>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</si>
  <si>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</si>
  <si>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</si>
  <si>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</si>
  <si>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</si>
  <si>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</si>
  <si>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</si>
  <si>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</si>
  <si>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</si>
  <si>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</si>
  <si>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</si>
  <si>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</si>
  <si>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</si>
  <si>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</si>
  <si>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</si>
  <si>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</si>
  <si>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</si>
  <si>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</si>
  <si>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</si>
  <si>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</si>
  <si>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</si>
  <si>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</si>
  <si>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</si>
  <si>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</si>
  <si>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</si>
  <si>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</si>
  <si>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</si>
  <si>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</si>
  <si>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</si>
  <si>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</si>
  <si>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</si>
  <si>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</si>
  <si>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</si>
  <si>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</si>
  <si>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</si>
  <si>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</si>
  <si>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</si>
  <si>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</si>
  <si>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</si>
  <si>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</si>
  <si>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</si>
  <si>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</si>
  <si>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</si>
  <si>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</si>
  <si>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</si>
  <si>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</si>
  <si>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</si>
  <si>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</si>
  <si>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</si>
  <si>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</si>
  <si>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</si>
  <si>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</si>
  <si>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</si>
  <si>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</si>
  <si>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</si>
  <si>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</si>
  <si>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</si>
  <si>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</si>
  <si>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</si>
  <si>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</si>
  <si>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</si>
  <si>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</si>
  <si>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</si>
  <si>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</si>
  <si>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</si>
  <si>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</si>
  <si>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</si>
  <si>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</si>
  <si>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</si>
  <si>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</si>
  <si>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</si>
  <si>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</si>
  <si>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</si>
  <si>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</si>
  <si>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</si>
  <si>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</si>
  <si>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</si>
  <si>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</si>
  <si>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</si>
  <si>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</si>
  <si>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</si>
  <si>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</si>
  <si>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</si>
  <si>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</si>
  <si>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</si>
  <si>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</si>
  <si>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</si>
  <si>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</si>
  <si>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</si>
  <si>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</si>
  <si>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</si>
  <si>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</si>
  <si>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</si>
  <si>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</si>
  <si>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</si>
  <si>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</si>
  <si>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</si>
  <si>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</si>
  <si>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</si>
  <si>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</si>
  <si>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</si>
  <si>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</si>
  <si>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P005062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</si>
  <si>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</si>
  <si>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</si>
  <si>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</si>
  <si>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</si>
  <si>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</si>
  <si>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</si>
  <si>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</si>
  <si>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</si>
  <si>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</si>
  <si>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</si>
  <si>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</si>
  <si>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</si>
  <si>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</si>
  <si>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</si>
  <si>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</si>
  <si>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</si>
  <si>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</si>
  <si>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</si>
  <si>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</si>
  <si>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</si>
  <si>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</si>
  <si>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</si>
  <si>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</si>
  <si>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</si>
  <si>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</si>
  <si>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</si>
  <si>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</si>
  <si>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</si>
  <si>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</si>
  <si>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</si>
  <si>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</si>
  <si>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</si>
  <si>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</si>
  <si>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</si>
  <si>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</si>
  <si>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</si>
  <si>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</si>
  <si>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</si>
  <si>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</si>
  <si>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</si>
  <si>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</si>
  <si>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</si>
  <si>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</si>
  <si>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</si>
  <si>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</si>
  <si>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</si>
  <si>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</si>
  <si>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</si>
  <si>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</si>
  <si>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</si>
  <si>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</si>
  <si>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</si>
  <si>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</si>
  <si>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</si>
  <si>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</si>
  <si>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</si>
  <si>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</si>
  <si>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</si>
  <si>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</si>
  <si>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</si>
  <si>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</si>
  <si>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</si>
  <si>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</si>
  <si>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</si>
  <si>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</si>
  <si>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</si>
  <si>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</si>
  <si>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</si>
  <si>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</si>
  <si>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</si>
  <si>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</si>
  <si>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</si>
  <si>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</si>
  <si>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</si>
  <si>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</si>
  <si>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</si>
  <si>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</si>
  <si>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</si>
  <si>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</si>
  <si>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</si>
  <si>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</si>
  <si>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</si>
  <si>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</si>
  <si>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</si>
  <si>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</si>
  <si>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</si>
  <si>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</si>
  <si>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</si>
  <si>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</si>
  <si>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</si>
  <si>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</si>
  <si>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</si>
  <si>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</si>
  <si>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</si>
  <si>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</si>
  <si>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</si>
  <si>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</si>
  <si>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</si>
  <si>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</si>
  <si>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</si>
  <si>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</si>
  <si>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</si>
  <si>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</si>
  <si>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</si>
  <si>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</si>
  <si>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</si>
  <si>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</si>
  <si>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</si>
  <si>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</si>
  <si>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</si>
  <si>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</si>
  <si>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</si>
  <si>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</si>
  <si>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</si>
  <si>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</si>
  <si>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</si>
  <si>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</si>
  <si>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</si>
  <si>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</si>
  <si>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</si>
  <si>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</si>
  <si>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</si>
  <si>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</si>
  <si>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</si>
  <si>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</si>
  <si>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</si>
  <si>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</si>
  <si>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</si>
  <si>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</si>
  <si>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</si>
  <si>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</si>
  <si>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</si>
  <si>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</si>
  <si>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</si>
  <si>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</si>
  <si>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</si>
  <si>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</si>
  <si>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</si>
  <si>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</si>
  <si>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</si>
  <si>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</si>
  <si>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</si>
  <si>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</si>
  <si>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</si>
  <si>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</si>
  <si>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</si>
  <si>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</si>
  <si>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</si>
  <si>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</si>
  <si>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</si>
  <si>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</si>
  <si>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</si>
  <si>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</si>
  <si>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</si>
  <si>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</si>
  <si>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</si>
  <si>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</si>
  <si>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</si>
  <si>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</si>
  <si>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</si>
  <si>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</si>
  <si>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</si>
  <si>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</si>
  <si>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</si>
  <si>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</si>
  <si>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</si>
  <si>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</si>
  <si>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</si>
  <si>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</si>
  <si>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</si>
  <si>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</si>
  <si>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</si>
  <si>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</si>
  <si>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</si>
  <si>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</si>
  <si>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</si>
  <si>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</si>
  <si>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</si>
  <si>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</si>
  <si>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</si>
  <si>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</si>
  <si>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</si>
  <si>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</si>
  <si>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</si>
  <si>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</si>
  <si>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</si>
  <si>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</si>
  <si>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</si>
  <si>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</si>
  <si>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</si>
  <si>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</si>
  <si>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</si>
  <si>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</si>
  <si>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</si>
  <si>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</si>
  <si>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</si>
  <si>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</si>
  <si>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</si>
  <si>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</si>
  <si>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</si>
  <si>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</si>
  <si>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</si>
  <si>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</si>
  <si>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</si>
  <si>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</si>
  <si>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</si>
  <si>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</si>
  <si>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</si>
  <si>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</si>
  <si>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</si>
  <si>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</si>
  <si>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P005172</t>
  </si>
  <si>
    <t>ЕАЭС N RU Д-RU.РА02.В.61652/24</t>
  </si>
  <si>
    <t>P004227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</si>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</sst>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45956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0.375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3320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/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/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 t="s">
        <v>106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0</v>
      </c>
      <c r="Y63" s="545">
        <f>IFERROR(Y60/H60,"0")+IFERROR(Y61/H61,"0")+IFERROR(Y62/H62,"0")</f>
        <v>0</v>
      </c>
      <c r="Z63" s="545">
        <f>IFERROR(IF(Z60="",0,Z60),"0")+IFERROR(IF(Z61="",0,Z61),"0")+IFERROR(IF(Z62="",0,Z62),"0")</f>
        <v>0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0</v>
      </c>
      <c r="Y64" s="545">
        <f>IFERROR(SUM(Y60:Y62),"0")</f>
        <v>0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0</v>
      </c>
      <c r="Y82" s="545">
        <f>IFERROR(Y80/H80,"0")+IFERROR(Y81/H81,"0")</f>
        <v>0</v>
      </c>
      <c r="Z82" s="545">
        <f>IFERROR(IF(Z80="",0,Z80),"0")+IFERROR(IF(Z81="",0,Z81),"0")</f>
        <v>0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0</v>
      </c>
      <c r="Y83" s="545">
        <f>IFERROR(SUM(Y80:Y81),"0")</f>
        <v>0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/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135</v>
      </c>
      <c r="Y88" s="544">
        <f>IFERROR(IF(X88="",0,CEILING((X88/$H88),1)*$H88),"")</f>
        <v>135</v>
      </c>
      <c r="Z88" s="36">
        <f>IFERROR(IF(Y88=0,"",ROUNDUP(Y88/H88,0)*0.00902),"")</f>
        <v>0.27060000000000001</v>
      </c>
      <c r="AA88" s="56"/>
      <c r="AB88" s="57"/>
      <c r="AC88" s="133" t="s">
        <v>175</v>
      </c>
      <c r="AG88" s="64"/>
      <c r="AJ88" s="68" t="s">
        <v>106</v>
      </c>
      <c r="AK88" s="68">
        <v>4.5</v>
      </c>
      <c r="BB88" s="134" t="s">
        <v>1</v>
      </c>
      <c r="BM88" s="64">
        <f>IFERROR(X88*I88/H88,"0")</f>
        <v>141.30000000000001</v>
      </c>
      <c r="BN88" s="64">
        <f>IFERROR(Y88*I88/H88,"0")</f>
        <v>141.30000000000001</v>
      </c>
      <c r="BO88" s="64">
        <f>IFERROR(1/J88*(X88/H88),"0")</f>
        <v>0.22727272727272729</v>
      </c>
      <c r="BP88" s="64">
        <f>IFERROR(1/J88*(Y88/H88),"0")</f>
        <v>0.22727272727272729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30</v>
      </c>
      <c r="Y89" s="545">
        <f>IFERROR(Y86/H86,"0")+IFERROR(Y87/H87,"0")+IFERROR(Y88/H88,"0")</f>
        <v>30</v>
      </c>
      <c r="Z89" s="545">
        <f>IFERROR(IF(Z86="",0,Z86),"0")+IFERROR(IF(Z87="",0,Z87),"0")+IFERROR(IF(Z88="",0,Z88),"0")</f>
        <v>0.27060000000000001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135</v>
      </c>
      <c r="Y90" s="545">
        <f>IFERROR(SUM(Y86:Y88),"0")</f>
        <v>135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100</v>
      </c>
      <c r="Y100" s="544">
        <f>IFERROR(IF(X100="",0,CEILING((X100/$H100),1)*$H100),"")</f>
        <v>108</v>
      </c>
      <c r="Z100" s="36">
        <f>IFERROR(IF(Y100=0,"",ROUNDUP(Y100/H100,0)*0.01898),"")</f>
        <v>0.1898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104.02777777777777</v>
      </c>
      <c r="BN100" s="64">
        <f>IFERROR(Y100*I100/H100,"0")</f>
        <v>112.34999999999998</v>
      </c>
      <c r="BO100" s="64">
        <f>IFERROR(1/J100*(X100/H100),"0")</f>
        <v>0.14467592592592593</v>
      </c>
      <c r="BP100" s="64">
        <f>IFERROR(1/J100*(Y100/H100),"0")</f>
        <v>0.15625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199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90</v>
      </c>
      <c r="Y102" s="544">
        <f>IFERROR(IF(X102="",0,CEILING((X102/$H102),1)*$H102),"")</f>
        <v>90</v>
      </c>
      <c r="Z102" s="36">
        <f>IFERROR(IF(Y102=0,"",ROUNDUP(Y102/H102,0)*0.00902),"")</f>
        <v>0.1804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94.199999999999989</v>
      </c>
      <c r="BN102" s="64">
        <f>IFERROR(Y102*I102/H102,"0")</f>
        <v>94.199999999999989</v>
      </c>
      <c r="BO102" s="64">
        <f>IFERROR(1/J102*(X102/H102),"0")</f>
        <v>0.15151515151515152</v>
      </c>
      <c r="BP102" s="64">
        <f>IFERROR(1/J102*(Y102/H102),"0")</f>
        <v>0.15151515151515152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29.25925925925926</v>
      </c>
      <c r="Y104" s="545">
        <f>IFERROR(Y100/H100,"0")+IFERROR(Y101/H101,"0")+IFERROR(Y102/H102,"0")+IFERROR(Y103/H103,"0")</f>
        <v>30</v>
      </c>
      <c r="Z104" s="545">
        <f>IFERROR(IF(Z100="",0,Z100),"0")+IFERROR(IF(Z101="",0,Z101),"0")+IFERROR(IF(Z102="",0,Z102),"0")+IFERROR(IF(Z103="",0,Z103),"0")</f>
        <v>0.37019999999999997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190</v>
      </c>
      <c r="Y105" s="545">
        <f>IFERROR(SUM(Y100:Y103),"0")</f>
        <v>198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216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217</v>
      </c>
      <c r="B116" s="54" t="s">
        <v>218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216</v>
      </c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219</v>
      </c>
      <c r="AG116" s="64"/>
      <c r="AJ116" s="68" t="s">
        <v>106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0</v>
      </c>
      <c r="Y117" s="545">
        <f>IFERROR(Y113/H113,"0")+IFERROR(Y114/H114,"0")+IFERROR(Y115/H115,"0")+IFERROR(Y116/H116,"0")</f>
        <v>0</v>
      </c>
      <c r="Z117" s="545">
        <f>IFERROR(IF(Z113="",0,Z113),"0")+IFERROR(IF(Z114="",0,Z114),"0")+IFERROR(IF(Z115="",0,Z115),"0")+IFERROR(IF(Z116="",0,Z116),"0")</f>
        <v>0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0</v>
      </c>
      <c r="Y118" s="545">
        <f>IFERROR(SUM(Y113:Y116),"0")</f>
        <v>0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220</v>
      </c>
      <c r="B120" s="54" t="s">
        <v>221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216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222</v>
      </c>
      <c r="AG120" s="64"/>
      <c r="AJ120" s="68" t="s">
        <v>106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223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224</v>
      </c>
      <c r="B125" s="54" t="s">
        <v>225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216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40</v>
      </c>
      <c r="Y125" s="544">
        <f>IFERROR(IF(X125="",0,CEILING((X125/$H125),1)*$H125),"")</f>
        <v>41.6</v>
      </c>
      <c r="Z125" s="36">
        <f>IFERROR(IF(Y125=0,"",ROUNDUP(Y125/H125,0)*0.00651),"")</f>
        <v>8.4629999999999997E-2</v>
      </c>
      <c r="AA125" s="56"/>
      <c r="AB125" s="57"/>
      <c r="AC125" s="167" t="s">
        <v>226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42.249999999999993</v>
      </c>
      <c r="BN125" s="64">
        <f>IFERROR(Y125*I125/H125,"0")</f>
        <v>43.94</v>
      </c>
      <c r="BO125" s="64">
        <f>IFERROR(1/J125*(X125/H125),"0")</f>
        <v>6.8681318681318687E-2</v>
      </c>
      <c r="BP125" s="64">
        <f>IFERROR(1/J125*(Y125/H125),"0")</f>
        <v>7.1428571428571438E-2</v>
      </c>
    </row>
    <row r="126" spans="1:68" ht="27" customHeight="1" x14ac:dyDescent="0.25">
      <c r="A126" s="54" t="s">
        <v>224</v>
      </c>
      <c r="B126" s="54" t="s">
        <v>227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226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12.5</v>
      </c>
      <c r="Y127" s="545">
        <f>IFERROR(Y125/H125,"0")+IFERROR(Y126/H126,"0")</f>
        <v>13</v>
      </c>
      <c r="Z127" s="545">
        <f>IFERROR(IF(Z125="",0,Z125),"0")+IFERROR(IF(Z126="",0,Z126),"0")</f>
        <v>8.4629999999999997E-2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40</v>
      </c>
      <c r="Y128" s="545">
        <f>IFERROR(SUM(Y125:Y126),"0")</f>
        <v>41.6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228</v>
      </c>
      <c r="B130" s="54" t="s">
        <v>229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230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228</v>
      </c>
      <c r="B131" s="54" t="s">
        <v>231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216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17.5</v>
      </c>
      <c r="Y131" s="544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230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6.25</v>
      </c>
      <c r="Y132" s="545">
        <f>IFERROR(Y130/H130,"0")+IFERROR(Y131/H131,"0")</f>
        <v>7</v>
      </c>
      <c r="Z132" s="545">
        <f>IFERROR(IF(Z130="",0,Z130),"0")+IFERROR(IF(Z131="",0,Z131),"0")</f>
        <v>4.5569999999999999E-2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17.5</v>
      </c>
      <c r="Y133" s="545">
        <f>IFERROR(SUM(Y130:Y131),"0")</f>
        <v>19.599999999999998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232</v>
      </c>
      <c r="B135" s="54" t="s">
        <v>233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226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232</v>
      </c>
      <c r="B136" s="54" t="s">
        <v>234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216</v>
      </c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33</v>
      </c>
      <c r="Y136" s="544">
        <f>IFERROR(IF(X136="",0,CEILING((X136/$H136),1)*$H136),"")</f>
        <v>34.32</v>
      </c>
      <c r="Z136" s="36">
        <f>IFERROR(IF(Y136=0,"",ROUNDUP(Y136/H136,0)*0.00651),"")</f>
        <v>8.4629999999999997E-2</v>
      </c>
      <c r="AA136" s="56"/>
      <c r="AB136" s="57"/>
      <c r="AC136" s="177" t="s">
        <v>226</v>
      </c>
      <c r="AG136" s="64"/>
      <c r="AJ136" s="68" t="s">
        <v>106</v>
      </c>
      <c r="AK136" s="68">
        <v>36.96</v>
      </c>
      <c r="BB136" s="178" t="s">
        <v>1</v>
      </c>
      <c r="BM136" s="64">
        <f>IFERROR(X136*I136/H136,"0")</f>
        <v>36.349999999999994</v>
      </c>
      <c r="BN136" s="64">
        <f>IFERROR(Y136*I136/H136,"0")</f>
        <v>37.803999999999995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12.5</v>
      </c>
      <c r="Y137" s="545">
        <f>IFERROR(Y135/H135,"0")+IFERROR(Y136/H136,"0")</f>
        <v>13</v>
      </c>
      <c r="Z137" s="545">
        <f>IFERROR(IF(Z135="",0,Z135),"0")+IFERROR(IF(Z136="",0,Z136),"0")</f>
        <v>8.4629999999999997E-2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33</v>
      </c>
      <c r="Y138" s="545">
        <f>IFERROR(SUM(Y135:Y136),"0")</f>
        <v>34.32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235</v>
      </c>
      <c r="B141" s="54" t="s">
        <v>236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238</v>
      </c>
      <c r="B142" s="54" t="s">
        <v>239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250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199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 t="s">
        <v>199</v>
      </c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 t="s">
        <v>106</v>
      </c>
      <c r="AK159" s="68">
        <v>50.4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199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52.5</v>
      </c>
      <c r="Y161" s="544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55.75</v>
      </c>
      <c r="BN161" s="64">
        <f t="shared" si="7"/>
        <v>55.75</v>
      </c>
      <c r="BO161" s="64">
        <f t="shared" si="8"/>
        <v>0.10683760683760685</v>
      </c>
      <c r="BP161" s="64">
        <f t="shared" si="9"/>
        <v>0.10683760683760685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 t="s">
        <v>266</v>
      </c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260</v>
      </c>
      <c r="AG162" s="64"/>
      <c r="AJ162" s="68" t="s">
        <v>106</v>
      </c>
      <c r="AK162" s="68">
        <v>37.799999999999997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70</v>
      </c>
      <c r="Y164" s="544">
        <f t="shared" si="5"/>
        <v>71.400000000000006</v>
      </c>
      <c r="Z164" s="36">
        <f>IFERROR(IF(Y164=0,"",ROUNDUP(Y164/H164,0)*0.00502),"")</f>
        <v>0.17068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73.333333333333329</v>
      </c>
      <c r="BN164" s="64">
        <f t="shared" si="7"/>
        <v>74.8</v>
      </c>
      <c r="BO164" s="64">
        <f t="shared" si="8"/>
        <v>0.14245014245014245</v>
      </c>
      <c r="BP164" s="64">
        <f t="shared" si="9"/>
        <v>0.14529914529914531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115.47619047619047</v>
      </c>
      <c r="Y167" s="545">
        <f>IFERROR(Y158/H158,"0")+IFERROR(Y159/H159,"0")+IFERROR(Y160/H160,"0")+IFERROR(Y161/H161,"0")+IFERROR(Y162/H162,"0")+IFERROR(Y163/H163,"0")+IFERROR(Y164/H164,"0")+IFERROR(Y165/H165,"0")+IFERROR(Y166/H166,"0")</f>
        <v>117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0.68334000000000006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292.5</v>
      </c>
      <c r="Y168" s="545">
        <f>IFERROR(SUM(Y158:Y166),"0")</f>
        <v>296.10000000000002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199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100</v>
      </c>
      <c r="Y191" s="544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199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199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200</v>
      </c>
      <c r="Y193" s="544">
        <f t="shared" si="10"/>
        <v>205.20000000000002</v>
      </c>
      <c r="Z193" s="36">
        <f>IFERROR(IF(Y193=0,"",ROUNDUP(Y193/H193,0)*0.00902),"")</f>
        <v>0.34276000000000001</v>
      </c>
      <c r="AA193" s="56"/>
      <c r="AB193" s="57"/>
      <c r="AC193" s="229" t="s">
        <v>311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207.77777777777777</v>
      </c>
      <c r="BN193" s="64">
        <f t="shared" si="12"/>
        <v>213.18000000000004</v>
      </c>
      <c r="BO193" s="64">
        <f t="shared" si="13"/>
        <v>0.28058361391694725</v>
      </c>
      <c r="BP193" s="64">
        <f t="shared" si="14"/>
        <v>0.2878787878787879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199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40</v>
      </c>
      <c r="Y194" s="544">
        <f t="shared" si="10"/>
        <v>43.2</v>
      </c>
      <c r="Z194" s="36">
        <f>IFERROR(IF(Y194=0,"",ROUNDUP(Y194/H194,0)*0.00902),"")</f>
        <v>7.2160000000000002E-2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41.555555555555557</v>
      </c>
      <c r="BN194" s="64">
        <f t="shared" si="12"/>
        <v>44.88</v>
      </c>
      <c r="BO194" s="64">
        <f t="shared" si="13"/>
        <v>5.6116722783389444E-2</v>
      </c>
      <c r="BP194" s="64">
        <f t="shared" si="14"/>
        <v>6.0606060606060608E-2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45</v>
      </c>
      <c r="Y195" s="544">
        <f t="shared" si="10"/>
        <v>45</v>
      </c>
      <c r="Z195" s="36">
        <f>IFERROR(IF(Y195=0,"",ROUNDUP(Y195/H195,0)*0.00502),"")</f>
        <v>0.1255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48.249999999999993</v>
      </c>
      <c r="BN195" s="64">
        <f t="shared" si="12"/>
        <v>48.249999999999993</v>
      </c>
      <c r="BO195" s="64">
        <f t="shared" si="13"/>
        <v>0.10683760683760685</v>
      </c>
      <c r="BP195" s="64">
        <f t="shared" si="14"/>
        <v>0.10683760683760685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36</v>
      </c>
      <c r="Y196" s="544">
        <f t="shared" si="10"/>
        <v>36</v>
      </c>
      <c r="Z196" s="36">
        <f>IFERROR(IF(Y196=0,"",ROUNDUP(Y196/H196,0)*0.00502),"")</f>
        <v>0.1004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37.999999999999993</v>
      </c>
      <c r="BN196" s="64">
        <f t="shared" si="12"/>
        <v>37.999999999999993</v>
      </c>
      <c r="BO196" s="64">
        <f t="shared" si="13"/>
        <v>8.5470085470085472E-2</v>
      </c>
      <c r="BP196" s="64">
        <f t="shared" si="14"/>
        <v>8.5470085470085472E-2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 t="s">
        <v>266</v>
      </c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45</v>
      </c>
      <c r="Y197" s="544">
        <f t="shared" si="10"/>
        <v>45</v>
      </c>
      <c r="Z197" s="36">
        <f>IFERROR(IF(Y197=0,"",ROUNDUP(Y197/H197,0)*0.00502),"")</f>
        <v>0.1255</v>
      </c>
      <c r="AA197" s="56"/>
      <c r="AB197" s="57"/>
      <c r="AC197" s="237" t="s">
        <v>311</v>
      </c>
      <c r="AG197" s="64"/>
      <c r="AJ197" s="68" t="s">
        <v>106</v>
      </c>
      <c r="AK197" s="68">
        <v>32.4</v>
      </c>
      <c r="BB197" s="238" t="s">
        <v>1</v>
      </c>
      <c r="BM197" s="64">
        <f t="shared" si="11"/>
        <v>47.5</v>
      </c>
      <c r="BN197" s="64">
        <f t="shared" si="12"/>
        <v>47.5</v>
      </c>
      <c r="BO197" s="64">
        <f t="shared" si="13"/>
        <v>0.10683760683760685</v>
      </c>
      <c r="BP197" s="64">
        <f t="shared" si="14"/>
        <v>0.10683760683760685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45</v>
      </c>
      <c r="Y198" s="544">
        <f t="shared" si="10"/>
        <v>45</v>
      </c>
      <c r="Z198" s="36">
        <f>IFERROR(IF(Y198=0,"",ROUNDUP(Y198/H198,0)*0.00502),"")</f>
        <v>0.1255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47.5</v>
      </c>
      <c r="BN198" s="64">
        <f t="shared" si="12"/>
        <v>47.5</v>
      </c>
      <c r="BO198" s="64">
        <f t="shared" si="13"/>
        <v>0.10683760683760685</v>
      </c>
      <c r="BP198" s="64">
        <f t="shared" si="14"/>
        <v>0.10683760683760685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167.22222222222223</v>
      </c>
      <c r="Y199" s="545">
        <f>IFERROR(Y191/H191,"0")+IFERROR(Y192/H192,"0")+IFERROR(Y193/H193,"0")+IFERROR(Y194/H194,"0")+IFERROR(Y195/H195,"0")+IFERROR(Y196/H196,"0")+IFERROR(Y197/H197,"0")+IFERROR(Y198/H198,"0")</f>
        <v>170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1.1534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561</v>
      </c>
      <c r="Y200" s="545">
        <f>IFERROR(SUM(Y191:Y198),"0")</f>
        <v>576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100</v>
      </c>
      <c r="Y204" s="544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216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80</v>
      </c>
      <c r="Y205" s="544">
        <f t="shared" si="15"/>
        <v>81.599999999999994</v>
      </c>
      <c r="Z205" s="36">
        <f t="shared" ref="Z205:Z210" si="20">IFERROR(IF(Y205=0,"",ROUNDUP(Y205/H205,0)*0.00651),"")</f>
        <v>0.22134000000000001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89</v>
      </c>
      <c r="BN205" s="64">
        <f t="shared" si="17"/>
        <v>90.78</v>
      </c>
      <c r="BO205" s="64">
        <f t="shared" si="18"/>
        <v>0.18315018315018317</v>
      </c>
      <c r="BP205" s="64">
        <f t="shared" si="19"/>
        <v>0.18681318681318682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216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200</v>
      </c>
      <c r="Y207" s="544">
        <f t="shared" si="15"/>
        <v>201.6</v>
      </c>
      <c r="Z207" s="36">
        <f t="shared" si="20"/>
        <v>0.54683999999999999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221</v>
      </c>
      <c r="BN207" s="64">
        <f t="shared" si="17"/>
        <v>222.768</v>
      </c>
      <c r="BO207" s="64">
        <f t="shared" si="18"/>
        <v>0.45787545787545797</v>
      </c>
      <c r="BP207" s="64">
        <f t="shared" si="19"/>
        <v>0.46153846153846156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216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216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161.49425287356323</v>
      </c>
      <c r="Y211" s="545">
        <f>IFERROR(Y202/H202,"0")+IFERROR(Y203/H203,"0")+IFERROR(Y204/H204,"0")+IFERROR(Y205/H205,"0")+IFERROR(Y206/H206,"0")+IFERROR(Y207/H207,"0")+IFERROR(Y208/H208,"0")+IFERROR(Y209/H209,"0")+IFERROR(Y210/H210,"0")</f>
        <v>164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1.2172800000000001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460</v>
      </c>
      <c r="Y212" s="545">
        <f>IFERROR(SUM(Y202:Y210),"0")</f>
        <v>469.20000000000005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216</v>
      </c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32</v>
      </c>
      <c r="Y214" s="544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59" t="s">
        <v>348</v>
      </c>
      <c r="AG214" s="64"/>
      <c r="AJ214" s="68" t="s">
        <v>106</v>
      </c>
      <c r="AK214" s="68">
        <v>33.6</v>
      </c>
      <c r="BB214" s="260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216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36</v>
      </c>
      <c r="Y215" s="54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28.333333333333336</v>
      </c>
      <c r="Y216" s="545">
        <f>IFERROR(Y214/H214,"0")+IFERROR(Y215/H215,"0")</f>
        <v>29</v>
      </c>
      <c r="Z216" s="545">
        <f>IFERROR(IF(Z214="",0,Z214),"0")+IFERROR(IF(Z215="",0,Z215),"0")</f>
        <v>0.18879000000000001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68</v>
      </c>
      <c r="Y217" s="545">
        <f>IFERROR(SUM(Y214:Y215),"0")</f>
        <v>69.599999999999994</v>
      </c>
      <c r="Z217" s="37"/>
      <c r="AA217" s="546"/>
      <c r="AB217" s="546"/>
      <c r="AC217" s="546"/>
    </row>
    <row r="218" spans="1:68" ht="16.5" customHeight="1" x14ac:dyDescent="0.25">
      <c r="A218" s="56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355</v>
      </c>
      <c r="AC220" s="263" t="s">
        <v>356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359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362</v>
      </c>
      <c r="B223" s="54" t="s">
        <v>363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 t="s">
        <v>103</v>
      </c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364</v>
      </c>
      <c r="AG223" s="64"/>
      <c r="AJ223" s="68" t="s">
        <v>106</v>
      </c>
      <c r="AK223" s="68">
        <v>92.8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365</v>
      </c>
      <c r="B224" s="54" t="s">
        <v>366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365</v>
      </c>
      <c r="B225" s="54" t="s">
        <v>367</v>
      </c>
      <c r="C225" s="31">
        <v>4301011824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 t="s">
        <v>199</v>
      </c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24</v>
      </c>
      <c r="Y225" s="544">
        <f t="shared" si="21"/>
        <v>24</v>
      </c>
      <c r="Z225" s="36">
        <f t="shared" si="26"/>
        <v>5.4120000000000001E-2</v>
      </c>
      <c r="AA225" s="56"/>
      <c r="AB225" s="57"/>
      <c r="AC225" s="273" t="s">
        <v>359</v>
      </c>
      <c r="AG225" s="64"/>
      <c r="AJ225" s="68" t="s">
        <v>106</v>
      </c>
      <c r="AK225" s="68">
        <v>48</v>
      </c>
      <c r="BB225" s="274" t="s">
        <v>1</v>
      </c>
      <c r="BM225" s="64">
        <f t="shared" si="22"/>
        <v>25.259999999999998</v>
      </c>
      <c r="BN225" s="64">
        <f t="shared" si="23"/>
        <v>25.259999999999998</v>
      </c>
      <c r="BO225" s="64">
        <f t="shared" si="24"/>
        <v>4.5454545454545456E-2</v>
      </c>
      <c r="BP225" s="64">
        <f t="shared" si="25"/>
        <v>4.5454545454545456E-2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373</v>
      </c>
      <c r="B229" s="54" t="s">
        <v>375</v>
      </c>
      <c r="C229" s="31">
        <v>4301011722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 t="s">
        <v>199</v>
      </c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28</v>
      </c>
      <c r="Y229" s="544">
        <f t="shared" si="21"/>
        <v>28</v>
      </c>
      <c r="Z229" s="36">
        <f t="shared" si="26"/>
        <v>6.3140000000000002E-2</v>
      </c>
      <c r="AA229" s="56"/>
      <c r="AB229" s="57"/>
      <c r="AC229" s="281" t="s">
        <v>364</v>
      </c>
      <c r="AG229" s="64"/>
      <c r="AJ229" s="68" t="s">
        <v>106</v>
      </c>
      <c r="AK229" s="68">
        <v>48</v>
      </c>
      <c r="BB229" s="282" t="s">
        <v>1</v>
      </c>
      <c r="BM229" s="64">
        <f t="shared" si="22"/>
        <v>29.47</v>
      </c>
      <c r="BN229" s="64">
        <f t="shared" si="23"/>
        <v>29.47</v>
      </c>
      <c r="BO229" s="64">
        <f t="shared" si="24"/>
        <v>5.3030303030303032E-2</v>
      </c>
      <c r="BP229" s="64">
        <f t="shared" si="25"/>
        <v>5.3030303030303032E-2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13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0.11726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52</v>
      </c>
      <c r="Y231" s="545">
        <f>IFERROR(SUM(Y220:Y229),"0")</f>
        <v>52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376</v>
      </c>
      <c r="B233" s="54" t="s">
        <v>377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379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380</v>
      </c>
      <c r="B237" s="54" t="s">
        <v>381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382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customHeight="1" x14ac:dyDescent="0.25">
      <c r="A240" s="556" t="s">
        <v>383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384</v>
      </c>
      <c r="B241" s="54" t="s">
        <v>385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386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388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423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424</v>
      </c>
      <c r="B267" s="54" t="s">
        <v>425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427</v>
      </c>
      <c r="B268" s="54" t="s">
        <v>428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216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40</v>
      </c>
      <c r="Y268" s="544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429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430</v>
      </c>
      <c r="B269" s="54" t="s">
        <v>431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/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80</v>
      </c>
      <c r="Y269" s="544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432</v>
      </c>
      <c r="AG269" s="64"/>
      <c r="AJ269" s="68" t="s">
        <v>106</v>
      </c>
      <c r="AK269" s="68">
        <v>2.4</v>
      </c>
      <c r="BB269" s="320" t="s">
        <v>1</v>
      </c>
      <c r="BM269" s="64">
        <f>IFERROR(X269*I269/H269,"0")</f>
        <v>86</v>
      </c>
      <c r="BN269" s="64">
        <f>IFERROR(Y269*I269/H269,"0")</f>
        <v>87.72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50</v>
      </c>
      <c r="Y270" s="545">
        <f>IFERROR(Y267/H267,"0")+IFERROR(Y268/H268,"0")+IFERROR(Y269/H269,"0")</f>
        <v>51</v>
      </c>
      <c r="Z270" s="545">
        <f>IFERROR(IF(Z267="",0,Z267),"0")+IFERROR(IF(Z268="",0,Z268),"0")+IFERROR(IF(Z269="",0,Z269),"0")</f>
        <v>0.33201000000000003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120</v>
      </c>
      <c r="Y271" s="545">
        <f>IFERROR(SUM(Y267:Y269),"0")</f>
        <v>122.39999999999999</v>
      </c>
      <c r="Z271" s="37"/>
      <c r="AA271" s="546"/>
      <c r="AB271" s="546"/>
      <c r="AC271" s="546"/>
    </row>
    <row r="272" spans="1:68" ht="16.5" customHeight="1" x14ac:dyDescent="0.25">
      <c r="A272" s="563" t="s">
        <v>433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434</v>
      </c>
      <c r="B274" s="54" t="s">
        <v>435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436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437</v>
      </c>
      <c r="B275" s="54" t="s">
        <v>438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440</v>
      </c>
      <c r="B279" s="54" t="s">
        <v>441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443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448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452</v>
      </c>
      <c r="B290" s="54" t="s">
        <v>453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462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463</v>
      </c>
      <c r="B297" s="54" t="s">
        <v>464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 t="s">
        <v>266</v>
      </c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468</v>
      </c>
      <c r="AG300" s="64"/>
      <c r="AJ300" s="68" t="s">
        <v>106</v>
      </c>
      <c r="AK300" s="68">
        <v>37.799999999999997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 t="s">
        <v>266</v>
      </c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35</v>
      </c>
      <c r="Y301" s="544">
        <f t="shared" si="27"/>
        <v>35.700000000000003</v>
      </c>
      <c r="Z301" s="36">
        <f>IFERROR(IF(Y301=0,"",ROUNDUP(Y301/H301,0)*0.00502),"")</f>
        <v>8.5339999999999999E-2</v>
      </c>
      <c r="AA301" s="56"/>
      <c r="AB301" s="57"/>
      <c r="AC301" s="347" t="s">
        <v>476</v>
      </c>
      <c r="AG301" s="64"/>
      <c r="AJ301" s="68" t="s">
        <v>106</v>
      </c>
      <c r="AK301" s="68">
        <v>37.799999999999997</v>
      </c>
      <c r="BB301" s="348" t="s">
        <v>1</v>
      </c>
      <c r="BM301" s="64">
        <f t="shared" si="28"/>
        <v>36.666666666666664</v>
      </c>
      <c r="BN301" s="64">
        <f t="shared" si="29"/>
        <v>37.4</v>
      </c>
      <c r="BO301" s="64">
        <f t="shared" si="30"/>
        <v>7.1225071225071226E-2</v>
      </c>
      <c r="BP301" s="64">
        <f t="shared" si="31"/>
        <v>7.2649572649572655E-2</v>
      </c>
    </row>
    <row r="302" spans="1:68" ht="27" customHeight="1" x14ac:dyDescent="0.25">
      <c r="A302" s="54" t="s">
        <v>477</v>
      </c>
      <c r="B302" s="54" t="s">
        <v>478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 t="s">
        <v>216</v>
      </c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12</v>
      </c>
      <c r="Y303" s="544">
        <f t="shared" si="27"/>
        <v>12.6</v>
      </c>
      <c r="Z303" s="36">
        <f>IFERROR(IF(Y303=0,"",ROUNDUP(Y303/H303,0)*0.00651),"")</f>
        <v>4.5569999999999999E-2</v>
      </c>
      <c r="AA303" s="56"/>
      <c r="AB303" s="57"/>
      <c r="AC303" s="351" t="s">
        <v>481</v>
      </c>
      <c r="AG303" s="64"/>
      <c r="AJ303" s="68" t="s">
        <v>106</v>
      </c>
      <c r="AK303" s="68">
        <v>25.2</v>
      </c>
      <c r="BB303" s="352" t="s">
        <v>1</v>
      </c>
      <c r="BM303" s="64">
        <f t="shared" si="28"/>
        <v>13.52</v>
      </c>
      <c r="BN303" s="64">
        <f t="shared" si="29"/>
        <v>14.196</v>
      </c>
      <c r="BO303" s="64">
        <f t="shared" si="30"/>
        <v>3.6630036630036632E-2</v>
      </c>
      <c r="BP303" s="64">
        <f t="shared" si="31"/>
        <v>3.8461538461538464E-2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23.333333333333329</v>
      </c>
      <c r="Y304" s="545">
        <f>IFERROR(Y297/H297,"0")+IFERROR(Y298/H298,"0")+IFERROR(Y299/H299,"0")+IFERROR(Y300/H300,"0")+IFERROR(Y301/H301,"0")+IFERROR(Y302/H302,"0")+IFERROR(Y303/H303,"0")</f>
        <v>24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0.13091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47</v>
      </c>
      <c r="Y305" s="545">
        <f>IFERROR(SUM(Y297:Y303),"0")</f>
        <v>48.300000000000004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482</v>
      </c>
      <c r="B307" s="54" t="s">
        <v>483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497</v>
      </c>
      <c r="B315" s="54" t="s">
        <v>498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200</v>
      </c>
      <c r="Y316" s="544">
        <f>IFERROR(IF(X316="",0,CEILING((X316/$H316),1)*$H316),"")</f>
        <v>202.79999999999998</v>
      </c>
      <c r="Z316" s="36">
        <f>IFERROR(IF(Y316=0,"",ROUNDUP(Y316/H316,0)*0.01898),"")</f>
        <v>0.49348000000000003</v>
      </c>
      <c r="AA316" s="56"/>
      <c r="AB316" s="57"/>
      <c r="AC316" s="365" t="s">
        <v>502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213.30769230769235</v>
      </c>
      <c r="BN316" s="64">
        <f>IFERROR(Y316*I316/H316,"0")</f>
        <v>216.29400000000001</v>
      </c>
      <c r="BO316" s="64">
        <f>IFERROR(1/J316*(X316/H316),"0")</f>
        <v>0.40064102564102566</v>
      </c>
      <c r="BP316" s="64">
        <f>IFERROR(1/J316*(Y316/H316),"0")</f>
        <v>0.40625</v>
      </c>
    </row>
    <row r="317" spans="1:68" ht="16.5" customHeight="1" x14ac:dyDescent="0.25">
      <c r="A317" s="54" t="s">
        <v>503</v>
      </c>
      <c r="B317" s="54" t="s">
        <v>504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200</v>
      </c>
      <c r="Y317" s="544">
        <f>IFERROR(IF(X317="",0,CEILING((X317/$H317),1)*$H317),"")</f>
        <v>201.60000000000002</v>
      </c>
      <c r="Z317" s="36">
        <f>IFERROR(IF(Y317=0,"",ROUNDUP(Y317/H317,0)*0.01898),"")</f>
        <v>0.45552000000000004</v>
      </c>
      <c r="AA317" s="56"/>
      <c r="AB317" s="57"/>
      <c r="AC317" s="367" t="s">
        <v>505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212.35714285714286</v>
      </c>
      <c r="BN317" s="64">
        <f>IFERROR(Y317*I317/H317,"0")</f>
        <v>214.05600000000001</v>
      </c>
      <c r="BO317" s="64">
        <f>IFERROR(1/J317*(X317/H317),"0")</f>
        <v>0.37202380952380953</v>
      </c>
      <c r="BP317" s="64">
        <f>IFERROR(1/J317*(Y317/H317),"0")</f>
        <v>0.375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49.450549450549453</v>
      </c>
      <c r="Y318" s="545">
        <f>IFERROR(Y315/H315,"0")+IFERROR(Y316/H316,"0")+IFERROR(Y317/H317,"0")</f>
        <v>50</v>
      </c>
      <c r="Z318" s="545">
        <f>IFERROR(IF(Z315="",0,Z315),"0")+IFERROR(IF(Z316="",0,Z316),"0")+IFERROR(IF(Z317="",0,Z317),"0")</f>
        <v>0.94900000000000007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400</v>
      </c>
      <c r="Y319" s="545">
        <f>IFERROR(SUM(Y315:Y317),"0")</f>
        <v>404.4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506</v>
      </c>
      <c r="B321" s="54" t="s">
        <v>507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511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216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514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216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508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56" t="s">
        <v>517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518</v>
      </c>
      <c r="B328" s="54" t="s">
        <v>519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 t="s">
        <v>216</v>
      </c>
      <c r="M328" s="33" t="s">
        <v>520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 t="s">
        <v>106</v>
      </c>
      <c r="AK328" s="68">
        <v>28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520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 t="s">
        <v>216</v>
      </c>
      <c r="M330" s="33" t="s">
        <v>520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521</v>
      </c>
      <c r="AG330" s="64"/>
      <c r="AJ330" s="68" t="s">
        <v>106</v>
      </c>
      <c r="AK330" s="68">
        <v>28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63" t="s">
        <v>526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527</v>
      </c>
      <c r="B335" s="54" t="s">
        <v>528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529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530</v>
      </c>
      <c r="B336" s="54" t="s">
        <v>531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216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532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391.99999999999994</v>
      </c>
      <c r="BN336" s="64">
        <f>IFERROR(Y336*I336/H336,"0")</f>
        <v>392.78399999999993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ht="27" customHeight="1" x14ac:dyDescent="0.25">
      <c r="A337" s="54" t="s">
        <v>533</v>
      </c>
      <c r="B337" s="54" t="s">
        <v>534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216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175</v>
      </c>
      <c r="Y337" s="544">
        <f>IFERROR(IF(X337="",0,CEILING((X337/$H337),1)*$H337),"")</f>
        <v>176.4</v>
      </c>
      <c r="Z337" s="36">
        <f>IFERROR(IF(Y337=0,"",ROUNDUP(Y337/H337,0)*0.00651),"")</f>
        <v>0.54683999999999999</v>
      </c>
      <c r="AA337" s="56"/>
      <c r="AB337" s="57"/>
      <c r="AC337" s="387" t="s">
        <v>535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195</v>
      </c>
      <c r="BN337" s="64">
        <f>IFERROR(Y337*I337/H337,"0")</f>
        <v>196.56</v>
      </c>
      <c r="BO337" s="64">
        <f>IFERROR(1/J337*(X337/H337),"0")</f>
        <v>0.45787545787545786</v>
      </c>
      <c r="BP337" s="64">
        <f>IFERROR(1/J337*(Y337/H337),"0")</f>
        <v>0.46153846153846156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250</v>
      </c>
      <c r="Y338" s="545">
        <f>IFERROR(Y335/H335,"0")+IFERROR(Y336/H336,"0")+IFERROR(Y337/H337,"0")</f>
        <v>251</v>
      </c>
      <c r="Z338" s="545">
        <f>IFERROR(IF(Z335="",0,Z335),"0")+IFERROR(IF(Z336="",0,Z336),"0")+IFERROR(IF(Z337="",0,Z337),"0")</f>
        <v>1.63401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525</v>
      </c>
      <c r="Y339" s="545">
        <f>IFERROR(SUM(Y335:Y337),"0")</f>
        <v>527.1</v>
      </c>
      <c r="Z339" s="37"/>
      <c r="AA339" s="546"/>
      <c r="AB339" s="546"/>
      <c r="AC339" s="546"/>
    </row>
    <row r="340" spans="1:68" ht="27.75" customHeight="1" x14ac:dyDescent="0.2">
      <c r="A340" s="605" t="s">
        <v>536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537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538</v>
      </c>
      <c r="B343" s="54" t="s">
        <v>539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/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600</v>
      </c>
      <c r="Y343" s="544">
        <f t="shared" ref="Y343:Y349" si="32">IFERROR(IF(X343="",0,CEILING((X343/$H343),1)*$H343),"")</f>
        <v>600</v>
      </c>
      <c r="Z343" s="36">
        <f>IFERROR(IF(Y343=0,"",ROUNDUP(Y343/H343,0)*0.02175),"")</f>
        <v>0.86999999999999988</v>
      </c>
      <c r="AA343" s="56"/>
      <c r="AB343" s="57"/>
      <c r="AC343" s="389" t="s">
        <v>540</v>
      </c>
      <c r="AG343" s="64"/>
      <c r="AJ343" s="68" t="s">
        <v>106</v>
      </c>
      <c r="AK343" s="68">
        <v>15</v>
      </c>
      <c r="BB343" s="390" t="s">
        <v>1</v>
      </c>
      <c r="BM343" s="64">
        <f t="shared" ref="BM343:BM349" si="33">IFERROR(X343*I343/H343,"0")</f>
        <v>619.20000000000005</v>
      </c>
      <c r="BN343" s="64">
        <f t="shared" ref="BN343:BN349" si="34">IFERROR(Y343*I343/H343,"0")</f>
        <v>619.20000000000005</v>
      </c>
      <c r="BO343" s="64">
        <f t="shared" ref="BO343:BO349" si="35">IFERROR(1/J343*(X343/H343),"0")</f>
        <v>0.83333333333333326</v>
      </c>
      <c r="BP343" s="64">
        <f t="shared" ref="BP343:BP349" si="36">IFERROR(1/J343*(Y343/H343),"0")</f>
        <v>0.83333333333333326</v>
      </c>
    </row>
    <row r="344" spans="1:68" ht="27" customHeight="1" x14ac:dyDescent="0.25">
      <c r="A344" s="54" t="s">
        <v>541</v>
      </c>
      <c r="B344" s="54" t="s">
        <v>542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/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si="32"/>
        <v>0</v>
      </c>
      <c r="Z344" s="36" t="str">
        <f>IFERROR(IF(Y344=0,"",ROUNDUP(Y344/H344,0)*0.02175),"")</f>
        <v/>
      </c>
      <c r="AA344" s="56"/>
      <c r="AB344" s="57"/>
      <c r="AC344" s="391" t="s">
        <v>543</v>
      </c>
      <c r="AG344" s="64"/>
      <c r="AJ344" s="68" t="s">
        <v>106</v>
      </c>
      <c r="AK344" s="68">
        <v>15</v>
      </c>
      <c r="BB344" s="392" t="s">
        <v>1</v>
      </c>
      <c r="BM344" s="64">
        <f t="shared" si="33"/>
        <v>0</v>
      </c>
      <c r="BN344" s="64">
        <f t="shared" si="34"/>
        <v>0</v>
      </c>
      <c r="BO344" s="64">
        <f t="shared" si="35"/>
        <v>0</v>
      </c>
      <c r="BP344" s="64">
        <f t="shared" si="36"/>
        <v>0</v>
      </c>
    </row>
    <row r="345" spans="1:68" ht="27" customHeight="1" x14ac:dyDescent="0.25">
      <c r="A345" s="54" t="s">
        <v>544</v>
      </c>
      <c r="B345" s="54" t="s">
        <v>545</v>
      </c>
      <c r="C345" s="31">
        <v>4301011832</v>
      </c>
      <c r="D345" s="547">
        <v>4607091383997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84</v>
      </c>
      <c r="N345" s="33"/>
      <c r="O345" s="32">
        <v>60</v>
      </c>
      <c r="P345" s="7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300</v>
      </c>
      <c r="Y345" s="544">
        <f t="shared" si="32"/>
        <v>300</v>
      </c>
      <c r="Z345" s="36">
        <f>IFERROR(IF(Y345=0,"",ROUNDUP(Y345/H345,0)*0.02175),"")</f>
        <v>0.43499999999999994</v>
      </c>
      <c r="AA345" s="56"/>
      <c r="AB345" s="57"/>
      <c r="AC345" s="393" t="s">
        <v>546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309.60000000000002</v>
      </c>
      <c r="BN345" s="64">
        <f t="shared" si="34"/>
        <v>309.60000000000002</v>
      </c>
      <c r="BO345" s="64">
        <f t="shared" si="35"/>
        <v>0.41666666666666663</v>
      </c>
      <c r="BP345" s="64">
        <f t="shared" si="36"/>
        <v>0.41666666666666663</v>
      </c>
    </row>
    <row r="346" spans="1:68" ht="37.5" customHeight="1" x14ac:dyDescent="0.25">
      <c r="A346" s="54" t="s">
        <v>547</v>
      </c>
      <c r="B346" s="54" t="s">
        <v>548</v>
      </c>
      <c r="C346" s="31">
        <v>4301011867</v>
      </c>
      <c r="D346" s="547">
        <v>4680115884830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/>
      <c r="M346" s="33" t="s">
        <v>68</v>
      </c>
      <c r="N346" s="33"/>
      <c r="O346" s="32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549</v>
      </c>
      <c r="AG346" s="64"/>
      <c r="AJ346" s="68" t="s">
        <v>106</v>
      </c>
      <c r="AK346" s="68">
        <v>15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550</v>
      </c>
      <c r="B347" s="54" t="s">
        <v>551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553</v>
      </c>
      <c r="B348" s="54" t="s">
        <v>554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543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555</v>
      </c>
      <c r="B349" s="54" t="s">
        <v>556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60</v>
      </c>
      <c r="Y350" s="545">
        <f>IFERROR(Y343/H343,"0")+IFERROR(Y344/H344,"0")+IFERROR(Y345/H345,"0")+IFERROR(Y346/H346,"0")+IFERROR(Y347/H347,"0")+IFERROR(Y348/H348,"0")+IFERROR(Y349/H349,"0")</f>
        <v>60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1.3049999999999997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900</v>
      </c>
      <c r="Y351" s="545">
        <f>IFERROR(SUM(Y343:Y349),"0")</f>
        <v>900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557</v>
      </c>
      <c r="B353" s="54" t="s">
        <v>558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/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200</v>
      </c>
      <c r="Y353" s="544">
        <f>IFERROR(IF(X353="",0,CEILING((X353/$H353),1)*$H353),"")</f>
        <v>210</v>
      </c>
      <c r="Z353" s="36">
        <f>IFERROR(IF(Y353=0,"",ROUNDUP(Y353/H353,0)*0.02175),"")</f>
        <v>0.30449999999999999</v>
      </c>
      <c r="AA353" s="56"/>
      <c r="AB353" s="57"/>
      <c r="AC353" s="403" t="s">
        <v>559</v>
      </c>
      <c r="AG353" s="64"/>
      <c r="AJ353" s="68" t="s">
        <v>106</v>
      </c>
      <c r="AK353" s="68">
        <v>15</v>
      </c>
      <c r="BB353" s="404" t="s">
        <v>1</v>
      </c>
      <c r="BM353" s="64">
        <f>IFERROR(X353*I353/H353,"0")</f>
        <v>206.4</v>
      </c>
      <c r="BN353" s="64">
        <f>IFERROR(Y353*I353/H353,"0")</f>
        <v>216.72</v>
      </c>
      <c r="BO353" s="64">
        <f>IFERROR(1/J353*(X353/H353),"0")</f>
        <v>0.27777777777777779</v>
      </c>
      <c r="BP353" s="64">
        <f>IFERROR(1/J353*(Y353/H353),"0")</f>
        <v>0.29166666666666663</v>
      </c>
    </row>
    <row r="354" spans="1:68" ht="16.5" customHeight="1" x14ac:dyDescent="0.25">
      <c r="A354" s="54" t="s">
        <v>560</v>
      </c>
      <c r="B354" s="54" t="s">
        <v>561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559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13.333333333333334</v>
      </c>
      <c r="Y355" s="545">
        <f>IFERROR(Y353/H353,"0")+IFERROR(Y354/H354,"0")</f>
        <v>14</v>
      </c>
      <c r="Z355" s="545">
        <f>IFERROR(IF(Z353="",0,Z353),"0")+IFERROR(IF(Z354="",0,Z354),"0")</f>
        <v>0.30449999999999999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200</v>
      </c>
      <c r="Y356" s="545">
        <f>IFERROR(SUM(Y353:Y354),"0")</f>
        <v>210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562</v>
      </c>
      <c r="B358" s="54" t="s">
        <v>563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564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565</v>
      </c>
      <c r="B359" s="54" t="s">
        <v>566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 t="s">
        <v>103</v>
      </c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30</v>
      </c>
      <c r="Y359" s="544">
        <f>IFERROR(IF(X359="",0,CEILING((X359/$H359),1)*$H359),"")</f>
        <v>36</v>
      </c>
      <c r="Z359" s="36">
        <f>IFERROR(IF(Y359=0,"",ROUNDUP(Y359/H359,0)*0.01898),"")</f>
        <v>7.5920000000000001E-2</v>
      </c>
      <c r="AA359" s="56"/>
      <c r="AB359" s="57"/>
      <c r="AC359" s="409" t="s">
        <v>567</v>
      </c>
      <c r="AG359" s="64"/>
      <c r="AJ359" s="68" t="s">
        <v>106</v>
      </c>
      <c r="AK359" s="68">
        <v>72</v>
      </c>
      <c r="BB359" s="410" t="s">
        <v>1</v>
      </c>
      <c r="BM359" s="64">
        <f>IFERROR(X359*I359/H359,"0")</f>
        <v>31.73</v>
      </c>
      <c r="BN359" s="64">
        <f>IFERROR(Y359*I359/H359,"0")</f>
        <v>38.076000000000001</v>
      </c>
      <c r="BO359" s="64">
        <f>IFERROR(1/J359*(X359/H359),"0")</f>
        <v>5.2083333333333336E-2</v>
      </c>
      <c r="BP359" s="64">
        <f>IFERROR(1/J359*(Y359/H359),"0")</f>
        <v>6.25E-2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3.3333333333333335</v>
      </c>
      <c r="Y360" s="545">
        <f>IFERROR(Y358/H358,"0")+IFERROR(Y359/H359,"0")</f>
        <v>4</v>
      </c>
      <c r="Z360" s="545">
        <f>IFERROR(IF(Z358="",0,Z358),"0")+IFERROR(IF(Z359="",0,Z359),"0")</f>
        <v>7.5920000000000001E-2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30</v>
      </c>
      <c r="Y361" s="545">
        <f>IFERROR(SUM(Y358:Y359),"0")</f>
        <v>36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568</v>
      </c>
      <c r="B363" s="54" t="s">
        <v>569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30</v>
      </c>
      <c r="Y363" s="544">
        <f>IFERROR(IF(X363="",0,CEILING((X363/$H363),1)*$H363),"")</f>
        <v>36</v>
      </c>
      <c r="Z363" s="36">
        <f>IFERROR(IF(Y363=0,"",ROUNDUP(Y363/H363,0)*0.01898),"")</f>
        <v>7.5920000000000001E-2</v>
      </c>
      <c r="AA363" s="56"/>
      <c r="AB363" s="57"/>
      <c r="AC363" s="411" t="s">
        <v>570</v>
      </c>
      <c r="AG363" s="64"/>
      <c r="AJ363" s="68"/>
      <c r="AK363" s="68">
        <v>0</v>
      </c>
      <c r="BB363" s="412" t="s">
        <v>1</v>
      </c>
      <c r="BM363" s="64">
        <f>IFERROR(X363*I363/H363,"0")</f>
        <v>31.73</v>
      </c>
      <c r="BN363" s="64">
        <f>IFERROR(Y363*I363/H363,"0")</f>
        <v>38.076000000000001</v>
      </c>
      <c r="BO363" s="64">
        <f>IFERROR(1/J363*(X363/H363),"0")</f>
        <v>5.2083333333333336E-2</v>
      </c>
      <c r="BP363" s="64">
        <f>IFERROR(1/J363*(Y363/H363),"0")</f>
        <v>6.25E-2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3.3333333333333335</v>
      </c>
      <c r="Y364" s="545">
        <f>IFERROR(Y363/H363,"0")</f>
        <v>4</v>
      </c>
      <c r="Z364" s="545">
        <f>IFERROR(IF(Z363="",0,Z363),"0")</f>
        <v>7.5920000000000001E-2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30</v>
      </c>
      <c r="Y365" s="545">
        <f>IFERROR(SUM(Y363:Y363),"0")</f>
        <v>36</v>
      </c>
      <c r="Z365" s="37"/>
      <c r="AA365" s="546"/>
      <c r="AB365" s="546"/>
      <c r="AC365" s="546"/>
    </row>
    <row r="366" spans="1:68" ht="16.5" customHeight="1" x14ac:dyDescent="0.25">
      <c r="A366" s="563" t="s">
        <v>571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572</v>
      </c>
      <c r="B368" s="54" t="s">
        <v>573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80</v>
      </c>
      <c r="Y368" s="544">
        <f>IFERROR(IF(X368="",0,CEILING((X368/$H368),1)*$H368),"")</f>
        <v>84</v>
      </c>
      <c r="Z368" s="36">
        <f>IFERROR(IF(Y368=0,"",ROUNDUP(Y368/H368,0)*0.01898),"")</f>
        <v>0.13286000000000001</v>
      </c>
      <c r="AA368" s="56"/>
      <c r="AB368" s="57"/>
      <c r="AC368" s="413" t="s">
        <v>574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82.9</v>
      </c>
      <c r="BN368" s="64">
        <f>IFERROR(Y368*I368/H368,"0")</f>
        <v>87.045000000000002</v>
      </c>
      <c r="BO368" s="64">
        <f>IFERROR(1/J368*(X368/H368),"0")</f>
        <v>0.10416666666666667</v>
      </c>
      <c r="BP368" s="64">
        <f>IFERROR(1/J368*(Y368/H368),"0")</f>
        <v>0.109375</v>
      </c>
    </row>
    <row r="369" spans="1:68" ht="37.5" customHeight="1" x14ac:dyDescent="0.25">
      <c r="A369" s="54" t="s">
        <v>575</v>
      </c>
      <c r="B369" s="54" t="s">
        <v>576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6.666666666666667</v>
      </c>
      <c r="Y370" s="545">
        <f>IFERROR(Y368/H368,"0")+IFERROR(Y369/H369,"0")</f>
        <v>7</v>
      </c>
      <c r="Z370" s="545">
        <f>IFERROR(IF(Z368="",0,Z368),"0")+IFERROR(IF(Z369="",0,Z369),"0")</f>
        <v>0.13286000000000001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80</v>
      </c>
      <c r="Y371" s="545">
        <f>IFERROR(SUM(Y368:Y369),"0")</f>
        <v>84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577</v>
      </c>
      <c r="B373" s="54" t="s">
        <v>578</v>
      </c>
      <c r="C373" s="31">
        <v>4301031457</v>
      </c>
      <c r="D373" s="547">
        <v>4607091384802</v>
      </c>
      <c r="E373" s="548"/>
      <c r="F373" s="542">
        <v>0.7</v>
      </c>
      <c r="G373" s="32">
        <v>6</v>
      </c>
      <c r="H373" s="542">
        <v>4.2</v>
      </c>
      <c r="I373" s="542">
        <v>4.47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50</v>
      </c>
      <c r="P373" s="86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579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577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579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581</v>
      </c>
      <c r="B378" s="54" t="s">
        <v>582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583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584</v>
      </c>
      <c r="B379" s="54" t="s">
        <v>585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27.75" customHeight="1" x14ac:dyDescent="0.2">
      <c r="A382" s="605" t="s">
        <v>586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587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588</v>
      </c>
      <c r="B385" s="54" t="s">
        <v>589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590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591</v>
      </c>
      <c r="B386" s="54" t="s">
        <v>592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593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591</v>
      </c>
      <c r="B387" s="54" t="s">
        <v>594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593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595</v>
      </c>
      <c r="B388" s="54" t="s">
        <v>596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597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598</v>
      </c>
      <c r="B389" s="54" t="s">
        <v>599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590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 t="s">
        <v>266</v>
      </c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590</v>
      </c>
      <c r="AG390" s="64"/>
      <c r="AJ390" s="68" t="s">
        <v>106</v>
      </c>
      <c r="AK390" s="68">
        <v>37.799999999999997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602</v>
      </c>
      <c r="B391" s="54" t="s">
        <v>603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 t="s">
        <v>266</v>
      </c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604</v>
      </c>
      <c r="AG391" s="64"/>
      <c r="AJ391" s="68" t="s">
        <v>106</v>
      </c>
      <c r="AK391" s="68">
        <v>37.799999999999997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605</v>
      </c>
      <c r="B392" s="54" t="s">
        <v>606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607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608</v>
      </c>
      <c r="B393" s="54" t="s">
        <v>609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 t="s">
        <v>266</v>
      </c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610</v>
      </c>
      <c r="AG393" s="64"/>
      <c r="AJ393" s="68" t="s">
        <v>106</v>
      </c>
      <c r="AK393" s="68">
        <v>37.799999999999997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607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613</v>
      </c>
      <c r="B398" s="54" t="s">
        <v>614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616</v>
      </c>
      <c r="B399" s="54" t="s">
        <v>617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619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620</v>
      </c>
      <c r="B404" s="54" t="s">
        <v>621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622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623</v>
      </c>
      <c r="B408" s="54" t="s">
        <v>624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626</v>
      </c>
      <c r="B409" s="54" t="s">
        <v>627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629</v>
      </c>
      <c r="B410" s="54" t="s">
        <v>630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631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7</v>
      </c>
      <c r="Y411" s="544">
        <f>IFERROR(IF(X411="",0,CEILING((X411/$H411),1)*$H411),"")</f>
        <v>8.4</v>
      </c>
      <c r="Z411" s="36">
        <f>IFERROR(IF(Y411=0,"",ROUNDUP(Y411/H411,0)*0.00502),"")</f>
        <v>2.0080000000000001E-2</v>
      </c>
      <c r="AA411" s="56"/>
      <c r="AB411" s="57"/>
      <c r="AC411" s="457" t="s">
        <v>631</v>
      </c>
      <c r="AG411" s="64"/>
      <c r="AJ411" s="68"/>
      <c r="AK411" s="68">
        <v>0</v>
      </c>
      <c r="BB411" s="458" t="s">
        <v>1</v>
      </c>
      <c r="BM411" s="64">
        <f>IFERROR(X411*I411/H411,"0")</f>
        <v>7.4333333333333327</v>
      </c>
      <c r="BN411" s="64">
        <f>IFERROR(Y411*I411/H411,"0")</f>
        <v>8.92</v>
      </c>
      <c r="BO411" s="64">
        <f>IFERROR(1/J411*(X411/H411),"0")</f>
        <v>1.4245014245014245E-2</v>
      </c>
      <c r="BP411" s="64">
        <f>IFERROR(1/J411*(Y411/H411),"0")</f>
        <v>1.7094017094017096E-2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3.333333333333333</v>
      </c>
      <c r="Y412" s="545">
        <f>IFERROR(Y408/H408,"0")+IFERROR(Y409/H409,"0")+IFERROR(Y410/H410,"0")+IFERROR(Y411/H411,"0")</f>
        <v>4</v>
      </c>
      <c r="Z412" s="545">
        <f>IFERROR(IF(Z408="",0,Z408),"0")+IFERROR(IF(Z409="",0,Z409),"0")+IFERROR(IF(Z410="",0,Z410),"0")+IFERROR(IF(Z411="",0,Z411),"0")</f>
        <v>2.0080000000000001E-2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7</v>
      </c>
      <c r="Y413" s="545">
        <f>IFERROR(SUM(Y408:Y411),"0")</f>
        <v>8.4</v>
      </c>
      <c r="Z413" s="37"/>
      <c r="AA413" s="546"/>
      <c r="AB413" s="546"/>
      <c r="AC413" s="546"/>
    </row>
    <row r="414" spans="1:68" ht="16.5" customHeight="1" x14ac:dyDescent="0.25">
      <c r="A414" s="563" t="s">
        <v>634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635</v>
      </c>
      <c r="B416" s="54" t="s">
        <v>636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 t="s">
        <v>216</v>
      </c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40</v>
      </c>
      <c r="Y416" s="544">
        <f>IFERROR(IF(X416="",0,CEILING((X416/$H416),1)*$H416),"")</f>
        <v>40.799999999999997</v>
      </c>
      <c r="Z416" s="36">
        <f>IFERROR(IF(Y416=0,"",ROUNDUP(Y416/H416,0)*0.00651),"")</f>
        <v>0.22134000000000001</v>
      </c>
      <c r="AA416" s="56"/>
      <c r="AB416" s="57"/>
      <c r="AC416" s="459" t="s">
        <v>637</v>
      </c>
      <c r="AG416" s="64"/>
      <c r="AJ416" s="68" t="s">
        <v>106</v>
      </c>
      <c r="AK416" s="68">
        <v>16.8</v>
      </c>
      <c r="BB416" s="460" t="s">
        <v>1</v>
      </c>
      <c r="BM416" s="64">
        <f>IFERROR(X416*I416/H416,"0")</f>
        <v>70</v>
      </c>
      <c r="BN416" s="64">
        <f>IFERROR(Y416*I416/H416,"0")</f>
        <v>71.399999999999991</v>
      </c>
      <c r="BO416" s="64">
        <f>IFERROR(1/J416*(X416/H416),"0")</f>
        <v>0.18315018315018317</v>
      </c>
      <c r="BP416" s="64">
        <f>IFERROR(1/J416*(Y416/H416),"0")</f>
        <v>0.18681318681318682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33.333333333333336</v>
      </c>
      <c r="Y417" s="545">
        <f>IFERROR(Y416/H416,"0")</f>
        <v>34</v>
      </c>
      <c r="Z417" s="545">
        <f>IFERROR(IF(Z416="",0,Z416),"0")</f>
        <v>0.22134000000000001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40</v>
      </c>
      <c r="Y418" s="545">
        <f>IFERROR(SUM(Y416:Y416),"0")</f>
        <v>40.799999999999997</v>
      </c>
      <c r="Z418" s="37"/>
      <c r="AA418" s="546"/>
      <c r="AB418" s="546"/>
      <c r="AC418" s="546"/>
    </row>
    <row r="419" spans="1:68" ht="27.75" customHeight="1" x14ac:dyDescent="0.2">
      <c r="A419" s="605" t="s">
        <v>638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638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639</v>
      </c>
      <c r="B422" s="54" t="s">
        <v>640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3" si="43">IFERROR(IF(X422="",0,CEILING((X422/$H422),1)*$H422),"")</f>
        <v>0</v>
      </c>
      <c r="Z422" s="36" t="str">
        <f t="shared" ref="Z422:Z428" si="44">IFERROR(IF(Y422=0,"",ROUNDUP(Y422/H422,0)*0.01196),"")</f>
        <v/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0</v>
      </c>
      <c r="BN422" s="64">
        <f t="shared" ref="BN422:BN433" si="46">IFERROR(Y422*I422/H422,"0")</f>
        <v>0</v>
      </c>
      <c r="BO422" s="64">
        <f t="shared" ref="BO422:BO433" si="47">IFERROR(1/J422*(X422/H422),"0")</f>
        <v>0</v>
      </c>
      <c r="BP422" s="64">
        <f t="shared" ref="BP422:BP433" si="48">IFERROR(1/J422*(Y422/H422),"0")</f>
        <v>0</v>
      </c>
    </row>
    <row r="423" spans="1:68" ht="27" customHeight="1" x14ac:dyDescent="0.25">
      <c r="A423" s="54" t="s">
        <v>641</v>
      </c>
      <c r="B423" s="54" t="s">
        <v>642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/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643</v>
      </c>
      <c r="AG423" s="64"/>
      <c r="AJ423" s="68"/>
      <c r="AK423" s="68">
        <v>0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644</v>
      </c>
      <c r="B424" s="54" t="s">
        <v>645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646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647</v>
      </c>
      <c r="B425" s="54" t="s">
        <v>648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100</v>
      </c>
      <c r="Y425" s="544">
        <f t="shared" si="43"/>
        <v>100.32000000000001</v>
      </c>
      <c r="Z425" s="36">
        <f t="shared" si="44"/>
        <v>0.22724</v>
      </c>
      <c r="AA425" s="56"/>
      <c r="AB425" s="57"/>
      <c r="AC425" s="467" t="s">
        <v>649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106.81818181818181</v>
      </c>
      <c r="BN425" s="64">
        <f t="shared" si="46"/>
        <v>107.16</v>
      </c>
      <c r="BO425" s="64">
        <f t="shared" si="47"/>
        <v>0.18210955710955709</v>
      </c>
      <c r="BP425" s="64">
        <f t="shared" si="48"/>
        <v>0.18269230769230771</v>
      </c>
    </row>
    <row r="426" spans="1:68" ht="16.5" customHeight="1" x14ac:dyDescent="0.25">
      <c r="A426" s="54" t="s">
        <v>650</v>
      </c>
      <c r="B426" s="54" t="s">
        <v>651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652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653</v>
      </c>
      <c r="B427" s="54" t="s">
        <v>654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100</v>
      </c>
      <c r="Y427" s="544">
        <f t="shared" si="43"/>
        <v>100.32000000000001</v>
      </c>
      <c r="Z427" s="36">
        <f t="shared" si="44"/>
        <v>0.22724</v>
      </c>
      <c r="AA427" s="56"/>
      <c r="AB427" s="57"/>
      <c r="AC427" s="471" t="s">
        <v>655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106.81818181818181</v>
      </c>
      <c r="BN427" s="64">
        <f t="shared" si="46"/>
        <v>107.16</v>
      </c>
      <c r="BO427" s="64">
        <f t="shared" si="47"/>
        <v>0.18210955710955709</v>
      </c>
      <c r="BP427" s="64">
        <f t="shared" si="48"/>
        <v>0.18269230769230771</v>
      </c>
    </row>
    <row r="428" spans="1:68" ht="16.5" customHeight="1" x14ac:dyDescent="0.25">
      <c r="A428" s="54" t="s">
        <v>656</v>
      </c>
      <c r="B428" s="54" t="s">
        <v>657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658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659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643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666</v>
      </c>
      <c r="B432" s="54" t="s">
        <v>667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668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669</v>
      </c>
      <c r="B433" s="54" t="s">
        <v>670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655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37.878787878787875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38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0.45448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200</v>
      </c>
      <c r="Y435" s="545">
        <f>IFERROR(SUM(Y422:Y433),"0")</f>
        <v>200.64000000000001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671</v>
      </c>
      <c r="B437" s="54" t="s">
        <v>672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100</v>
      </c>
      <c r="Y437" s="544">
        <f>IFERROR(IF(X437="",0,CEILING((X437/$H437),1)*$H437),"")</f>
        <v>100.32000000000001</v>
      </c>
      <c r="Z437" s="36">
        <f>IFERROR(IF(Y437=0,"",ROUNDUP(Y437/H437,0)*0.01196),"")</f>
        <v>0.22724</v>
      </c>
      <c r="AA437" s="56"/>
      <c r="AB437" s="57"/>
      <c r="AC437" s="485" t="s">
        <v>673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106.81818181818181</v>
      </c>
      <c r="BN437" s="64">
        <f>IFERROR(Y437*I437/H437,"0")</f>
        <v>107.16</v>
      </c>
      <c r="BO437" s="64">
        <f>IFERROR(1/J437*(X437/H437),"0")</f>
        <v>0.18210955710955709</v>
      </c>
      <c r="BP437" s="64">
        <f>IFERROR(1/J437*(Y437/H437),"0")</f>
        <v>0.18269230769230771</v>
      </c>
    </row>
    <row r="438" spans="1:68" ht="16.5" customHeight="1" x14ac:dyDescent="0.25">
      <c r="A438" s="54" t="s">
        <v>674</v>
      </c>
      <c r="B438" s="54" t="s">
        <v>675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673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676</v>
      </c>
      <c r="B439" s="54" t="s">
        <v>677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/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673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18.939393939393938</v>
      </c>
      <c r="Y440" s="545">
        <f>IFERROR(Y437/H437,"0")+IFERROR(Y438/H438,"0")+IFERROR(Y439/H439,"0")</f>
        <v>19</v>
      </c>
      <c r="Z440" s="545">
        <f>IFERROR(IF(Z437="",0,Z437),"0")+IFERROR(IF(Z438="",0,Z438),"0")+IFERROR(IF(Z439="",0,Z439),"0")</f>
        <v>0.22724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100</v>
      </c>
      <c r="Y441" s="545">
        <f>IFERROR(SUM(Y437:Y439),"0")</f>
        <v>100.32000000000001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678</v>
      </c>
      <c r="B443" s="54" t="s">
        <v>679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30</v>
      </c>
      <c r="Y443" s="544">
        <f t="shared" ref="Y443:Y448" si="49">IFERROR(IF(X443="",0,CEILING((X443/$H443),1)*$H443),"")</f>
        <v>31.68</v>
      </c>
      <c r="Z443" s="36">
        <f>IFERROR(IF(Y443=0,"",ROUNDUP(Y443/H443,0)*0.01196),"")</f>
        <v>7.1760000000000004E-2</v>
      </c>
      <c r="AA443" s="56"/>
      <c r="AB443" s="57"/>
      <c r="AC443" s="491" t="s">
        <v>680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32.04545454545454</v>
      </c>
      <c r="BN443" s="64">
        <f t="shared" ref="BN443:BN448" si="51">IFERROR(Y443*I443/H443,"0")</f>
        <v>33.839999999999996</v>
      </c>
      <c r="BO443" s="64">
        <f t="shared" ref="BO443:BO448" si="52">IFERROR(1/J443*(X443/H443),"0")</f>
        <v>5.4632867132867136E-2</v>
      </c>
      <c r="BP443" s="64">
        <f t="shared" ref="BP443:BP448" si="53">IFERROR(1/J443*(Y443/H443),"0")</f>
        <v>5.7692307692307696E-2</v>
      </c>
    </row>
    <row r="444" spans="1:68" ht="27" customHeight="1" x14ac:dyDescent="0.25">
      <c r="A444" s="54" t="s">
        <v>681</v>
      </c>
      <c r="B444" s="54" t="s">
        <v>682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683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49"/>
        <v>0</v>
      </c>
      <c r="Z445" s="36" t="str">
        <f>IFERROR(IF(Y445=0,"",ROUNDUP(Y445/H445,0)*0.01196),"")</f>
        <v/>
      </c>
      <c r="AA445" s="56"/>
      <c r="AB445" s="57"/>
      <c r="AC445" s="495" t="s">
        <v>686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0</v>
      </c>
      <c r="BN445" s="64">
        <f t="shared" si="51"/>
        <v>0</v>
      </c>
      <c r="BO445" s="64">
        <f t="shared" si="52"/>
        <v>0</v>
      </c>
      <c r="BP445" s="64">
        <f t="shared" si="53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 t="s">
        <v>199</v>
      </c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680</v>
      </c>
      <c r="AG446" s="64"/>
      <c r="AJ446" s="68" t="s">
        <v>106</v>
      </c>
      <c r="AK446" s="68">
        <v>57.6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 t="s">
        <v>199</v>
      </c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30</v>
      </c>
      <c r="Y447" s="544">
        <f t="shared" si="49"/>
        <v>33.6</v>
      </c>
      <c r="Z447" s="36">
        <f>IFERROR(IF(Y447=0,"",ROUNDUP(Y447/H447,0)*0.00902),"")</f>
        <v>6.3140000000000002E-2</v>
      </c>
      <c r="AA447" s="56"/>
      <c r="AB447" s="57"/>
      <c r="AC447" s="499" t="s">
        <v>683</v>
      </c>
      <c r="AG447" s="64"/>
      <c r="AJ447" s="68" t="s">
        <v>106</v>
      </c>
      <c r="AK447" s="68">
        <v>57.6</v>
      </c>
      <c r="BB447" s="500" t="s">
        <v>1</v>
      </c>
      <c r="BM447" s="64">
        <f t="shared" si="50"/>
        <v>41.812500000000007</v>
      </c>
      <c r="BN447" s="64">
        <f t="shared" si="51"/>
        <v>46.830000000000005</v>
      </c>
      <c r="BO447" s="64">
        <f t="shared" si="52"/>
        <v>4.7348484848484848E-2</v>
      </c>
      <c r="BP447" s="64">
        <f t="shared" si="53"/>
        <v>5.3030303030303039E-2</v>
      </c>
    </row>
    <row r="448" spans="1:68" ht="27" customHeight="1" x14ac:dyDescent="0.25">
      <c r="A448" s="54" t="s">
        <v>691</v>
      </c>
      <c r="B448" s="54" t="s">
        <v>692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 t="s">
        <v>199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686</v>
      </c>
      <c r="AG448" s="64"/>
      <c r="AJ448" s="68" t="s">
        <v>106</v>
      </c>
      <c r="AK448" s="68">
        <v>57.6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11.931818181818182</v>
      </c>
      <c r="Y449" s="545">
        <f>IFERROR(Y443/H443,"0")+IFERROR(Y444/H444,"0")+IFERROR(Y445/H445,"0")+IFERROR(Y446/H446,"0")+IFERROR(Y447/H447,"0")+IFERROR(Y448/H448,"0")</f>
        <v>13</v>
      </c>
      <c r="Z449" s="545">
        <f>IFERROR(IF(Z443="",0,Z443),"0")+IFERROR(IF(Z444="",0,Z444),"0")+IFERROR(IF(Z445="",0,Z445),"0")+IFERROR(IF(Z446="",0,Z446),"0")+IFERROR(IF(Z447="",0,Z447),"0")+IFERROR(IF(Z448="",0,Z448),"0")</f>
        <v>0.13490000000000002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60</v>
      </c>
      <c r="Y450" s="545">
        <f>IFERROR(SUM(Y443:Y448),"0")</f>
        <v>65.28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693</v>
      </c>
      <c r="B452" s="54" t="s">
        <v>694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695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696</v>
      </c>
      <c r="B453" s="54" t="s">
        <v>697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698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701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702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703</v>
      </c>
      <c r="B460" s="54" t="s">
        <v>704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705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708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20</v>
      </c>
      <c r="Y462" s="544">
        <f>IFERROR(IF(X462="",0,CEILING((X462/$H462),1)*$H462),"")</f>
        <v>24</v>
      </c>
      <c r="Z462" s="36">
        <f>IFERROR(IF(Y462=0,"",ROUNDUP(Y462/H462,0)*0.01898),"")</f>
        <v>3.7960000000000001E-2</v>
      </c>
      <c r="AA462" s="56"/>
      <c r="AB462" s="57"/>
      <c r="AC462" s="513" t="s">
        <v>711</v>
      </c>
      <c r="AG462" s="64"/>
      <c r="AJ462" s="68"/>
      <c r="AK462" s="68">
        <v>0</v>
      </c>
      <c r="BB462" s="514" t="s">
        <v>1</v>
      </c>
      <c r="BM462" s="64">
        <f>IFERROR(X462*I462/H462,"0")</f>
        <v>20.725000000000001</v>
      </c>
      <c r="BN462" s="64">
        <f>IFERROR(Y462*I462/H462,"0")</f>
        <v>24.87</v>
      </c>
      <c r="BO462" s="64">
        <f>IFERROR(1/J462*(X462/H462),"0")</f>
        <v>2.6041666666666668E-2</v>
      </c>
      <c r="BP462" s="64">
        <f>IFERROR(1/J462*(Y462/H462),"0")</f>
        <v>3.125E-2</v>
      </c>
    </row>
    <row r="463" spans="1:68" ht="27" customHeight="1" x14ac:dyDescent="0.25">
      <c r="A463" s="54" t="s">
        <v>712</v>
      </c>
      <c r="B463" s="54" t="s">
        <v>713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705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1.6666666666666667</v>
      </c>
      <c r="Y464" s="545">
        <f>IFERROR(Y460/H460,"0")+IFERROR(Y461/H461,"0")+IFERROR(Y462/H462,"0")+IFERROR(Y463/H463,"0")</f>
        <v>2</v>
      </c>
      <c r="Z464" s="545">
        <f>IFERROR(IF(Z460="",0,Z460),"0")+IFERROR(IF(Z461="",0,Z461),"0")+IFERROR(IF(Z462="",0,Z462),"0")+IFERROR(IF(Z463="",0,Z463),"0")</f>
        <v>3.7960000000000001E-2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20</v>
      </c>
      <c r="Y465" s="545">
        <f>IFERROR(SUM(Y460:Y463),"0")</f>
        <v>24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714</v>
      </c>
      <c r="B467" s="54" t="s">
        <v>715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716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717</v>
      </c>
      <c r="B468" s="54" t="s">
        <v>718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719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720</v>
      </c>
      <c r="B469" s="54" t="s">
        <v>721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722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723</v>
      </c>
      <c r="B473" s="54" t="s">
        <v>724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725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728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729</v>
      </c>
      <c r="B478" s="54" t="s">
        <v>730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400</v>
      </c>
      <c r="Y478" s="544">
        <f>IFERROR(IF(X478="",0,CEILING((X478/$H478),1)*$H478),"")</f>
        <v>405</v>
      </c>
      <c r="Z478" s="36">
        <f>IFERROR(IF(Y478=0,"",ROUNDUP(Y478/H478,0)*0.01898),"")</f>
        <v>0.85409999999999997</v>
      </c>
      <c r="AA478" s="56"/>
      <c r="AB478" s="57"/>
      <c r="AC478" s="527" t="s">
        <v>731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423.06666666666666</v>
      </c>
      <c r="BN478" s="64">
        <f>IFERROR(Y478*I478/H478,"0")</f>
        <v>428.35500000000002</v>
      </c>
      <c r="BO478" s="64">
        <f>IFERROR(1/J478*(X478/H478),"0")</f>
        <v>0.69444444444444442</v>
      </c>
      <c r="BP478" s="64">
        <f>IFERROR(1/J478*(Y478/H478),"0")</f>
        <v>0.703125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44.444444444444443</v>
      </c>
      <c r="Y479" s="545">
        <f>IFERROR(Y478/H478,"0")</f>
        <v>45</v>
      </c>
      <c r="Z479" s="545">
        <f>IFERROR(IF(Z478="",0,Z478),"0")</f>
        <v>0.85409999999999997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400</v>
      </c>
      <c r="Y480" s="545">
        <f>IFERROR(SUM(Y478:Y478),"0")</f>
        <v>405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732</v>
      </c>
      <c r="B482" s="54" t="s">
        <v>733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734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735</v>
      </c>
      <c r="B483" s="54" t="s">
        <v>736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737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738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739</v>
      </c>
      <c r="B488" s="54" t="s">
        <v>740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741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742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5008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5104.0600000000004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743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5356.5206301839926</v>
      </c>
      <c r="Y492" s="545">
        <f>IFERROR(SUM(BN22:BN488),"0")</f>
        <v>5459.768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744</v>
      </c>
      <c r="Q493" s="666"/>
      <c r="R493" s="666"/>
      <c r="S493" s="666"/>
      <c r="T493" s="666"/>
      <c r="U493" s="666"/>
      <c r="V493" s="667"/>
      <c r="W493" s="37" t="s">
        <v>745</v>
      </c>
      <c r="X493" s="38">
        <f>ROUNDUP(SUM(BO22:BO488),0)</f>
        <v>10</v>
      </c>
      <c r="Y493" s="38">
        <f>ROUNDUP(SUM(BP22:BP488),0)</f>
        <v>10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746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5606.5206301839926</v>
      </c>
      <c r="Y494" s="545">
        <f>GrossWeightTotalR+PalletQtyTotalR*25</f>
        <v>5709.768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747</v>
      </c>
      <c r="Q495" s="666"/>
      <c r="R495" s="666"/>
      <c r="S495" s="666"/>
      <c r="T495" s="666"/>
      <c r="U495" s="666"/>
      <c r="V495" s="667"/>
      <c r="W495" s="37" t="s">
        <v>745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1187.0135853928959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1206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748</v>
      </c>
      <c r="Q496" s="666"/>
      <c r="R496" s="666"/>
      <c r="S496" s="666"/>
      <c r="T496" s="666"/>
      <c r="U496" s="666"/>
      <c r="V496" s="667"/>
      <c r="W496" s="39" t="s">
        <v>749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11.105930000000003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750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250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536</v>
      </c>
      <c r="U498" s="659"/>
      <c r="V498" s="586" t="s">
        <v>586</v>
      </c>
      <c r="W498" s="658"/>
      <c r="X498" s="659"/>
      <c r="Y498" s="540" t="s">
        <v>638</v>
      </c>
      <c r="Z498" s="586" t="s">
        <v>702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751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223</v>
      </c>
      <c r="H499" s="586" t="s">
        <v>97</v>
      </c>
      <c r="I499" s="586" t="s">
        <v>251</v>
      </c>
      <c r="J499" s="586" t="s">
        <v>292</v>
      </c>
      <c r="K499" s="586" t="s">
        <v>352</v>
      </c>
      <c r="L499" s="586" t="s">
        <v>395</v>
      </c>
      <c r="M499" s="586" t="s">
        <v>411</v>
      </c>
      <c r="N499" s="541"/>
      <c r="O499" s="586" t="s">
        <v>423</v>
      </c>
      <c r="P499" s="586" t="s">
        <v>433</v>
      </c>
      <c r="Q499" s="586" t="s">
        <v>443</v>
      </c>
      <c r="R499" s="586" t="s">
        <v>448</v>
      </c>
      <c r="S499" s="586" t="s">
        <v>526</v>
      </c>
      <c r="T499" s="586" t="s">
        <v>537</v>
      </c>
      <c r="U499" s="586" t="s">
        <v>571</v>
      </c>
      <c r="V499" s="586" t="s">
        <v>587</v>
      </c>
      <c r="W499" s="586" t="s">
        <v>619</v>
      </c>
      <c r="X499" s="586" t="s">
        <v>634</v>
      </c>
      <c r="Y499" s="586" t="s">
        <v>638</v>
      </c>
      <c r="Z499" s="586" t="s">
        <v>702</v>
      </c>
      <c r="AA499" s="586" t="s">
        <v>738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752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1" s="46">
        <f>IFERROR(Y86*1,"0")+IFERROR(Y87*1,"0")+IFERROR(Y88*1,"0")+IFERROR(Y92*1,"0")+IFERROR(Y93*1,"0")+IFERROR(Y94*1,"0")+IFERROR(Y95*1,"0")</f>
        <v>135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198</v>
      </c>
      <c r="G501" s="46">
        <f>IFERROR(Y125*1,"0")+IFERROR(Y126*1,"0")+IFERROR(Y130*1,"0")+IFERROR(Y131*1,"0")+IFERROR(Y135*1,"0")+IFERROR(Y136*1,"0")</f>
        <v>95.52000000000001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296.10000000000002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1114.8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52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122.39999999999999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452.70000000000005</v>
      </c>
      <c r="S501" s="46">
        <f>IFERROR(Y335*1,"0")+IFERROR(Y336*1,"0")+IFERROR(Y337*1,"0")</f>
        <v>527.1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1182</v>
      </c>
      <c r="U501" s="46">
        <f>IFERROR(Y368*1,"0")+IFERROR(Y369*1,"0")+IFERROR(Y373*1,"0")+IFERROR(Y374*1,"0")+IFERROR(Y378*1,"0")+IFERROR(Y379*1,"0")</f>
        <v>84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8.4</v>
      </c>
      <c r="X501" s="46">
        <f>IFERROR(Y416*1,"0")</f>
        <v>40.799999999999997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366.24000000000007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429</v>
      </c>
      <c r="AA501" s="46">
        <f>IFERROR(Y488*1,"0")</f>
        <v>0</v>
      </c>
      <c r="AB501" s="52"/>
      <c r="AC501" s="52"/>
      <c r="AF501" s="541"/>
    </row>
  </sheetData>
  <sheetProtection algorithmName="SHA-512" hashValue="/wEOUsBCBjmLHshgLqXcO++sWghLvNJNCm5zQ60ZDmuWEfCSRAnrO0ttwpWnsYZDQoqJb8WlzWonhI598Eq8Uw==" saltValue="Wnmvnk46NYaWx5wu+rBJvw==" spinCount="100000" sheet="1" objects="1" scenarios="1" sort="0" autoFilter="0" pivotTables="0"/>
  <autoFilter ref="A18:AF4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6 X60 X62 X80 X86 X88 X92 X100 X102 X107 X113 X115:X116 X120 X125 X131 X136 X158:X162 X164 X191:X198 X204:X205 X207 X209:X210 X214:X215 X221 X223 X225 X229 X268:X269 X300:X301 X303 X315:X317 X323:X324 X328 X330 X336:X337 X343:X346 X353 X359 X368 X378 X390:X391 X393 X416 X422 X425 X427 X437 X443:X448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8" spans="2:8" x14ac:dyDescent="0.2">
      <c r="B8" s="47" t="s">
        <v>19</v>
      </c>
      <c r="C8" s="47" t="s">
        <v>755</v>
      </c>
      <c r="D8" s="47"/>
      <c r="E8" s="47"/>
    </row>
    <row r="10" spans="2:8" x14ac:dyDescent="0.2">
      <c r="B10" s="47" t="s">
        <v>757</v>
      </c>
      <c r="C10" s="47"/>
      <c r="D10" s="47"/>
      <c r="E10" s="47"/>
    </row>
    <row r="11" spans="2:8" x14ac:dyDescent="0.2">
      <c r="B11" s="47" t="s">
        <v>758</v>
      </c>
      <c r="C11" s="47"/>
      <c r="D11" s="47"/>
      <c r="E11" s="47"/>
    </row>
    <row r="12" spans="2:8" x14ac:dyDescent="0.2">
      <c r="B12" s="47" t="s">
        <v>759</v>
      </c>
      <c r="C12" s="47"/>
      <c r="D12" s="47"/>
      <c r="E12" s="47"/>
    </row>
    <row r="13" spans="2:8" x14ac:dyDescent="0.2">
      <c r="B13" s="47" t="s">
        <v>760</v>
      </c>
      <c r="C13" s="47"/>
      <c r="D13" s="47"/>
      <c r="E13" s="47"/>
    </row>
    <row r="14" spans="2:8" x14ac:dyDescent="0.2">
      <c r="B14" s="47" t="s">
        <v>761</v>
      </c>
      <c r="C14" s="47"/>
      <c r="D14" s="47"/>
      <c r="E14" s="47"/>
    </row>
    <row r="15" spans="2:8" x14ac:dyDescent="0.2">
      <c r="B15" s="47" t="s">
        <v>762</v>
      </c>
      <c r="C15" s="47"/>
      <c r="D15" s="47"/>
      <c r="E15" s="47"/>
    </row>
    <row r="16" spans="2:8" x14ac:dyDescent="0.2">
      <c r="B16" s="47" t="s">
        <v>763</v>
      </c>
      <c r="C16" s="47"/>
      <c r="D16" s="47"/>
      <c r="E16" s="47"/>
    </row>
    <row r="17" spans="2:5" x14ac:dyDescent="0.2">
      <c r="B17" s="47" t="s">
        <v>764</v>
      </c>
      <c r="C17" s="47"/>
      <c r="D17" s="47"/>
      <c r="E17" s="47"/>
    </row>
    <row r="18" spans="2:5" x14ac:dyDescent="0.2">
      <c r="B18" s="47" t="s">
        <v>765</v>
      </c>
      <c r="C18" s="47"/>
      <c r="D18" s="47"/>
      <c r="E18" s="47"/>
    </row>
    <row r="19" spans="2:5" x14ac:dyDescent="0.2">
      <c r="B19" s="47" t="s">
        <v>766</v>
      </c>
      <c r="C19" s="47"/>
      <c r="D19" s="47"/>
      <c r="E19" s="47"/>
    </row>
    <row r="20" spans="2:5" x14ac:dyDescent="0.2">
      <c r="B20" s="47" t="s">
        <v>767</v>
      </c>
      <c r="C20" s="47"/>
      <c r="D20" s="47"/>
      <c r="E20" s="47"/>
    </row>
  </sheetData>
  <sheetProtection algorithmName="SHA-512" hashValue="azErrruThnKi9MBSP1tEWpekZtGpMy/TgHw83xJ2dsSj3JDjDDnrwQwI5V3TKpDP1wne8o44AkNHpWFLEX/p/w==" saltValue="qMjQXqD6wIBivtLjv3Le7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2025-10-23T09:14:21Z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