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473572B-7E9F-476E-BC38-3FD2E8F804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79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Y449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11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Y399" i="1" s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Y363" i="1" s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3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Y234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K511" i="1" s="1"/>
  <c r="P221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Y21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1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J511" i="1" s="1"/>
  <c r="P182" i="1"/>
  <c r="X179" i="1"/>
  <c r="X178" i="1"/>
  <c r="BO177" i="1"/>
  <c r="BM177" i="1"/>
  <c r="Y177" i="1"/>
  <c r="Y178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4" i="1" s="1"/>
  <c r="P171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8" i="1" s="1"/>
  <c r="P159" i="1"/>
  <c r="X157" i="1"/>
  <c r="X156" i="1"/>
  <c r="BO155" i="1"/>
  <c r="BM155" i="1"/>
  <c r="Y155" i="1"/>
  <c r="I511" i="1" s="1"/>
  <c r="P155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H511" i="1" s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11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1" i="1"/>
  <c r="X502" i="1"/>
  <c r="X503" i="1"/>
  <c r="X50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Z74" i="1"/>
  <c r="Z78" i="1" s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Y97" i="1"/>
  <c r="Z94" i="1"/>
  <c r="Z97" i="1" s="1"/>
  <c r="BN94" i="1"/>
  <c r="BP96" i="1"/>
  <c r="BN96" i="1"/>
  <c r="Z96" i="1"/>
  <c r="Y98" i="1"/>
  <c r="F511" i="1"/>
  <c r="Y106" i="1"/>
  <c r="BP101" i="1"/>
  <c r="BN101" i="1"/>
  <c r="Z101" i="1"/>
  <c r="Y105" i="1"/>
  <c r="Z111" i="1"/>
  <c r="BP109" i="1"/>
  <c r="BN109" i="1"/>
  <c r="Z109" i="1"/>
  <c r="Y118" i="1"/>
  <c r="BP117" i="1"/>
  <c r="BN117" i="1"/>
  <c r="Z117" i="1"/>
  <c r="Y124" i="1"/>
  <c r="BP121" i="1"/>
  <c r="BN121" i="1"/>
  <c r="Z121" i="1"/>
  <c r="Z123" i="1" s="1"/>
  <c r="BP138" i="1"/>
  <c r="BN138" i="1"/>
  <c r="Z138" i="1"/>
  <c r="Z139" i="1" s="1"/>
  <c r="Y140" i="1"/>
  <c r="F9" i="1"/>
  <c r="J9" i="1"/>
  <c r="Y45" i="1"/>
  <c r="Y58" i="1"/>
  <c r="Y505" i="1" s="1"/>
  <c r="Y91" i="1"/>
  <c r="BP103" i="1"/>
  <c r="BN103" i="1"/>
  <c r="Y502" i="1" s="1"/>
  <c r="Z103" i="1"/>
  <c r="BP115" i="1"/>
  <c r="Y503" i="1" s="1"/>
  <c r="BN115" i="1"/>
  <c r="Z115" i="1"/>
  <c r="Z118" i="1" s="1"/>
  <c r="BP128" i="1"/>
  <c r="BN128" i="1"/>
  <c r="Z128" i="1"/>
  <c r="Z129" i="1" s="1"/>
  <c r="Y130" i="1"/>
  <c r="Y135" i="1"/>
  <c r="BP132" i="1"/>
  <c r="BN132" i="1"/>
  <c r="Z132" i="1"/>
  <c r="Z134" i="1" s="1"/>
  <c r="Y145" i="1"/>
  <c r="Y151" i="1"/>
  <c r="Y157" i="1"/>
  <c r="Y169" i="1"/>
  <c r="Y175" i="1"/>
  <c r="Y179" i="1"/>
  <c r="Y184" i="1"/>
  <c r="Y190" i="1"/>
  <c r="Y200" i="1"/>
  <c r="Y212" i="1"/>
  <c r="Y218" i="1"/>
  <c r="Y231" i="1"/>
  <c r="Y235" i="1"/>
  <c r="Y247" i="1"/>
  <c r="L511" i="1"/>
  <c r="Y255" i="1"/>
  <c r="BP252" i="1"/>
  <c r="BN252" i="1"/>
  <c r="BP254" i="1"/>
  <c r="BN254" i="1"/>
  <c r="Z254" i="1"/>
  <c r="Y256" i="1"/>
  <c r="M511" i="1"/>
  <c r="Y264" i="1"/>
  <c r="BP259" i="1"/>
  <c r="BN259" i="1"/>
  <c r="Z259" i="1"/>
  <c r="Y263" i="1"/>
  <c r="Z270" i="1"/>
  <c r="BP268" i="1"/>
  <c r="BN268" i="1"/>
  <c r="Z268" i="1"/>
  <c r="BP291" i="1"/>
  <c r="BN291" i="1"/>
  <c r="Z291" i="1"/>
  <c r="BP299" i="1"/>
  <c r="BN299" i="1"/>
  <c r="Z299" i="1"/>
  <c r="G511" i="1"/>
  <c r="Y129" i="1"/>
  <c r="Z143" i="1"/>
  <c r="Z144" i="1" s="1"/>
  <c r="BN143" i="1"/>
  <c r="BP143" i="1"/>
  <c r="Y144" i="1"/>
  <c r="Z147" i="1"/>
  <c r="Z150" i="1" s="1"/>
  <c r="BN147" i="1"/>
  <c r="BP147" i="1"/>
  <c r="Z149" i="1"/>
  <c r="BN149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Z171" i="1"/>
  <c r="Z174" i="1" s="1"/>
  <c r="BN171" i="1"/>
  <c r="BP171" i="1"/>
  <c r="Z173" i="1"/>
  <c r="BN173" i="1"/>
  <c r="Z177" i="1"/>
  <c r="Z178" i="1" s="1"/>
  <c r="BN177" i="1"/>
  <c r="BP177" i="1"/>
  <c r="Z182" i="1"/>
  <c r="Z184" i="1" s="1"/>
  <c r="BN182" i="1"/>
  <c r="BP182" i="1"/>
  <c r="Y185" i="1"/>
  <c r="Z188" i="1"/>
  <c r="Z189" i="1" s="1"/>
  <c r="BN188" i="1"/>
  <c r="Z192" i="1"/>
  <c r="Z200" i="1" s="1"/>
  <c r="BN192" i="1"/>
  <c r="BP192" i="1"/>
  <c r="Z194" i="1"/>
  <c r="BN194" i="1"/>
  <c r="Z196" i="1"/>
  <c r="BN196" i="1"/>
  <c r="Z198" i="1"/>
  <c r="BN198" i="1"/>
  <c r="Z204" i="1"/>
  <c r="Z212" i="1" s="1"/>
  <c r="BN204" i="1"/>
  <c r="Z206" i="1"/>
  <c r="BN206" i="1"/>
  <c r="Z208" i="1"/>
  <c r="BN208" i="1"/>
  <c r="Z210" i="1"/>
  <c r="BN210" i="1"/>
  <c r="Z216" i="1"/>
  <c r="Z217" i="1" s="1"/>
  <c r="BN216" i="1"/>
  <c r="Z221" i="1"/>
  <c r="BN221" i="1"/>
  <c r="BP221" i="1"/>
  <c r="Z223" i="1"/>
  <c r="BN223" i="1"/>
  <c r="Z226" i="1"/>
  <c r="BN226" i="1"/>
  <c r="Z228" i="1"/>
  <c r="BN228" i="1"/>
  <c r="Z229" i="1"/>
  <c r="BN229" i="1"/>
  <c r="Y230" i="1"/>
  <c r="Z233" i="1"/>
  <c r="Z234" i="1" s="1"/>
  <c r="BN233" i="1"/>
  <c r="BP233" i="1"/>
  <c r="Z243" i="1"/>
  <c r="Z246" i="1" s="1"/>
  <c r="BN243" i="1"/>
  <c r="Z245" i="1"/>
  <c r="BN245" i="1"/>
  <c r="Z250" i="1"/>
  <c r="Z255" i="1" s="1"/>
  <c r="BN250" i="1"/>
  <c r="BP250" i="1"/>
  <c r="Z252" i="1"/>
  <c r="BP260" i="1"/>
  <c r="BN260" i="1"/>
  <c r="Z260" i="1"/>
  <c r="O511" i="1"/>
  <c r="Y270" i="1"/>
  <c r="BP289" i="1"/>
  <c r="BN289" i="1"/>
  <c r="Z289" i="1"/>
  <c r="Z293" i="1" s="1"/>
  <c r="Y293" i="1"/>
  <c r="BP297" i="1"/>
  <c r="BN297" i="1"/>
  <c r="Z297" i="1"/>
  <c r="Z398" i="1"/>
  <c r="Y271" i="1"/>
  <c r="Y276" i="1"/>
  <c r="Y285" i="1"/>
  <c r="R511" i="1"/>
  <c r="Y294" i="1"/>
  <c r="Y304" i="1"/>
  <c r="Y312" i="1"/>
  <c r="Y318" i="1"/>
  <c r="Y324" i="1"/>
  <c r="Y330" i="1"/>
  <c r="Y337" i="1"/>
  <c r="Y349" i="1"/>
  <c r="Y355" i="1"/>
  <c r="Y359" i="1"/>
  <c r="Y364" i="1"/>
  <c r="Y371" i="1"/>
  <c r="Y375" i="1"/>
  <c r="Y379" i="1"/>
  <c r="Y403" i="1"/>
  <c r="Y416" i="1"/>
  <c r="Y421" i="1"/>
  <c r="Y426" i="1"/>
  <c r="Z511" i="1"/>
  <c r="Y444" i="1"/>
  <c r="BP438" i="1"/>
  <c r="BN438" i="1"/>
  <c r="Z438" i="1"/>
  <c r="BP441" i="1"/>
  <c r="BN441" i="1"/>
  <c r="Z441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BP488" i="1"/>
  <c r="BN488" i="1"/>
  <c r="Z488" i="1"/>
  <c r="Z489" i="1" s="1"/>
  <c r="Y490" i="1"/>
  <c r="Y495" i="1"/>
  <c r="BP492" i="1"/>
  <c r="BN492" i="1"/>
  <c r="Z492" i="1"/>
  <c r="Z494" i="1" s="1"/>
  <c r="U511" i="1"/>
  <c r="Y511" i="1"/>
  <c r="Z300" i="1"/>
  <c r="Z303" i="1" s="1"/>
  <c r="BN300" i="1"/>
  <c r="Z302" i="1"/>
  <c r="BN302" i="1"/>
  <c r="Z306" i="1"/>
  <c r="Z311" i="1" s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11" i="1"/>
  <c r="Z343" i="1"/>
  <c r="Z349" i="1" s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11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Z415" i="1" s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Y443" i="1"/>
  <c r="BP447" i="1"/>
  <c r="BN447" i="1"/>
  <c r="Z447" i="1"/>
  <c r="Z449" i="1" s="1"/>
  <c r="Y458" i="1"/>
  <c r="BP455" i="1"/>
  <c r="BN455" i="1"/>
  <c r="Z455" i="1"/>
  <c r="BP463" i="1"/>
  <c r="BN463" i="1"/>
  <c r="Z463" i="1"/>
  <c r="Y465" i="1"/>
  <c r="Y474" i="1"/>
  <c r="BP469" i="1"/>
  <c r="BN469" i="1"/>
  <c r="Z469" i="1"/>
  <c r="Z473" i="1" s="1"/>
  <c r="Y473" i="1"/>
  <c r="BP478" i="1"/>
  <c r="BN478" i="1"/>
  <c r="Z478" i="1"/>
  <c r="Z479" i="1" s="1"/>
  <c r="Y480" i="1"/>
  <c r="Y485" i="1"/>
  <c r="BP482" i="1"/>
  <c r="BN482" i="1"/>
  <c r="Z482" i="1"/>
  <c r="Z484" i="1" s="1"/>
  <c r="AB511" i="1"/>
  <c r="Y499" i="1"/>
  <c r="BP498" i="1"/>
  <c r="BN498" i="1"/>
  <c r="Z498" i="1"/>
  <c r="Z499" i="1" s="1"/>
  <c r="Y500" i="1"/>
  <c r="AA511" i="1"/>
  <c r="Y504" i="1" l="1"/>
  <c r="Z263" i="1"/>
  <c r="Z105" i="1"/>
  <c r="X504" i="1"/>
  <c r="Z443" i="1"/>
  <c r="Z370" i="1"/>
  <c r="Z317" i="1"/>
  <c r="Z230" i="1"/>
  <c r="Z168" i="1"/>
  <c r="Z90" i="1"/>
  <c r="Z58" i="1"/>
  <c r="Z44" i="1"/>
  <c r="Z506" i="1" s="1"/>
  <c r="Y501" i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<sst xmlns="http://schemas.openxmlformats.org/spreadsheetml/2006/main" count="2208" uniqueCount="790">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</sst>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45914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Воскресенье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 t="s">
        <v>19</v>
      </c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20</v>
      </c>
      <c r="Q8" s="679">
        <v>0.375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21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0"/>
      <c r="R11" s="671"/>
      <c r="U11" s="24" t="s">
        <v>27</v>
      </c>
      <c r="V11" s="812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7" t="s">
        <v>38</v>
      </c>
      <c r="D17" s="597" t="s">
        <v>39</v>
      </c>
      <c r="E17" s="651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0"/>
      <c r="R17" s="650"/>
      <c r="S17" s="650"/>
      <c r="T17" s="651"/>
      <c r="U17" s="877" t="s">
        <v>51</v>
      </c>
      <c r="V17" s="595"/>
      <c r="W17" s="597" t="s">
        <v>52</v>
      </c>
      <c r="X17" s="597" t="s">
        <v>53</v>
      </c>
      <c r="Y17" s="875" t="s">
        <v>54</v>
      </c>
      <c r="Z17" s="787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40"/>
      <c r="AF17" s="841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63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101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69</v>
      </c>
      <c r="X43" s="549">
        <v>200</v>
      </c>
      <c r="Y43" s="550">
        <f>IFERROR(IF(X43="",0,CEILING((X43/$H43),1)*$H43),"")</f>
        <v>200</v>
      </c>
      <c r="Z43" s="36">
        <f>IFERROR(IF(Y43=0,"",ROUNDUP(Y43/H43,0)*0.00902),"")</f>
        <v>0.45100000000000001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210.5</v>
      </c>
      <c r="BN43" s="64">
        <f>IFERROR(Y43*I43/H43,"0")</f>
        <v>210.5</v>
      </c>
      <c r="BO43" s="64">
        <f>IFERROR(1/J43*(X43/H43),"0")</f>
        <v>0.37878787878787878</v>
      </c>
      <c r="BP43" s="64">
        <f>IFERROR(1/J43*(Y43/H43),"0")</f>
        <v>0.37878787878787878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1">
        <f>IFERROR(X41/H41,"0")+IFERROR(X42/H42,"0")+IFERROR(X43/H43,"0")</f>
        <v>59.25925925925926</v>
      </c>
      <c r="Y44" s="551">
        <f>IFERROR(Y41/H41,"0")+IFERROR(Y42/H42,"0")+IFERROR(Y43/H43,"0")</f>
        <v>60</v>
      </c>
      <c r="Z44" s="551">
        <f>IFERROR(IF(Z41="",0,Z41),"0")+IFERROR(IF(Z42="",0,Z42),"0")+IFERROR(IF(Z43="",0,Z43),"0")</f>
        <v>0.64080000000000004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1">
        <f>IFERROR(SUM(X41:X43),"0")</f>
        <v>300</v>
      </c>
      <c r="Y45" s="551">
        <f>IFERROR(SUM(Y41:Y43),"0")</f>
        <v>308</v>
      </c>
      <c r="Z45" s="37"/>
      <c r="AA45" s="552"/>
      <c r="AB45" s="552"/>
      <c r="AC45" s="552"/>
    </row>
    <row r="46" spans="1:68" ht="14.25" customHeight="1" x14ac:dyDescent="0.25">
      <c r="A46" s="562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120</v>
      </c>
      <c r="Y53" s="550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124.83333333333331</v>
      </c>
      <c r="BN53" s="64">
        <f t="shared" si="8"/>
        <v>134.82000000000002</v>
      </c>
      <c r="BO53" s="64">
        <f t="shared" si="9"/>
        <v>0.1736111111111111</v>
      </c>
      <c r="BP53" s="64">
        <f t="shared" si="10"/>
        <v>0.18750000000000003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225</v>
      </c>
      <c r="Y57" s="55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1">
        <f>IFERROR(X52/H52,"0")+IFERROR(X53/H53,"0")+IFERROR(X54/H54,"0")+IFERROR(X55/H55,"0")+IFERROR(X56/H56,"0")+IFERROR(X57/H57,"0")</f>
        <v>61.111111111111114</v>
      </c>
      <c r="Y58" s="551">
        <f>IFERROR(Y52/H52,"0")+IFERROR(Y53/H53,"0")+IFERROR(Y54/H54,"0")+IFERROR(Y55/H55,"0")+IFERROR(Y56/H56,"0")+IFERROR(Y57/H57,"0")</f>
        <v>62</v>
      </c>
      <c r="Z58" s="551">
        <f>IFERROR(IF(Z52="",0,Z52),"0")+IFERROR(IF(Z53="",0,Z53),"0")+IFERROR(IF(Z54="",0,Z54),"0")+IFERROR(IF(Z55="",0,Z55),"0")+IFERROR(IF(Z56="",0,Z56),"0")+IFERROR(IF(Z57="",0,Z57),"0")</f>
        <v>0.67876000000000003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1">
        <f>IFERROR(SUM(X52:X57),"0")</f>
        <v>345</v>
      </c>
      <c r="Y59" s="551">
        <f>IFERROR(SUM(Y52:Y57),"0")</f>
        <v>354.6</v>
      </c>
      <c r="Z59" s="37"/>
      <c r="AA59" s="552"/>
      <c r="AB59" s="552"/>
      <c r="AC59" s="552"/>
    </row>
    <row r="60" spans="1:68" ht="14.25" customHeight="1" x14ac:dyDescent="0.25">
      <c r="A60" s="562" t="s">
        <v>137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114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157.5</v>
      </c>
      <c r="Y63" s="550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140</v>
      </c>
      <c r="AG63" s="64"/>
      <c r="AJ63" s="68" t="s">
        <v>115</v>
      </c>
      <c r="AK63" s="68">
        <v>491.4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1">
        <f>IFERROR(X61/H61,"0")+IFERROR(X62/H62,"0")+IFERROR(X63/H63,"0")</f>
        <v>62.962962962962962</v>
      </c>
      <c r="Y64" s="551">
        <f>IFERROR(Y61/H61,"0")+IFERROR(Y62/H62,"0")+IFERROR(Y63/H63,"0")</f>
        <v>64</v>
      </c>
      <c r="Z64" s="551">
        <f>IFERROR(IF(Z61="",0,Z61),"0")+IFERROR(IF(Z62="",0,Z62),"0")+IFERROR(IF(Z63="",0,Z63),"0")</f>
        <v>0.47898999999999997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1">
        <f>IFERROR(SUM(X61:X63),"0")</f>
        <v>207.5</v>
      </c>
      <c r="Y65" s="551">
        <f>IFERROR(SUM(Y61:Y63),"0")</f>
        <v>213.3</v>
      </c>
      <c r="Z65" s="37"/>
      <c r="AA65" s="552"/>
      <c r="AB65" s="552"/>
      <c r="AC65" s="552"/>
    </row>
    <row r="66" spans="1:68" ht="14.25" customHeight="1" x14ac:dyDescent="0.25">
      <c r="A66" s="562" t="s">
        <v>64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145</v>
      </c>
      <c r="B67" s="54" t="s">
        <v>146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73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154</v>
      </c>
      <c r="B73" s="54" t="s">
        <v>155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160</v>
      </c>
      <c r="B75" s="54" t="s">
        <v>161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167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171</v>
      </c>
      <c r="B82" s="54" t="s">
        <v>172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174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103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178</v>
      </c>
      <c r="B88" s="54" t="s">
        <v>179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675</v>
      </c>
      <c r="Y89" s="550">
        <f>IFERROR(IF(X89="",0,CEILING((X89/$H89),1)*$H89),"")</f>
        <v>675</v>
      </c>
      <c r="Z89" s="36">
        <f>IFERROR(IF(Y89=0,"",ROUNDUP(Y89/H89,0)*0.00902),"")</f>
        <v>1.353</v>
      </c>
      <c r="AA89" s="56"/>
      <c r="AB89" s="57"/>
      <c r="AC89" s="135" t="s">
        <v>177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706.5</v>
      </c>
      <c r="BN89" s="64">
        <f>IFERROR(Y89*I89/H89,"0")</f>
        <v>706.5</v>
      </c>
      <c r="BO89" s="64">
        <f>IFERROR(1/J89*(X89/H89),"0")</f>
        <v>1.1363636363636365</v>
      </c>
      <c r="BP89" s="64">
        <f>IFERROR(1/J89*(Y89/H89),"0")</f>
        <v>1.1363636363636365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1">
        <f>IFERROR(X87/H87,"0")+IFERROR(X88/H88,"0")+IFERROR(X89/H89,"0")</f>
        <v>168.51851851851853</v>
      </c>
      <c r="Y90" s="551">
        <f>IFERROR(Y87/H87,"0")+IFERROR(Y88/H88,"0")+IFERROR(Y89/H89,"0")</f>
        <v>169</v>
      </c>
      <c r="Z90" s="551">
        <f>IFERROR(IF(Z87="",0,Z87),"0")+IFERROR(IF(Z88="",0,Z88),"0")+IFERROR(IF(Z89="",0,Z89),"0")</f>
        <v>1.7136199999999999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1">
        <f>IFERROR(SUM(X87:X89),"0")</f>
        <v>875</v>
      </c>
      <c r="Y91" s="551">
        <f>IFERROR(SUM(Y87:Y89),"0")</f>
        <v>880.2</v>
      </c>
      <c r="Z91" s="37"/>
      <c r="AA91" s="552"/>
      <c r="AB91" s="552"/>
      <c r="AC91" s="552"/>
    </row>
    <row r="92" spans="1:68" ht="14.25" customHeight="1" x14ac:dyDescent="0.25">
      <c r="A92" s="562" t="s">
        <v>73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9" t="s">
        <v>184</v>
      </c>
      <c r="Q93" s="554"/>
      <c r="R93" s="554"/>
      <c r="S93" s="554"/>
      <c r="T93" s="555"/>
      <c r="U93" s="34"/>
      <c r="V93" s="34"/>
      <c r="W93" s="35" t="s">
        <v>69</v>
      </c>
      <c r="X93" s="549">
        <v>140</v>
      </c>
      <c r="Y93" s="550">
        <f>IFERROR(IF(X93="",0,CEILING((X93/$H93),1)*$H93),"")</f>
        <v>145.79999999999998</v>
      </c>
      <c r="Z93" s="36">
        <f>IFERROR(IF(Y93=0,"",ROUNDUP(Y93/H93,0)*0.01898),"")</f>
        <v>0.34164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148.97037037037035</v>
      </c>
      <c r="BN93" s="64">
        <f>IFERROR(Y93*I93/H93,"0")</f>
        <v>155.142</v>
      </c>
      <c r="BO93" s="64">
        <f>IFERROR(1/J93*(X93/H93),"0")</f>
        <v>0.27006172839506176</v>
      </c>
      <c r="BP93" s="64">
        <f>IFERROR(1/J93*(Y93/H93),"0")</f>
        <v>0.28125</v>
      </c>
    </row>
    <row r="94" spans="1:68" ht="27" customHeight="1" x14ac:dyDescent="0.25">
      <c r="A94" s="54" t="s">
        <v>186</v>
      </c>
      <c r="B94" s="54" t="s">
        <v>187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495</v>
      </c>
      <c r="Y95" s="550">
        <f>IFERROR(IF(X95="",0,CEILING((X95/$H95),1)*$H95),"")</f>
        <v>496.8</v>
      </c>
      <c r="Z95" s="36">
        <f>IFERROR(IF(Y95=0,"",ROUNDUP(Y95/H95,0)*0.00651),"")</f>
        <v>1.19784</v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541.19999999999993</v>
      </c>
      <c r="BN95" s="64">
        <f>IFERROR(Y95*I95/H95,"0")</f>
        <v>543.16800000000001</v>
      </c>
      <c r="BO95" s="64">
        <f>IFERROR(1/J95*(X95/H95),"0")</f>
        <v>1.0073260073260073</v>
      </c>
      <c r="BP95" s="64">
        <f>IFERROR(1/J95*(Y95/H95),"0")</f>
        <v>1.0109890109890112</v>
      </c>
    </row>
    <row r="96" spans="1:68" ht="16.5" customHeight="1" x14ac:dyDescent="0.25">
      <c r="A96" s="54" t="s">
        <v>191</v>
      </c>
      <c r="B96" s="54" t="s">
        <v>192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1">
        <f>IFERROR(X93/H93,"0")+IFERROR(X94/H94,"0")+IFERROR(X95/H95,"0")+IFERROR(X96/H96,"0")</f>
        <v>200.61728395061726</v>
      </c>
      <c r="Y97" s="551">
        <f>IFERROR(Y93/H93,"0")+IFERROR(Y94/H94,"0")+IFERROR(Y95/H95,"0")+IFERROR(Y96/H96,"0")</f>
        <v>202</v>
      </c>
      <c r="Z97" s="551">
        <f>IFERROR(IF(Z93="",0,Z93),"0")+IFERROR(IF(Z94="",0,Z94),"0")+IFERROR(IF(Z95="",0,Z95),"0")+IFERROR(IF(Z96="",0,Z96),"0")</f>
        <v>1.53948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1">
        <f>IFERROR(SUM(X93:X96),"0")</f>
        <v>635</v>
      </c>
      <c r="Y98" s="551">
        <f>IFERROR(SUM(Y93:Y96),"0")</f>
        <v>642.6</v>
      </c>
      <c r="Z98" s="37"/>
      <c r="AA98" s="552"/>
      <c r="AB98" s="552"/>
      <c r="AC98" s="552"/>
    </row>
    <row r="99" spans="1:68" ht="16.5" customHeight="1" x14ac:dyDescent="0.25">
      <c r="A99" s="577" t="s">
        <v>194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103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195</v>
      </c>
      <c r="B101" s="54" t="s">
        <v>196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69</v>
      </c>
      <c r="X101" s="549">
        <v>40</v>
      </c>
      <c r="Y101" s="550">
        <f>IFERROR(IF(X101="",0,CEILING((X101/$H101),1)*$H101),"")</f>
        <v>43.2</v>
      </c>
      <c r="Z101" s="36">
        <f>IFERROR(IF(Y101=0,"",ROUNDUP(Y101/H101,0)*0.01898),"")</f>
        <v>7.5920000000000001E-2</v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41.611111111111107</v>
      </c>
      <c r="BN101" s="64">
        <f>IFERROR(Y101*I101/H101,"0")</f>
        <v>44.94</v>
      </c>
      <c r="BO101" s="64">
        <f>IFERROR(1/J101*(X101/H101),"0")</f>
        <v>5.7870370370370364E-2</v>
      </c>
      <c r="BP101" s="64">
        <f>IFERROR(1/J101*(Y101/H101),"0")</f>
        <v>6.25E-2</v>
      </c>
    </row>
    <row r="102" spans="1:68" ht="27" customHeight="1" x14ac:dyDescent="0.25">
      <c r="A102" s="54" t="s">
        <v>198</v>
      </c>
      <c r="B102" s="54" t="s">
        <v>199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360</v>
      </c>
      <c r="Y103" s="550">
        <f>IFERROR(IF(X103="",0,CEILING((X103/$H103),1)*$H103),"")</f>
        <v>360</v>
      </c>
      <c r="Z103" s="36">
        <f>IFERROR(IF(Y103=0,"",ROUNDUP(Y103/H103,0)*0.00902),"")</f>
        <v>0.72160000000000002</v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376.79999999999995</v>
      </c>
      <c r="BN103" s="64">
        <f>IFERROR(Y103*I103/H103,"0")</f>
        <v>376.79999999999995</v>
      </c>
      <c r="BO103" s="64">
        <f>IFERROR(1/J103*(X103/H103),"0")</f>
        <v>0.60606060606060608</v>
      </c>
      <c r="BP103" s="64">
        <f>IFERROR(1/J103*(Y103/H103),"0")</f>
        <v>0.60606060606060608</v>
      </c>
    </row>
    <row r="104" spans="1:68" ht="27" customHeight="1" x14ac:dyDescent="0.25">
      <c r="A104" s="54" t="s">
        <v>202</v>
      </c>
      <c r="B104" s="54" t="s">
        <v>203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197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1">
        <f>IFERROR(X101/H101,"0")+IFERROR(X102/H102,"0")+IFERROR(X103/H103,"0")+IFERROR(X104/H104,"0")</f>
        <v>83.703703703703709</v>
      </c>
      <c r="Y105" s="551">
        <f>IFERROR(Y101/H101,"0")+IFERROR(Y102/H102,"0")+IFERROR(Y103/H103,"0")+IFERROR(Y104/H104,"0")</f>
        <v>84</v>
      </c>
      <c r="Z105" s="551">
        <f>IFERROR(IF(Z101="",0,Z101),"0")+IFERROR(IF(Z102="",0,Z102),"0")+IFERROR(IF(Z103="",0,Z103),"0")+IFERROR(IF(Z104="",0,Z104),"0")</f>
        <v>0.79752000000000001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1">
        <f>IFERROR(SUM(X101:X104),"0")</f>
        <v>400</v>
      </c>
      <c r="Y106" s="551">
        <f>IFERROR(SUM(Y101:Y104),"0")</f>
        <v>403.2</v>
      </c>
      <c r="Z106" s="37"/>
      <c r="AA106" s="552"/>
      <c r="AB106" s="552"/>
      <c r="AC106" s="552"/>
    </row>
    <row r="107" spans="1:68" ht="14.25" customHeight="1" x14ac:dyDescent="0.25">
      <c r="A107" s="562" t="s">
        <v>137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204</v>
      </c>
      <c r="B108" s="54" t="s">
        <v>205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206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206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209</v>
      </c>
      <c r="B110" s="54" t="s">
        <v>210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206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2" t="s">
        <v>73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211</v>
      </c>
      <c r="B114" s="54" t="s">
        <v>212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9">
        <v>600</v>
      </c>
      <c r="Y114" s="550">
        <f>IFERROR(IF(X114="",0,CEILING((X114/$H114),1)*$H114),"")</f>
        <v>607.5</v>
      </c>
      <c r="Z114" s="36">
        <f>IFERROR(IF(Y114=0,"",ROUNDUP(Y114/H114,0)*0.01898),"")</f>
        <v>1.4235</v>
      </c>
      <c r="AA114" s="56"/>
      <c r="AB114" s="57"/>
      <c r="AC114" s="159" t="s">
        <v>213</v>
      </c>
      <c r="AG114" s="64"/>
      <c r="AJ114" s="68"/>
      <c r="AK114" s="68">
        <v>0</v>
      </c>
      <c r="BB114" s="160" t="s">
        <v>1</v>
      </c>
      <c r="BM114" s="64">
        <f>IFERROR(X114*I114/H114,"0")</f>
        <v>637.99999999999989</v>
      </c>
      <c r="BN114" s="64">
        <f>IFERROR(Y114*I114/H114,"0")</f>
        <v>645.97500000000002</v>
      </c>
      <c r="BO114" s="64">
        <f>IFERROR(1/J114*(X114/H114),"0")</f>
        <v>1.1574074074074074</v>
      </c>
      <c r="BP114" s="64">
        <f>IFERROR(1/J114*(Y114/H114),"0")</f>
        <v>1.171875</v>
      </c>
    </row>
    <row r="115" spans="1:68" ht="27" customHeight="1" x14ac:dyDescent="0.25">
      <c r="A115" s="54" t="s">
        <v>214</v>
      </c>
      <c r="B115" s="54" t="s">
        <v>215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213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216</v>
      </c>
      <c r="B116" s="54" t="s">
        <v>217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450</v>
      </c>
      <c r="Y116" s="550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customHeight="1" x14ac:dyDescent="0.25">
      <c r="A117" s="54" t="s">
        <v>218</v>
      </c>
      <c r="B117" s="54" t="s">
        <v>219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90</v>
      </c>
      <c r="Y117" s="550">
        <f>IFERROR(IF(X117="",0,CEILING((X117/$H117),1)*$H117),"")</f>
        <v>90</v>
      </c>
      <c r="Z117" s="36">
        <f>IFERROR(IF(Y117=0,"",ROUNDUP(Y117/H117,0)*0.00651),"")</f>
        <v>0.32550000000000001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98.999999999999986</v>
      </c>
      <c r="BN117" s="64">
        <f>IFERROR(Y117*I117/H117,"0")</f>
        <v>98.999999999999986</v>
      </c>
      <c r="BO117" s="64">
        <f>IFERROR(1/J117*(X117/H117),"0")</f>
        <v>0.27472527472527475</v>
      </c>
      <c r="BP117" s="64">
        <f>IFERROR(1/J117*(Y117/H117),"0")</f>
        <v>0.27472527472527475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1">
        <f>IFERROR(X114/H114,"0")+IFERROR(X115/H115,"0")+IFERROR(X116/H116,"0")+IFERROR(X117/H117,"0")</f>
        <v>290.74074074074076</v>
      </c>
      <c r="Y118" s="551">
        <f>IFERROR(Y114/H114,"0")+IFERROR(Y115/H115,"0")+IFERROR(Y116/H116,"0")+IFERROR(Y117/H117,"0")</f>
        <v>292</v>
      </c>
      <c r="Z118" s="551">
        <f>IFERROR(IF(Z114="",0,Z114),"0")+IFERROR(IF(Z115="",0,Z115),"0")+IFERROR(IF(Z116="",0,Z116),"0")+IFERROR(IF(Z117="",0,Z117),"0")</f>
        <v>2.8361700000000001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1">
        <f>IFERROR(SUM(X114:X117),"0")</f>
        <v>1140</v>
      </c>
      <c r="Y119" s="551">
        <f>IFERROR(SUM(Y114:Y117),"0")</f>
        <v>1148.4000000000001</v>
      </c>
      <c r="Z119" s="37"/>
      <c r="AA119" s="552"/>
      <c r="AB119" s="552"/>
      <c r="AC119" s="552"/>
    </row>
    <row r="120" spans="1:68" ht="14.25" customHeight="1" x14ac:dyDescent="0.25">
      <c r="A120" s="562" t="s">
        <v>167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221</v>
      </c>
      <c r="B121" s="54" t="s">
        <v>222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223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224</v>
      </c>
      <c r="B122" s="54" t="s">
        <v>225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16.5</v>
      </c>
      <c r="Y122" s="550">
        <f>IFERROR(IF(X122="",0,CEILING((X122/$H122),1)*$H122),"")</f>
        <v>17.82</v>
      </c>
      <c r="Z122" s="36">
        <f>IFERROR(IF(Y122=0,"",ROUNDUP(Y122/H122,0)*0.00651),"")</f>
        <v>5.8590000000000003E-2</v>
      </c>
      <c r="AA122" s="56"/>
      <c r="AB122" s="57"/>
      <c r="AC122" s="169" t="s">
        <v>226</v>
      </c>
      <c r="AG122" s="64"/>
      <c r="AJ122" s="68"/>
      <c r="AK122" s="68">
        <v>0</v>
      </c>
      <c r="BB122" s="170" t="s">
        <v>1</v>
      </c>
      <c r="BM122" s="64">
        <f>IFERROR(X122*I122/H122,"0")</f>
        <v>18.649999999999999</v>
      </c>
      <c r="BN122" s="64">
        <f>IFERROR(Y122*I122/H122,"0")</f>
        <v>20.141999999999999</v>
      </c>
      <c r="BO122" s="64">
        <f>IFERROR(1/J122*(X122/H122),"0")</f>
        <v>4.5787545787545791E-2</v>
      </c>
      <c r="BP122" s="64">
        <f>IFERROR(1/J122*(Y122/H122),"0")</f>
        <v>4.9450549450549455E-2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1">
        <f>IFERROR(X121/H121,"0")+IFERROR(X122/H122,"0")</f>
        <v>8.3333333333333339</v>
      </c>
      <c r="Y123" s="551">
        <f>IFERROR(Y121/H121,"0")+IFERROR(Y122/H122,"0")</f>
        <v>9</v>
      </c>
      <c r="Z123" s="551">
        <f>IFERROR(IF(Z121="",0,Z121),"0")+IFERROR(IF(Z122="",0,Z122),"0")</f>
        <v>5.8590000000000003E-2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1">
        <f>IFERROR(SUM(X121:X122),"0")</f>
        <v>16.5</v>
      </c>
      <c r="Y124" s="551">
        <f>IFERROR(SUM(Y121:Y122),"0")</f>
        <v>17.82</v>
      </c>
      <c r="Z124" s="37"/>
      <c r="AA124" s="552"/>
      <c r="AB124" s="552"/>
      <c r="AC124" s="552"/>
    </row>
    <row r="125" spans="1:68" ht="16.5" customHeight="1" x14ac:dyDescent="0.25">
      <c r="A125" s="577" t="s">
        <v>227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103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228</v>
      </c>
      <c r="B127" s="54" t="s">
        <v>229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69</v>
      </c>
      <c r="X127" s="549">
        <v>68</v>
      </c>
      <c r="Y127" s="550">
        <f>IFERROR(IF(X127="",0,CEILING((X127/$H127),1)*$H127),"")</f>
        <v>70.400000000000006</v>
      </c>
      <c r="Z127" s="36">
        <f>IFERROR(IF(Y127=0,"",ROUNDUP(Y127/H127,0)*0.00651),"")</f>
        <v>0.14322000000000001</v>
      </c>
      <c r="AA127" s="56"/>
      <c r="AB127" s="57"/>
      <c r="AC127" s="171" t="s">
        <v>230</v>
      </c>
      <c r="AG127" s="64"/>
      <c r="AJ127" s="68"/>
      <c r="AK127" s="68">
        <v>0</v>
      </c>
      <c r="BB127" s="172" t="s">
        <v>1</v>
      </c>
      <c r="BM127" s="64">
        <f>IFERROR(X127*I127/H127,"0")</f>
        <v>71.825000000000003</v>
      </c>
      <c r="BN127" s="64">
        <f>IFERROR(Y127*I127/H127,"0")</f>
        <v>74.36</v>
      </c>
      <c r="BO127" s="64">
        <f>IFERROR(1/J127*(X127/H127),"0")</f>
        <v>0.11675824175824177</v>
      </c>
      <c r="BP127" s="64">
        <f>IFERROR(1/J127*(Y127/H127),"0")</f>
        <v>0.12087912087912089</v>
      </c>
    </row>
    <row r="128" spans="1:68" ht="27" customHeight="1" x14ac:dyDescent="0.25">
      <c r="A128" s="54" t="s">
        <v>228</v>
      </c>
      <c r="B128" s="54" t="s">
        <v>231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230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1">
        <f>IFERROR(X127/H127,"0")+IFERROR(X128/H128,"0")</f>
        <v>21.25</v>
      </c>
      <c r="Y129" s="551">
        <f>IFERROR(Y127/H127,"0")+IFERROR(Y128/H128,"0")</f>
        <v>22</v>
      </c>
      <c r="Z129" s="551">
        <f>IFERROR(IF(Z127="",0,Z127),"0")+IFERROR(IF(Z128="",0,Z128),"0")</f>
        <v>0.14322000000000001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1">
        <f>IFERROR(SUM(X127:X128),"0")</f>
        <v>68</v>
      </c>
      <c r="Y130" s="551">
        <f>IFERROR(SUM(Y127:Y128),"0")</f>
        <v>70.400000000000006</v>
      </c>
      <c r="Z130" s="37"/>
      <c r="AA130" s="552"/>
      <c r="AB130" s="552"/>
      <c r="AC130" s="552"/>
    </row>
    <row r="131" spans="1:68" ht="14.25" customHeight="1" x14ac:dyDescent="0.25">
      <c r="A131" s="562" t="s">
        <v>64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232</v>
      </c>
      <c r="B132" s="54" t="s">
        <v>233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234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232</v>
      </c>
      <c r="B133" s="54" t="s">
        <v>235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52.5</v>
      </c>
      <c r="Y133" s="550">
        <f>IFERROR(IF(X133="",0,CEILING((X133/$H133),1)*$H133),"")</f>
        <v>53.199999999999996</v>
      </c>
      <c r="Z133" s="36">
        <f>IFERROR(IF(Y133=0,"",ROUNDUP(Y133/H133,0)*0.00651),"")</f>
        <v>0.12369000000000001</v>
      </c>
      <c r="AA133" s="56"/>
      <c r="AB133" s="57"/>
      <c r="AC133" s="177" t="s">
        <v>234</v>
      </c>
      <c r="AG133" s="64"/>
      <c r="AJ133" s="68"/>
      <c r="AK133" s="68">
        <v>0</v>
      </c>
      <c r="BB133" s="178" t="s">
        <v>1</v>
      </c>
      <c r="BM133" s="64">
        <f>IFERROR(X133*I133/H133,"0")</f>
        <v>57.524999999999999</v>
      </c>
      <c r="BN133" s="64">
        <f>IFERROR(Y133*I133/H133,"0")</f>
        <v>58.291999999999994</v>
      </c>
      <c r="BO133" s="64">
        <f>IFERROR(1/J133*(X133/H133),"0")</f>
        <v>0.10302197802197803</v>
      </c>
      <c r="BP133" s="64">
        <f>IFERROR(1/J133*(Y133/H133),"0")</f>
        <v>0.1043956043956044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1">
        <f>IFERROR(X132/H132,"0")+IFERROR(X133/H133,"0")</f>
        <v>18.75</v>
      </c>
      <c r="Y134" s="551">
        <f>IFERROR(Y132/H132,"0")+IFERROR(Y133/H133,"0")</f>
        <v>19</v>
      </c>
      <c r="Z134" s="551">
        <f>IFERROR(IF(Z132="",0,Z132),"0")+IFERROR(IF(Z133="",0,Z133),"0")</f>
        <v>0.12369000000000001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1">
        <f>IFERROR(SUM(X132:X133),"0")</f>
        <v>52.5</v>
      </c>
      <c r="Y135" s="551">
        <f>IFERROR(SUM(Y132:Y133),"0")</f>
        <v>53.199999999999996</v>
      </c>
      <c r="Z135" s="37"/>
      <c r="AA135" s="552"/>
      <c r="AB135" s="552"/>
      <c r="AC135" s="552"/>
    </row>
    <row r="136" spans="1:68" ht="14.25" customHeight="1" x14ac:dyDescent="0.25">
      <c r="A136" s="562" t="s">
        <v>73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236</v>
      </c>
      <c r="B137" s="54" t="s">
        <v>237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230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236</v>
      </c>
      <c r="B138" s="54" t="s">
        <v>238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56.1</v>
      </c>
      <c r="Y138" s="550">
        <f>IFERROR(IF(X138="",0,CEILING((X138/$H138),1)*$H138),"")</f>
        <v>58.080000000000005</v>
      </c>
      <c r="Z138" s="36">
        <f>IFERROR(IF(Y138=0,"",ROUNDUP(Y138/H138,0)*0.00651),"")</f>
        <v>0.14322000000000001</v>
      </c>
      <c r="AA138" s="56"/>
      <c r="AB138" s="57"/>
      <c r="AC138" s="181" t="s">
        <v>230</v>
      </c>
      <c r="AG138" s="64"/>
      <c r="AJ138" s="68"/>
      <c r="AK138" s="68">
        <v>0</v>
      </c>
      <c r="BB138" s="182" t="s">
        <v>1</v>
      </c>
      <c r="BM138" s="64">
        <f>IFERROR(X138*I138/H138,"0")</f>
        <v>61.795000000000002</v>
      </c>
      <c r="BN138" s="64">
        <f>IFERROR(Y138*I138/H138,"0")</f>
        <v>63.976000000000006</v>
      </c>
      <c r="BO138" s="64">
        <f>IFERROR(1/J138*(X138/H138),"0")</f>
        <v>0.11675824175824177</v>
      </c>
      <c r="BP138" s="64">
        <f>IFERROR(1/J138*(Y138/H138),"0")</f>
        <v>0.12087912087912089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1">
        <f>IFERROR(X137/H137,"0")+IFERROR(X138/H138,"0")</f>
        <v>21.25</v>
      </c>
      <c r="Y139" s="551">
        <f>IFERROR(Y137/H137,"0")+IFERROR(Y138/H138,"0")</f>
        <v>22</v>
      </c>
      <c r="Z139" s="551">
        <f>IFERROR(IF(Z137="",0,Z137),"0")+IFERROR(IF(Z138="",0,Z138),"0")</f>
        <v>0.14322000000000001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1">
        <f>IFERROR(SUM(X137:X138),"0")</f>
        <v>56.1</v>
      </c>
      <c r="Y140" s="551">
        <f>IFERROR(SUM(Y137:Y138),"0")</f>
        <v>58.080000000000005</v>
      </c>
      <c r="Z140" s="37"/>
      <c r="AA140" s="552"/>
      <c r="AB140" s="552"/>
      <c r="AC140" s="552"/>
    </row>
    <row r="141" spans="1:68" ht="16.5" customHeight="1" x14ac:dyDescent="0.25">
      <c r="A141" s="577" t="s">
        <v>101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103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239</v>
      </c>
      <c r="B143" s="54" t="s">
        <v>240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241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64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242</v>
      </c>
      <c r="B147" s="54" t="s">
        <v>243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245</v>
      </c>
      <c r="B148" s="54" t="s">
        <v>246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248</v>
      </c>
      <c r="B149" s="54" t="s">
        <v>249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250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251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252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137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253</v>
      </c>
      <c r="B155" s="54" t="s">
        <v>254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255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64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256</v>
      </c>
      <c r="B159" s="54" t="s">
        <v>257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69</v>
      </c>
      <c r="X159" s="549">
        <v>80</v>
      </c>
      <c r="Y159" s="550">
        <f t="shared" ref="Y159:Y167" si="11">IFERROR(IF(X159="",0,CEILING((X159/$H159),1)*$H159),"")</f>
        <v>84</v>
      </c>
      <c r="Z159" s="36">
        <f>IFERROR(IF(Y159=0,"",ROUNDUP(Y159/H159,0)*0.00902),"")</f>
        <v>0.1804</v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85.142857142857125</v>
      </c>
      <c r="BN159" s="64">
        <f t="shared" ref="BN159:BN167" si="13">IFERROR(Y159*I159/H159,"0")</f>
        <v>89.399999999999991</v>
      </c>
      <c r="BO159" s="64">
        <f t="shared" ref="BO159:BO167" si="14">IFERROR(1/J159*(X159/H159),"0")</f>
        <v>0.14430014430014429</v>
      </c>
      <c r="BP159" s="64">
        <f t="shared" ref="BP159:BP167" si="15">IFERROR(1/J159*(Y159/H159),"0")</f>
        <v>0.15151515151515152</v>
      </c>
    </row>
    <row r="160" spans="1:68" ht="27" customHeight="1" x14ac:dyDescent="0.25">
      <c r="A160" s="54" t="s">
        <v>259</v>
      </c>
      <c r="B160" s="54" t="s">
        <v>260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200</v>
      </c>
      <c r="Y161" s="550">
        <f t="shared" si="11"/>
        <v>201.60000000000002</v>
      </c>
      <c r="Z161" s="36">
        <f>IFERROR(IF(Y161=0,"",ROUNDUP(Y161/H161,0)*0.00902),"")</f>
        <v>0.43296000000000001</v>
      </c>
      <c r="AA161" s="56"/>
      <c r="AB161" s="57"/>
      <c r="AC161" s="197" t="s">
        <v>264</v>
      </c>
      <c r="AG161" s="64"/>
      <c r="AJ161" s="68"/>
      <c r="AK161" s="68">
        <v>0</v>
      </c>
      <c r="BB161" s="198" t="s">
        <v>1</v>
      </c>
      <c r="BM161" s="64">
        <f t="shared" si="12"/>
        <v>210</v>
      </c>
      <c r="BN161" s="64">
        <f t="shared" si="13"/>
        <v>211.68000000000004</v>
      </c>
      <c r="BO161" s="64">
        <f t="shared" si="14"/>
        <v>0.36075036075036077</v>
      </c>
      <c r="BP161" s="64">
        <f t="shared" si="15"/>
        <v>0.36363636363636365</v>
      </c>
    </row>
    <row r="162" spans="1:68" ht="27" customHeight="1" x14ac:dyDescent="0.25">
      <c r="A162" s="54" t="s">
        <v>265</v>
      </c>
      <c r="B162" s="54" t="s">
        <v>266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87.5</v>
      </c>
      <c r="Y162" s="550">
        <f t="shared" si="11"/>
        <v>88.2</v>
      </c>
      <c r="Z162" s="36">
        <f>IFERROR(IF(Y162=0,"",ROUNDUP(Y162/H162,0)*0.00502),"")</f>
        <v>0.21084</v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12"/>
        <v>92.916666666666657</v>
      </c>
      <c r="BN162" s="64">
        <f t="shared" si="13"/>
        <v>93.66</v>
      </c>
      <c r="BO162" s="64">
        <f t="shared" si="14"/>
        <v>0.17806267806267806</v>
      </c>
      <c r="BP162" s="64">
        <f t="shared" si="15"/>
        <v>0.17948717948717952</v>
      </c>
    </row>
    <row r="163" spans="1:68" ht="27" customHeight="1" x14ac:dyDescent="0.25">
      <c r="A163" s="54" t="s">
        <v>267</v>
      </c>
      <c r="B163" s="54" t="s">
        <v>268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122.5</v>
      </c>
      <c r="Y163" s="550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261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customHeight="1" x14ac:dyDescent="0.25">
      <c r="A164" s="54" t="s">
        <v>269</v>
      </c>
      <c r="B164" s="54" t="s">
        <v>270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272</v>
      </c>
      <c r="B165" s="54" t="s">
        <v>273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210</v>
      </c>
      <c r="Y165" s="550">
        <f t="shared" si="11"/>
        <v>210</v>
      </c>
      <c r="Z165" s="36">
        <f>IFERROR(IF(Y165=0,"",ROUNDUP(Y165/H165,0)*0.00502),"")</f>
        <v>0.502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2"/>
        <v>220.00000000000003</v>
      </c>
      <c r="BN165" s="64">
        <f t="shared" si="13"/>
        <v>220.00000000000003</v>
      </c>
      <c r="BO165" s="64">
        <f t="shared" si="14"/>
        <v>0.42735042735042739</v>
      </c>
      <c r="BP165" s="64">
        <f t="shared" si="15"/>
        <v>0.42735042735042739</v>
      </c>
    </row>
    <row r="166" spans="1:68" ht="27" customHeight="1" x14ac:dyDescent="0.25">
      <c r="A166" s="54" t="s">
        <v>274</v>
      </c>
      <c r="B166" s="54" t="s">
        <v>275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266.66666666666669</v>
      </c>
      <c r="Y168" s="551">
        <f>IFERROR(Y159/H159,"0")+IFERROR(Y160/H160,"0")+IFERROR(Y161/H161,"0")+IFERROR(Y162/H162,"0")+IFERROR(Y163/H163,"0")+IFERROR(Y164/H164,"0")+IFERROR(Y165/H165,"0")+IFERROR(Y166/H166,"0")+IFERROR(Y167/H167,"0")</f>
        <v>269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1.6223799999999999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1">
        <f>IFERROR(SUM(X159:X167),"0")</f>
        <v>700</v>
      </c>
      <c r="Y169" s="551">
        <f>IFERROR(SUM(Y159:Y167),"0")</f>
        <v>707.7</v>
      </c>
      <c r="Z169" s="37"/>
      <c r="AA169" s="552"/>
      <c r="AB169" s="552"/>
      <c r="AC169" s="552"/>
    </row>
    <row r="170" spans="1:68" ht="14.25" customHeight="1" x14ac:dyDescent="0.25">
      <c r="A170" s="562" t="s">
        <v>95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279</v>
      </c>
      <c r="B171" s="54" t="s">
        <v>280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9">
        <v>7.0000000000000009</v>
      </c>
      <c r="Y171" s="550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284</v>
      </c>
      <c r="B172" s="54" t="s">
        <v>285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287</v>
      </c>
      <c r="B173" s="54" t="s">
        <v>288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281</v>
      </c>
      <c r="L173" s="32"/>
      <c r="M173" s="33" t="s">
        <v>282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14</v>
      </c>
      <c r="Y173" s="550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286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1">
        <f>IFERROR(X171/H171,"0")+IFERROR(X172/H172,"0")+IFERROR(X173/H173,"0")</f>
        <v>16.666666666666668</v>
      </c>
      <c r="Y174" s="551">
        <f>IFERROR(Y171/H171,"0")+IFERROR(Y172/H172,"0")+IFERROR(Y173/H173,"0")</f>
        <v>18</v>
      </c>
      <c r="Z174" s="551">
        <f>IFERROR(IF(Z171="",0,Z171),"0")+IFERROR(IF(Z172="",0,Z172),"0")+IFERROR(IF(Z173="",0,Z173),"0")</f>
        <v>0.1062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1">
        <f>IFERROR(SUM(X171:X173),"0")</f>
        <v>21</v>
      </c>
      <c r="Y175" s="551">
        <f>IFERROR(SUM(Y171:Y173),"0")</f>
        <v>22.68</v>
      </c>
      <c r="Z175" s="37"/>
      <c r="AA175" s="552"/>
      <c r="AB175" s="552"/>
      <c r="AC175" s="552"/>
    </row>
    <row r="176" spans="1:68" ht="14.25" customHeight="1" x14ac:dyDescent="0.25">
      <c r="A176" s="562" t="s">
        <v>289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290</v>
      </c>
      <c r="B177" s="54" t="s">
        <v>291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281</v>
      </c>
      <c r="L177" s="32"/>
      <c r="M177" s="33" t="s">
        <v>282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69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286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292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103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293</v>
      </c>
      <c r="B182" s="54" t="s">
        <v>294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296</v>
      </c>
      <c r="B183" s="54" t="s">
        <v>297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295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137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298</v>
      </c>
      <c r="B187" s="54" t="s">
        <v>299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301</v>
      </c>
      <c r="B188" s="54" t="s">
        <v>302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300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64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303</v>
      </c>
      <c r="B192" s="54" t="s">
        <v>304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9">
        <v>130</v>
      </c>
      <c r="Y192" s="550">
        <f t="shared" ref="Y192:Y199" si="16">IFERROR(IF(X192="",0,CEILING((X192/$H192),1)*$H192),"")</f>
        <v>135</v>
      </c>
      <c r="Z192" s="36">
        <f>IFERROR(IF(Y192=0,"",ROUNDUP(Y192/H192,0)*0.00902),"")</f>
        <v>0.22550000000000001</v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135.05555555555557</v>
      </c>
      <c r="BN192" s="64">
        <f t="shared" ref="BN192:BN199" si="18">IFERROR(Y192*I192/H192,"0")</f>
        <v>140.25</v>
      </c>
      <c r="BO192" s="64">
        <f t="shared" ref="BO192:BO199" si="19">IFERROR(1/J192*(X192/H192),"0")</f>
        <v>0.18237934904601572</v>
      </c>
      <c r="BP192" s="64">
        <f t="shared" ref="BP192:BP199" si="20">IFERROR(1/J192*(Y192/H192),"0")</f>
        <v>0.18939393939393939</v>
      </c>
    </row>
    <row r="193" spans="1:68" ht="27" customHeight="1" x14ac:dyDescent="0.25">
      <c r="A193" s="54" t="s">
        <v>306</v>
      </c>
      <c r="B193" s="54" t="s">
        <v>307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30</v>
      </c>
      <c r="Y193" s="550">
        <f t="shared" si="16"/>
        <v>32.400000000000006</v>
      </c>
      <c r="Z193" s="36">
        <f>IFERROR(IF(Y193=0,"",ROUNDUP(Y193/H193,0)*0.00902),"")</f>
        <v>5.4120000000000001E-2</v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7"/>
        <v>31.166666666666668</v>
      </c>
      <c r="BN193" s="64">
        <f t="shared" si="18"/>
        <v>33.660000000000004</v>
      </c>
      <c r="BO193" s="64">
        <f t="shared" si="19"/>
        <v>4.208754208754209E-2</v>
      </c>
      <c r="BP193" s="64">
        <f t="shared" si="20"/>
        <v>4.5454545454545463E-2</v>
      </c>
    </row>
    <row r="194" spans="1:68" ht="27" customHeight="1" x14ac:dyDescent="0.25">
      <c r="A194" s="54" t="s">
        <v>309</v>
      </c>
      <c r="B194" s="54" t="s">
        <v>310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300</v>
      </c>
      <c r="Y194" s="550">
        <f t="shared" si="16"/>
        <v>302.40000000000003</v>
      </c>
      <c r="Z194" s="36">
        <f>IFERROR(IF(Y194=0,"",ROUNDUP(Y194/H194,0)*0.00902),"")</f>
        <v>0.50512000000000001</v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7"/>
        <v>311.66666666666663</v>
      </c>
      <c r="BN194" s="64">
        <f t="shared" si="18"/>
        <v>314.16000000000003</v>
      </c>
      <c r="BO194" s="64">
        <f t="shared" si="19"/>
        <v>0.42087542087542085</v>
      </c>
      <c r="BP194" s="64">
        <f t="shared" si="20"/>
        <v>0.42424242424242425</v>
      </c>
    </row>
    <row r="195" spans="1:68" ht="27" customHeight="1" x14ac:dyDescent="0.25">
      <c r="A195" s="54" t="s">
        <v>312</v>
      </c>
      <c r="B195" s="54" t="s">
        <v>313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50</v>
      </c>
      <c r="Y195" s="550">
        <f t="shared" si="16"/>
        <v>54</v>
      </c>
      <c r="Z195" s="36">
        <f>IFERROR(IF(Y195=0,"",ROUNDUP(Y195/H195,0)*0.00902),"")</f>
        <v>9.0200000000000002E-2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si="17"/>
        <v>51.944444444444443</v>
      </c>
      <c r="BN195" s="64">
        <f t="shared" si="18"/>
        <v>56.099999999999994</v>
      </c>
      <c r="BO195" s="64">
        <f t="shared" si="19"/>
        <v>7.0145903479236812E-2</v>
      </c>
      <c r="BP195" s="64">
        <f t="shared" si="20"/>
        <v>7.575757575757576E-2</v>
      </c>
    </row>
    <row r="196" spans="1:68" ht="27" customHeight="1" x14ac:dyDescent="0.25">
      <c r="A196" s="54" t="s">
        <v>315</v>
      </c>
      <c r="B196" s="54" t="s">
        <v>316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120</v>
      </c>
      <c r="Y196" s="550">
        <f t="shared" si="16"/>
        <v>120.60000000000001</v>
      </c>
      <c r="Z196" s="36">
        <f>IFERROR(IF(Y196=0,"",ROUNDUP(Y196/H196,0)*0.00502),"")</f>
        <v>0.33634000000000003</v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7"/>
        <v>128.66666666666666</v>
      </c>
      <c r="BN196" s="64">
        <f t="shared" si="18"/>
        <v>129.31</v>
      </c>
      <c r="BO196" s="64">
        <f t="shared" si="19"/>
        <v>0.28490028490028496</v>
      </c>
      <c r="BP196" s="64">
        <f t="shared" si="20"/>
        <v>0.28632478632478636</v>
      </c>
    </row>
    <row r="197" spans="1:68" ht="27" customHeight="1" x14ac:dyDescent="0.25">
      <c r="A197" s="54" t="s">
        <v>317</v>
      </c>
      <c r="B197" s="54" t="s">
        <v>318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60</v>
      </c>
      <c r="Y197" s="550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7"/>
        <v>63.333333333333329</v>
      </c>
      <c r="BN197" s="64">
        <f t="shared" si="18"/>
        <v>64.599999999999994</v>
      </c>
      <c r="BO197" s="64">
        <f t="shared" si="19"/>
        <v>0.14245014245014248</v>
      </c>
      <c r="BP197" s="64">
        <f t="shared" si="20"/>
        <v>0.14529914529914531</v>
      </c>
    </row>
    <row r="198" spans="1:68" ht="27" customHeight="1" x14ac:dyDescent="0.25">
      <c r="A198" s="54" t="s">
        <v>319</v>
      </c>
      <c r="B198" s="54" t="s">
        <v>320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84</v>
      </c>
      <c r="Y198" s="550">
        <f t="shared" si="16"/>
        <v>84.600000000000009</v>
      </c>
      <c r="Z198" s="36">
        <f>IFERROR(IF(Y198=0,"",ROUNDUP(Y198/H198,0)*0.00502),"")</f>
        <v>0.23594000000000001</v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7"/>
        <v>88.666666666666657</v>
      </c>
      <c r="BN198" s="64">
        <f t="shared" si="18"/>
        <v>89.3</v>
      </c>
      <c r="BO198" s="64">
        <f t="shared" si="19"/>
        <v>0.19943019943019943</v>
      </c>
      <c r="BP198" s="64">
        <f t="shared" si="20"/>
        <v>0.20085470085470092</v>
      </c>
    </row>
    <row r="199" spans="1:68" ht="27" customHeight="1" x14ac:dyDescent="0.25">
      <c r="A199" s="54" t="s">
        <v>321</v>
      </c>
      <c r="B199" s="54" t="s">
        <v>322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60</v>
      </c>
      <c r="Y199" s="550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17"/>
        <v>63.333333333333329</v>
      </c>
      <c r="BN199" s="64">
        <f t="shared" si="18"/>
        <v>64.599999999999994</v>
      </c>
      <c r="BO199" s="64">
        <f t="shared" si="19"/>
        <v>0.14245014245014248</v>
      </c>
      <c r="BP199" s="64">
        <f t="shared" si="20"/>
        <v>0.14529914529914531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274.4444444444444</v>
      </c>
      <c r="Y200" s="551">
        <f>IFERROR(Y192/H192,"0")+IFERROR(Y193/H193,"0")+IFERROR(Y194/H194,"0")+IFERROR(Y195/H195,"0")+IFERROR(Y196/H196,"0")+IFERROR(Y197/H197,"0")+IFERROR(Y198/H198,"0")+IFERROR(Y199/H199,"0")</f>
        <v>279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1.7885800000000001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1">
        <f>IFERROR(SUM(X192:X199),"0")</f>
        <v>834</v>
      </c>
      <c r="Y201" s="551">
        <f>IFERROR(SUM(Y192:Y199),"0")</f>
        <v>851.4000000000002</v>
      </c>
      <c r="Z201" s="37"/>
      <c r="AA201" s="552"/>
      <c r="AB201" s="552"/>
      <c r="AC201" s="552"/>
    </row>
    <row r="202" spans="1:68" ht="14.25" customHeight="1" x14ac:dyDescent="0.25">
      <c r="A202" s="562" t="s">
        <v>73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323</v>
      </c>
      <c r="B203" s="54" t="s">
        <v>324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325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328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329</v>
      </c>
      <c r="B205" s="54" t="s">
        <v>330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290</v>
      </c>
      <c r="Y205" s="550">
        <f t="shared" si="21"/>
        <v>295.79999999999995</v>
      </c>
      <c r="Z205" s="36">
        <f>IFERROR(IF(Y205=0,"",ROUNDUP(Y205/H205,0)*0.01898),"")</f>
        <v>0.64532</v>
      </c>
      <c r="AA205" s="56"/>
      <c r="AB205" s="57"/>
      <c r="AC205" s="247" t="s">
        <v>331</v>
      </c>
      <c r="AG205" s="64"/>
      <c r="AJ205" s="68"/>
      <c r="AK205" s="68">
        <v>0</v>
      </c>
      <c r="BB205" s="248" t="s">
        <v>1</v>
      </c>
      <c r="BM205" s="64">
        <f t="shared" si="22"/>
        <v>307.3</v>
      </c>
      <c r="BN205" s="64">
        <f t="shared" si="23"/>
        <v>313.44599999999997</v>
      </c>
      <c r="BO205" s="64">
        <f t="shared" si="24"/>
        <v>0.52083333333333337</v>
      </c>
      <c r="BP205" s="64">
        <f t="shared" si="25"/>
        <v>0.53125</v>
      </c>
    </row>
    <row r="206" spans="1:68" ht="27" customHeight="1" x14ac:dyDescent="0.25">
      <c r="A206" s="54" t="s">
        <v>332</v>
      </c>
      <c r="B206" s="54" t="s">
        <v>333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280</v>
      </c>
      <c r="Y206" s="550">
        <f t="shared" si="21"/>
        <v>280.8</v>
      </c>
      <c r="Z206" s="36">
        <f t="shared" ref="Z206:Z211" si="26">IFERROR(IF(Y206=0,"",ROUNDUP(Y206/H206,0)*0.00651),"")</f>
        <v>0.76167000000000007</v>
      </c>
      <c r="AA206" s="56"/>
      <c r="AB206" s="57"/>
      <c r="AC206" s="249" t="s">
        <v>325</v>
      </c>
      <c r="AG206" s="64"/>
      <c r="AJ206" s="68"/>
      <c r="AK206" s="68">
        <v>0</v>
      </c>
      <c r="BB206" s="250" t="s">
        <v>1</v>
      </c>
      <c r="BM206" s="64">
        <f t="shared" si="22"/>
        <v>311.5</v>
      </c>
      <c r="BN206" s="64">
        <f t="shared" si="23"/>
        <v>312.39</v>
      </c>
      <c r="BO206" s="64">
        <f t="shared" si="24"/>
        <v>0.64102564102564108</v>
      </c>
      <c r="BP206" s="64">
        <f t="shared" si="25"/>
        <v>0.64285714285714302</v>
      </c>
    </row>
    <row r="207" spans="1:68" ht="27" customHeight="1" x14ac:dyDescent="0.25">
      <c r="A207" s="54" t="s">
        <v>334</v>
      </c>
      <c r="B207" s="54" t="s">
        <v>335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240</v>
      </c>
      <c r="Y208" s="550">
        <f t="shared" si="21"/>
        <v>240</v>
      </c>
      <c r="Z208" s="36">
        <f t="shared" si="26"/>
        <v>0.65100000000000002</v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22"/>
        <v>265.20000000000005</v>
      </c>
      <c r="BN208" s="64">
        <f t="shared" si="23"/>
        <v>265.20000000000005</v>
      </c>
      <c r="BO208" s="64">
        <f t="shared" si="24"/>
        <v>0.5494505494505495</v>
      </c>
      <c r="BP208" s="64">
        <f t="shared" si="25"/>
        <v>0.5494505494505495</v>
      </c>
    </row>
    <row r="209" spans="1:68" ht="27" customHeight="1" x14ac:dyDescent="0.25">
      <c r="A209" s="54" t="s">
        <v>339</v>
      </c>
      <c r="B209" s="54" t="s">
        <v>340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120</v>
      </c>
      <c r="Y210" s="550">
        <f t="shared" si="21"/>
        <v>120</v>
      </c>
      <c r="Z210" s="36">
        <f t="shared" si="26"/>
        <v>0.32550000000000001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2"/>
        <v>132.60000000000002</v>
      </c>
      <c r="BN210" s="64">
        <f t="shared" si="23"/>
        <v>132.60000000000002</v>
      </c>
      <c r="BO210" s="64">
        <f t="shared" si="24"/>
        <v>0.27472527472527475</v>
      </c>
      <c r="BP210" s="64">
        <f t="shared" si="25"/>
        <v>0.27472527472527475</v>
      </c>
    </row>
    <row r="211" spans="1:68" ht="27" customHeight="1" x14ac:dyDescent="0.25">
      <c r="A211" s="54" t="s">
        <v>344</v>
      </c>
      <c r="B211" s="54" t="s">
        <v>345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260</v>
      </c>
      <c r="Y211" s="550">
        <f t="shared" si="21"/>
        <v>261.59999999999997</v>
      </c>
      <c r="Z211" s="36">
        <f t="shared" si="26"/>
        <v>0.70959000000000005</v>
      </c>
      <c r="AA211" s="56"/>
      <c r="AB211" s="57"/>
      <c r="AC211" s="259" t="s">
        <v>328</v>
      </c>
      <c r="AG211" s="64"/>
      <c r="AJ211" s="68"/>
      <c r="AK211" s="68">
        <v>0</v>
      </c>
      <c r="BB211" s="260" t="s">
        <v>1</v>
      </c>
      <c r="BM211" s="64">
        <f t="shared" si="22"/>
        <v>287.95</v>
      </c>
      <c r="BN211" s="64">
        <f t="shared" si="23"/>
        <v>289.72199999999998</v>
      </c>
      <c r="BO211" s="64">
        <f t="shared" si="24"/>
        <v>0.59523809523809534</v>
      </c>
      <c r="BP211" s="64">
        <f t="shared" si="25"/>
        <v>0.59890109890109888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408.33333333333337</v>
      </c>
      <c r="Y212" s="551">
        <f>IFERROR(Y203/H203,"0")+IFERROR(Y204/H204,"0")+IFERROR(Y205/H205,"0")+IFERROR(Y206/H206,"0")+IFERROR(Y207/H207,"0")+IFERROR(Y208/H208,"0")+IFERROR(Y209/H209,"0")+IFERROR(Y210/H210,"0")+IFERROR(Y211/H211,"0")</f>
        <v>410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3.0930800000000001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1">
        <f>IFERROR(SUM(X203:X211),"0")</f>
        <v>1190</v>
      </c>
      <c r="Y213" s="551">
        <f>IFERROR(SUM(Y203:Y211),"0")</f>
        <v>1198.1999999999998</v>
      </c>
      <c r="Z213" s="37"/>
      <c r="AA213" s="552"/>
      <c r="AB213" s="552"/>
      <c r="AC213" s="552"/>
    </row>
    <row r="214" spans="1:68" ht="14.25" customHeight="1" x14ac:dyDescent="0.25">
      <c r="A214" s="562" t="s">
        <v>167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346</v>
      </c>
      <c r="B215" s="54" t="s">
        <v>347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348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349</v>
      </c>
      <c r="B216" s="54" t="s">
        <v>350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351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customHeight="1" x14ac:dyDescent="0.25">
      <c r="A219" s="577" t="s">
        <v>352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103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353</v>
      </c>
      <c r="B221" s="54" t="s">
        <v>354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355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356</v>
      </c>
      <c r="B222" s="54" t="s">
        <v>357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359</v>
      </c>
      <c r="B223" s="54" t="s">
        <v>360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361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362</v>
      </c>
      <c r="B224" s="54" t="s">
        <v>363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16</v>
      </c>
      <c r="Y224" s="550">
        <f t="shared" si="27"/>
        <v>16</v>
      </c>
      <c r="Z224" s="36">
        <f t="shared" ref="Z224:Z229" si="32">IFERROR(IF(Y224=0,"",ROUNDUP(Y224/H224,0)*0.00902),"")</f>
        <v>3.6080000000000001E-2</v>
      </c>
      <c r="AA224" s="56"/>
      <c r="AB224" s="57"/>
      <c r="AC224" s="271" t="s">
        <v>355</v>
      </c>
      <c r="AG224" s="64"/>
      <c r="AJ224" s="68"/>
      <c r="AK224" s="68">
        <v>0</v>
      </c>
      <c r="BB224" s="272" t="s">
        <v>1</v>
      </c>
      <c r="BM224" s="64">
        <f t="shared" si="28"/>
        <v>16.84</v>
      </c>
      <c r="BN224" s="64">
        <f t="shared" si="29"/>
        <v>16.84</v>
      </c>
      <c r="BO224" s="64">
        <f t="shared" si="30"/>
        <v>3.0303030303030304E-2</v>
      </c>
      <c r="BP224" s="64">
        <f t="shared" si="31"/>
        <v>3.0303030303030304E-2</v>
      </c>
    </row>
    <row r="225" spans="1:68" ht="27" customHeight="1" x14ac:dyDescent="0.25">
      <c r="A225" s="54" t="s">
        <v>362</v>
      </c>
      <c r="B225" s="54" t="s">
        <v>364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1" t="s">
        <v>365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355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100</v>
      </c>
      <c r="Y228" s="550">
        <f t="shared" si="27"/>
        <v>100</v>
      </c>
      <c r="Z228" s="36">
        <f t="shared" si="32"/>
        <v>0.22550000000000001</v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28"/>
        <v>105.25</v>
      </c>
      <c r="BN228" s="64">
        <f t="shared" si="29"/>
        <v>105.25</v>
      </c>
      <c r="BO228" s="64">
        <f t="shared" si="30"/>
        <v>0.18939393939393939</v>
      </c>
      <c r="BP228" s="64">
        <f t="shared" si="31"/>
        <v>0.18939393939393939</v>
      </c>
    </row>
    <row r="229" spans="1:68" ht="27" customHeight="1" x14ac:dyDescent="0.25">
      <c r="A229" s="54" t="s">
        <v>371</v>
      </c>
      <c r="B229" s="54" t="s">
        <v>374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">
        <v>375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29</v>
      </c>
      <c r="Y230" s="551">
        <f>IFERROR(Y221/H221,"0")+IFERROR(Y222/H222,"0")+IFERROR(Y223/H223,"0")+IFERROR(Y224/H224,"0")+IFERROR(Y225/H225,"0")+IFERROR(Y226/H226,"0")+IFERROR(Y227/H227,"0")+IFERROR(Y228/H228,"0")+IFERROR(Y229/H229,"0")</f>
        <v>29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0.26158000000000003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1">
        <f>IFERROR(SUM(X221:X229),"0")</f>
        <v>116</v>
      </c>
      <c r="Y231" s="551">
        <f>IFERROR(SUM(Y221:Y229),"0")</f>
        <v>116</v>
      </c>
      <c r="Z231" s="37"/>
      <c r="AA231" s="552"/>
      <c r="AB231" s="552"/>
      <c r="AC231" s="552"/>
    </row>
    <row r="232" spans="1:68" ht="14.25" customHeight="1" x14ac:dyDescent="0.25">
      <c r="A232" s="562" t="s">
        <v>137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376</v>
      </c>
      <c r="B233" s="54" t="s">
        <v>377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379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380</v>
      </c>
      <c r="B237" s="54" t="s">
        <v>381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1" t="s">
        <v>382</v>
      </c>
      <c r="Q237" s="554"/>
      <c r="R237" s="554"/>
      <c r="S237" s="554"/>
      <c r="T237" s="555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384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385</v>
      </c>
      <c r="B241" s="54" t="s">
        <v>386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388</v>
      </c>
      <c r="B242" s="54" t="s">
        <v>389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">
        <v>390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7.0000000000000009</v>
      </c>
      <c r="Y242" s="550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5.5</v>
      </c>
      <c r="Y243" s="550">
        <f>IFERROR(IF(X243="",0,CEILING((X243/$H243),1)*$H243),"")</f>
        <v>6.3</v>
      </c>
      <c r="Z243" s="36">
        <f>IFERROR(IF(Y243=0,"",ROUNDUP(Y243/H243,0)*0.0059),"")</f>
        <v>4.1299999999999996E-2</v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6.6611111111111114</v>
      </c>
      <c r="BN243" s="64">
        <f>IFERROR(Y243*I243/H243,"0")</f>
        <v>7.63</v>
      </c>
      <c r="BO243" s="64">
        <f>IFERROR(1/J243*(X243/H243),"0")</f>
        <v>2.8292181069958844E-2</v>
      </c>
      <c r="BP243" s="64">
        <f>IFERROR(1/J243*(Y243/H243),"0")</f>
        <v>3.2407407407407406E-2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395</v>
      </c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1">
        <f>IFERROR(X241/H241,"0")+IFERROR(X242/H242,"0")+IFERROR(X243/H243,"0")+IFERROR(X244/H244,"0")+IFERROR(X245/H245,"0")</f>
        <v>10</v>
      </c>
      <c r="Y246" s="551">
        <f>IFERROR(Y241/H241,"0")+IFERROR(Y242/H242,"0")+IFERROR(Y243/H243,"0")+IFERROR(Y244/H244,"0")+IFERROR(Y245/H245,"0")</f>
        <v>11</v>
      </c>
      <c r="Z246" s="551">
        <f>IFERROR(IF(Z241="",0,Z241),"0")+IFERROR(IF(Z242="",0,Z242),"0")+IFERROR(IF(Z243="",0,Z243),"0")+IFERROR(IF(Z244="",0,Z244),"0")+IFERROR(IF(Z245="",0,Z245),"0")</f>
        <v>6.4899999999999999E-2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1">
        <f>IFERROR(SUM(X241:X245),"0")</f>
        <v>12.5</v>
      </c>
      <c r="Y247" s="551">
        <f>IFERROR(SUM(Y241:Y245),"0")</f>
        <v>13.5</v>
      </c>
      <c r="Z247" s="37"/>
      <c r="AA247" s="552"/>
      <c r="AB247" s="552"/>
      <c r="AC247" s="552"/>
    </row>
    <row r="248" spans="1:68" ht="16.5" customHeight="1" x14ac:dyDescent="0.25">
      <c r="A248" s="577" t="s">
        <v>398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414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2" t="s">
        <v>419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424</v>
      </c>
      <c r="B262" s="54" t="s">
        <v>425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9" t="s">
        <v>426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428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429</v>
      </c>
      <c r="B267" s="54" t="s">
        <v>430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40</v>
      </c>
      <c r="Y268" s="550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120</v>
      </c>
      <c r="Y269" s="550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437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129.00000000000003</v>
      </c>
      <c r="BN269" s="64">
        <f>IFERROR(Y269*I269/H269,"0")</f>
        <v>129.00000000000003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1">
        <f>IFERROR(X267/H267,"0")+IFERROR(X268/H268,"0")+IFERROR(X269/H269,"0")</f>
        <v>66.666666666666671</v>
      </c>
      <c r="Y270" s="551">
        <f>IFERROR(Y267/H267,"0")+IFERROR(Y268/H268,"0")+IFERROR(Y269/H269,"0")</f>
        <v>67</v>
      </c>
      <c r="Z270" s="551">
        <f>IFERROR(IF(Z267="",0,Z267),"0")+IFERROR(IF(Z268="",0,Z268),"0")+IFERROR(IF(Z269="",0,Z269),"0")</f>
        <v>0.43617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1">
        <f>IFERROR(SUM(X267:X269),"0")</f>
        <v>160</v>
      </c>
      <c r="Y271" s="551">
        <f>IFERROR(SUM(Y267:Y269),"0")</f>
        <v>160.80000000000001</v>
      </c>
      <c r="Z271" s="37"/>
      <c r="AA271" s="552"/>
      <c r="AB271" s="552"/>
      <c r="AC271" s="552"/>
    </row>
    <row r="272" spans="1:68" ht="16.5" customHeight="1" x14ac:dyDescent="0.25">
      <c r="A272" s="577" t="s">
        <v>438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439</v>
      </c>
      <c r="B274" s="54" t="s">
        <v>440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442</v>
      </c>
      <c r="B278" s="54" t="s">
        <v>443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445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446</v>
      </c>
      <c r="B283" s="54" t="s">
        <v>447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450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451</v>
      </c>
      <c r="B288" s="54" t="s">
        <v>452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454</v>
      </c>
      <c r="B289" s="54" t="s">
        <v>455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71</v>
      </c>
      <c r="Q293" s="567"/>
      <c r="R293" s="567"/>
      <c r="S293" s="567"/>
      <c r="T293" s="567"/>
      <c r="U293" s="567"/>
      <c r="V293" s="568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71</v>
      </c>
      <c r="Q294" s="567"/>
      <c r="R294" s="567"/>
      <c r="S294" s="567"/>
      <c r="T294" s="567"/>
      <c r="U294" s="567"/>
      <c r="V294" s="568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467</v>
      </c>
      <c r="B296" s="54" t="s">
        <v>468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470</v>
      </c>
      <c r="B297" s="54" t="s">
        <v>471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315</v>
      </c>
      <c r="Y300" s="550">
        <f t="shared" si="33"/>
        <v>315</v>
      </c>
      <c r="Z300" s="36">
        <f>IFERROR(IF(Y300=0,"",ROUNDUP(Y300/H300,0)*0.00502),"")</f>
        <v>0.753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330</v>
      </c>
      <c r="BN300" s="64">
        <f t="shared" si="35"/>
        <v>330</v>
      </c>
      <c r="BO300" s="64">
        <f t="shared" si="36"/>
        <v>0.64102564102564108</v>
      </c>
      <c r="BP300" s="64">
        <f t="shared" si="37"/>
        <v>0.64102564102564108</v>
      </c>
    </row>
    <row r="301" spans="1:68" ht="27" customHeight="1" x14ac:dyDescent="0.25">
      <c r="A301" s="54" t="s">
        <v>481</v>
      </c>
      <c r="B301" s="54" t="s">
        <v>482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30</v>
      </c>
      <c r="Y302" s="550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33.800000000000004</v>
      </c>
      <c r="BN302" s="64">
        <f t="shared" si="35"/>
        <v>34.475999999999999</v>
      </c>
      <c r="BO302" s="64">
        <f t="shared" si="36"/>
        <v>9.1575091575091583E-2</v>
      </c>
      <c r="BP302" s="64">
        <f t="shared" si="37"/>
        <v>9.3406593406593408E-2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71</v>
      </c>
      <c r="Q303" s="567"/>
      <c r="R303" s="567"/>
      <c r="S303" s="567"/>
      <c r="T303" s="567"/>
      <c r="U303" s="567"/>
      <c r="V303" s="568"/>
      <c r="W303" s="37" t="s">
        <v>72</v>
      </c>
      <c r="X303" s="551">
        <f>IFERROR(X296/H296,"0")+IFERROR(X297/H297,"0")+IFERROR(X298/H298,"0")+IFERROR(X299/H299,"0")+IFERROR(X300/H300,"0")+IFERROR(X301/H301,"0")+IFERROR(X302/H302,"0")</f>
        <v>166.66666666666666</v>
      </c>
      <c r="Y303" s="551">
        <f>IFERROR(Y296/H296,"0")+IFERROR(Y297/H297,"0")+IFERROR(Y298/H298,"0")+IFERROR(Y299/H299,"0")+IFERROR(Y300/H300,"0")+IFERROR(Y301/H301,"0")+IFERROR(Y302/H302,"0")</f>
        <v>167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0.86367000000000005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71</v>
      </c>
      <c r="Q304" s="567"/>
      <c r="R304" s="567"/>
      <c r="S304" s="567"/>
      <c r="T304" s="567"/>
      <c r="U304" s="567"/>
      <c r="V304" s="568"/>
      <c r="W304" s="37" t="s">
        <v>69</v>
      </c>
      <c r="X304" s="551">
        <f>IFERROR(SUM(X296:X302),"0")</f>
        <v>345</v>
      </c>
      <c r="Y304" s="551">
        <f>IFERROR(SUM(Y296:Y302),"0")</f>
        <v>345.6</v>
      </c>
      <c r="Z304" s="37"/>
      <c r="AA304" s="552"/>
      <c r="AB304" s="552"/>
      <c r="AC304" s="552"/>
    </row>
    <row r="305" spans="1:68" ht="14.25" customHeight="1" x14ac:dyDescent="0.25">
      <c r="A305" s="562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486</v>
      </c>
      <c r="B306" s="54" t="s">
        <v>487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489</v>
      </c>
      <c r="B307" s="54" t="s">
        <v>490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71</v>
      </c>
      <c r="Q311" s="567"/>
      <c r="R311" s="567"/>
      <c r="S311" s="567"/>
      <c r="T311" s="567"/>
      <c r="U311" s="567"/>
      <c r="V311" s="568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71</v>
      </c>
      <c r="Q312" s="567"/>
      <c r="R312" s="567"/>
      <c r="S312" s="567"/>
      <c r="T312" s="567"/>
      <c r="U312" s="567"/>
      <c r="V312" s="568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167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400</v>
      </c>
      <c r="Y315" s="550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20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71</v>
      </c>
      <c r="Q317" s="567"/>
      <c r="R317" s="567"/>
      <c r="S317" s="567"/>
      <c r="T317" s="567"/>
      <c r="U317" s="567"/>
      <c r="V317" s="568"/>
      <c r="W317" s="37" t="s">
        <v>72</v>
      </c>
      <c r="X317" s="551">
        <f>IFERROR(X314/H314,"0")+IFERROR(X315/H315,"0")+IFERROR(X316/H316,"0")</f>
        <v>57.234432234432234</v>
      </c>
      <c r="Y317" s="551">
        <f>IFERROR(Y314/H314,"0")+IFERROR(Y315/H315,"0")+IFERROR(Y316/H316,"0")</f>
        <v>59</v>
      </c>
      <c r="Z317" s="551">
        <f>IFERROR(IF(Z314="",0,Z314),"0")+IFERROR(IF(Z315="",0,Z315),"0")+IFERROR(IF(Z316="",0,Z316),"0")</f>
        <v>1.11982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71</v>
      </c>
      <c r="Q318" s="567"/>
      <c r="R318" s="567"/>
      <c r="S318" s="567"/>
      <c r="T318" s="567"/>
      <c r="U318" s="567"/>
      <c r="V318" s="568"/>
      <c r="W318" s="37" t="s">
        <v>69</v>
      </c>
      <c r="X318" s="551">
        <f>IFERROR(SUM(X314:X316),"0")</f>
        <v>450</v>
      </c>
      <c r="Y318" s="551">
        <f>IFERROR(SUM(Y314:Y316),"0")</f>
        <v>464.4</v>
      </c>
      <c r="Z318" s="37"/>
      <c r="AA318" s="552"/>
      <c r="AB318" s="552"/>
      <c r="AC318" s="552"/>
    </row>
    <row r="319" spans="1:68" ht="14.25" customHeight="1" x14ac:dyDescent="0.25">
      <c r="A319" s="562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510</v>
      </c>
      <c r="B320" s="54" t="s">
        <v>511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5" t="s">
        <v>512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9" t="s">
        <v>516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51.000000000000007</v>
      </c>
      <c r="Y323" s="550">
        <f>IFERROR(IF(X323="",0,CEILING((X323/$H323),1)*$H323),"")</f>
        <v>51</v>
      </c>
      <c r="Z323" s="36">
        <f>IFERROR(IF(Y323=0,"",ROUNDUP(Y323/H323,0)*0.00651),"")</f>
        <v>0.13020000000000001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57.600000000000016</v>
      </c>
      <c r="BN323" s="64">
        <f>IFERROR(Y323*I323/H323,"0")</f>
        <v>57.6</v>
      </c>
      <c r="BO323" s="64">
        <f>IFERROR(1/J323*(X323/H323),"0")</f>
        <v>0.10989010989010992</v>
      </c>
      <c r="BP323" s="64">
        <f>IFERROR(1/J323*(Y323/H323),"0")</f>
        <v>0.1098901098901099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71</v>
      </c>
      <c r="Q324" s="567"/>
      <c r="R324" s="567"/>
      <c r="S324" s="567"/>
      <c r="T324" s="567"/>
      <c r="U324" s="567"/>
      <c r="V324" s="568"/>
      <c r="W324" s="37" t="s">
        <v>72</v>
      </c>
      <c r="X324" s="551">
        <f>IFERROR(X320/H320,"0")+IFERROR(X321/H321,"0")+IFERROR(X322/H322,"0")+IFERROR(X323/H323,"0")</f>
        <v>20.000000000000004</v>
      </c>
      <c r="Y324" s="551">
        <f>IFERROR(Y320/H320,"0")+IFERROR(Y321/H321,"0")+IFERROR(Y322/H322,"0")+IFERROR(Y323/H323,"0")</f>
        <v>20</v>
      </c>
      <c r="Z324" s="551">
        <f>IFERROR(IF(Z320="",0,Z320),"0")+IFERROR(IF(Z321="",0,Z321),"0")+IFERROR(IF(Z322="",0,Z322),"0")+IFERROR(IF(Z323="",0,Z323),"0")</f>
        <v>0.13020000000000001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71</v>
      </c>
      <c r="Q325" s="567"/>
      <c r="R325" s="567"/>
      <c r="S325" s="567"/>
      <c r="T325" s="567"/>
      <c r="U325" s="567"/>
      <c r="V325" s="568"/>
      <c r="W325" s="37" t="s">
        <v>69</v>
      </c>
      <c r="X325" s="551">
        <f>IFERROR(SUM(X320:X323),"0")</f>
        <v>51.000000000000007</v>
      </c>
      <c r="Y325" s="551">
        <f>IFERROR(SUM(Y320:Y323),"0")</f>
        <v>51</v>
      </c>
      <c r="Z325" s="37"/>
      <c r="AA325" s="552"/>
      <c r="AB325" s="552"/>
      <c r="AC325" s="552"/>
    </row>
    <row r="326" spans="1:68" ht="14.25" customHeight="1" x14ac:dyDescent="0.25">
      <c r="A326" s="562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523</v>
      </c>
      <c r="B327" s="54" t="s">
        <v>524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71</v>
      </c>
      <c r="Q330" s="567"/>
      <c r="R330" s="567"/>
      <c r="S330" s="567"/>
      <c r="T330" s="567"/>
      <c r="U330" s="567"/>
      <c r="V330" s="568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71</v>
      </c>
      <c r="Q331" s="567"/>
      <c r="R331" s="567"/>
      <c r="S331" s="567"/>
      <c r="T331" s="567"/>
      <c r="U331" s="567"/>
      <c r="V331" s="568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532</v>
      </c>
      <c r="B334" s="54" t="s">
        <v>533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840</v>
      </c>
      <c r="Y335" s="550">
        <f>IFERROR(IF(X335="",0,CEILING((X335/$H335),1)*$H335),"")</f>
        <v>840</v>
      </c>
      <c r="Z335" s="36">
        <f>IFERROR(IF(Y335=0,"",ROUNDUP(Y335/H335,0)*0.00651),"")</f>
        <v>2.6040000000000001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940.79999999999984</v>
      </c>
      <c r="BN335" s="64">
        <f>IFERROR(Y335*I335/H335,"0")</f>
        <v>940.79999999999984</v>
      </c>
      <c r="BO335" s="64">
        <f>IFERROR(1/J335*(X335/H335),"0")</f>
        <v>2.197802197802198</v>
      </c>
      <c r="BP335" s="64">
        <f>IFERROR(1/J335*(Y335/H335),"0")</f>
        <v>2.197802197802198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280</v>
      </c>
      <c r="Y336" s="550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311.99999999999994</v>
      </c>
      <c r="BN336" s="64">
        <f>IFERROR(Y336*I336/H336,"0")</f>
        <v>313.56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71</v>
      </c>
      <c r="Q337" s="567"/>
      <c r="R337" s="567"/>
      <c r="S337" s="567"/>
      <c r="T337" s="567"/>
      <c r="U337" s="567"/>
      <c r="V337" s="568"/>
      <c r="W337" s="37" t="s">
        <v>72</v>
      </c>
      <c r="X337" s="551">
        <f>IFERROR(X334/H334,"0")+IFERROR(X335/H335,"0")+IFERROR(X336/H336,"0")</f>
        <v>533.33333333333326</v>
      </c>
      <c r="Y337" s="551">
        <f>IFERROR(Y334/H334,"0")+IFERROR(Y335/H335,"0")+IFERROR(Y336/H336,"0")</f>
        <v>534</v>
      </c>
      <c r="Z337" s="551">
        <f>IFERROR(IF(Z334="",0,Z334),"0")+IFERROR(IF(Z335="",0,Z335),"0")+IFERROR(IF(Z336="",0,Z336),"0")</f>
        <v>3.47634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71</v>
      </c>
      <c r="Q338" s="567"/>
      <c r="R338" s="567"/>
      <c r="S338" s="567"/>
      <c r="T338" s="567"/>
      <c r="U338" s="567"/>
      <c r="V338" s="568"/>
      <c r="W338" s="37" t="s">
        <v>69</v>
      </c>
      <c r="X338" s="551">
        <f>IFERROR(SUM(X334:X336),"0")</f>
        <v>1120</v>
      </c>
      <c r="Y338" s="551">
        <f>IFERROR(SUM(Y334:Y336),"0")</f>
        <v>1121.4000000000001</v>
      </c>
      <c r="Z338" s="37"/>
      <c r="AA338" s="552"/>
      <c r="AB338" s="552"/>
      <c r="AC338" s="552"/>
    </row>
    <row r="339" spans="1:68" ht="27.75" customHeight="1" x14ac:dyDescent="0.2">
      <c r="A339" s="607" t="s">
        <v>541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900</v>
      </c>
      <c r="Y342" s="550">
        <f t="shared" ref="Y342:Y348" si="38">IFERROR(IF(X342="",0,CEILING((X342/$H342),1)*$H342),"")</f>
        <v>900</v>
      </c>
      <c r="Z342" s="36">
        <f>IFERROR(IF(Y342=0,"",ROUNDUP(Y342/H342,0)*0.02175),"")</f>
        <v>1.3049999999999999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928.8</v>
      </c>
      <c r="BN342" s="64">
        <f t="shared" ref="BN342:BN348" si="40">IFERROR(Y342*I342/H342,"0")</f>
        <v>928.8</v>
      </c>
      <c r="BO342" s="64">
        <f t="shared" ref="BO342:BO348" si="41">IFERROR(1/J342*(X342/H342),"0")</f>
        <v>1.25</v>
      </c>
      <c r="BP342" s="64">
        <f t="shared" ref="BP342:BP348" si="42">IFERROR(1/J342*(Y342/H342),"0")</f>
        <v>1.25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900</v>
      </c>
      <c r="Y343" s="550">
        <f t="shared" si="38"/>
        <v>900</v>
      </c>
      <c r="Z343" s="36">
        <f>IFERROR(IF(Y343=0,"",ROUNDUP(Y343/H343,0)*0.02175),"")</f>
        <v>1.3049999999999999</v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928.8</v>
      </c>
      <c r="BN343" s="64">
        <f t="shared" si="40"/>
        <v>928.8</v>
      </c>
      <c r="BO343" s="64">
        <f t="shared" si="41"/>
        <v>1.25</v>
      </c>
      <c r="BP343" s="64">
        <f t="shared" si="42"/>
        <v>1.25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57">
        <v>4607091383997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1000</v>
      </c>
      <c r="Y344" s="550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57">
        <v>4680115884830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1800</v>
      </c>
      <c r="Y345" s="550">
        <f t="shared" si="38"/>
        <v>1800</v>
      </c>
      <c r="Z345" s="36">
        <f>IFERROR(IF(Y345=0,"",ROUNDUP(Y345/H345,0)*0.02175),"")</f>
        <v>2.61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1857.6</v>
      </c>
      <c r="BN345" s="64">
        <f t="shared" si="40"/>
        <v>1857.6</v>
      </c>
      <c r="BO345" s="64">
        <f t="shared" si="41"/>
        <v>2.5</v>
      </c>
      <c r="BP345" s="64">
        <f t="shared" si="42"/>
        <v>2.5</v>
      </c>
    </row>
    <row r="346" spans="1:68" ht="27" customHeight="1" x14ac:dyDescent="0.25">
      <c r="A346" s="54" t="s">
        <v>555</v>
      </c>
      <c r="B346" s="54" t="s">
        <v>556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15</v>
      </c>
      <c r="Y348" s="550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71</v>
      </c>
      <c r="Q349" s="567"/>
      <c r="R349" s="567"/>
      <c r="S349" s="567"/>
      <c r="T349" s="567"/>
      <c r="U349" s="567"/>
      <c r="V349" s="568"/>
      <c r="W349" s="37" t="s">
        <v>72</v>
      </c>
      <c r="X349" s="551">
        <f>IFERROR(X342/H342,"0")+IFERROR(X343/H343,"0")+IFERROR(X344/H344,"0")+IFERROR(X345/H345,"0")+IFERROR(X346/H346,"0")+IFERROR(X347/H347,"0")+IFERROR(X348/H348,"0")</f>
        <v>309.66666666666669</v>
      </c>
      <c r="Y349" s="551">
        <f>IFERROR(Y342/H342,"0")+IFERROR(Y343/H343,"0")+IFERROR(Y344/H344,"0")+IFERROR(Y345/H345,"0")+IFERROR(Y346/H346,"0")+IFERROR(Y347/H347,"0")+IFERROR(Y348/H348,"0")</f>
        <v>310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6.7043099999999987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71</v>
      </c>
      <c r="Q350" s="567"/>
      <c r="R350" s="567"/>
      <c r="S350" s="567"/>
      <c r="T350" s="567"/>
      <c r="U350" s="567"/>
      <c r="V350" s="568"/>
      <c r="W350" s="37" t="s">
        <v>69</v>
      </c>
      <c r="X350" s="551">
        <f>IFERROR(SUM(X342:X348),"0")</f>
        <v>4615</v>
      </c>
      <c r="Y350" s="551">
        <f>IFERROR(SUM(Y342:Y348),"0")</f>
        <v>4620</v>
      </c>
      <c r="Z350" s="37"/>
      <c r="AA350" s="552"/>
      <c r="AB350" s="552"/>
      <c r="AC350" s="552"/>
    </row>
    <row r="351" spans="1:68" ht="14.25" customHeight="1" x14ac:dyDescent="0.25">
      <c r="A351" s="562" t="s">
        <v>137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1400</v>
      </c>
      <c r="Y352" s="550">
        <f>IFERROR(IF(X352="",0,CEILING((X352/$H352),1)*$H352),"")</f>
        <v>1410</v>
      </c>
      <c r="Z352" s="36">
        <f>IFERROR(IF(Y352=0,"",ROUNDUP(Y352/H352,0)*0.02175),"")</f>
        <v>2.0444999999999998</v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1444.8</v>
      </c>
      <c r="BN352" s="64">
        <f>IFERROR(Y352*I352/H352,"0")</f>
        <v>1455.12</v>
      </c>
      <c r="BO352" s="64">
        <f>IFERROR(1/J352*(X352/H352),"0")</f>
        <v>1.9444444444444442</v>
      </c>
      <c r="BP352" s="64">
        <f>IFERROR(1/J352*(Y352/H352),"0")</f>
        <v>1.9583333333333333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71</v>
      </c>
      <c r="Q354" s="567"/>
      <c r="R354" s="567"/>
      <c r="S354" s="567"/>
      <c r="T354" s="567"/>
      <c r="U354" s="567"/>
      <c r="V354" s="568"/>
      <c r="W354" s="37" t="s">
        <v>72</v>
      </c>
      <c r="X354" s="551">
        <f>IFERROR(X352/H352,"0")+IFERROR(X353/H353,"0")</f>
        <v>93.333333333333329</v>
      </c>
      <c r="Y354" s="551">
        <f>IFERROR(Y352/H352,"0")+IFERROR(Y353/H353,"0")</f>
        <v>94</v>
      </c>
      <c r="Z354" s="551">
        <f>IFERROR(IF(Z352="",0,Z352),"0")+IFERROR(IF(Z353="",0,Z353),"0")</f>
        <v>2.0444999999999998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71</v>
      </c>
      <c r="Q355" s="567"/>
      <c r="R355" s="567"/>
      <c r="S355" s="567"/>
      <c r="T355" s="567"/>
      <c r="U355" s="567"/>
      <c r="V355" s="568"/>
      <c r="W355" s="37" t="s">
        <v>69</v>
      </c>
      <c r="X355" s="551">
        <f>IFERROR(SUM(X352:X353),"0")</f>
        <v>1400</v>
      </c>
      <c r="Y355" s="551">
        <f>IFERROR(SUM(Y352:Y353),"0")</f>
        <v>1410</v>
      </c>
      <c r="Z355" s="37"/>
      <c r="AA355" s="552"/>
      <c r="AB355" s="552"/>
      <c r="AC355" s="552"/>
    </row>
    <row r="356" spans="1:68" ht="14.25" customHeight="1" x14ac:dyDescent="0.25">
      <c r="A356" s="562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567</v>
      </c>
      <c r="B357" s="54" t="s">
        <v>568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71</v>
      </c>
      <c r="Q359" s="567"/>
      <c r="R359" s="567"/>
      <c r="S359" s="567"/>
      <c r="T359" s="567"/>
      <c r="U359" s="567"/>
      <c r="V359" s="568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71</v>
      </c>
      <c r="Q360" s="567"/>
      <c r="R360" s="567"/>
      <c r="S360" s="567"/>
      <c r="T360" s="567"/>
      <c r="U360" s="567"/>
      <c r="V360" s="568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167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8" t="s">
        <v>575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40</v>
      </c>
      <c r="Y362" s="550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71</v>
      </c>
      <c r="Q363" s="567"/>
      <c r="R363" s="567"/>
      <c r="S363" s="567"/>
      <c r="T363" s="567"/>
      <c r="U363" s="567"/>
      <c r="V363" s="568"/>
      <c r="W363" s="37" t="s">
        <v>72</v>
      </c>
      <c r="X363" s="551">
        <f>IFERROR(X362/H362,"0")</f>
        <v>4.4444444444444446</v>
      </c>
      <c r="Y363" s="551">
        <f>IFERROR(Y362/H362,"0")</f>
        <v>5</v>
      </c>
      <c r="Z363" s="551">
        <f>IFERROR(IF(Z362="",0,Z362),"0")</f>
        <v>9.4899999999999998E-2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71</v>
      </c>
      <c r="Q364" s="567"/>
      <c r="R364" s="567"/>
      <c r="S364" s="567"/>
      <c r="T364" s="567"/>
      <c r="U364" s="567"/>
      <c r="V364" s="568"/>
      <c r="W364" s="37" t="s">
        <v>69</v>
      </c>
      <c r="X364" s="551">
        <f>IFERROR(SUM(X362:X362),"0")</f>
        <v>40</v>
      </c>
      <c r="Y364" s="551">
        <f>IFERROR(SUM(Y362:Y362),"0")</f>
        <v>45</v>
      </c>
      <c r="Z364" s="37"/>
      <c r="AA364" s="552"/>
      <c r="AB364" s="552"/>
      <c r="AC364" s="552"/>
    </row>
    <row r="365" spans="1:68" ht="16.5" customHeight="1" x14ac:dyDescent="0.25">
      <c r="A365" s="577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578</v>
      </c>
      <c r="B367" s="54" t="s">
        <v>579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40</v>
      </c>
      <c r="Y368" s="550">
        <f>IFERROR(IF(X368="",0,CEILING((X368/$H368),1)*$H368),"")</f>
        <v>48</v>
      </c>
      <c r="Z368" s="36">
        <f>IFERROR(IF(Y368=0,"",ROUNDUP(Y368/H368,0)*0.01898),"")</f>
        <v>7.5920000000000001E-2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41.45</v>
      </c>
      <c r="BN368" s="64">
        <f>IFERROR(Y368*I368/H368,"0")</f>
        <v>49.74</v>
      </c>
      <c r="BO368" s="64">
        <f>IFERROR(1/J368*(X368/H368),"0")</f>
        <v>5.2083333333333336E-2</v>
      </c>
      <c r="BP368" s="64">
        <f>IFERROR(1/J368*(Y368/H368),"0")</f>
        <v>6.25E-2</v>
      </c>
    </row>
    <row r="369" spans="1:68" ht="37.5" customHeight="1" x14ac:dyDescent="0.25">
      <c r="A369" s="54" t="s">
        <v>584</v>
      </c>
      <c r="B369" s="54" t="s">
        <v>585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71</v>
      </c>
      <c r="Q370" s="567"/>
      <c r="R370" s="567"/>
      <c r="S370" s="567"/>
      <c r="T370" s="567"/>
      <c r="U370" s="567"/>
      <c r="V370" s="568"/>
      <c r="W370" s="37" t="s">
        <v>72</v>
      </c>
      <c r="X370" s="551">
        <f>IFERROR(X367/H367,"0")+IFERROR(X368/H368,"0")+IFERROR(X369/H369,"0")</f>
        <v>3.3333333333333335</v>
      </c>
      <c r="Y370" s="551">
        <f>IFERROR(Y367/H367,"0")+IFERROR(Y368/H368,"0")+IFERROR(Y369/H369,"0")</f>
        <v>4</v>
      </c>
      <c r="Z370" s="551">
        <f>IFERROR(IF(Z367="",0,Z367),"0")+IFERROR(IF(Z368="",0,Z368),"0")+IFERROR(IF(Z369="",0,Z369),"0")</f>
        <v>7.5920000000000001E-2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71</v>
      </c>
      <c r="Q371" s="567"/>
      <c r="R371" s="567"/>
      <c r="S371" s="567"/>
      <c r="T371" s="567"/>
      <c r="U371" s="567"/>
      <c r="V371" s="568"/>
      <c r="W371" s="37" t="s">
        <v>69</v>
      </c>
      <c r="X371" s="551">
        <f>IFERROR(SUM(X367:X369),"0")</f>
        <v>40</v>
      </c>
      <c r="Y371" s="551">
        <f>IFERROR(SUM(Y367:Y369),"0")</f>
        <v>48</v>
      </c>
      <c r="Z371" s="37"/>
      <c r="AA371" s="552"/>
      <c r="AB371" s="552"/>
      <c r="AC371" s="552"/>
    </row>
    <row r="372" spans="1:68" ht="14.25" customHeight="1" x14ac:dyDescent="0.25">
      <c r="A372" s="562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586</v>
      </c>
      <c r="B373" s="54" t="s">
        <v>587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71</v>
      </c>
      <c r="Q374" s="567"/>
      <c r="R374" s="567"/>
      <c r="S374" s="567"/>
      <c r="T374" s="567"/>
      <c r="U374" s="567"/>
      <c r="V374" s="568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71</v>
      </c>
      <c r="Q375" s="567"/>
      <c r="R375" s="567"/>
      <c r="S375" s="567"/>
      <c r="T375" s="567"/>
      <c r="U375" s="567"/>
      <c r="V375" s="568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10</v>
      </c>
      <c r="Y377" s="550">
        <f>IFERROR(IF(X377="",0,CEILING((X377/$H377),1)*$H377),"")</f>
        <v>18</v>
      </c>
      <c r="Z377" s="36">
        <f>IFERROR(IF(Y377=0,"",ROUNDUP(Y377/H377,0)*0.01898),"")</f>
        <v>3.7960000000000001E-2</v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10.576666666666666</v>
      </c>
      <c r="BN377" s="64">
        <f>IFERROR(Y377*I377/H377,"0")</f>
        <v>19.038</v>
      </c>
      <c r="BO377" s="64">
        <f>IFERROR(1/J377*(X377/H377),"0")</f>
        <v>1.7361111111111112E-2</v>
      </c>
      <c r="BP377" s="64">
        <f>IFERROR(1/J377*(Y377/H377),"0")</f>
        <v>3.125E-2</v>
      </c>
    </row>
    <row r="378" spans="1:68" ht="27" customHeight="1" x14ac:dyDescent="0.25">
      <c r="A378" s="54" t="s">
        <v>592</v>
      </c>
      <c r="B378" s="54" t="s">
        <v>593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71</v>
      </c>
      <c r="Q379" s="567"/>
      <c r="R379" s="567"/>
      <c r="S379" s="567"/>
      <c r="T379" s="567"/>
      <c r="U379" s="567"/>
      <c r="V379" s="568"/>
      <c r="W379" s="37" t="s">
        <v>72</v>
      </c>
      <c r="X379" s="551">
        <f>IFERROR(X377/H377,"0")+IFERROR(X378/H378,"0")</f>
        <v>1.1111111111111112</v>
      </c>
      <c r="Y379" s="551">
        <f>IFERROR(Y377/H377,"0")+IFERROR(Y378/H378,"0")</f>
        <v>2</v>
      </c>
      <c r="Z379" s="551">
        <f>IFERROR(IF(Z377="",0,Z377),"0")+IFERROR(IF(Z378="",0,Z378),"0")</f>
        <v>3.7960000000000001E-2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71</v>
      </c>
      <c r="Q380" s="567"/>
      <c r="R380" s="567"/>
      <c r="S380" s="567"/>
      <c r="T380" s="567"/>
      <c r="U380" s="567"/>
      <c r="V380" s="568"/>
      <c r="W380" s="37" t="s">
        <v>69</v>
      </c>
      <c r="X380" s="551">
        <f>IFERROR(SUM(X377:X378),"0")</f>
        <v>10</v>
      </c>
      <c r="Y380" s="551">
        <f>IFERROR(SUM(Y377:Y378),"0")</f>
        <v>18</v>
      </c>
      <c r="Z380" s="37"/>
      <c r="AA380" s="552"/>
      <c r="AB380" s="552"/>
      <c r="AC380" s="552"/>
    </row>
    <row r="381" spans="1:68" ht="14.25" customHeight="1" x14ac:dyDescent="0.25">
      <c r="A381" s="562" t="s">
        <v>167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594</v>
      </c>
      <c r="B382" s="54" t="s">
        <v>595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71</v>
      </c>
      <c r="Q383" s="567"/>
      <c r="R383" s="567"/>
      <c r="S383" s="567"/>
      <c r="T383" s="567"/>
      <c r="U383" s="567"/>
      <c r="V383" s="568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71</v>
      </c>
      <c r="Q384" s="567"/>
      <c r="R384" s="567"/>
      <c r="S384" s="567"/>
      <c r="T384" s="567"/>
      <c r="U384" s="567"/>
      <c r="V384" s="568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597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602</v>
      </c>
      <c r="B389" s="54" t="s">
        <v>603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602</v>
      </c>
      <c r="B390" s="54" t="s">
        <v>605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38.5</v>
      </c>
      <c r="Y393" s="550">
        <f t="shared" si="43"/>
        <v>39.9</v>
      </c>
      <c r="Z393" s="36">
        <f t="shared" si="48"/>
        <v>9.5380000000000006E-2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40.883333333333333</v>
      </c>
      <c r="BN393" s="64">
        <f t="shared" si="45"/>
        <v>42.36999999999999</v>
      </c>
      <c r="BO393" s="64">
        <f t="shared" si="46"/>
        <v>7.8347578347578356E-2</v>
      </c>
      <c r="BP393" s="64">
        <f t="shared" si="47"/>
        <v>8.11965811965812E-2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35</v>
      </c>
      <c r="Y396" s="550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customHeight="1" x14ac:dyDescent="0.25">
      <c r="A397" s="54" t="s">
        <v>622</v>
      </c>
      <c r="B397" s="54" t="s">
        <v>623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71</v>
      </c>
      <c r="Q398" s="567"/>
      <c r="R398" s="567"/>
      <c r="S398" s="567"/>
      <c r="T398" s="567"/>
      <c r="U398" s="567"/>
      <c r="V398" s="568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35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36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0.18071999999999999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71</v>
      </c>
      <c r="Q399" s="567"/>
      <c r="R399" s="567"/>
      <c r="S399" s="567"/>
      <c r="T399" s="567"/>
      <c r="U399" s="567"/>
      <c r="V399" s="568"/>
      <c r="W399" s="37" t="s">
        <v>69</v>
      </c>
      <c r="X399" s="551">
        <f>IFERROR(SUM(X388:X397),"0")</f>
        <v>73.5</v>
      </c>
      <c r="Y399" s="551">
        <f>IFERROR(SUM(Y388:Y397),"0")</f>
        <v>75.599999999999994</v>
      </c>
      <c r="Z399" s="37"/>
      <c r="AA399" s="552"/>
      <c r="AB399" s="552"/>
      <c r="AC399" s="552"/>
    </row>
    <row r="400" spans="1:68" ht="14.25" customHeight="1" x14ac:dyDescent="0.25">
      <c r="A400" s="562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624</v>
      </c>
      <c r="B401" s="54" t="s">
        <v>625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627</v>
      </c>
      <c r="B402" s="54" t="s">
        <v>628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71</v>
      </c>
      <c r="Q403" s="567"/>
      <c r="R403" s="567"/>
      <c r="S403" s="567"/>
      <c r="T403" s="567"/>
      <c r="U403" s="567"/>
      <c r="V403" s="568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71</v>
      </c>
      <c r="Q404" s="567"/>
      <c r="R404" s="567"/>
      <c r="S404" s="567"/>
      <c r="T404" s="567"/>
      <c r="U404" s="567"/>
      <c r="V404" s="568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137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631</v>
      </c>
      <c r="B407" s="54" t="s">
        <v>632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71</v>
      </c>
      <c r="Q408" s="567"/>
      <c r="R408" s="567"/>
      <c r="S408" s="567"/>
      <c r="T408" s="567"/>
      <c r="U408" s="567"/>
      <c r="V408" s="568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71</v>
      </c>
      <c r="Q409" s="567"/>
      <c r="R409" s="567"/>
      <c r="S409" s="567"/>
      <c r="T409" s="567"/>
      <c r="U409" s="567"/>
      <c r="V409" s="568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637</v>
      </c>
      <c r="B412" s="54" t="s">
        <v>638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71</v>
      </c>
      <c r="Q415" s="567"/>
      <c r="R415" s="567"/>
      <c r="S415" s="567"/>
      <c r="T415" s="567"/>
      <c r="U415" s="567"/>
      <c r="V415" s="568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71</v>
      </c>
      <c r="Q416" s="567"/>
      <c r="R416" s="567"/>
      <c r="S416" s="567"/>
      <c r="T416" s="567"/>
      <c r="U416" s="567"/>
      <c r="V416" s="568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30</v>
      </c>
      <c r="Y419" s="550">
        <f>IFERROR(IF(X419="",0,CEILING((X419/$H419),1)*$H419),"")</f>
        <v>30</v>
      </c>
      <c r="Z419" s="36">
        <f>IFERROR(IF(Y419=0,"",ROUNDUP(Y419/H419,0)*0.00651),"")</f>
        <v>0.16275000000000001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52.5</v>
      </c>
      <c r="BN419" s="64">
        <f>IFERROR(Y419*I419/H419,"0")</f>
        <v>52.5</v>
      </c>
      <c r="BO419" s="64">
        <f>IFERROR(1/J419*(X419/H419),"0")</f>
        <v>0.13736263736263737</v>
      </c>
      <c r="BP419" s="64">
        <f>IFERROR(1/J419*(Y419/H419),"0")</f>
        <v>0.13736263736263737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71</v>
      </c>
      <c r="Q420" s="567"/>
      <c r="R420" s="567"/>
      <c r="S420" s="567"/>
      <c r="T420" s="567"/>
      <c r="U420" s="567"/>
      <c r="V420" s="568"/>
      <c r="W420" s="37" t="s">
        <v>72</v>
      </c>
      <c r="X420" s="551">
        <f>IFERROR(X419/H419,"0")</f>
        <v>25</v>
      </c>
      <c r="Y420" s="551">
        <f>IFERROR(Y419/H419,"0")</f>
        <v>25</v>
      </c>
      <c r="Z420" s="551">
        <f>IFERROR(IF(Z419="",0,Z419),"0")</f>
        <v>0.16275000000000001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71</v>
      </c>
      <c r="Q421" s="567"/>
      <c r="R421" s="567"/>
      <c r="S421" s="567"/>
      <c r="T421" s="567"/>
      <c r="U421" s="567"/>
      <c r="V421" s="568"/>
      <c r="W421" s="37" t="s">
        <v>69</v>
      </c>
      <c r="X421" s="551">
        <f>IFERROR(SUM(X419:X419),"0")</f>
        <v>30</v>
      </c>
      <c r="Y421" s="551">
        <f>IFERROR(SUM(Y419:Y419),"0")</f>
        <v>30</v>
      </c>
      <c r="Z421" s="37"/>
      <c r="AA421" s="552"/>
      <c r="AB421" s="552"/>
      <c r="AC421" s="552"/>
    </row>
    <row r="422" spans="1:68" ht="16.5" customHeight="1" x14ac:dyDescent="0.25">
      <c r="A422" s="577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650</v>
      </c>
      <c r="B424" s="54" t="s">
        <v>651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71</v>
      </c>
      <c r="Q425" s="567"/>
      <c r="R425" s="567"/>
      <c r="S425" s="567"/>
      <c r="T425" s="567"/>
      <c r="U425" s="567"/>
      <c r="V425" s="568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71</v>
      </c>
      <c r="Q426" s="567"/>
      <c r="R426" s="567"/>
      <c r="S426" s="567"/>
      <c r="T426" s="567"/>
      <c r="U426" s="567"/>
      <c r="V426" s="568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653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80</v>
      </c>
      <c r="Y430" s="550">
        <f t="shared" ref="Y430:Y442" si="49">IFERROR(IF(X430="",0,CEILING((X430/$H430),1)*$H430),"")</f>
        <v>84.48</v>
      </c>
      <c r="Z430" s="36">
        <f t="shared" ref="Z430:Z436" si="50">IFERROR(IF(Y430=0,"",ROUNDUP(Y430/H430,0)*0.01196),"")</f>
        <v>0.19136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85.454545454545453</v>
      </c>
      <c r="BN430" s="64">
        <f t="shared" ref="BN430:BN442" si="52">IFERROR(Y430*I430/H430,"0")</f>
        <v>90.24</v>
      </c>
      <c r="BO430" s="64">
        <f t="shared" ref="BO430:BO442" si="53">IFERROR(1/J430*(X430/H430),"0")</f>
        <v>0.14568764568764569</v>
      </c>
      <c r="BP430" s="64">
        <f t="shared" ref="BP430:BP442" si="54">IFERROR(1/J430*(Y430/H430),"0")</f>
        <v>0.15384615384615385</v>
      </c>
    </row>
    <row r="431" spans="1:68" ht="27" customHeight="1" x14ac:dyDescent="0.25">
      <c r="A431" s="54" t="s">
        <v>657</v>
      </c>
      <c r="B431" s="54" t="s">
        <v>658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100</v>
      </c>
      <c r="Y432" s="550">
        <f t="shared" si="49"/>
        <v>100.32000000000001</v>
      </c>
      <c r="Z432" s="36">
        <f t="shared" si="50"/>
        <v>0.22724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customHeight="1" x14ac:dyDescent="0.25">
      <c r="A433" s="54" t="s">
        <v>663</v>
      </c>
      <c r="B433" s="54" t="s">
        <v>664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">
        <v>665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667</v>
      </c>
      <c r="B434" s="54" t="s">
        <v>668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170</v>
      </c>
      <c r="Y435" s="550">
        <f t="shared" si="49"/>
        <v>174.24</v>
      </c>
      <c r="Z435" s="36">
        <f t="shared" si="50"/>
        <v>0.39468000000000003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181.59090909090907</v>
      </c>
      <c r="BN435" s="64">
        <f t="shared" si="52"/>
        <v>186.12</v>
      </c>
      <c r="BO435" s="64">
        <f t="shared" si="53"/>
        <v>0.3095862470862471</v>
      </c>
      <c r="BP435" s="64">
        <f t="shared" si="54"/>
        <v>0.31730769230769235</v>
      </c>
    </row>
    <row r="436" spans="1:68" ht="16.5" customHeight="1" x14ac:dyDescent="0.25">
      <c r="A436" s="54" t="s">
        <v>673</v>
      </c>
      <c r="B436" s="54" t="s">
        <v>674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96</v>
      </c>
      <c r="Y438" s="550">
        <f t="shared" si="49"/>
        <v>96</v>
      </c>
      <c r="Z438" s="36">
        <f>IFERROR(IF(Y438=0,"",ROUNDUP(Y438/H438,0)*0.00902),"")</f>
        <v>0.1804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138.6</v>
      </c>
      <c r="BN438" s="64">
        <f t="shared" si="52"/>
        <v>138.6</v>
      </c>
      <c r="BO438" s="64">
        <f t="shared" si="53"/>
        <v>0.15151515151515152</v>
      </c>
      <c r="BP438" s="64">
        <f t="shared" si="54"/>
        <v>0.15151515151515152</v>
      </c>
    </row>
    <row r="439" spans="1:68" ht="27" customHeight="1" x14ac:dyDescent="0.25">
      <c r="A439" s="54" t="s">
        <v>680</v>
      </c>
      <c r="B439" s="54" t="s">
        <v>681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7" t="s">
        <v>682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168</v>
      </c>
      <c r="Y442" s="550">
        <f t="shared" si="49"/>
        <v>168</v>
      </c>
      <c r="Z442" s="36">
        <f>IFERROR(IF(Y442=0,"",ROUNDUP(Y442/H442,0)*0.00937),"")</f>
        <v>0.32795000000000002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243.6</v>
      </c>
      <c r="BN442" s="64">
        <f t="shared" si="52"/>
        <v>243.6</v>
      </c>
      <c r="BO442" s="64">
        <f t="shared" si="53"/>
        <v>0.29166666666666669</v>
      </c>
      <c r="BP442" s="64">
        <f t="shared" si="54"/>
        <v>0.29166666666666669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71</v>
      </c>
      <c r="Q443" s="567"/>
      <c r="R443" s="567"/>
      <c r="S443" s="567"/>
      <c r="T443" s="567"/>
      <c r="U443" s="567"/>
      <c r="V443" s="568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121.28787878787878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123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1.3216300000000001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71</v>
      </c>
      <c r="Q444" s="567"/>
      <c r="R444" s="567"/>
      <c r="S444" s="567"/>
      <c r="T444" s="567"/>
      <c r="U444" s="567"/>
      <c r="V444" s="568"/>
      <c r="W444" s="37" t="s">
        <v>69</v>
      </c>
      <c r="X444" s="551">
        <f>IFERROR(SUM(X430:X442),"0")</f>
        <v>614</v>
      </c>
      <c r="Y444" s="551">
        <f>IFERROR(SUM(Y430:Y442),"0")</f>
        <v>623.04</v>
      </c>
      <c r="Z444" s="37"/>
      <c r="AA444" s="552"/>
      <c r="AB444" s="552"/>
      <c r="AC444" s="552"/>
    </row>
    <row r="445" spans="1:68" ht="14.25" customHeight="1" x14ac:dyDescent="0.25">
      <c r="A445" s="562" t="s">
        <v>137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130</v>
      </c>
      <c r="Y446" s="550">
        <f>IFERROR(IF(X446="",0,CEILING((X446/$H446),1)*$H446),"")</f>
        <v>132</v>
      </c>
      <c r="Z446" s="36">
        <f>IFERROR(IF(Y446=0,"",ROUNDUP(Y446/H446,0)*0.01196),"")</f>
        <v>0.29899999999999999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138.86363636363635</v>
      </c>
      <c r="BN446" s="64">
        <f>IFERROR(Y446*I446/H446,"0")</f>
        <v>140.99999999999997</v>
      </c>
      <c r="BO446" s="64">
        <f>IFERROR(1/J446*(X446/H446),"0")</f>
        <v>0.23674242424242425</v>
      </c>
      <c r="BP446" s="64">
        <f>IFERROR(1/J446*(Y446/H446),"0")</f>
        <v>0.24038461538461539</v>
      </c>
    </row>
    <row r="447" spans="1:68" ht="16.5" customHeight="1" x14ac:dyDescent="0.25">
      <c r="A447" s="54" t="s">
        <v>692</v>
      </c>
      <c r="B447" s="54" t="s">
        <v>693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71</v>
      </c>
      <c r="Q449" s="567"/>
      <c r="R449" s="567"/>
      <c r="S449" s="567"/>
      <c r="T449" s="567"/>
      <c r="U449" s="567"/>
      <c r="V449" s="568"/>
      <c r="W449" s="37" t="s">
        <v>72</v>
      </c>
      <c r="X449" s="551">
        <f>IFERROR(X446/H446,"0")+IFERROR(X447/H447,"0")+IFERROR(X448/H448,"0")</f>
        <v>24.621212121212121</v>
      </c>
      <c r="Y449" s="551">
        <f>IFERROR(Y446/H446,"0")+IFERROR(Y447/H447,"0")+IFERROR(Y448/H448,"0")</f>
        <v>25</v>
      </c>
      <c r="Z449" s="551">
        <f>IFERROR(IF(Z446="",0,Z446),"0")+IFERROR(IF(Z447="",0,Z447),"0")+IFERROR(IF(Z448="",0,Z448),"0")</f>
        <v>0.29899999999999999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71</v>
      </c>
      <c r="Q450" s="567"/>
      <c r="R450" s="567"/>
      <c r="S450" s="567"/>
      <c r="T450" s="567"/>
      <c r="U450" s="567"/>
      <c r="V450" s="568"/>
      <c r="W450" s="37" t="s">
        <v>69</v>
      </c>
      <c r="X450" s="551">
        <f>IFERROR(SUM(X446:X448),"0")</f>
        <v>130</v>
      </c>
      <c r="Y450" s="551">
        <f>IFERROR(SUM(Y446:Y448),"0")</f>
        <v>132</v>
      </c>
      <c r="Z450" s="37"/>
      <c r="AA450" s="552"/>
      <c r="AB450" s="552"/>
      <c r="AC450" s="552"/>
    </row>
    <row r="451" spans="1:68" ht="14.25" customHeight="1" x14ac:dyDescent="0.25">
      <c r="A451" s="562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50</v>
      </c>
      <c r="Y452" s="550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40</v>
      </c>
      <c r="Y453" s="550">
        <f t="shared" si="55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42.727272727272727</v>
      </c>
      <c r="BN453" s="64">
        <f t="shared" si="57"/>
        <v>45.12</v>
      </c>
      <c r="BO453" s="64">
        <f t="shared" si="58"/>
        <v>7.2843822843822847E-2</v>
      </c>
      <c r="BP453" s="64">
        <f t="shared" si="59"/>
        <v>7.6923076923076927E-2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96</v>
      </c>
      <c r="Y455" s="550">
        <f t="shared" si="55"/>
        <v>96</v>
      </c>
      <c r="Z455" s="36">
        <f>IFERROR(IF(Y455=0,"",ROUNDUP(Y455/H455,0)*0.00902),"")</f>
        <v>0.1804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138.6</v>
      </c>
      <c r="BN455" s="64">
        <f t="shared" si="57"/>
        <v>138.6</v>
      </c>
      <c r="BO455" s="64">
        <f t="shared" si="58"/>
        <v>0.15151515151515152</v>
      </c>
      <c r="BP455" s="64">
        <f t="shared" si="59"/>
        <v>0.15151515151515152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24</v>
      </c>
      <c r="Y456" s="550">
        <f t="shared" si="55"/>
        <v>24</v>
      </c>
      <c r="Z456" s="36">
        <f>IFERROR(IF(Y456=0,"",ROUNDUP(Y456/H456,0)*0.00902),"")</f>
        <v>4.5100000000000001E-2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33.450000000000003</v>
      </c>
      <c r="BN456" s="64">
        <f t="shared" si="57"/>
        <v>33.450000000000003</v>
      </c>
      <c r="BO456" s="64">
        <f t="shared" si="58"/>
        <v>3.787878787878788E-2</v>
      </c>
      <c r="BP456" s="64">
        <f t="shared" si="59"/>
        <v>3.787878787878788E-2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120</v>
      </c>
      <c r="Y457" s="550">
        <f t="shared" si="55"/>
        <v>120</v>
      </c>
      <c r="Z457" s="36">
        <f>IFERROR(IF(Y457=0,"",ROUNDUP(Y457/H457,0)*0.00902),"")</f>
        <v>0.22550000000000001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167.25000000000003</v>
      </c>
      <c r="BN457" s="64">
        <f t="shared" si="57"/>
        <v>167.25000000000003</v>
      </c>
      <c r="BO457" s="64">
        <f t="shared" si="58"/>
        <v>0.18939393939393939</v>
      </c>
      <c r="BP457" s="64">
        <f t="shared" si="59"/>
        <v>0.18939393939393939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71</v>
      </c>
      <c r="Q458" s="567"/>
      <c r="R458" s="567"/>
      <c r="S458" s="567"/>
      <c r="T458" s="567"/>
      <c r="U458" s="567"/>
      <c r="V458" s="568"/>
      <c r="W458" s="37" t="s">
        <v>72</v>
      </c>
      <c r="X458" s="551">
        <f>IFERROR(X452/H452,"0")+IFERROR(X453/H453,"0")+IFERROR(X454/H454,"0")+IFERROR(X455/H455,"0")+IFERROR(X456/H456,"0")+IFERROR(X457/H457,"0")</f>
        <v>67.045454545454547</v>
      </c>
      <c r="Y458" s="551">
        <f>IFERROR(Y452/H452,"0")+IFERROR(Y453/H453,"0")+IFERROR(Y454/H454,"0")+IFERROR(Y455/H455,"0")+IFERROR(Y456/H456,"0")+IFERROR(Y457/H457,"0")</f>
        <v>68</v>
      </c>
      <c r="Z458" s="551">
        <f>IFERROR(IF(Z452="",0,Z452),"0")+IFERROR(IF(Z453="",0,Z453),"0")+IFERROR(IF(Z454="",0,Z454),"0")+IFERROR(IF(Z455="",0,Z455),"0")+IFERROR(IF(Z456="",0,Z456),"0")+IFERROR(IF(Z457="",0,Z457),"0")</f>
        <v>0.66628000000000009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71</v>
      </c>
      <c r="Q459" s="567"/>
      <c r="R459" s="567"/>
      <c r="S459" s="567"/>
      <c r="T459" s="567"/>
      <c r="U459" s="567"/>
      <c r="V459" s="568"/>
      <c r="W459" s="37" t="s">
        <v>69</v>
      </c>
      <c r="X459" s="551">
        <f>IFERROR(SUM(X452:X457),"0")</f>
        <v>330</v>
      </c>
      <c r="Y459" s="551">
        <f>IFERROR(SUM(Y452:Y457),"0")</f>
        <v>335.04</v>
      </c>
      <c r="Z459" s="37"/>
      <c r="AA459" s="552"/>
      <c r="AB459" s="552"/>
      <c r="AC459" s="552"/>
    </row>
    <row r="460" spans="1:68" ht="14.25" customHeight="1" x14ac:dyDescent="0.25">
      <c r="A460" s="562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711</v>
      </c>
      <c r="B461" s="54" t="s">
        <v>712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714</v>
      </c>
      <c r="B462" s="54" t="s">
        <v>715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71</v>
      </c>
      <c r="Q464" s="567"/>
      <c r="R464" s="567"/>
      <c r="S464" s="567"/>
      <c r="T464" s="567"/>
      <c r="U464" s="567"/>
      <c r="V464" s="568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71</v>
      </c>
      <c r="Q465" s="567"/>
      <c r="R465" s="567"/>
      <c r="S465" s="567"/>
      <c r="T465" s="567"/>
      <c r="U465" s="567"/>
      <c r="V465" s="568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720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721</v>
      </c>
      <c r="B469" s="54" t="s">
        <v>722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724</v>
      </c>
      <c r="B470" s="54" t="s">
        <v>725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71</v>
      </c>
      <c r="Q473" s="567"/>
      <c r="R473" s="567"/>
      <c r="S473" s="567"/>
      <c r="T473" s="567"/>
      <c r="U473" s="567"/>
      <c r="V473" s="568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71</v>
      </c>
      <c r="Q474" s="567"/>
      <c r="R474" s="567"/>
      <c r="S474" s="567"/>
      <c r="T474" s="567"/>
      <c r="U474" s="567"/>
      <c r="V474" s="568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137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732</v>
      </c>
      <c r="B476" s="54" t="s">
        <v>733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1" t="s">
        <v>737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739</v>
      </c>
      <c r="B478" s="54" t="s">
        <v>740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71</v>
      </c>
      <c r="Q479" s="567"/>
      <c r="R479" s="567"/>
      <c r="S479" s="567"/>
      <c r="T479" s="567"/>
      <c r="U479" s="567"/>
      <c r="V479" s="568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71</v>
      </c>
      <c r="Q480" s="567"/>
      <c r="R480" s="567"/>
      <c r="S480" s="567"/>
      <c r="T480" s="567"/>
      <c r="U480" s="567"/>
      <c r="V480" s="568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742</v>
      </c>
      <c r="B482" s="54" t="s">
        <v>743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745</v>
      </c>
      <c r="B483" s="54" t="s">
        <v>746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71</v>
      </c>
      <c r="Q484" s="567"/>
      <c r="R484" s="567"/>
      <c r="S484" s="567"/>
      <c r="T484" s="567"/>
      <c r="U484" s="567"/>
      <c r="V484" s="568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71</v>
      </c>
      <c r="Q485" s="567"/>
      <c r="R485" s="567"/>
      <c r="S485" s="567"/>
      <c r="T485" s="567"/>
      <c r="U485" s="567"/>
      <c r="V485" s="568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1100</v>
      </c>
      <c r="Y487" s="550">
        <f>IFERROR(IF(X487="",0,CEILING((X487/$H487),1)*$H487),"")</f>
        <v>1107</v>
      </c>
      <c r="Z487" s="36">
        <f>IFERROR(IF(Y487=0,"",ROUNDUP(Y487/H487,0)*0.01898),"")</f>
        <v>2.3345400000000001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1163.4333333333334</v>
      </c>
      <c r="BN487" s="64">
        <f>IFERROR(Y487*I487/H487,"0")</f>
        <v>1170.837</v>
      </c>
      <c r="BO487" s="64">
        <f>IFERROR(1/J487*(X487/H487),"0")</f>
        <v>1.9097222222222223</v>
      </c>
      <c r="BP487" s="64">
        <f>IFERROR(1/J487*(Y487/H487),"0")</f>
        <v>1.921875</v>
      </c>
    </row>
    <row r="488" spans="1:68" ht="27" customHeight="1" x14ac:dyDescent="0.25">
      <c r="A488" s="54" t="s">
        <v>751</v>
      </c>
      <c r="B488" s="54" t="s">
        <v>752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71</v>
      </c>
      <c r="Q489" s="567"/>
      <c r="R489" s="567"/>
      <c r="S489" s="567"/>
      <c r="T489" s="567"/>
      <c r="U489" s="567"/>
      <c r="V489" s="568"/>
      <c r="W489" s="37" t="s">
        <v>72</v>
      </c>
      <c r="X489" s="551">
        <f>IFERROR(X487/H487,"0")+IFERROR(X488/H488,"0")</f>
        <v>122.22222222222223</v>
      </c>
      <c r="Y489" s="551">
        <f>IFERROR(Y487/H487,"0")+IFERROR(Y488/H488,"0")</f>
        <v>123</v>
      </c>
      <c r="Z489" s="551">
        <f>IFERROR(IF(Z487="",0,Z487),"0")+IFERROR(IF(Z488="",0,Z488),"0")</f>
        <v>2.3345400000000001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71</v>
      </c>
      <c r="Q490" s="567"/>
      <c r="R490" s="567"/>
      <c r="S490" s="567"/>
      <c r="T490" s="567"/>
      <c r="U490" s="567"/>
      <c r="V490" s="568"/>
      <c r="W490" s="37" t="s">
        <v>69</v>
      </c>
      <c r="X490" s="551">
        <f>IFERROR(SUM(X487:X488),"0")</f>
        <v>1100</v>
      </c>
      <c r="Y490" s="551">
        <f>IFERROR(SUM(Y487:Y488),"0")</f>
        <v>1107</v>
      </c>
      <c r="Z490" s="37"/>
      <c r="AA490" s="552"/>
      <c r="AB490" s="552"/>
      <c r="AC490" s="552"/>
    </row>
    <row r="491" spans="1:68" ht="14.25" customHeight="1" x14ac:dyDescent="0.25">
      <c r="A491" s="562" t="s">
        <v>167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71</v>
      </c>
      <c r="Q494" s="567"/>
      <c r="R494" s="567"/>
      <c r="S494" s="567"/>
      <c r="T494" s="567"/>
      <c r="U494" s="567"/>
      <c r="V494" s="568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71</v>
      </c>
      <c r="Q495" s="567"/>
      <c r="R495" s="567"/>
      <c r="S495" s="567"/>
      <c r="T495" s="567"/>
      <c r="U495" s="567"/>
      <c r="V495" s="568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137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760</v>
      </c>
      <c r="B498" s="54" t="s">
        <v>761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7" t="s">
        <v>762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71</v>
      </c>
      <c r="Q499" s="567"/>
      <c r="R499" s="567"/>
      <c r="S499" s="567"/>
      <c r="T499" s="567"/>
      <c r="U499" s="567"/>
      <c r="V499" s="568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71</v>
      </c>
      <c r="Q500" s="567"/>
      <c r="R500" s="567"/>
      <c r="S500" s="567"/>
      <c r="T500" s="567"/>
      <c r="U500" s="567"/>
      <c r="V500" s="568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764</v>
      </c>
      <c r="Q501" s="594"/>
      <c r="R501" s="594"/>
      <c r="S501" s="594"/>
      <c r="T501" s="594"/>
      <c r="U501" s="594"/>
      <c r="V501" s="595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17477.599999999999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17646.160000000003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765</v>
      </c>
      <c r="Q502" s="594"/>
      <c r="R502" s="594"/>
      <c r="S502" s="594"/>
      <c r="T502" s="594"/>
      <c r="U502" s="594"/>
      <c r="V502" s="595"/>
      <c r="W502" s="37" t="s">
        <v>69</v>
      </c>
      <c r="X502" s="551">
        <f>IFERROR(SUM(BM22:BM498),"0")</f>
        <v>18687.346534206528</v>
      </c>
      <c r="Y502" s="551">
        <f>IFERROR(SUM(BN22:BN498),"0")</f>
        <v>18865.55799999999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766</v>
      </c>
      <c r="Q503" s="594"/>
      <c r="R503" s="594"/>
      <c r="S503" s="594"/>
      <c r="T503" s="594"/>
      <c r="U503" s="594"/>
      <c r="V503" s="595"/>
      <c r="W503" s="37" t="s">
        <v>767</v>
      </c>
      <c r="X503" s="38">
        <f>ROUNDUP(SUM(BO22:BO498),0)</f>
        <v>31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768</v>
      </c>
      <c r="Q504" s="594"/>
      <c r="R504" s="594"/>
      <c r="S504" s="594"/>
      <c r="T504" s="594"/>
      <c r="U504" s="594"/>
      <c r="V504" s="595"/>
      <c r="W504" s="37" t="s">
        <v>69</v>
      </c>
      <c r="X504" s="551">
        <f>GrossWeightTotal+PalletQtyTotal*25</f>
        <v>19462.346534206528</v>
      </c>
      <c r="Y504" s="551">
        <f>GrossWeightTotalR+PalletQtyTotalR*25</f>
        <v>19665.55799999999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769</v>
      </c>
      <c r="Q505" s="594"/>
      <c r="R505" s="594"/>
      <c r="S505" s="594"/>
      <c r="T505" s="594"/>
      <c r="U505" s="594"/>
      <c r="V505" s="595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3652.5747801581133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3683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770</v>
      </c>
      <c r="Q506" s="594"/>
      <c r="R506" s="594"/>
      <c r="S506" s="594"/>
      <c r="T506" s="594"/>
      <c r="U506" s="594"/>
      <c r="V506" s="595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36.039489999999994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251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541</v>
      </c>
      <c r="U508" s="663"/>
      <c r="V508" s="579" t="s">
        <v>597</v>
      </c>
      <c r="W508" s="662"/>
      <c r="X508" s="662"/>
      <c r="Y508" s="663"/>
      <c r="Z508" s="546" t="s">
        <v>653</v>
      </c>
      <c r="AA508" s="579" t="s">
        <v>720</v>
      </c>
      <c r="AB508" s="663"/>
      <c r="AC508" s="52"/>
      <c r="AF508" s="547"/>
    </row>
    <row r="509" spans="1:68" ht="14.25" customHeight="1" thickTop="1" x14ac:dyDescent="0.2">
      <c r="A509" s="627" t="s">
        <v>773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194</v>
      </c>
      <c r="G509" s="579" t="s">
        <v>227</v>
      </c>
      <c r="H509" s="579" t="s">
        <v>101</v>
      </c>
      <c r="I509" s="579" t="s">
        <v>252</v>
      </c>
      <c r="J509" s="579" t="s">
        <v>292</v>
      </c>
      <c r="K509" s="579" t="s">
        <v>352</v>
      </c>
      <c r="L509" s="579" t="s">
        <v>398</v>
      </c>
      <c r="M509" s="579" t="s">
        <v>414</v>
      </c>
      <c r="N509" s="547"/>
      <c r="O509" s="579" t="s">
        <v>428</v>
      </c>
      <c r="P509" s="579" t="s">
        <v>438</v>
      </c>
      <c r="Q509" s="579" t="s">
        <v>445</v>
      </c>
      <c r="R509" s="579" t="s">
        <v>450</v>
      </c>
      <c r="S509" s="579" t="s">
        <v>531</v>
      </c>
      <c r="T509" s="579" t="s">
        <v>542</v>
      </c>
      <c r="U509" s="579" t="s">
        <v>577</v>
      </c>
      <c r="V509" s="579" t="s">
        <v>598</v>
      </c>
      <c r="W509" s="579" t="s">
        <v>630</v>
      </c>
      <c r="X509" s="579" t="s">
        <v>645</v>
      </c>
      <c r="Y509" s="579" t="s">
        <v>649</v>
      </c>
      <c r="Z509" s="579" t="s">
        <v>653</v>
      </c>
      <c r="AA509" s="579" t="s">
        <v>720</v>
      </c>
      <c r="AB509" s="579" t="s">
        <v>759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308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567.90000000000009</v>
      </c>
      <c r="E511" s="46">
        <f>IFERROR(Y87*1,"0")+IFERROR(Y88*1,"0")+IFERROR(Y89*1,"0")+IFERROR(Y93*1,"0")+IFERROR(Y94*1,"0")+IFERROR(Y95*1,"0")+IFERROR(Y96*1,"0")</f>
        <v>1522.8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1569.42</v>
      </c>
      <c r="G511" s="46">
        <f>IFERROR(Y127*1,"0")+IFERROR(Y128*1,"0")+IFERROR(Y132*1,"0")+IFERROR(Y133*1,"0")+IFERROR(Y137*1,"0")+IFERROR(Y138*1,"0")</f>
        <v>181.68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730.38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2049.6000000000004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129.5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160.80000000000001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861</v>
      </c>
      <c r="S511" s="46">
        <f>IFERROR(Y334*1,"0")+IFERROR(Y335*1,"0")+IFERROR(Y336*1,"0")</f>
        <v>1121.4000000000001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6075</v>
      </c>
      <c r="U511" s="46">
        <f>IFERROR(Y367*1,"0")+IFERROR(Y368*1,"0")+IFERROR(Y369*1,"0")+IFERROR(Y373*1,"0")+IFERROR(Y377*1,"0")+IFERROR(Y378*1,"0")+IFERROR(Y382*1,"0")</f>
        <v>66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75.599999999999994</v>
      </c>
      <c r="W511" s="46">
        <f>IFERROR(Y407*1,"0")+IFERROR(Y411*1,"0")+IFERROR(Y412*1,"0")+IFERROR(Y413*1,"0")+IFERROR(Y414*1,"0")</f>
        <v>0</v>
      </c>
      <c r="X511" s="46">
        <f>IFERROR(Y419*1,"0")</f>
        <v>30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1090.08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1107</v>
      </c>
      <c r="AB511" s="46">
        <f>IFERROR(Y498*1,"0")</f>
        <v>0</v>
      </c>
      <c r="AC511" s="52"/>
      <c r="AF511" s="547"/>
    </row>
  </sheetData>
  <sheetProtection algorithmName="SHA-512" hashValue="nzn+4TZH96kzAYRqO5PbStAP+efdyfleyVGWXnJf3ADUPSs1AWy+xDLo78iFNqxQpB0zevLmDcC+AfpNcX+9bg==" saltValue="Kfjvr2Poyx7zbUpDT2u8k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3 X89 X26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v6jrGRtW9r6+uqNjL8SsREBR25tWkABY0TwVxYbVHIa8dDcPqL1nUGHBPuCEWp/WTm937ahPTIGQCkXC89BYYQ==" saltValue="AUm5nZAk3uzTuQI3zWYH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2025-09-17T09:15:19Z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